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6D7BE3D0-9255-6837-6703-DDC3ED590948}"/>
  <workbookPr codeName="ThisWorkbook" defaultThemeVersion="124226"/>
  <bookViews>
    <workbookView xWindow="360" yWindow="75" windowWidth="14235" windowHeight="8565" activeTab="1"/>
  </bookViews>
  <sheets>
    <sheet name="Tracking" sheetId="186" r:id="rId1"/>
    <sheet name="Configuration" sheetId="1" r:id="rId2"/>
    <sheet name="Anatomy (Windermere)" sheetId="98" r:id="rId3"/>
    <sheet name="Houses" sheetId="163" r:id="rId4"/>
    <sheet name="20080302_070819" sheetId="164" state="hidden" r:id="rId5"/>
    <sheet name="Sheet2" sheetId="168" r:id="rId6"/>
    <sheet name="comments_3_24_2008_6_33_56_AM" sheetId="181" r:id="rId7"/>
  </sheets>
  <functionGroups/>
  <definedNames>
    <definedName name="_xlnm._FilterDatabase" localSheetId="4" hidden="1">'20080302_070819'!$A$1:$BK$548</definedName>
    <definedName name="cfgDownloadOnly">Configuration!$B$14</definedName>
    <definedName name="cfgEmulateDate">Configuration!$B$15</definedName>
    <definedName name="cfgFilePath">Configuration!$B$1</definedName>
    <definedName name="cfgFileSpec">Configuration!$B$2</definedName>
    <definedName name="cfgQueryList">Configuration!$E$1</definedName>
    <definedName name="tmpCommentLUT">comments_3_24_2008_6_33_56_AM!$A$1:$G$730</definedName>
    <definedName name="tmpHouseResults">Houses!#REF!</definedName>
    <definedName name="tmpParcels">#REF!</definedName>
    <definedName name="tmpReference">#REF!</definedName>
    <definedName name="tmpTrackingResults" localSheetId="4">'20080302_070819'!$A$1:$BF$548</definedName>
    <definedName name="tmpTrackingResults">Tracking!$A$1:$CM$3439</definedName>
  </definedNames>
  <calcPr calcId="125725"/>
</workbook>
</file>

<file path=xl/calcChain.xml><?xml version="1.0" encoding="utf-8"?>
<calcChain xmlns="http://schemas.openxmlformats.org/spreadsheetml/2006/main">
  <c r="B2761" i="186"/>
  <c r="BO3439"/>
  <c r="N3439"/>
  <c r="M3439"/>
  <c r="B3439"/>
  <c r="BO3423"/>
  <c r="N3423"/>
  <c r="M3423"/>
  <c r="B3423"/>
  <c r="BO3410"/>
  <c r="N3410"/>
  <c r="M3410"/>
  <c r="B3410"/>
  <c r="BO3409"/>
  <c r="N3409"/>
  <c r="M3409"/>
  <c r="B3409"/>
  <c r="BO3407"/>
  <c r="N3407"/>
  <c r="M3407"/>
  <c r="B3407"/>
  <c r="BO3402"/>
  <c r="N3402"/>
  <c r="M3402"/>
  <c r="B3402"/>
  <c r="BO3399"/>
  <c r="N3399"/>
  <c r="M3399"/>
  <c r="B3399"/>
  <c r="BO3325"/>
  <c r="N3325"/>
  <c r="M3325"/>
  <c r="B3325"/>
  <c r="BO3188"/>
  <c r="N3188"/>
  <c r="M3188"/>
  <c r="B3188"/>
  <c r="B3049"/>
  <c r="B2142"/>
  <c r="B1306"/>
  <c r="BO3436"/>
  <c r="N3436"/>
  <c r="M3436"/>
  <c r="B3436"/>
  <c r="BO3424"/>
  <c r="N3424"/>
  <c r="M3424"/>
  <c r="B3424"/>
  <c r="BO3437"/>
  <c r="N3437"/>
  <c r="M3437"/>
  <c r="B3437"/>
  <c r="BO1935"/>
  <c r="N1935"/>
  <c r="M1935"/>
  <c r="B1935"/>
  <c r="BO521"/>
  <c r="N521"/>
  <c r="M521"/>
  <c r="B521"/>
  <c r="B412"/>
  <c r="B1689"/>
  <c r="B1655"/>
  <c r="B916"/>
  <c r="BO3417"/>
  <c r="N3417"/>
  <c r="M3417"/>
  <c r="B3417"/>
  <c r="BO3153"/>
  <c r="N3153"/>
  <c r="M3153"/>
  <c r="B3153"/>
  <c r="BO933"/>
  <c r="N933"/>
  <c r="M933"/>
  <c r="B933"/>
  <c r="BO3435"/>
  <c r="N3435"/>
  <c r="M3435"/>
  <c r="B3435"/>
  <c r="BO3427"/>
  <c r="N3427"/>
  <c r="M3427"/>
  <c r="B3427"/>
  <c r="BO3425"/>
  <c r="N3425"/>
  <c r="M3425"/>
  <c r="B3425"/>
  <c r="BO3421"/>
  <c r="N3421"/>
  <c r="M3421"/>
  <c r="B3421"/>
  <c r="BO3313"/>
  <c r="N3313"/>
  <c r="M3313"/>
  <c r="B3313"/>
  <c r="B2544"/>
  <c r="B1262"/>
  <c r="BO3429"/>
  <c r="N3429"/>
  <c r="M3429"/>
  <c r="B3429"/>
  <c r="BO3419"/>
  <c r="N3419"/>
  <c r="M3419"/>
  <c r="B3419"/>
  <c r="BO3349"/>
  <c r="N3349"/>
  <c r="M3349"/>
  <c r="B3349"/>
  <c r="BO1943"/>
  <c r="N1943"/>
  <c r="M1943"/>
  <c r="B1943"/>
  <c r="B1574"/>
  <c r="BO3438"/>
  <c r="N3438"/>
  <c r="M3438"/>
  <c r="B3438"/>
  <c r="BO3432"/>
  <c r="N3432"/>
  <c r="M3432"/>
  <c r="B3432"/>
  <c r="BO3428"/>
  <c r="N3428"/>
  <c r="M3428"/>
  <c r="B3428"/>
  <c r="BO3422"/>
  <c r="N3422"/>
  <c r="M3422"/>
  <c r="B3422"/>
  <c r="BO3415"/>
  <c r="N3415"/>
  <c r="M3415"/>
  <c r="B3415"/>
  <c r="B3247"/>
  <c r="B3017"/>
  <c r="B2863"/>
  <c r="B1900"/>
  <c r="BO3431"/>
  <c r="N3431"/>
  <c r="M3431"/>
  <c r="B3431"/>
  <c r="BO3430"/>
  <c r="N3430"/>
  <c r="M3430"/>
  <c r="B3430"/>
  <c r="BO3418"/>
  <c r="N3418"/>
  <c r="M3418"/>
  <c r="B3418"/>
  <c r="BO3352"/>
  <c r="N3352"/>
  <c r="M3352"/>
  <c r="B3352"/>
  <c r="BO3297"/>
  <c r="N3297"/>
  <c r="M3297"/>
  <c r="B3297"/>
  <c r="BO3245"/>
  <c r="N3245"/>
  <c r="M3245"/>
  <c r="B3245"/>
  <c r="B3011"/>
  <c r="B2786"/>
  <c r="B2904"/>
  <c r="B2622"/>
  <c r="B2359"/>
  <c r="BO3434"/>
  <c r="N3434"/>
  <c r="M3434"/>
  <c r="B3434"/>
  <c r="BO3433"/>
  <c r="N3433"/>
  <c r="M3433"/>
  <c r="B3433"/>
  <c r="BO3420"/>
  <c r="N3420"/>
  <c r="M3420"/>
  <c r="B3420"/>
  <c r="BO3416"/>
  <c r="N3416"/>
  <c r="M3416"/>
  <c r="B3416"/>
  <c r="BO3357"/>
  <c r="N3357"/>
  <c r="M3357"/>
  <c r="B3357"/>
  <c r="B2543"/>
  <c r="BO3426"/>
  <c r="N3426"/>
  <c r="M3426"/>
  <c r="B3426"/>
  <c r="BO3386"/>
  <c r="N3386"/>
  <c r="M3386"/>
  <c r="B3386"/>
  <c r="BO3243"/>
  <c r="N3243"/>
  <c r="M3243"/>
  <c r="B3243"/>
  <c r="B3105"/>
  <c r="B800"/>
  <c r="BO3397"/>
  <c r="N3397"/>
  <c r="M3397"/>
  <c r="B3397"/>
  <c r="B931"/>
  <c r="BO264"/>
  <c r="N264"/>
  <c r="M264"/>
  <c r="B264"/>
  <c r="BO202"/>
  <c r="N202"/>
  <c r="M202"/>
  <c r="B202"/>
  <c r="BO72"/>
  <c r="N72"/>
  <c r="M72"/>
  <c r="B72"/>
  <c r="BO3385"/>
  <c r="N3385"/>
  <c r="M3385"/>
  <c r="B3385"/>
  <c r="BO3383"/>
  <c r="N3383"/>
  <c r="M3383"/>
  <c r="B3383"/>
  <c r="BO3363"/>
  <c r="N3363"/>
  <c r="M3363"/>
  <c r="B3363"/>
  <c r="BO3328"/>
  <c r="N3328"/>
  <c r="M3328"/>
  <c r="B3328"/>
  <c r="B3281"/>
  <c r="B3229"/>
  <c r="B3006"/>
  <c r="B2880"/>
  <c r="BO1603"/>
  <c r="N1603"/>
  <c r="M1603"/>
  <c r="B1603"/>
  <c r="BO153"/>
  <c r="N153"/>
  <c r="M153"/>
  <c r="B153"/>
  <c r="BO3404"/>
  <c r="N3404"/>
  <c r="M3404"/>
  <c r="B3404"/>
  <c r="BO3403"/>
  <c r="N3403"/>
  <c r="M3403"/>
  <c r="B3403"/>
  <c r="BO3388"/>
  <c r="N3388"/>
  <c r="M3388"/>
  <c r="B3388"/>
  <c r="BO3329"/>
  <c r="N3329"/>
  <c r="M3329"/>
  <c r="B3329"/>
  <c r="BO3154"/>
  <c r="N3154"/>
  <c r="M3154"/>
  <c r="B3154"/>
  <c r="BO1560"/>
  <c r="N1560"/>
  <c r="M1560"/>
  <c r="B1560"/>
  <c r="B105"/>
  <c r="BO3379"/>
  <c r="N3379"/>
  <c r="M3379"/>
  <c r="B3379"/>
  <c r="B1143"/>
  <c r="BO1002"/>
  <c r="N1002"/>
  <c r="M1002"/>
  <c r="B1002"/>
  <c r="BO3375"/>
  <c r="N3375"/>
  <c r="M3375"/>
  <c r="B3375"/>
  <c r="BO3366"/>
  <c r="N3366"/>
  <c r="M3366"/>
  <c r="B3366"/>
  <c r="BO3337"/>
  <c r="N3337"/>
  <c r="M3337"/>
  <c r="B3337"/>
  <c r="BO3097"/>
  <c r="N3097"/>
  <c r="M3097"/>
  <c r="B3097"/>
  <c r="BO3411"/>
  <c r="N3411"/>
  <c r="M3411"/>
  <c r="B3411"/>
  <c r="BO3391"/>
  <c r="N3391"/>
  <c r="M3391"/>
  <c r="B3391"/>
  <c r="BO3378"/>
  <c r="N3378"/>
  <c r="M3378"/>
  <c r="B3378"/>
  <c r="BO3371"/>
  <c r="N3371"/>
  <c r="M3371"/>
  <c r="B3371"/>
  <c r="B3068"/>
  <c r="B1733"/>
  <c r="BO3400"/>
  <c r="N3400"/>
  <c r="M3400"/>
  <c r="B3400"/>
  <c r="BO3237"/>
  <c r="N3237"/>
  <c r="M3237"/>
  <c r="B3237"/>
  <c r="BO3398"/>
  <c r="N3398"/>
  <c r="M3398"/>
  <c r="B3398"/>
  <c r="BO3392"/>
  <c r="N3392"/>
  <c r="M3392"/>
  <c r="B3392"/>
  <c r="B2851"/>
  <c r="B1311"/>
  <c r="BO3414"/>
  <c r="N3414"/>
  <c r="M3414"/>
  <c r="B3414"/>
  <c r="BO3387"/>
  <c r="N3387"/>
  <c r="M3387"/>
  <c r="B3387"/>
  <c r="BO3373"/>
  <c r="N3373"/>
  <c r="M3373"/>
  <c r="B3373"/>
  <c r="B1736"/>
  <c r="BO3394"/>
  <c r="N3394"/>
  <c r="M3394"/>
  <c r="B3394"/>
  <c r="BO3382"/>
  <c r="N3382"/>
  <c r="M3382"/>
  <c r="B3382"/>
  <c r="BO3376"/>
  <c r="N3376"/>
  <c r="M3376"/>
  <c r="B3376"/>
  <c r="BO3372"/>
  <c r="N3372"/>
  <c r="M3372"/>
  <c r="B3372"/>
  <c r="BO3347"/>
  <c r="N3347"/>
  <c r="M3347"/>
  <c r="B3347"/>
  <c r="BO3230"/>
  <c r="N3230"/>
  <c r="M3230"/>
  <c r="B3230"/>
  <c r="B2978"/>
  <c r="B1636"/>
  <c r="B1292"/>
  <c r="B710"/>
  <c r="BO3412"/>
  <c r="N3412"/>
  <c r="M3412"/>
  <c r="B3412"/>
  <c r="BO3395"/>
  <c r="N3395"/>
  <c r="M3395"/>
  <c r="B3395"/>
  <c r="BO3381"/>
  <c r="N3381"/>
  <c r="M3381"/>
  <c r="B3381"/>
  <c r="B3043"/>
  <c r="B113"/>
  <c r="BO3405"/>
  <c r="N3405"/>
  <c r="M3405"/>
  <c r="B3405"/>
  <c r="BO3401"/>
  <c r="N3401"/>
  <c r="M3401"/>
  <c r="B3401"/>
  <c r="BO3380"/>
  <c r="N3380"/>
  <c r="M3380"/>
  <c r="B3380"/>
  <c r="B3263"/>
  <c r="B2394"/>
  <c r="BO1314"/>
  <c r="N1314"/>
  <c r="M1314"/>
  <c r="B1314"/>
  <c r="B1000"/>
  <c r="BO3413"/>
  <c r="N3413"/>
  <c r="M3413"/>
  <c r="B3413"/>
  <c r="BO3389"/>
  <c r="N3389"/>
  <c r="M3389"/>
  <c r="B3389"/>
  <c r="BO3377"/>
  <c r="N3377"/>
  <c r="M3377"/>
  <c r="B3377"/>
  <c r="BO3374"/>
  <c r="N3374"/>
  <c r="M3374"/>
  <c r="B3374"/>
  <c r="BO3287"/>
  <c r="N3287"/>
  <c r="M3287"/>
  <c r="B3287"/>
  <c r="BO3213"/>
  <c r="N3213"/>
  <c r="M3213"/>
  <c r="B3213"/>
  <c r="BO3396"/>
  <c r="N3396"/>
  <c r="M3396"/>
  <c r="B3396"/>
  <c r="BO3390"/>
  <c r="N3390"/>
  <c r="M3390"/>
  <c r="B3390"/>
  <c r="B2526"/>
  <c r="B1418"/>
  <c r="BO3408"/>
  <c r="N3408"/>
  <c r="M3408"/>
  <c r="B3408"/>
  <c r="BO3406"/>
  <c r="N3406"/>
  <c r="M3406"/>
  <c r="B3406"/>
  <c r="BO3393"/>
  <c r="N3393"/>
  <c r="M3393"/>
  <c r="B3393"/>
  <c r="BO3384"/>
  <c r="N3384"/>
  <c r="M3384"/>
  <c r="B3384"/>
  <c r="BO3369"/>
  <c r="N3369"/>
  <c r="M3369"/>
  <c r="B3369"/>
  <c r="BO3351"/>
  <c r="N3351"/>
  <c r="M3351"/>
  <c r="B3351"/>
  <c r="BO3338"/>
  <c r="N3338"/>
  <c r="M3338"/>
  <c r="B3338"/>
  <c r="BO3333"/>
  <c r="N3333"/>
  <c r="M3333"/>
  <c r="B3333"/>
  <c r="BO3177"/>
  <c r="N3177"/>
  <c r="M3177"/>
  <c r="B3177"/>
  <c r="B1089"/>
  <c r="BO3361"/>
  <c r="N3361"/>
  <c r="M3361"/>
  <c r="B3361"/>
  <c r="BO3340"/>
  <c r="N3340"/>
  <c r="M3340"/>
  <c r="B3340"/>
  <c r="B1968"/>
  <c r="B1839"/>
  <c r="B736"/>
  <c r="B568"/>
  <c r="BO3370"/>
  <c r="N3370"/>
  <c r="M3370"/>
  <c r="B3370"/>
  <c r="BO3327"/>
  <c r="N3327"/>
  <c r="M3327"/>
  <c r="B3327"/>
  <c r="BO3323"/>
  <c r="N3323"/>
  <c r="M3323"/>
  <c r="B3323"/>
  <c r="B2737"/>
  <c r="B1596"/>
  <c r="BO3318"/>
  <c r="N3318"/>
  <c r="M3318"/>
  <c r="B3318"/>
  <c r="BO3217"/>
  <c r="N3217"/>
  <c r="M3217"/>
  <c r="B3217"/>
  <c r="B1353"/>
  <c r="B1061"/>
  <c r="B1043"/>
  <c r="BO3334"/>
  <c r="N3334"/>
  <c r="M3334"/>
  <c r="B3334"/>
  <c r="B2249"/>
  <c r="BO3360"/>
  <c r="N3360"/>
  <c r="M3360"/>
  <c r="B3360"/>
  <c r="BO3339"/>
  <c r="N3339"/>
  <c r="M3339"/>
  <c r="B3339"/>
  <c r="BO3306"/>
  <c r="N3306"/>
  <c r="M3306"/>
  <c r="B3306"/>
  <c r="B2925"/>
  <c r="B1087"/>
  <c r="B546"/>
  <c r="BO3364"/>
  <c r="N3364"/>
  <c r="M3364"/>
  <c r="B3364"/>
  <c r="BO3285"/>
  <c r="N3285"/>
  <c r="M3285"/>
  <c r="B3285"/>
  <c r="B769"/>
  <c r="BO36"/>
  <c r="N36"/>
  <c r="M36"/>
  <c r="B36"/>
  <c r="BO3342"/>
  <c r="N3342"/>
  <c r="M3342"/>
  <c r="B3342"/>
  <c r="BO3274"/>
  <c r="N3274"/>
  <c r="M3274"/>
  <c r="B3274"/>
  <c r="BO3187"/>
  <c r="N3187"/>
  <c r="M3187"/>
  <c r="B3187"/>
  <c r="B2845"/>
  <c r="B610"/>
  <c r="BO3326"/>
  <c r="N3326"/>
  <c r="M3326"/>
  <c r="B3326"/>
  <c r="BO3321"/>
  <c r="N3321"/>
  <c r="M3321"/>
  <c r="B3321"/>
  <c r="B2645"/>
  <c r="BO3368"/>
  <c r="N3368"/>
  <c r="M3368"/>
  <c r="B3368"/>
  <c r="BO3367"/>
  <c r="N3367"/>
  <c r="M3367"/>
  <c r="B3367"/>
  <c r="BO3354"/>
  <c r="N3354"/>
  <c r="M3354"/>
  <c r="B3354"/>
  <c r="BO3353"/>
  <c r="N3353"/>
  <c r="M3353"/>
  <c r="B3353"/>
  <c r="BO3348"/>
  <c r="N3348"/>
  <c r="M3348"/>
  <c r="B3348"/>
  <c r="BO3336"/>
  <c r="N3336"/>
  <c r="M3336"/>
  <c r="B3336"/>
  <c r="BO3332"/>
  <c r="N3332"/>
  <c r="M3332"/>
  <c r="B3332"/>
  <c r="BO3255"/>
  <c r="N3255"/>
  <c r="M3255"/>
  <c r="B3255"/>
  <c r="BO3250"/>
  <c r="N3250"/>
  <c r="M3250"/>
  <c r="B3250"/>
  <c r="B2238"/>
  <c r="B1685"/>
  <c r="BO3362"/>
  <c r="N3362"/>
  <c r="M3362"/>
  <c r="B3362"/>
  <c r="BO3359"/>
  <c r="N3359"/>
  <c r="M3359"/>
  <c r="B3359"/>
  <c r="BO3345"/>
  <c r="N3345"/>
  <c r="M3345"/>
  <c r="B3345"/>
  <c r="BO3324"/>
  <c r="N3324"/>
  <c r="M3324"/>
  <c r="B3324"/>
  <c r="BO3204"/>
  <c r="N3204"/>
  <c r="M3204"/>
  <c r="B3204"/>
  <c r="BO3355"/>
  <c r="N3355"/>
  <c r="M3355"/>
  <c r="B3355"/>
  <c r="BO3344"/>
  <c r="N3344"/>
  <c r="M3344"/>
  <c r="B3344"/>
  <c r="BO3292"/>
  <c r="N3292"/>
  <c r="M3292"/>
  <c r="B3292"/>
  <c r="B946"/>
  <c r="B833"/>
  <c r="BO3341"/>
  <c r="N3341"/>
  <c r="M3341"/>
  <c r="B3341"/>
  <c r="B3166"/>
  <c r="BO3358"/>
  <c r="N3358"/>
  <c r="M3358"/>
  <c r="B3358"/>
  <c r="BO3356"/>
  <c r="N3356"/>
  <c r="M3356"/>
  <c r="B3356"/>
  <c r="BO3346"/>
  <c r="N3346"/>
  <c r="M3346"/>
  <c r="B3346"/>
  <c r="BO3343"/>
  <c r="N3343"/>
  <c r="M3343"/>
  <c r="B3343"/>
  <c r="BO3335"/>
  <c r="N3335"/>
  <c r="M3335"/>
  <c r="B3335"/>
  <c r="BO3331"/>
  <c r="N3331"/>
  <c r="M3331"/>
  <c r="B3331"/>
  <c r="B3184"/>
  <c r="B2889"/>
  <c r="B1920"/>
  <c r="B1549"/>
  <c r="BO3365"/>
  <c r="N3365"/>
  <c r="M3365"/>
  <c r="B3365"/>
  <c r="BO3350"/>
  <c r="N3350"/>
  <c r="M3350"/>
  <c r="B3350"/>
  <c r="BO3330"/>
  <c r="N3330"/>
  <c r="M3330"/>
  <c r="B3330"/>
  <c r="B3054"/>
  <c r="B1282"/>
  <c r="B1500"/>
  <c r="BO3322"/>
  <c r="N3322"/>
  <c r="M3322"/>
  <c r="B3322"/>
  <c r="B2546"/>
  <c r="BO3302"/>
  <c r="N3302"/>
  <c r="M3302"/>
  <c r="B3302"/>
  <c r="B3035"/>
  <c r="B997"/>
  <c r="BO3320"/>
  <c r="N3320"/>
  <c r="M3320"/>
  <c r="B3320"/>
  <c r="BO3319"/>
  <c r="N3319"/>
  <c r="M3319"/>
  <c r="B3319"/>
  <c r="B461"/>
  <c r="BO3308"/>
  <c r="N3308"/>
  <c r="M3308"/>
  <c r="B3308"/>
  <c r="B3079"/>
  <c r="BO3186"/>
  <c r="N3186"/>
  <c r="M3186"/>
  <c r="B3186"/>
  <c r="BO1790"/>
  <c r="N1790"/>
  <c r="M1790"/>
  <c r="B1790"/>
  <c r="BO1159"/>
  <c r="N1159"/>
  <c r="M1159"/>
  <c r="B1159"/>
  <c r="BO1103"/>
  <c r="N1103"/>
  <c r="M1103"/>
  <c r="B1103"/>
  <c r="BO1095"/>
  <c r="N1095"/>
  <c r="M1095"/>
  <c r="B1095"/>
  <c r="BO937"/>
  <c r="N937"/>
  <c r="M937"/>
  <c r="B937"/>
  <c r="BO3160"/>
  <c r="N3160"/>
  <c r="M3160"/>
  <c r="B3160"/>
  <c r="B1721"/>
  <c r="BO791"/>
  <c r="N791"/>
  <c r="M791"/>
  <c r="B791"/>
  <c r="BO466"/>
  <c r="N466"/>
  <c r="M466"/>
  <c r="B466"/>
  <c r="BO156"/>
  <c r="N156"/>
  <c r="M156"/>
  <c r="B156"/>
  <c r="BO3298"/>
  <c r="N3298"/>
  <c r="M3298"/>
  <c r="B3298"/>
  <c r="B2324"/>
  <c r="BO1047"/>
  <c r="N1047"/>
  <c r="M1047"/>
  <c r="B1047"/>
  <c r="B3162"/>
  <c r="BO3315"/>
  <c r="N3315"/>
  <c r="M3315"/>
  <c r="B3315"/>
  <c r="BO3205"/>
  <c r="N3205"/>
  <c r="M3205"/>
  <c r="B3205"/>
  <c r="BO3158"/>
  <c r="N3158"/>
  <c r="M3158"/>
  <c r="B3158"/>
  <c r="BO875"/>
  <c r="N875"/>
  <c r="M875"/>
  <c r="B875"/>
  <c r="B3163"/>
  <c r="BO3317"/>
  <c r="N3317"/>
  <c r="M3317"/>
  <c r="B3317"/>
  <c r="BO2187"/>
  <c r="N2187"/>
  <c r="M2187"/>
  <c r="B2187"/>
  <c r="BO1152"/>
  <c r="N1152"/>
  <c r="M1152"/>
  <c r="B1152"/>
  <c r="BO3316"/>
  <c r="N3316"/>
  <c r="M3316"/>
  <c r="B3316"/>
  <c r="BO3115"/>
  <c r="N3115"/>
  <c r="M3115"/>
  <c r="B3115"/>
  <c r="BO1679"/>
  <c r="N1679"/>
  <c r="M1679"/>
  <c r="B1679"/>
  <c r="B1342"/>
  <c r="BO1015"/>
  <c r="N1015"/>
  <c r="M1015"/>
  <c r="B1015"/>
  <c r="BO399"/>
  <c r="N399"/>
  <c r="M399"/>
  <c r="B399"/>
  <c r="BO1944"/>
  <c r="N1944"/>
  <c r="M1944"/>
  <c r="B1944"/>
  <c r="BO1081"/>
  <c r="N1081"/>
  <c r="M1081"/>
  <c r="B1081"/>
  <c r="BO866"/>
  <c r="N866"/>
  <c r="M866"/>
  <c r="B866"/>
  <c r="BO485"/>
  <c r="N485"/>
  <c r="M485"/>
  <c r="B485"/>
  <c r="BO3312"/>
  <c r="N3312"/>
  <c r="M3312"/>
  <c r="B3312"/>
  <c r="BO3220"/>
  <c r="N3220"/>
  <c r="M3220"/>
  <c r="B3220"/>
  <c r="BO3045"/>
  <c r="N3045"/>
  <c r="M3045"/>
  <c r="B3045"/>
  <c r="BO3301"/>
  <c r="N3301"/>
  <c r="M3301"/>
  <c r="B3301"/>
  <c r="BO3197"/>
  <c r="N3197"/>
  <c r="M3197"/>
  <c r="B3197"/>
  <c r="B3130"/>
  <c r="BO3055"/>
  <c r="N3055"/>
  <c r="M3055"/>
  <c r="B3055"/>
  <c r="BO3300"/>
  <c r="N3300"/>
  <c r="M3300"/>
  <c r="B3300"/>
  <c r="BO3299"/>
  <c r="N3299"/>
  <c r="M3299"/>
  <c r="B3299"/>
  <c r="BO3290"/>
  <c r="N3290"/>
  <c r="M3290"/>
  <c r="B3290"/>
  <c r="BO2923"/>
  <c r="N2923"/>
  <c r="M2923"/>
  <c r="B2923"/>
  <c r="BO733"/>
  <c r="N733"/>
  <c r="M733"/>
  <c r="B733"/>
  <c r="BO3307"/>
  <c r="N3307"/>
  <c r="M3307"/>
  <c r="B3307"/>
  <c r="BO3305"/>
  <c r="N3305"/>
  <c r="M3305"/>
  <c r="B3305"/>
  <c r="BO3181"/>
  <c r="N3181"/>
  <c r="M3181"/>
  <c r="B3181"/>
  <c r="BO3304"/>
  <c r="N3304"/>
  <c r="M3304"/>
  <c r="B3304"/>
  <c r="BO3293"/>
  <c r="N3293"/>
  <c r="M3293"/>
  <c r="B3293"/>
  <c r="BO1483"/>
  <c r="N1483"/>
  <c r="M1483"/>
  <c r="B1483"/>
  <c r="B2745"/>
  <c r="BO3257"/>
  <c r="N3257"/>
  <c r="M3257"/>
  <c r="B3257"/>
  <c r="BO3249"/>
  <c r="N3249"/>
  <c r="M3249"/>
  <c r="B3249"/>
  <c r="B2755"/>
  <c r="B2244"/>
  <c r="B482"/>
  <c r="BO3109"/>
  <c r="N3109"/>
  <c r="M3109"/>
  <c r="B3109"/>
  <c r="B3012"/>
  <c r="B1973"/>
  <c r="BO3303"/>
  <c r="N3303"/>
  <c r="M3303"/>
  <c r="B3303"/>
  <c r="BO2512"/>
  <c r="N2512"/>
  <c r="M2512"/>
  <c r="B2512"/>
  <c r="BO3311"/>
  <c r="N3311"/>
  <c r="M3311"/>
  <c r="B3311"/>
  <c r="BO3296"/>
  <c r="N3296"/>
  <c r="M3296"/>
  <c r="B3296"/>
  <c r="BO3252"/>
  <c r="N3252"/>
  <c r="M3252"/>
  <c r="B3252"/>
  <c r="BO3191"/>
  <c r="N3191"/>
  <c r="M3191"/>
  <c r="B3191"/>
  <c r="B2843"/>
  <c r="B1268"/>
  <c r="BO3314"/>
  <c r="N3314"/>
  <c r="M3314"/>
  <c r="B3314"/>
  <c r="BO3310"/>
  <c r="N3310"/>
  <c r="M3310"/>
  <c r="B3310"/>
  <c r="BO3309"/>
  <c r="N3309"/>
  <c r="M3309"/>
  <c r="B3309"/>
  <c r="BO3242"/>
  <c r="N3242"/>
  <c r="M3242"/>
  <c r="B3242"/>
  <c r="B2846"/>
  <c r="B2551"/>
  <c r="B939"/>
  <c r="BO3261"/>
  <c r="N3261"/>
  <c r="M3261"/>
  <c r="B3261"/>
  <c r="BO353"/>
  <c r="N353"/>
  <c r="M353"/>
  <c r="B353"/>
  <c r="B252"/>
  <c r="BO3289"/>
  <c r="N3289"/>
  <c r="M3289"/>
  <c r="B3289"/>
  <c r="BO3281"/>
  <c r="N3281"/>
  <c r="M3281"/>
  <c r="BO3269"/>
  <c r="N3269"/>
  <c r="M3269"/>
  <c r="B3269"/>
  <c r="BO3268"/>
  <c r="N3268"/>
  <c r="M3268"/>
  <c r="B3268"/>
  <c r="BO3264"/>
  <c r="N3264"/>
  <c r="M3264"/>
  <c r="B3264"/>
  <c r="BO3260"/>
  <c r="N3260"/>
  <c r="M3260"/>
  <c r="B3260"/>
  <c r="BO3251"/>
  <c r="N3251"/>
  <c r="M3251"/>
  <c r="B3251"/>
  <c r="BO3234"/>
  <c r="N3234"/>
  <c r="M3234"/>
  <c r="B3234"/>
  <c r="BO3030"/>
  <c r="N3030"/>
  <c r="M3030"/>
  <c r="B3030"/>
  <c r="B3029"/>
  <c r="B1566"/>
  <c r="B860"/>
  <c r="BO3278"/>
  <c r="N3278"/>
  <c r="M3278"/>
  <c r="B3278"/>
  <c r="BO3276"/>
  <c r="N3276"/>
  <c r="M3276"/>
  <c r="B3276"/>
  <c r="BO3271"/>
  <c r="N3271"/>
  <c r="M3271"/>
  <c r="B3271"/>
  <c r="BO3256"/>
  <c r="N3256"/>
  <c r="M3256"/>
  <c r="B3256"/>
  <c r="BO3238"/>
  <c r="N3238"/>
  <c r="M3238"/>
  <c r="B3238"/>
  <c r="BO3236"/>
  <c r="N3236"/>
  <c r="M3236"/>
  <c r="B3236"/>
  <c r="BO3206"/>
  <c r="N3206"/>
  <c r="M3206"/>
  <c r="B3206"/>
  <c r="BO3048"/>
  <c r="N3048"/>
  <c r="M3048"/>
  <c r="B3048"/>
  <c r="BO3034"/>
  <c r="N3034"/>
  <c r="M3034"/>
  <c r="B3034"/>
  <c r="BO1007"/>
  <c r="N1007"/>
  <c r="M1007"/>
  <c r="B1007"/>
  <c r="B507"/>
  <c r="BO3208"/>
  <c r="N3208"/>
  <c r="M3208"/>
  <c r="B3208"/>
  <c r="BO2988"/>
  <c r="N2988"/>
  <c r="M2988"/>
  <c r="B2988"/>
  <c r="B1067"/>
  <c r="B847"/>
  <c r="BO3291"/>
  <c r="N3291"/>
  <c r="M3291"/>
  <c r="B3291"/>
  <c r="BO3254"/>
  <c r="N3254"/>
  <c r="M3254"/>
  <c r="B3254"/>
  <c r="BO3196"/>
  <c r="N3196"/>
  <c r="M3196"/>
  <c r="B3196"/>
  <c r="B3137"/>
  <c r="B296"/>
  <c r="BO3288"/>
  <c r="N3288"/>
  <c r="M3288"/>
  <c r="B3288"/>
  <c r="BO3284"/>
  <c r="N3284"/>
  <c r="M3284"/>
  <c r="B3284"/>
  <c r="BO3272"/>
  <c r="N3272"/>
  <c r="M3272"/>
  <c r="B3272"/>
  <c r="BO3270"/>
  <c r="N3270"/>
  <c r="M3270"/>
  <c r="B3270"/>
  <c r="BO3203"/>
  <c r="N3203"/>
  <c r="M3203"/>
  <c r="B3203"/>
  <c r="B2842"/>
  <c r="B370"/>
  <c r="BO246"/>
  <c r="N246"/>
  <c r="M246"/>
  <c r="B246"/>
  <c r="BO3295"/>
  <c r="N3295"/>
  <c r="M3295"/>
  <c r="B3295"/>
  <c r="BO3294"/>
  <c r="N3294"/>
  <c r="M3294"/>
  <c r="B3294"/>
  <c r="BO3283"/>
  <c r="N3283"/>
  <c r="M3283"/>
  <c r="B3283"/>
  <c r="BO3265"/>
  <c r="N3265"/>
  <c r="M3265"/>
  <c r="B3265"/>
  <c r="BO3144"/>
  <c r="N3144"/>
  <c r="M3144"/>
  <c r="B3144"/>
  <c r="BO2952"/>
  <c r="N2952"/>
  <c r="M2952"/>
  <c r="B2952"/>
  <c r="B2803"/>
  <c r="B2440"/>
  <c r="BO1350"/>
  <c r="N1350"/>
  <c r="M1350"/>
  <c r="B1350"/>
  <c r="BO3282"/>
  <c r="N3282"/>
  <c r="M3282"/>
  <c r="B3282"/>
  <c r="BO3277"/>
  <c r="N3277"/>
  <c r="M3277"/>
  <c r="B3277"/>
  <c r="BO3258"/>
  <c r="N3258"/>
  <c r="M3258"/>
  <c r="B3258"/>
  <c r="B2604"/>
  <c r="BO3280"/>
  <c r="N3280"/>
  <c r="M3280"/>
  <c r="B3280"/>
  <c r="BO3279"/>
  <c r="N3279"/>
  <c r="M3279"/>
  <c r="B3279"/>
  <c r="BO3273"/>
  <c r="N3273"/>
  <c r="M3273"/>
  <c r="B3273"/>
  <c r="BO3247"/>
  <c r="N3247"/>
  <c r="M3247"/>
  <c r="BO3240"/>
  <c r="N3240"/>
  <c r="M3240"/>
  <c r="B3240"/>
  <c r="BO3235"/>
  <c r="N3235"/>
  <c r="M3235"/>
  <c r="B3235"/>
  <c r="BO3226"/>
  <c r="N3226"/>
  <c r="M3226"/>
  <c r="B3226"/>
  <c r="BO3132"/>
  <c r="N3132"/>
  <c r="M3132"/>
  <c r="B3132"/>
  <c r="BO3119"/>
  <c r="N3119"/>
  <c r="M3119"/>
  <c r="B3119"/>
  <c r="B3002"/>
  <c r="BO1132"/>
  <c r="N1132"/>
  <c r="M1132"/>
  <c r="B1132"/>
  <c r="B712"/>
  <c r="BO3286"/>
  <c r="N3286"/>
  <c r="M3286"/>
  <c r="B3286"/>
  <c r="BO3262"/>
  <c r="N3262"/>
  <c r="M3262"/>
  <c r="B3262"/>
  <c r="BO3241"/>
  <c r="N3241"/>
  <c r="M3241"/>
  <c r="B3241"/>
  <c r="BO3225"/>
  <c r="N3225"/>
  <c r="M3225"/>
  <c r="B3225"/>
  <c r="B2795"/>
  <c r="B2456"/>
  <c r="B695"/>
  <c r="BO3267"/>
  <c r="N3267"/>
  <c r="M3267"/>
  <c r="B3267"/>
  <c r="BO3263"/>
  <c r="N3263"/>
  <c r="M3263"/>
  <c r="BO3239"/>
  <c r="N3239"/>
  <c r="M3239"/>
  <c r="B3239"/>
  <c r="BO3134"/>
  <c r="N3134"/>
  <c r="M3134"/>
  <c r="B3134"/>
  <c r="B3053"/>
  <c r="BO3259"/>
  <c r="N3259"/>
  <c r="M3259"/>
  <c r="B3259"/>
  <c r="BO3166"/>
  <c r="N3166"/>
  <c r="M3166"/>
  <c r="B2649"/>
  <c r="B2138"/>
  <c r="B1860"/>
  <c r="BO3152"/>
  <c r="N3152"/>
  <c r="M3152"/>
  <c r="B3152"/>
  <c r="BO3118"/>
  <c r="N3118"/>
  <c r="M3118"/>
  <c r="B3118"/>
  <c r="BO3037"/>
  <c r="N3037"/>
  <c r="M3037"/>
  <c r="B3037"/>
  <c r="B2538"/>
  <c r="BO731"/>
  <c r="N731"/>
  <c r="M731"/>
  <c r="B731"/>
  <c r="BO3069"/>
  <c r="N3069"/>
  <c r="M3069"/>
  <c r="B3069"/>
  <c r="BO3275"/>
  <c r="N3275"/>
  <c r="M3275"/>
  <c r="B3275"/>
  <c r="BO3266"/>
  <c r="N3266"/>
  <c r="M3266"/>
  <c r="B3266"/>
  <c r="BO3253"/>
  <c r="N3253"/>
  <c r="M3253"/>
  <c r="B3253"/>
  <c r="B2062"/>
  <c r="B2061"/>
  <c r="BO3223"/>
  <c r="N3223"/>
  <c r="M3223"/>
  <c r="B3223"/>
  <c r="BO3215"/>
  <c r="N3215"/>
  <c r="M3215"/>
  <c r="B3215"/>
  <c r="BO2943"/>
  <c r="N2943"/>
  <c r="M2943"/>
  <c r="B2943"/>
  <c r="BO4"/>
  <c r="N4"/>
  <c r="M4"/>
  <c r="B4"/>
  <c r="BO3244"/>
  <c r="N3244"/>
  <c r="M3244"/>
  <c r="B3244"/>
  <c r="BO3233"/>
  <c r="N3233"/>
  <c r="M3233"/>
  <c r="B3233"/>
  <c r="BO3229"/>
  <c r="N3229"/>
  <c r="M3229"/>
  <c r="BO3227"/>
  <c r="N3227"/>
  <c r="M3227"/>
  <c r="B3227"/>
  <c r="BO3224"/>
  <c r="N3224"/>
  <c r="M3224"/>
  <c r="B3224"/>
  <c r="BO3090"/>
  <c r="N3090"/>
  <c r="M3090"/>
  <c r="B3090"/>
  <c r="BO3086"/>
  <c r="N3086"/>
  <c r="M3086"/>
  <c r="B3086"/>
  <c r="BO3006"/>
  <c r="N3006"/>
  <c r="M3006"/>
  <c r="BO2959"/>
  <c r="N2959"/>
  <c r="M2959"/>
  <c r="B2959"/>
  <c r="B2791"/>
  <c r="B2457"/>
  <c r="B2013"/>
  <c r="B841"/>
  <c r="BO3221"/>
  <c r="N3221"/>
  <c r="M3221"/>
  <c r="B3221"/>
  <c r="BO3180"/>
  <c r="N3180"/>
  <c r="M3180"/>
  <c r="B3180"/>
  <c r="BO3159"/>
  <c r="N3159"/>
  <c r="M3159"/>
  <c r="B3159"/>
  <c r="BO3056"/>
  <c r="N3056"/>
  <c r="M3056"/>
  <c r="B3056"/>
  <c r="B2995"/>
  <c r="B2679"/>
  <c r="B2035"/>
  <c r="B377"/>
  <c r="B2380"/>
  <c r="BO1478"/>
  <c r="N1478"/>
  <c r="M1478"/>
  <c r="B1478"/>
  <c r="BO3248"/>
  <c r="N3248"/>
  <c r="M3248"/>
  <c r="B3248"/>
  <c r="BO3040"/>
  <c r="N3040"/>
  <c r="M3040"/>
  <c r="B3040"/>
  <c r="B2910"/>
  <c r="B2265"/>
  <c r="BO3231"/>
  <c r="N3231"/>
  <c r="M3231"/>
  <c r="B3231"/>
  <c r="BO3212"/>
  <c r="N3212"/>
  <c r="M3212"/>
  <c r="B3212"/>
  <c r="BO3190"/>
  <c r="N3190"/>
  <c r="M3190"/>
  <c r="B3190"/>
  <c r="BO3068"/>
  <c r="N3068"/>
  <c r="M3068"/>
  <c r="BO2841"/>
  <c r="N2841"/>
  <c r="M2841"/>
  <c r="B2841"/>
  <c r="BO1733"/>
  <c r="N1733"/>
  <c r="M1733"/>
  <c r="BO638"/>
  <c r="N638"/>
  <c r="M638"/>
  <c r="B638"/>
  <c r="BO3038"/>
  <c r="N3038"/>
  <c r="M3038"/>
  <c r="B3038"/>
  <c r="B266"/>
  <c r="BO3214"/>
  <c r="N3214"/>
  <c r="M3214"/>
  <c r="B3214"/>
  <c r="BO3207"/>
  <c r="N3207"/>
  <c r="M3207"/>
  <c r="B3207"/>
  <c r="BO3200"/>
  <c r="N3200"/>
  <c r="M3200"/>
  <c r="B3200"/>
  <c r="B2294"/>
  <c r="B1051"/>
  <c r="BO3246"/>
  <c r="N3246"/>
  <c r="M3246"/>
  <c r="B3246"/>
  <c r="BO3232"/>
  <c r="N3232"/>
  <c r="M3232"/>
  <c r="B3232"/>
  <c r="BO3219"/>
  <c r="N3219"/>
  <c r="M3219"/>
  <c r="B3219"/>
  <c r="BO3211"/>
  <c r="N3211"/>
  <c r="M3211"/>
  <c r="B3211"/>
  <c r="B2753"/>
  <c r="BO3228"/>
  <c r="N3228"/>
  <c r="M3228"/>
  <c r="B3228"/>
  <c r="B2659"/>
  <c r="B2267"/>
  <c r="B1793"/>
  <c r="BO3222"/>
  <c r="N3222"/>
  <c r="M3222"/>
  <c r="B3222"/>
  <c r="BO3169"/>
  <c r="N3169"/>
  <c r="M3169"/>
  <c r="B3169"/>
  <c r="B2690"/>
  <c r="BO3216"/>
  <c r="N3216"/>
  <c r="M3216"/>
  <c r="B3216"/>
  <c r="B2815"/>
  <c r="B895"/>
  <c r="B195"/>
  <c r="BO3218"/>
  <c r="N3218"/>
  <c r="M3218"/>
  <c r="B3218"/>
  <c r="BO3201"/>
  <c r="N3201"/>
  <c r="M3201"/>
  <c r="B3201"/>
  <c r="BO3156"/>
  <c r="N3156"/>
  <c r="M3156"/>
  <c r="B3156"/>
  <c r="BO3079"/>
  <c r="N3079"/>
  <c r="M3079"/>
  <c r="BO3076"/>
  <c r="N3076"/>
  <c r="M3076"/>
  <c r="B3076"/>
  <c r="BO3051"/>
  <c r="N3051"/>
  <c r="M3051"/>
  <c r="B3051"/>
  <c r="B2979"/>
  <c r="BO3210"/>
  <c r="N3210"/>
  <c r="M3210"/>
  <c r="B3210"/>
  <c r="BO3209"/>
  <c r="N3209"/>
  <c r="M3209"/>
  <c r="B3209"/>
  <c r="BO3087"/>
  <c r="N3087"/>
  <c r="M3087"/>
  <c r="B3087"/>
  <c r="BO3063"/>
  <c r="N3063"/>
  <c r="M3063"/>
  <c r="B3063"/>
  <c r="BO3061"/>
  <c r="N3061"/>
  <c r="M3061"/>
  <c r="B3061"/>
  <c r="B2804"/>
  <c r="BO1826"/>
  <c r="N1826"/>
  <c r="M1826"/>
  <c r="B1826"/>
  <c r="B1428"/>
  <c r="BO3167"/>
  <c r="N3167"/>
  <c r="M3167"/>
  <c r="B3167"/>
  <c r="B2997"/>
  <c r="BO252"/>
  <c r="N252"/>
  <c r="M252"/>
  <c r="BO3198"/>
  <c r="N3198"/>
  <c r="M3198"/>
  <c r="B3198"/>
  <c r="BO3172"/>
  <c r="N3172"/>
  <c r="M3172"/>
  <c r="B3172"/>
  <c r="BO3165"/>
  <c r="N3165"/>
  <c r="M3165"/>
  <c r="B3165"/>
  <c r="BO3142"/>
  <c r="N3142"/>
  <c r="M3142"/>
  <c r="B3142"/>
  <c r="BO3129"/>
  <c r="N3129"/>
  <c r="M3129"/>
  <c r="B3129"/>
  <c r="BO3121"/>
  <c r="N3121"/>
  <c r="M3121"/>
  <c r="B3121"/>
  <c r="BO3029"/>
  <c r="N3029"/>
  <c r="M3029"/>
  <c r="B2024"/>
  <c r="B1429"/>
  <c r="BO3194"/>
  <c r="N3194"/>
  <c r="M3194"/>
  <c r="B3194"/>
  <c r="BO3176"/>
  <c r="N3176"/>
  <c r="M3176"/>
  <c r="B3176"/>
  <c r="BO3174"/>
  <c r="N3174"/>
  <c r="M3174"/>
  <c r="B3174"/>
  <c r="BO3083"/>
  <c r="N3083"/>
  <c r="M3083"/>
  <c r="B3083"/>
  <c r="B826"/>
  <c r="BO3199"/>
  <c r="N3199"/>
  <c r="M3199"/>
  <c r="B3199"/>
  <c r="BO3179"/>
  <c r="N3179"/>
  <c r="M3179"/>
  <c r="B3179"/>
  <c r="B1203"/>
  <c r="BO755"/>
  <c r="N755"/>
  <c r="M755"/>
  <c r="B755"/>
  <c r="B194"/>
  <c r="BO3193"/>
  <c r="N3193"/>
  <c r="M3193"/>
  <c r="B3193"/>
  <c r="BO3143"/>
  <c r="N3143"/>
  <c r="M3143"/>
  <c r="B3143"/>
  <c r="BO3162"/>
  <c r="N3162"/>
  <c r="M3162"/>
  <c r="BO2946"/>
  <c r="N2946"/>
  <c r="M2946"/>
  <c r="B2946"/>
  <c r="BO2932"/>
  <c r="N2932"/>
  <c r="M2932"/>
  <c r="B2932"/>
  <c r="B2661"/>
  <c r="BO3170"/>
  <c r="N3170"/>
  <c r="M3170"/>
  <c r="B3170"/>
  <c r="B2879"/>
  <c r="BO1108"/>
  <c r="N1108"/>
  <c r="M1108"/>
  <c r="B1108"/>
  <c r="B1084"/>
  <c r="B125"/>
  <c r="BO3182"/>
  <c r="N3182"/>
  <c r="M3182"/>
  <c r="B3182"/>
  <c r="BO3173"/>
  <c r="N3173"/>
  <c r="M3173"/>
  <c r="B3173"/>
  <c r="BO3171"/>
  <c r="N3171"/>
  <c r="M3171"/>
  <c r="B3171"/>
  <c r="BO3163"/>
  <c r="N3163"/>
  <c r="M3163"/>
  <c r="BO3131"/>
  <c r="N3131"/>
  <c r="M3131"/>
  <c r="B3131"/>
  <c r="BO3085"/>
  <c r="N3085"/>
  <c r="M3085"/>
  <c r="B3085"/>
  <c r="BO3007"/>
  <c r="N3007"/>
  <c r="M3007"/>
  <c r="B3007"/>
  <c r="B2616"/>
  <c r="B1006"/>
  <c r="BO3189"/>
  <c r="N3189"/>
  <c r="M3189"/>
  <c r="B3189"/>
  <c r="BO3183"/>
  <c r="N3183"/>
  <c r="M3183"/>
  <c r="B3183"/>
  <c r="B2292"/>
  <c r="B959"/>
  <c r="BO3202"/>
  <c r="N3202"/>
  <c r="M3202"/>
  <c r="B3202"/>
  <c r="BO3195"/>
  <c r="N3195"/>
  <c r="M3195"/>
  <c r="B3195"/>
  <c r="BO3178"/>
  <c r="N3178"/>
  <c r="M3178"/>
  <c r="B3178"/>
  <c r="B3015"/>
  <c r="B2901"/>
  <c r="B2656"/>
  <c r="B968"/>
  <c r="BO3192"/>
  <c r="N3192"/>
  <c r="M3192"/>
  <c r="B3192"/>
  <c r="BO3185"/>
  <c r="N3185"/>
  <c r="M3185"/>
  <c r="B3185"/>
  <c r="BO3128"/>
  <c r="N3128"/>
  <c r="M3128"/>
  <c r="B3128"/>
  <c r="B2989"/>
  <c r="B2799"/>
  <c r="B2798"/>
  <c r="BO2972"/>
  <c r="N2972"/>
  <c r="M2972"/>
  <c r="B2972"/>
  <c r="BO3164"/>
  <c r="N3164"/>
  <c r="M3164"/>
  <c r="B3164"/>
  <c r="BO3161"/>
  <c r="N3161"/>
  <c r="M3161"/>
  <c r="B3161"/>
  <c r="BO3157"/>
  <c r="N3157"/>
  <c r="M3157"/>
  <c r="B3157"/>
  <c r="BO3078"/>
  <c r="N3078"/>
  <c r="M3078"/>
  <c r="B3078"/>
  <c r="BO3074"/>
  <c r="N3074"/>
  <c r="M3074"/>
  <c r="B3074"/>
  <c r="BO1921"/>
  <c r="N1921"/>
  <c r="M1921"/>
  <c r="B1921"/>
  <c r="B1343"/>
  <c r="BO3184"/>
  <c r="N3184"/>
  <c r="M3184"/>
  <c r="BO3168"/>
  <c r="N3168"/>
  <c r="M3168"/>
  <c r="B3168"/>
  <c r="BO3133"/>
  <c r="N3133"/>
  <c r="M3133"/>
  <c r="B3133"/>
  <c r="B2939"/>
  <c r="B2525"/>
  <c r="BO3175"/>
  <c r="N3175"/>
  <c r="M3175"/>
  <c r="B3175"/>
  <c r="B3111"/>
  <c r="BO3082"/>
  <c r="N3082"/>
  <c r="M3082"/>
  <c r="B3082"/>
  <c r="B2409"/>
  <c r="BO3148"/>
  <c r="N3148"/>
  <c r="M3148"/>
  <c r="B3148"/>
  <c r="BO3140"/>
  <c r="N3140"/>
  <c r="M3140"/>
  <c r="B3140"/>
  <c r="BO3136"/>
  <c r="N3136"/>
  <c r="M3136"/>
  <c r="B3136"/>
  <c r="BO3049"/>
  <c r="N3049"/>
  <c r="M3049"/>
  <c r="BO3016"/>
  <c r="N3016"/>
  <c r="M3016"/>
  <c r="B3016"/>
  <c r="BO2969"/>
  <c r="N2969"/>
  <c r="M2969"/>
  <c r="B2969"/>
  <c r="BO473"/>
  <c r="N473"/>
  <c r="M473"/>
  <c r="B473"/>
  <c r="B382"/>
  <c r="BO3130"/>
  <c r="N3130"/>
  <c r="M3130"/>
  <c r="BO3127"/>
  <c r="N3127"/>
  <c r="M3127"/>
  <c r="B3127"/>
  <c r="BO3099"/>
  <c r="N3099"/>
  <c r="M3099"/>
  <c r="B3099"/>
  <c r="BO1937"/>
  <c r="N1937"/>
  <c r="M1937"/>
  <c r="B1937"/>
  <c r="B1438"/>
  <c r="BO3122"/>
  <c r="N3122"/>
  <c r="M3122"/>
  <c r="B3122"/>
  <c r="BO516"/>
  <c r="N516"/>
  <c r="M516"/>
  <c r="B516"/>
  <c r="BO3137"/>
  <c r="N3137"/>
  <c r="M3137"/>
  <c r="BO3107"/>
  <c r="N3107"/>
  <c r="M3107"/>
  <c r="B3107"/>
  <c r="BO3001"/>
  <c r="N3001"/>
  <c r="M3001"/>
  <c r="B3001"/>
  <c r="BO2986"/>
  <c r="N2986"/>
  <c r="M2986"/>
  <c r="B2986"/>
  <c r="BO2925"/>
  <c r="N2925"/>
  <c r="M2925"/>
  <c r="BO3149"/>
  <c r="N3149"/>
  <c r="M3149"/>
  <c r="B3149"/>
  <c r="BO3139"/>
  <c r="N3139"/>
  <c r="M3139"/>
  <c r="B3139"/>
  <c r="BO3126"/>
  <c r="N3126"/>
  <c r="M3126"/>
  <c r="B3126"/>
  <c r="BO2949"/>
  <c r="N2949"/>
  <c r="M2949"/>
  <c r="B2949"/>
  <c r="BO2861"/>
  <c r="N2861"/>
  <c r="M2861"/>
  <c r="B2861"/>
  <c r="BO2599"/>
  <c r="N2599"/>
  <c r="M2599"/>
  <c r="B2599"/>
  <c r="B2475"/>
  <c r="B756"/>
  <c r="B725"/>
  <c r="BO3145"/>
  <c r="N3145"/>
  <c r="M3145"/>
  <c r="B3145"/>
  <c r="B1484"/>
  <c r="BO3151"/>
  <c r="N3151"/>
  <c r="M3151"/>
  <c r="B3151"/>
  <c r="BO3146"/>
  <c r="N3146"/>
  <c r="M3146"/>
  <c r="B3146"/>
  <c r="BO3141"/>
  <c r="N3141"/>
  <c r="M3141"/>
  <c r="B3141"/>
  <c r="BO3147"/>
  <c r="N3147"/>
  <c r="M3147"/>
  <c r="B3147"/>
  <c r="BO3135"/>
  <c r="N3135"/>
  <c r="M3135"/>
  <c r="B3135"/>
  <c r="BO3108"/>
  <c r="N3108"/>
  <c r="M3108"/>
  <c r="B3108"/>
  <c r="BO2960"/>
  <c r="N2960"/>
  <c r="M2960"/>
  <c r="B2960"/>
  <c r="B2116"/>
  <c r="B1974"/>
  <c r="B541"/>
  <c r="BO3150"/>
  <c r="N3150"/>
  <c r="M3150"/>
  <c r="B3150"/>
  <c r="BO3138"/>
  <c r="N3138"/>
  <c r="M3138"/>
  <c r="B3138"/>
  <c r="B2467"/>
  <c r="B2375"/>
  <c r="BO1075"/>
  <c r="N1075"/>
  <c r="M1075"/>
  <c r="B1075"/>
  <c r="BO3120"/>
  <c r="N3120"/>
  <c r="M3120"/>
  <c r="B3120"/>
  <c r="BO3116"/>
  <c r="N3116"/>
  <c r="M3116"/>
  <c r="B3116"/>
  <c r="BO3053"/>
  <c r="N3053"/>
  <c r="M3053"/>
  <c r="BO2904"/>
  <c r="N2904"/>
  <c r="M2904"/>
  <c r="B2796"/>
  <c r="B1717"/>
  <c r="BO3102"/>
  <c r="N3102"/>
  <c r="M3102"/>
  <c r="B3102"/>
  <c r="B3077"/>
  <c r="BO3125"/>
  <c r="N3125"/>
  <c r="M3125"/>
  <c r="B3125"/>
  <c r="BO3124"/>
  <c r="N3124"/>
  <c r="M3124"/>
  <c r="B3124"/>
  <c r="B2029"/>
  <c r="B1302"/>
  <c r="BO3155"/>
  <c r="N3155"/>
  <c r="M3155"/>
  <c r="B3155"/>
  <c r="BO3117"/>
  <c r="N3117"/>
  <c r="M3117"/>
  <c r="B3117"/>
  <c r="BO3111"/>
  <c r="N3111"/>
  <c r="M3111"/>
  <c r="BO3046"/>
  <c r="N3046"/>
  <c r="M3046"/>
  <c r="B3046"/>
  <c r="BO3024"/>
  <c r="N3024"/>
  <c r="M3024"/>
  <c r="B3024"/>
  <c r="B2673"/>
  <c r="BO3106"/>
  <c r="N3106"/>
  <c r="M3106"/>
  <c r="B3106"/>
  <c r="BO3071"/>
  <c r="N3071"/>
  <c r="M3071"/>
  <c r="B3071"/>
  <c r="BO3066"/>
  <c r="N3066"/>
  <c r="M3066"/>
  <c r="B3066"/>
  <c r="BO3065"/>
  <c r="N3065"/>
  <c r="M3065"/>
  <c r="B3065"/>
  <c r="BO2752"/>
  <c r="N2752"/>
  <c r="M2752"/>
  <c r="B2752"/>
  <c r="BO873"/>
  <c r="N873"/>
  <c r="M873"/>
  <c r="B873"/>
  <c r="B170"/>
  <c r="BO3114"/>
  <c r="N3114"/>
  <c r="M3114"/>
  <c r="B3114"/>
  <c r="BO3112"/>
  <c r="N3112"/>
  <c r="M3112"/>
  <c r="B3112"/>
  <c r="BO2990"/>
  <c r="N2990"/>
  <c r="M2990"/>
  <c r="B2990"/>
  <c r="B2633"/>
  <c r="B2164"/>
  <c r="B9"/>
  <c r="BO3101"/>
  <c r="N3101"/>
  <c r="M3101"/>
  <c r="B3101"/>
  <c r="BO3088"/>
  <c r="N3088"/>
  <c r="M3088"/>
  <c r="B3088"/>
  <c r="BO3044"/>
  <c r="N3044"/>
  <c r="M3044"/>
  <c r="B3044"/>
  <c r="BO3009"/>
  <c r="N3009"/>
  <c r="M3009"/>
  <c r="B3009"/>
  <c r="B2987"/>
  <c r="B2477"/>
  <c r="BO1957"/>
  <c r="N1957"/>
  <c r="M1957"/>
  <c r="B1957"/>
  <c r="B760"/>
  <c r="B578"/>
  <c r="BO3060"/>
  <c r="N3060"/>
  <c r="M3060"/>
  <c r="B3060"/>
  <c r="BO2973"/>
  <c r="N2973"/>
  <c r="M2973"/>
  <c r="B2973"/>
  <c r="BO1026"/>
  <c r="N1026"/>
  <c r="M1026"/>
  <c r="B1026"/>
  <c r="BO3089"/>
  <c r="N3089"/>
  <c r="M3089"/>
  <c r="B3089"/>
  <c r="BO2975"/>
  <c r="N2975"/>
  <c r="M2975"/>
  <c r="B2975"/>
  <c r="B407"/>
  <c r="BO3092"/>
  <c r="N3092"/>
  <c r="M3092"/>
  <c r="B3092"/>
  <c r="B2639"/>
  <c r="BO1040"/>
  <c r="N1040"/>
  <c r="M1040"/>
  <c r="B1040"/>
  <c r="B743"/>
  <c r="BO3123"/>
  <c r="N3123"/>
  <c r="M3123"/>
  <c r="B3123"/>
  <c r="BO3096"/>
  <c r="N3096"/>
  <c r="M3096"/>
  <c r="B3096"/>
  <c r="BO3095"/>
  <c r="N3095"/>
  <c r="M3095"/>
  <c r="B3095"/>
  <c r="BO3093"/>
  <c r="N3093"/>
  <c r="M3093"/>
  <c r="B3093"/>
  <c r="BO3039"/>
  <c r="N3039"/>
  <c r="M3039"/>
  <c r="B3039"/>
  <c r="B2778"/>
  <c r="BO3113"/>
  <c r="N3113"/>
  <c r="M3113"/>
  <c r="B3113"/>
  <c r="BO3110"/>
  <c r="N3110"/>
  <c r="M3110"/>
  <c r="B3110"/>
  <c r="BO3104"/>
  <c r="N3104"/>
  <c r="M3104"/>
  <c r="B3104"/>
  <c r="BO3103"/>
  <c r="N3103"/>
  <c r="M3103"/>
  <c r="B3103"/>
  <c r="BO3100"/>
  <c r="N3100"/>
  <c r="M3100"/>
  <c r="B3100"/>
  <c r="BO3059"/>
  <c r="N3059"/>
  <c r="M3059"/>
  <c r="B3059"/>
  <c r="BO2982"/>
  <c r="N2982"/>
  <c r="M2982"/>
  <c r="B2982"/>
  <c r="BO2978"/>
  <c r="N2978"/>
  <c r="M2978"/>
  <c r="B2964"/>
  <c r="B2334"/>
  <c r="B2113"/>
  <c r="BO974"/>
  <c r="N974"/>
  <c r="M974"/>
  <c r="B974"/>
  <c r="B845"/>
  <c r="BO3091"/>
  <c r="N3091"/>
  <c r="M3091"/>
  <c r="B3091"/>
  <c r="BO3081"/>
  <c r="N3081"/>
  <c r="M3081"/>
  <c r="B3081"/>
  <c r="BO3043"/>
  <c r="N3043"/>
  <c r="M3043"/>
  <c r="BO3012"/>
  <c r="N3012"/>
  <c r="M3012"/>
  <c r="B2765"/>
  <c r="B2733"/>
  <c r="B737"/>
  <c r="BO3080"/>
  <c r="N3080"/>
  <c r="M3080"/>
  <c r="B3080"/>
  <c r="BO3072"/>
  <c r="N3072"/>
  <c r="M3072"/>
  <c r="B3072"/>
  <c r="BO3070"/>
  <c r="N3070"/>
  <c r="M3070"/>
  <c r="B3070"/>
  <c r="BO3064"/>
  <c r="N3064"/>
  <c r="M3064"/>
  <c r="B3064"/>
  <c r="B1842"/>
  <c r="B717"/>
  <c r="BO3094"/>
  <c r="N3094"/>
  <c r="M3094"/>
  <c r="B3094"/>
  <c r="BO3077"/>
  <c r="N3077"/>
  <c r="M3077"/>
  <c r="BO3075"/>
  <c r="N3075"/>
  <c r="M3075"/>
  <c r="B3075"/>
  <c r="BO3067"/>
  <c r="N3067"/>
  <c r="M3067"/>
  <c r="B3067"/>
  <c r="B810"/>
  <c r="BO3073"/>
  <c r="N3073"/>
  <c r="M3073"/>
  <c r="B3073"/>
  <c r="BO3062"/>
  <c r="N3062"/>
  <c r="M3062"/>
  <c r="B3062"/>
  <c r="BO2889"/>
  <c r="N2889"/>
  <c r="M2889"/>
  <c r="B2651"/>
  <c r="B770"/>
  <c r="BO3105"/>
  <c r="N3105"/>
  <c r="M3105"/>
  <c r="BO3098"/>
  <c r="N3098"/>
  <c r="M3098"/>
  <c r="B3098"/>
  <c r="BO3084"/>
  <c r="N3084"/>
  <c r="M3084"/>
  <c r="B3084"/>
  <c r="BO3058"/>
  <c r="N3058"/>
  <c r="M3058"/>
  <c r="B3058"/>
  <c r="BO3057"/>
  <c r="N3057"/>
  <c r="M3057"/>
  <c r="B3057"/>
  <c r="BO2965"/>
  <c r="N2965"/>
  <c r="M2965"/>
  <c r="B2965"/>
  <c r="B2806"/>
  <c r="B2518"/>
  <c r="B2270"/>
  <c r="BO3050"/>
  <c r="N3050"/>
  <c r="M3050"/>
  <c r="B3050"/>
  <c r="BO3000"/>
  <c r="N3000"/>
  <c r="M3000"/>
  <c r="B3000"/>
  <c r="BO940"/>
  <c r="N940"/>
  <c r="M940"/>
  <c r="B940"/>
  <c r="B837"/>
  <c r="BO3036"/>
  <c r="N3036"/>
  <c r="M3036"/>
  <c r="B3036"/>
  <c r="BO3026"/>
  <c r="N3026"/>
  <c r="M3026"/>
  <c r="B3026"/>
  <c r="BO1800"/>
  <c r="N1800"/>
  <c r="M1800"/>
  <c r="B1800"/>
  <c r="BO99"/>
  <c r="N99"/>
  <c r="M99"/>
  <c r="B99"/>
  <c r="BO3028"/>
  <c r="N3028"/>
  <c r="M3028"/>
  <c r="B3028"/>
  <c r="BO3025"/>
  <c r="N3025"/>
  <c r="M3025"/>
  <c r="B3025"/>
  <c r="BO2994"/>
  <c r="N2994"/>
  <c r="M2994"/>
  <c r="B2994"/>
  <c r="B2556"/>
  <c r="B2174"/>
  <c r="B2417"/>
  <c r="BO3033"/>
  <c r="N3033"/>
  <c r="M3033"/>
  <c r="B3033"/>
  <c r="BO3014"/>
  <c r="N3014"/>
  <c r="M3014"/>
  <c r="B3014"/>
  <c r="BO3027"/>
  <c r="N3027"/>
  <c r="M3027"/>
  <c r="B3027"/>
  <c r="BO2910"/>
  <c r="N2910"/>
  <c r="M2910"/>
  <c r="BO2852"/>
  <c r="N2852"/>
  <c r="M2852"/>
  <c r="B2852"/>
  <c r="B2837"/>
  <c r="B2415"/>
  <c r="BO1761"/>
  <c r="N1761"/>
  <c r="M1761"/>
  <c r="B1761"/>
  <c r="B718"/>
  <c r="BO3042"/>
  <c r="N3042"/>
  <c r="M3042"/>
  <c r="B3042"/>
  <c r="BO3041"/>
  <c r="N3041"/>
  <c r="M3041"/>
  <c r="B3041"/>
  <c r="BO2854"/>
  <c r="N2854"/>
  <c r="M2854"/>
  <c r="B2854"/>
  <c r="B1078"/>
  <c r="B740"/>
  <c r="B426"/>
  <c r="B395"/>
  <c r="BO3031"/>
  <c r="N3031"/>
  <c r="M3031"/>
  <c r="B3031"/>
  <c r="BO3035"/>
  <c r="N3035"/>
  <c r="M3035"/>
  <c r="BO3032"/>
  <c r="N3032"/>
  <c r="M3032"/>
  <c r="B3032"/>
  <c r="BO3017"/>
  <c r="N3017"/>
  <c r="M3017"/>
  <c r="BO3002"/>
  <c r="N3002"/>
  <c r="M3002"/>
  <c r="BO2901"/>
  <c r="N2901"/>
  <c r="M2901"/>
  <c r="BO3052"/>
  <c r="N3052"/>
  <c r="M3052"/>
  <c r="B3052"/>
  <c r="BO3022"/>
  <c r="N3022"/>
  <c r="M3022"/>
  <c r="B3022"/>
  <c r="BO2814"/>
  <c r="N2814"/>
  <c r="M2814"/>
  <c r="B2814"/>
  <c r="BO737"/>
  <c r="N737"/>
  <c r="M737"/>
  <c r="BO3020"/>
  <c r="N3020"/>
  <c r="M3020"/>
  <c r="B3020"/>
  <c r="BO2976"/>
  <c r="N2976"/>
  <c r="M2976"/>
  <c r="B2976"/>
  <c r="B2862"/>
  <c r="BO2909"/>
  <c r="N2909"/>
  <c r="M2909"/>
  <c r="B2909"/>
  <c r="B2812"/>
  <c r="BO3047"/>
  <c r="N3047"/>
  <c r="M3047"/>
  <c r="B3047"/>
  <c r="BO3023"/>
  <c r="N3023"/>
  <c r="M3023"/>
  <c r="B3023"/>
  <c r="BO3013"/>
  <c r="N3013"/>
  <c r="M3013"/>
  <c r="B3013"/>
  <c r="BO2830"/>
  <c r="N2830"/>
  <c r="M2830"/>
  <c r="B2830"/>
  <c r="B359"/>
  <c r="BO3054"/>
  <c r="N3054"/>
  <c r="M3054"/>
  <c r="B2916"/>
  <c r="BO2997"/>
  <c r="N2997"/>
  <c r="M2997"/>
  <c r="BO2992"/>
  <c r="N2992"/>
  <c r="M2992"/>
  <c r="B2992"/>
  <c r="BO2981"/>
  <c r="N2981"/>
  <c r="M2981"/>
  <c r="B2981"/>
  <c r="BO2785"/>
  <c r="N2785"/>
  <c r="M2785"/>
  <c r="B2785"/>
  <c r="B991"/>
  <c r="BO3018"/>
  <c r="N3018"/>
  <c r="M3018"/>
  <c r="B3018"/>
  <c r="BO2928"/>
  <c r="N2928"/>
  <c r="M2928"/>
  <c r="B2928"/>
  <c r="BO2874"/>
  <c r="N2874"/>
  <c r="M2874"/>
  <c r="B2874"/>
  <c r="BO2791"/>
  <c r="N2791"/>
  <c r="M2791"/>
  <c r="B2731"/>
  <c r="BO3019"/>
  <c r="N3019"/>
  <c r="M3019"/>
  <c r="B3019"/>
  <c r="BO2996"/>
  <c r="N2996"/>
  <c r="M2996"/>
  <c r="B2996"/>
  <c r="BO2995"/>
  <c r="N2995"/>
  <c r="M2995"/>
  <c r="BO2987"/>
  <c r="N2987"/>
  <c r="M2987"/>
  <c r="BO2953"/>
  <c r="N2953"/>
  <c r="M2953"/>
  <c r="B2953"/>
  <c r="B2746"/>
  <c r="B609"/>
  <c r="BO1444"/>
  <c r="N1444"/>
  <c r="M1444"/>
  <c r="B1444"/>
  <c r="BO2968"/>
  <c r="N2968"/>
  <c r="M2968"/>
  <c r="B2968"/>
  <c r="BO2769"/>
  <c r="N2769"/>
  <c r="M2769"/>
  <c r="B2769"/>
  <c r="BO61"/>
  <c r="N61"/>
  <c r="M61"/>
  <c r="B61"/>
  <c r="BO2917"/>
  <c r="N2917"/>
  <c r="M2917"/>
  <c r="B2917"/>
  <c r="BO2998"/>
  <c r="N2998"/>
  <c r="M2998"/>
  <c r="B2998"/>
  <c r="BO2985"/>
  <c r="N2985"/>
  <c r="M2985"/>
  <c r="B2985"/>
  <c r="BO2963"/>
  <c r="N2963"/>
  <c r="M2963"/>
  <c r="B2963"/>
  <c r="BO3010"/>
  <c r="N3010"/>
  <c r="M3010"/>
  <c r="B3010"/>
  <c r="BO3008"/>
  <c r="N3008"/>
  <c r="M3008"/>
  <c r="B3008"/>
  <c r="BO3004"/>
  <c r="N3004"/>
  <c r="M3004"/>
  <c r="B3004"/>
  <c r="BO2999"/>
  <c r="N2999"/>
  <c r="M2999"/>
  <c r="B2999"/>
  <c r="BO2954"/>
  <c r="N2954"/>
  <c r="M2954"/>
  <c r="B2954"/>
  <c r="BO2894"/>
  <c r="N2894"/>
  <c r="M2894"/>
  <c r="B2894"/>
  <c r="BO2851"/>
  <c r="N2851"/>
  <c r="M2851"/>
  <c r="BO2826"/>
  <c r="N2826"/>
  <c r="M2826"/>
  <c r="B2826"/>
  <c r="BO1764"/>
  <c r="N1764"/>
  <c r="M1764"/>
  <c r="B1764"/>
  <c r="BO579"/>
  <c r="N579"/>
  <c r="M579"/>
  <c r="B579"/>
  <c r="BO2899"/>
  <c r="N2899"/>
  <c r="M2899"/>
  <c r="B2899"/>
  <c r="BO3021"/>
  <c r="N3021"/>
  <c r="M3021"/>
  <c r="B3021"/>
  <c r="BO3015"/>
  <c r="N3015"/>
  <c r="M3015"/>
  <c r="BO3003"/>
  <c r="N3003"/>
  <c r="M3003"/>
  <c r="B3003"/>
  <c r="BO2984"/>
  <c r="N2984"/>
  <c r="M2984"/>
  <c r="B2984"/>
  <c r="BO2950"/>
  <c r="N2950"/>
  <c r="M2950"/>
  <c r="B2950"/>
  <c r="B2478"/>
  <c r="BO3011"/>
  <c r="N3011"/>
  <c r="M3011"/>
  <c r="BO2993"/>
  <c r="N2993"/>
  <c r="M2993"/>
  <c r="B2993"/>
  <c r="BO2989"/>
  <c r="N2989"/>
  <c r="M2989"/>
  <c r="BO2957"/>
  <c r="N2957"/>
  <c r="M2957"/>
  <c r="B2957"/>
  <c r="BO2834"/>
  <c r="N2834"/>
  <c r="M2834"/>
  <c r="B2834"/>
  <c r="BO2802"/>
  <c r="N2802"/>
  <c r="M2802"/>
  <c r="B2802"/>
  <c r="B263"/>
  <c r="BO3005"/>
  <c r="N3005"/>
  <c r="M3005"/>
  <c r="B3005"/>
  <c r="BO2983"/>
  <c r="N2983"/>
  <c r="M2983"/>
  <c r="B2983"/>
  <c r="BO2979"/>
  <c r="N2979"/>
  <c r="M2979"/>
  <c r="BO2832"/>
  <c r="N2832"/>
  <c r="M2832"/>
  <c r="B2832"/>
  <c r="BO2831"/>
  <c r="N2831"/>
  <c r="M2831"/>
  <c r="B2831"/>
  <c r="BO2784"/>
  <c r="N2784"/>
  <c r="M2784"/>
  <c r="B2784"/>
  <c r="B2782"/>
  <c r="BO2991"/>
  <c r="N2991"/>
  <c r="M2991"/>
  <c r="B2991"/>
  <c r="BO2970"/>
  <c r="N2970"/>
  <c r="M2970"/>
  <c r="B2970"/>
  <c r="BO2958"/>
  <c r="N2958"/>
  <c r="M2958"/>
  <c r="B2958"/>
  <c r="BO2804"/>
  <c r="N2804"/>
  <c r="M2804"/>
  <c r="B1046"/>
  <c r="B444"/>
  <c r="BO144"/>
  <c r="N144"/>
  <c r="M144"/>
  <c r="B144"/>
  <c r="BO2962"/>
  <c r="N2962"/>
  <c r="M2962"/>
  <c r="B2962"/>
  <c r="BO2980"/>
  <c r="N2980"/>
  <c r="M2980"/>
  <c r="B2980"/>
  <c r="BO2935"/>
  <c r="N2935"/>
  <c r="M2935"/>
  <c r="B2935"/>
  <c r="BO2934"/>
  <c r="N2934"/>
  <c r="M2934"/>
  <c r="B2934"/>
  <c r="BO2951"/>
  <c r="N2951"/>
  <c r="M2951"/>
  <c r="B2951"/>
  <c r="B2919"/>
  <c r="B2718"/>
  <c r="BO904"/>
  <c r="N904"/>
  <c r="M904"/>
  <c r="B904"/>
  <c r="BO2930"/>
  <c r="N2930"/>
  <c r="M2930"/>
  <c r="B2930"/>
  <c r="BO183"/>
  <c r="N183"/>
  <c r="M183"/>
  <c r="B183"/>
  <c r="BO2948"/>
  <c r="N2948"/>
  <c r="M2948"/>
  <c r="B2948"/>
  <c r="BO2977"/>
  <c r="N2977"/>
  <c r="M2977"/>
  <c r="B2977"/>
  <c r="BO2945"/>
  <c r="N2945"/>
  <c r="M2945"/>
  <c r="B2945"/>
  <c r="B182"/>
  <c r="BO2933"/>
  <c r="N2933"/>
  <c r="M2933"/>
  <c r="B2933"/>
  <c r="BO2900"/>
  <c r="N2900"/>
  <c r="M2900"/>
  <c r="B2900"/>
  <c r="BO2057"/>
  <c r="N2057"/>
  <c r="M2057"/>
  <c r="B2057"/>
  <c r="B624"/>
  <c r="BO501"/>
  <c r="N501"/>
  <c r="M501"/>
  <c r="B501"/>
  <c r="BO487"/>
  <c r="N487"/>
  <c r="M487"/>
  <c r="B487"/>
  <c r="BO2817"/>
  <c r="N2817"/>
  <c r="M2817"/>
  <c r="B2817"/>
  <c r="BO2931"/>
  <c r="N2931"/>
  <c r="M2931"/>
  <c r="B2931"/>
  <c r="BO2922"/>
  <c r="N2922"/>
  <c r="M2922"/>
  <c r="B2922"/>
  <c r="B662"/>
  <c r="B138"/>
  <c r="BO2964"/>
  <c r="N2964"/>
  <c r="M2964"/>
  <c r="BO2947"/>
  <c r="N2947"/>
  <c r="M2947"/>
  <c r="B2947"/>
  <c r="BO2825"/>
  <c r="N2825"/>
  <c r="M2825"/>
  <c r="B2825"/>
  <c r="B2794"/>
  <c r="BO2776"/>
  <c r="N2776"/>
  <c r="M2776"/>
  <c r="B2776"/>
  <c r="B2027"/>
  <c r="BO2838"/>
  <c r="N2838"/>
  <c r="M2838"/>
  <c r="B2838"/>
  <c r="B178"/>
  <c r="BO2974"/>
  <c r="N2974"/>
  <c r="M2974"/>
  <c r="B2974"/>
  <c r="BO2971"/>
  <c r="N2971"/>
  <c r="M2971"/>
  <c r="B2971"/>
  <c r="BO2966"/>
  <c r="N2966"/>
  <c r="M2966"/>
  <c r="B2966"/>
  <c r="BO2961"/>
  <c r="N2961"/>
  <c r="M2961"/>
  <c r="B2961"/>
  <c r="BO2955"/>
  <c r="N2955"/>
  <c r="M2955"/>
  <c r="B2955"/>
  <c r="BO2937"/>
  <c r="N2937"/>
  <c r="M2937"/>
  <c r="B2937"/>
  <c r="BO2936"/>
  <c r="N2936"/>
  <c r="M2936"/>
  <c r="B2936"/>
  <c r="BO2929"/>
  <c r="N2929"/>
  <c r="M2929"/>
  <c r="B2929"/>
  <c r="B2723"/>
  <c r="B2542"/>
  <c r="BO2942"/>
  <c r="N2942"/>
  <c r="M2942"/>
  <c r="B2942"/>
  <c r="B2080"/>
  <c r="BO1716"/>
  <c r="N1716"/>
  <c r="M1716"/>
  <c r="B1716"/>
  <c r="BO1342"/>
  <c r="N1342"/>
  <c r="M1342"/>
  <c r="B597"/>
  <c r="BO2956"/>
  <c r="N2956"/>
  <c r="M2956"/>
  <c r="B2956"/>
  <c r="BO2944"/>
  <c r="N2944"/>
  <c r="M2944"/>
  <c r="B2944"/>
  <c r="BO2940"/>
  <c r="N2940"/>
  <c r="M2940"/>
  <c r="B2940"/>
  <c r="BO2939"/>
  <c r="N2939"/>
  <c r="M2939"/>
  <c r="B2870"/>
  <c r="B1743"/>
  <c r="B985"/>
  <c r="B627"/>
  <c r="BO483"/>
  <c r="N483"/>
  <c r="M483"/>
  <c r="B483"/>
  <c r="BO2967"/>
  <c r="N2967"/>
  <c r="M2967"/>
  <c r="B2967"/>
  <c r="BO2941"/>
  <c r="N2941"/>
  <c r="M2941"/>
  <c r="B2941"/>
  <c r="BO2938"/>
  <c r="N2938"/>
  <c r="M2938"/>
  <c r="B2938"/>
  <c r="BO2908"/>
  <c r="N2908"/>
  <c r="M2908"/>
  <c r="B2908"/>
  <c r="BO2846"/>
  <c r="N2846"/>
  <c r="M2846"/>
  <c r="B2702"/>
  <c r="B2697"/>
  <c r="BO2518"/>
  <c r="N2518"/>
  <c r="M2518"/>
  <c r="BO2859"/>
  <c r="N2859"/>
  <c r="M2859"/>
  <c r="B2859"/>
  <c r="BO2760"/>
  <c r="N2760"/>
  <c r="M2760"/>
  <c r="B2760"/>
  <c r="BO1101"/>
  <c r="N1101"/>
  <c r="M1101"/>
  <c r="B1101"/>
  <c r="BO1050"/>
  <c r="N1050"/>
  <c r="M1050"/>
  <c r="B1050"/>
  <c r="BO568"/>
  <c r="N568"/>
  <c r="M568"/>
  <c r="BO2911"/>
  <c r="N2911"/>
  <c r="M2911"/>
  <c r="B2911"/>
  <c r="BO2880"/>
  <c r="N2880"/>
  <c r="M2880"/>
  <c r="BO2873"/>
  <c r="N2873"/>
  <c r="M2873"/>
  <c r="B2873"/>
  <c r="BO2868"/>
  <c r="N2868"/>
  <c r="M2868"/>
  <c r="B2868"/>
  <c r="B1757"/>
  <c r="B1317"/>
  <c r="B734"/>
  <c r="BO707"/>
  <c r="N707"/>
  <c r="M707"/>
  <c r="B707"/>
  <c r="BO514"/>
  <c r="N514"/>
  <c r="M514"/>
  <c r="B514"/>
  <c r="BO174"/>
  <c r="N174"/>
  <c r="M174"/>
  <c r="B174"/>
  <c r="B162"/>
  <c r="BO2926"/>
  <c r="N2926"/>
  <c r="M2926"/>
  <c r="B2926"/>
  <c r="BO2919"/>
  <c r="N2919"/>
  <c r="M2919"/>
  <c r="BO2905"/>
  <c r="N2905"/>
  <c r="M2905"/>
  <c r="B2905"/>
  <c r="BO2903"/>
  <c r="N2903"/>
  <c r="M2903"/>
  <c r="B2903"/>
  <c r="BO2902"/>
  <c r="N2902"/>
  <c r="M2902"/>
  <c r="B2902"/>
  <c r="BO2884"/>
  <c r="N2884"/>
  <c r="M2884"/>
  <c r="B2884"/>
  <c r="BO2871"/>
  <c r="N2871"/>
  <c r="M2871"/>
  <c r="B2871"/>
  <c r="BO2869"/>
  <c r="N2869"/>
  <c r="M2869"/>
  <c r="B2869"/>
  <c r="BO2867"/>
  <c r="N2867"/>
  <c r="M2867"/>
  <c r="B2867"/>
  <c r="BO2866"/>
  <c r="N2866"/>
  <c r="M2866"/>
  <c r="B2866"/>
  <c r="BO2780"/>
  <c r="N2780"/>
  <c r="M2780"/>
  <c r="B2780"/>
  <c r="B2666"/>
  <c r="BO2627"/>
  <c r="N2627"/>
  <c r="M2627"/>
  <c r="B2627"/>
  <c r="BO1387"/>
  <c r="N1387"/>
  <c r="M1387"/>
  <c r="B1387"/>
  <c r="B1197"/>
  <c r="B1096"/>
  <c r="B942"/>
  <c r="BO823"/>
  <c r="N823"/>
  <c r="M823"/>
  <c r="B823"/>
  <c r="B480"/>
  <c r="BO2555"/>
  <c r="N2555"/>
  <c r="M2555"/>
  <c r="B2555"/>
  <c r="BO2548"/>
  <c r="N2548"/>
  <c r="M2548"/>
  <c r="B2548"/>
  <c r="BO2472"/>
  <c r="N2472"/>
  <c r="M2472"/>
  <c r="B2472"/>
  <c r="BO71"/>
  <c r="N71"/>
  <c r="M71"/>
  <c r="B71"/>
  <c r="BO2920"/>
  <c r="N2920"/>
  <c r="M2920"/>
  <c r="B2920"/>
  <c r="BO2897"/>
  <c r="N2897"/>
  <c r="M2897"/>
  <c r="B2897"/>
  <c r="BO2886"/>
  <c r="N2886"/>
  <c r="M2886"/>
  <c r="B2886"/>
  <c r="BO2864"/>
  <c r="N2864"/>
  <c r="M2864"/>
  <c r="B2864"/>
  <c r="BO2661"/>
  <c r="N2661"/>
  <c r="M2661"/>
  <c r="B2574"/>
  <c r="B1121"/>
  <c r="BO73"/>
  <c r="N73"/>
  <c r="M73"/>
  <c r="B73"/>
  <c r="BO2927"/>
  <c r="N2927"/>
  <c r="M2927"/>
  <c r="B2927"/>
  <c r="BO2924"/>
  <c r="N2924"/>
  <c r="M2924"/>
  <c r="B2924"/>
  <c r="BO2914"/>
  <c r="N2914"/>
  <c r="M2914"/>
  <c r="B2914"/>
  <c r="BO2913"/>
  <c r="N2913"/>
  <c r="M2913"/>
  <c r="B2913"/>
  <c r="BO2912"/>
  <c r="N2912"/>
  <c r="M2912"/>
  <c r="B2912"/>
  <c r="BO2890"/>
  <c r="N2890"/>
  <c r="M2890"/>
  <c r="B2890"/>
  <c r="BO2888"/>
  <c r="N2888"/>
  <c r="M2888"/>
  <c r="B2888"/>
  <c r="BO2882"/>
  <c r="N2882"/>
  <c r="M2882"/>
  <c r="B2882"/>
  <c r="BO2879"/>
  <c r="N2879"/>
  <c r="M2879"/>
  <c r="BO2877"/>
  <c r="N2877"/>
  <c r="M2877"/>
  <c r="B2877"/>
  <c r="BO2842"/>
  <c r="N2842"/>
  <c r="M2842"/>
  <c r="BO2724"/>
  <c r="N2724"/>
  <c r="M2724"/>
  <c r="B2724"/>
  <c r="BO2703"/>
  <c r="N2703"/>
  <c r="M2703"/>
  <c r="B2703"/>
  <c r="BO839"/>
  <c r="N839"/>
  <c r="M839"/>
  <c r="B839"/>
  <c r="B821"/>
  <c r="B617"/>
  <c r="BO35"/>
  <c r="N35"/>
  <c r="M35"/>
  <c r="B35"/>
  <c r="BO34"/>
  <c r="N34"/>
  <c r="M34"/>
  <c r="B34"/>
  <c r="BO32"/>
  <c r="N32"/>
  <c r="M32"/>
  <c r="B32"/>
  <c r="BO8"/>
  <c r="N8"/>
  <c r="M8"/>
  <c r="B8"/>
  <c r="BO2896"/>
  <c r="N2896"/>
  <c r="M2896"/>
  <c r="B2896"/>
  <c r="BO2892"/>
  <c r="N2892"/>
  <c r="M2892"/>
  <c r="B2892"/>
  <c r="BO2878"/>
  <c r="N2878"/>
  <c r="M2878"/>
  <c r="B2878"/>
  <c r="BO2856"/>
  <c r="N2856"/>
  <c r="M2856"/>
  <c r="B2856"/>
  <c r="BO2839"/>
  <c r="N2839"/>
  <c r="M2839"/>
  <c r="B2839"/>
  <c r="BO2803"/>
  <c r="N2803"/>
  <c r="M2803"/>
  <c r="BO2768"/>
  <c r="N2768"/>
  <c r="M2768"/>
  <c r="B2768"/>
  <c r="BO2766"/>
  <c r="N2766"/>
  <c r="M2766"/>
  <c r="B2766"/>
  <c r="BO2277"/>
  <c r="N2277"/>
  <c r="M2277"/>
  <c r="B2277"/>
  <c r="B2207"/>
  <c r="B1112"/>
  <c r="B1083"/>
  <c r="BO1074"/>
  <c r="N1074"/>
  <c r="M1074"/>
  <c r="B1074"/>
  <c r="BO426"/>
  <c r="N426"/>
  <c r="M426"/>
  <c r="BO425"/>
  <c r="N425"/>
  <c r="M425"/>
  <c r="B425"/>
  <c r="BO424"/>
  <c r="N424"/>
  <c r="M424"/>
  <c r="B424"/>
  <c r="BO423"/>
  <c r="N423"/>
  <c r="M423"/>
  <c r="B423"/>
  <c r="BO422"/>
  <c r="N422"/>
  <c r="M422"/>
  <c r="B422"/>
  <c r="BO421"/>
  <c r="N421"/>
  <c r="M421"/>
  <c r="B421"/>
  <c r="BO420"/>
  <c r="N420"/>
  <c r="M420"/>
  <c r="B420"/>
  <c r="BO419"/>
  <c r="N419"/>
  <c r="M419"/>
  <c r="B419"/>
  <c r="BO418"/>
  <c r="N418"/>
  <c r="M418"/>
  <c r="B418"/>
  <c r="BO50"/>
  <c r="N50"/>
  <c r="M50"/>
  <c r="B50"/>
  <c r="BO49"/>
  <c r="N49"/>
  <c r="M49"/>
  <c r="B49"/>
  <c r="BO48"/>
  <c r="N48"/>
  <c r="M48"/>
  <c r="B48"/>
  <c r="BO2921"/>
  <c r="N2921"/>
  <c r="M2921"/>
  <c r="B2921"/>
  <c r="BO2918"/>
  <c r="N2918"/>
  <c r="M2918"/>
  <c r="B2918"/>
  <c r="BO2915"/>
  <c r="N2915"/>
  <c r="M2915"/>
  <c r="B2915"/>
  <c r="BO2858"/>
  <c r="N2858"/>
  <c r="M2858"/>
  <c r="B2858"/>
  <c r="BO2344"/>
  <c r="N2344"/>
  <c r="M2344"/>
  <c r="B2344"/>
  <c r="BO2891"/>
  <c r="N2891"/>
  <c r="M2891"/>
  <c r="B2891"/>
  <c r="BO2885"/>
  <c r="N2885"/>
  <c r="M2885"/>
  <c r="B2885"/>
  <c r="BO2863"/>
  <c r="N2863"/>
  <c r="M2863"/>
  <c r="B2756"/>
  <c r="BO2755"/>
  <c r="N2755"/>
  <c r="M2755"/>
  <c r="B2562"/>
  <c r="B2434"/>
  <c r="B2204"/>
  <c r="B2018"/>
  <c r="B1807"/>
  <c r="BO1274"/>
  <c r="N1274"/>
  <c r="M1274"/>
  <c r="B1274"/>
  <c r="BO1019"/>
  <c r="N1019"/>
  <c r="M1019"/>
  <c r="B1019"/>
  <c r="BO577"/>
  <c r="N577"/>
  <c r="M577"/>
  <c r="B577"/>
  <c r="BO482"/>
  <c r="N482"/>
  <c r="M482"/>
  <c r="BO2898"/>
  <c r="N2898"/>
  <c r="M2898"/>
  <c r="B2898"/>
  <c r="BO2881"/>
  <c r="N2881"/>
  <c r="M2881"/>
  <c r="B2881"/>
  <c r="BO2865"/>
  <c r="N2865"/>
  <c r="M2865"/>
  <c r="B2865"/>
  <c r="BO2847"/>
  <c r="N2847"/>
  <c r="M2847"/>
  <c r="B2847"/>
  <c r="BO2835"/>
  <c r="N2835"/>
  <c r="M2835"/>
  <c r="B2835"/>
  <c r="BO2799"/>
  <c r="N2799"/>
  <c r="M2799"/>
  <c r="BO2798"/>
  <c r="N2798"/>
  <c r="M2798"/>
  <c r="B2162"/>
  <c r="BO1653"/>
  <c r="N1653"/>
  <c r="M1653"/>
  <c r="B1653"/>
  <c r="B702"/>
  <c r="BO2907"/>
  <c r="N2907"/>
  <c r="M2907"/>
  <c r="B2907"/>
  <c r="BO2906"/>
  <c r="N2906"/>
  <c r="M2906"/>
  <c r="B2906"/>
  <c r="BO2862"/>
  <c r="N2862"/>
  <c r="M2862"/>
  <c r="B2584"/>
  <c r="B2432"/>
  <c r="B2152"/>
  <c r="B2065"/>
  <c r="BO1727"/>
  <c r="N1727"/>
  <c r="M1727"/>
  <c r="B1727"/>
  <c r="BO1725"/>
  <c r="N1725"/>
  <c r="M1725"/>
  <c r="B1725"/>
  <c r="BO1680"/>
  <c r="N1680"/>
  <c r="M1680"/>
  <c r="B1680"/>
  <c r="B1530"/>
  <c r="BO1414"/>
  <c r="N1414"/>
  <c r="M1414"/>
  <c r="B1414"/>
  <c r="BO1256"/>
  <c r="N1256"/>
  <c r="M1256"/>
  <c r="B1256"/>
  <c r="BO301"/>
  <c r="N301"/>
  <c r="M301"/>
  <c r="B301"/>
  <c r="BO2876"/>
  <c r="N2876"/>
  <c r="M2876"/>
  <c r="B2876"/>
  <c r="BO2853"/>
  <c r="N2853"/>
  <c r="M2853"/>
  <c r="B2853"/>
  <c r="BO2779"/>
  <c r="N2779"/>
  <c r="M2779"/>
  <c r="B2779"/>
  <c r="BO2893"/>
  <c r="N2893"/>
  <c r="M2893"/>
  <c r="B2893"/>
  <c r="BO2875"/>
  <c r="N2875"/>
  <c r="M2875"/>
  <c r="B2875"/>
  <c r="BO2872"/>
  <c r="N2872"/>
  <c r="M2872"/>
  <c r="B2872"/>
  <c r="BO2870"/>
  <c r="N2870"/>
  <c r="M2870"/>
  <c r="BO2860"/>
  <c r="N2860"/>
  <c r="M2860"/>
  <c r="B2860"/>
  <c r="BO2642"/>
  <c r="N2642"/>
  <c r="M2642"/>
  <c r="B2642"/>
  <c r="B2507"/>
  <c r="B2408"/>
  <c r="B2010"/>
  <c r="BO1794"/>
  <c r="N1794"/>
  <c r="M1794"/>
  <c r="B1794"/>
  <c r="B1637"/>
  <c r="B1273"/>
  <c r="BO1036"/>
  <c r="N1036"/>
  <c r="M1036"/>
  <c r="B1036"/>
  <c r="BO761"/>
  <c r="N761"/>
  <c r="M761"/>
  <c r="B761"/>
  <c r="B621"/>
  <c r="BO2916"/>
  <c r="N2916"/>
  <c r="M2916"/>
  <c r="BO2895"/>
  <c r="N2895"/>
  <c r="M2895"/>
  <c r="B2895"/>
  <c r="BO2887"/>
  <c r="N2887"/>
  <c r="M2887"/>
  <c r="B2887"/>
  <c r="BO2883"/>
  <c r="N2883"/>
  <c r="M2883"/>
  <c r="B2883"/>
  <c r="BO2806"/>
  <c r="N2806"/>
  <c r="M2806"/>
  <c r="BO2694"/>
  <c r="N2694"/>
  <c r="M2694"/>
  <c r="B2694"/>
  <c r="B2520"/>
  <c r="B2211"/>
  <c r="B1286"/>
  <c r="BO883"/>
  <c r="N883"/>
  <c r="M883"/>
  <c r="B883"/>
  <c r="BO2829"/>
  <c r="N2829"/>
  <c r="M2829"/>
  <c r="B2829"/>
  <c r="BO2678"/>
  <c r="N2678"/>
  <c r="M2678"/>
  <c r="B2678"/>
  <c r="BO1629"/>
  <c r="N1629"/>
  <c r="M1629"/>
  <c r="B1629"/>
  <c r="BO1628"/>
  <c r="N1628"/>
  <c r="M1628"/>
  <c r="B1628"/>
  <c r="BO497"/>
  <c r="N497"/>
  <c r="M497"/>
  <c r="B497"/>
  <c r="B19"/>
  <c r="BO2808"/>
  <c r="N2808"/>
  <c r="M2808"/>
  <c r="B2808"/>
  <c r="BO2764"/>
  <c r="N2764"/>
  <c r="M2764"/>
  <c r="B2764"/>
  <c r="BO2731"/>
  <c r="N2731"/>
  <c r="M2731"/>
  <c r="B2575"/>
  <c r="B2564"/>
  <c r="B1731"/>
  <c r="B936"/>
  <c r="BO2840"/>
  <c r="N2840"/>
  <c r="M2840"/>
  <c r="B2840"/>
  <c r="BO2807"/>
  <c r="N2807"/>
  <c r="M2807"/>
  <c r="B2807"/>
  <c r="BO2793"/>
  <c r="N2793"/>
  <c r="M2793"/>
  <c r="B2793"/>
  <c r="BO2777"/>
  <c r="N2777"/>
  <c r="M2777"/>
  <c r="B2777"/>
  <c r="BO2666"/>
  <c r="N2666"/>
  <c r="M2666"/>
  <c r="B2268"/>
  <c r="B678"/>
  <c r="BO671"/>
  <c r="N671"/>
  <c r="M671"/>
  <c r="B671"/>
  <c r="BO1004"/>
  <c r="N1004"/>
  <c r="M1004"/>
  <c r="B1004"/>
  <c r="BO2820"/>
  <c r="N2820"/>
  <c r="M2820"/>
  <c r="B2820"/>
  <c r="BO2816"/>
  <c r="N2816"/>
  <c r="M2816"/>
  <c r="B2816"/>
  <c r="BO2813"/>
  <c r="N2813"/>
  <c r="M2813"/>
  <c r="B2813"/>
  <c r="BO2837"/>
  <c r="N2837"/>
  <c r="M2837"/>
  <c r="BO2819"/>
  <c r="N2819"/>
  <c r="M2819"/>
  <c r="B2819"/>
  <c r="BO2706"/>
  <c r="N2706"/>
  <c r="M2706"/>
  <c r="B2706"/>
  <c r="BO1129"/>
  <c r="N1129"/>
  <c r="M1129"/>
  <c r="B1129"/>
  <c r="BO2848"/>
  <c r="N2848"/>
  <c r="M2848"/>
  <c r="B2848"/>
  <c r="BO2845"/>
  <c r="N2845"/>
  <c r="M2845"/>
  <c r="BO2844"/>
  <c r="N2844"/>
  <c r="M2844"/>
  <c r="B2844"/>
  <c r="B2617"/>
  <c r="B2253"/>
  <c r="B1934"/>
  <c r="B1894"/>
  <c r="B1799"/>
  <c r="BO611"/>
  <c r="N611"/>
  <c r="M611"/>
  <c r="B611"/>
  <c r="BO2789"/>
  <c r="N2789"/>
  <c r="M2789"/>
  <c r="B2789"/>
  <c r="BO2745"/>
  <c r="N2745"/>
  <c r="M2745"/>
  <c r="BO2850"/>
  <c r="N2850"/>
  <c r="M2850"/>
  <c r="B2850"/>
  <c r="BO2836"/>
  <c r="N2836"/>
  <c r="M2836"/>
  <c r="B2836"/>
  <c r="BO2833"/>
  <c r="N2833"/>
  <c r="M2833"/>
  <c r="B2833"/>
  <c r="BO2822"/>
  <c r="N2822"/>
  <c r="M2822"/>
  <c r="B2822"/>
  <c r="BO2810"/>
  <c r="N2810"/>
  <c r="M2810"/>
  <c r="B2810"/>
  <c r="BO2800"/>
  <c r="N2800"/>
  <c r="M2800"/>
  <c r="B2800"/>
  <c r="BO2794"/>
  <c r="N2794"/>
  <c r="M2794"/>
  <c r="BO2792"/>
  <c r="N2792"/>
  <c r="M2792"/>
  <c r="B2792"/>
  <c r="BO2783"/>
  <c r="N2783"/>
  <c r="M2783"/>
  <c r="B2783"/>
  <c r="B1137"/>
  <c r="BO1021"/>
  <c r="N1021"/>
  <c r="M1021"/>
  <c r="B1021"/>
  <c r="BO2857"/>
  <c r="N2857"/>
  <c r="M2857"/>
  <c r="B2857"/>
  <c r="BO2828"/>
  <c r="N2828"/>
  <c r="M2828"/>
  <c r="B2828"/>
  <c r="BO2827"/>
  <c r="N2827"/>
  <c r="M2827"/>
  <c r="B2827"/>
  <c r="BO2823"/>
  <c r="N2823"/>
  <c r="M2823"/>
  <c r="B2823"/>
  <c r="BO2795"/>
  <c r="N2795"/>
  <c r="M2795"/>
  <c r="BO2786"/>
  <c r="N2786"/>
  <c r="M2786"/>
  <c r="B2549"/>
  <c r="BO2855"/>
  <c r="N2855"/>
  <c r="M2855"/>
  <c r="B2855"/>
  <c r="BO2824"/>
  <c r="N2824"/>
  <c r="M2824"/>
  <c r="B2824"/>
  <c r="BO2821"/>
  <c r="N2821"/>
  <c r="M2821"/>
  <c r="B2821"/>
  <c r="BO2818"/>
  <c r="N2818"/>
  <c r="M2818"/>
  <c r="B2818"/>
  <c r="BO2811"/>
  <c r="N2811"/>
  <c r="M2811"/>
  <c r="B2811"/>
  <c r="BO2809"/>
  <c r="N2809"/>
  <c r="M2809"/>
  <c r="B2809"/>
  <c r="BO2801"/>
  <c r="N2801"/>
  <c r="M2801"/>
  <c r="B2801"/>
  <c r="BO2796"/>
  <c r="N2796"/>
  <c r="M2796"/>
  <c r="BO2690"/>
  <c r="N2690"/>
  <c r="M2690"/>
  <c r="B1758"/>
  <c r="B1379"/>
  <c r="B894"/>
  <c r="BO868"/>
  <c r="N868"/>
  <c r="M868"/>
  <c r="B868"/>
  <c r="BO2815"/>
  <c r="N2815"/>
  <c r="M2815"/>
  <c r="BO2812"/>
  <c r="N2812"/>
  <c r="M2812"/>
  <c r="BO2805"/>
  <c r="N2805"/>
  <c r="M2805"/>
  <c r="B2805"/>
  <c r="BO2738"/>
  <c r="N2738"/>
  <c r="M2738"/>
  <c r="B2738"/>
  <c r="B2494"/>
  <c r="BO2287"/>
  <c r="N2287"/>
  <c r="M2287"/>
  <c r="B2287"/>
  <c r="BO2843"/>
  <c r="N2843"/>
  <c r="M2843"/>
  <c r="BO2782"/>
  <c r="N2782"/>
  <c r="M2782"/>
  <c r="BO2651"/>
  <c r="N2651"/>
  <c r="M2651"/>
  <c r="B1153"/>
  <c r="BO2849"/>
  <c r="N2849"/>
  <c r="M2849"/>
  <c r="B2849"/>
  <c r="BO2797"/>
  <c r="N2797"/>
  <c r="M2797"/>
  <c r="B2797"/>
  <c r="BO2788"/>
  <c r="N2788"/>
  <c r="M2788"/>
  <c r="B2788"/>
  <c r="BO2612"/>
  <c r="N2612"/>
  <c r="M2612"/>
  <c r="B2612"/>
  <c r="BO2658"/>
  <c r="N2658"/>
  <c r="M2658"/>
  <c r="B2658"/>
  <c r="B117"/>
  <c r="BO2781"/>
  <c r="N2781"/>
  <c r="M2781"/>
  <c r="B2781"/>
  <c r="BO2778"/>
  <c r="N2778"/>
  <c r="M2778"/>
  <c r="BO2790"/>
  <c r="N2790"/>
  <c r="M2790"/>
  <c r="B2790"/>
  <c r="BO491"/>
  <c r="N491"/>
  <c r="M491"/>
  <c r="B491"/>
  <c r="BO2765"/>
  <c r="N2765"/>
  <c r="M2765"/>
  <c r="B2346"/>
  <c r="BO2787"/>
  <c r="N2787"/>
  <c r="M2787"/>
  <c r="B2787"/>
  <c r="B2045"/>
  <c r="B889"/>
  <c r="B2621"/>
  <c r="BO2737"/>
  <c r="N2737"/>
  <c r="M2737"/>
  <c r="B2672"/>
  <c r="B2505"/>
  <c r="BO2773"/>
  <c r="N2773"/>
  <c r="M2773"/>
  <c r="B2773"/>
  <c r="BO2771"/>
  <c r="N2771"/>
  <c r="M2771"/>
  <c r="B2771"/>
  <c r="B2378"/>
  <c r="BO2775"/>
  <c r="N2775"/>
  <c r="M2775"/>
  <c r="B2775"/>
  <c r="B2059"/>
  <c r="BO2761"/>
  <c r="N2761"/>
  <c r="M2761"/>
  <c r="BO2751"/>
  <c r="N2751"/>
  <c r="M2751"/>
  <c r="B2751"/>
  <c r="BO2654"/>
  <c r="N2654"/>
  <c r="M2654"/>
  <c r="B2654"/>
  <c r="BO2635"/>
  <c r="N2635"/>
  <c r="M2635"/>
  <c r="B2635"/>
  <c r="BO2550"/>
  <c r="N2550"/>
  <c r="M2550"/>
  <c r="B2550"/>
  <c r="BO2517"/>
  <c r="N2517"/>
  <c r="M2517"/>
  <c r="B2517"/>
  <c r="BO2489"/>
  <c r="N2489"/>
  <c r="M2489"/>
  <c r="B2489"/>
  <c r="BO2485"/>
  <c r="N2485"/>
  <c r="M2485"/>
  <c r="B2485"/>
  <c r="BO2482"/>
  <c r="N2482"/>
  <c r="M2482"/>
  <c r="B2482"/>
  <c r="BO2473"/>
  <c r="N2473"/>
  <c r="M2473"/>
  <c r="B2473"/>
  <c r="BO2466"/>
  <c r="N2466"/>
  <c r="M2466"/>
  <c r="B2466"/>
  <c r="BO2449"/>
  <c r="N2449"/>
  <c r="M2449"/>
  <c r="B2449"/>
  <c r="BO2272"/>
  <c r="N2272"/>
  <c r="M2272"/>
  <c r="B2272"/>
  <c r="BO2237"/>
  <c r="N2237"/>
  <c r="M2237"/>
  <c r="B2237"/>
  <c r="BO2170"/>
  <c r="N2170"/>
  <c r="M2170"/>
  <c r="B2170"/>
  <c r="BO2131"/>
  <c r="N2131"/>
  <c r="M2131"/>
  <c r="B2131"/>
  <c r="BO2042"/>
  <c r="N2042"/>
  <c r="M2042"/>
  <c r="B2042"/>
  <c r="BO2032"/>
  <c r="N2032"/>
  <c r="M2032"/>
  <c r="B2032"/>
  <c r="BO2004"/>
  <c r="N2004"/>
  <c r="M2004"/>
  <c r="B2004"/>
  <c r="BO1995"/>
  <c r="N1995"/>
  <c r="M1995"/>
  <c r="B1995"/>
  <c r="BO1984"/>
  <c r="N1984"/>
  <c r="M1984"/>
  <c r="B1984"/>
  <c r="BO1968"/>
  <c r="N1968"/>
  <c r="M1968"/>
  <c r="BO1961"/>
  <c r="N1961"/>
  <c r="M1961"/>
  <c r="B1961"/>
  <c r="BO1907"/>
  <c r="N1907"/>
  <c r="M1907"/>
  <c r="B1907"/>
  <c r="BO1906"/>
  <c r="N1906"/>
  <c r="M1906"/>
  <c r="B1906"/>
  <c r="BO1880"/>
  <c r="N1880"/>
  <c r="M1880"/>
  <c r="B1880"/>
  <c r="BO1863"/>
  <c r="N1863"/>
  <c r="M1863"/>
  <c r="B1863"/>
  <c r="BO1859"/>
  <c r="N1859"/>
  <c r="M1859"/>
  <c r="B1859"/>
  <c r="BO1839"/>
  <c r="N1839"/>
  <c r="M1839"/>
  <c r="BO1823"/>
  <c r="N1823"/>
  <c r="M1823"/>
  <c r="B1823"/>
  <c r="BO1762"/>
  <c r="N1762"/>
  <c r="M1762"/>
  <c r="B1762"/>
  <c r="BO1756"/>
  <c r="N1756"/>
  <c r="M1756"/>
  <c r="B1756"/>
  <c r="BO1693"/>
  <c r="N1693"/>
  <c r="M1693"/>
  <c r="B1693"/>
  <c r="BO1672"/>
  <c r="N1672"/>
  <c r="M1672"/>
  <c r="B1672"/>
  <c r="BO1670"/>
  <c r="N1670"/>
  <c r="M1670"/>
  <c r="B1670"/>
  <c r="BO1669"/>
  <c r="N1669"/>
  <c r="M1669"/>
  <c r="B1669"/>
  <c r="BO1668"/>
  <c r="N1668"/>
  <c r="M1668"/>
  <c r="B1668"/>
  <c r="BO1528"/>
  <c r="N1528"/>
  <c r="M1528"/>
  <c r="B1528"/>
  <c r="BO1524"/>
  <c r="N1524"/>
  <c r="M1524"/>
  <c r="B1524"/>
  <c r="BO1517"/>
  <c r="N1517"/>
  <c r="M1517"/>
  <c r="B1517"/>
  <c r="BO1495"/>
  <c r="N1495"/>
  <c r="M1495"/>
  <c r="B1495"/>
  <c r="BO1485"/>
  <c r="N1485"/>
  <c r="M1485"/>
  <c r="B1485"/>
  <c r="BO1435"/>
  <c r="N1435"/>
  <c r="M1435"/>
  <c r="B1435"/>
  <c r="BO1333"/>
  <c r="N1333"/>
  <c r="M1333"/>
  <c r="B1333"/>
  <c r="BO1326"/>
  <c r="N1326"/>
  <c r="M1326"/>
  <c r="B1326"/>
  <c r="BO1297"/>
  <c r="N1297"/>
  <c r="M1297"/>
  <c r="B1297"/>
  <c r="BO1235"/>
  <c r="N1235"/>
  <c r="M1235"/>
  <c r="B1235"/>
  <c r="BO1161"/>
  <c r="N1161"/>
  <c r="M1161"/>
  <c r="B1161"/>
  <c r="BO1140"/>
  <c r="N1140"/>
  <c r="M1140"/>
  <c r="B1140"/>
  <c r="BO1104"/>
  <c r="N1104"/>
  <c r="M1104"/>
  <c r="B1104"/>
  <c r="BO1102"/>
  <c r="N1102"/>
  <c r="M1102"/>
  <c r="B1102"/>
  <c r="BO1097"/>
  <c r="N1097"/>
  <c r="M1097"/>
  <c r="B1097"/>
  <c r="BO1059"/>
  <c r="N1059"/>
  <c r="M1059"/>
  <c r="B1059"/>
  <c r="BO1014"/>
  <c r="N1014"/>
  <c r="M1014"/>
  <c r="B1014"/>
  <c r="BO993"/>
  <c r="N993"/>
  <c r="M993"/>
  <c r="B993"/>
  <c r="BO991"/>
  <c r="N991"/>
  <c r="M991"/>
  <c r="BO952"/>
  <c r="N952"/>
  <c r="M952"/>
  <c r="B952"/>
  <c r="BO931"/>
  <c r="N931"/>
  <c r="M931"/>
  <c r="BO927"/>
  <c r="N927"/>
  <c r="M927"/>
  <c r="B927"/>
  <c r="BO915"/>
  <c r="N915"/>
  <c r="M915"/>
  <c r="B915"/>
  <c r="BO887"/>
  <c r="N887"/>
  <c r="M887"/>
  <c r="B887"/>
  <c r="BO858"/>
  <c r="N858"/>
  <c r="M858"/>
  <c r="B858"/>
  <c r="BO842"/>
  <c r="N842"/>
  <c r="M842"/>
  <c r="B842"/>
  <c r="BO837"/>
  <c r="N837"/>
  <c r="M837"/>
  <c r="BO834"/>
  <c r="N834"/>
  <c r="M834"/>
  <c r="B834"/>
  <c r="BO822"/>
  <c r="N822"/>
  <c r="M822"/>
  <c r="B822"/>
  <c r="BO817"/>
  <c r="N817"/>
  <c r="M817"/>
  <c r="B817"/>
  <c r="BO815"/>
  <c r="N815"/>
  <c r="M815"/>
  <c r="B815"/>
  <c r="BO811"/>
  <c r="N811"/>
  <c r="M811"/>
  <c r="B811"/>
  <c r="BO804"/>
  <c r="N804"/>
  <c r="M804"/>
  <c r="B804"/>
  <c r="BO762"/>
  <c r="N762"/>
  <c r="M762"/>
  <c r="B762"/>
  <c r="BO752"/>
  <c r="N752"/>
  <c r="M752"/>
  <c r="B752"/>
  <c r="BO751"/>
  <c r="N751"/>
  <c r="M751"/>
  <c r="B751"/>
  <c r="BO736"/>
  <c r="N736"/>
  <c r="M736"/>
  <c r="BO716"/>
  <c r="N716"/>
  <c r="M716"/>
  <c r="B716"/>
  <c r="BO681"/>
  <c r="N681"/>
  <c r="M681"/>
  <c r="B681"/>
  <c r="BO598"/>
  <c r="N598"/>
  <c r="M598"/>
  <c r="B598"/>
  <c r="BO593"/>
  <c r="N593"/>
  <c r="M593"/>
  <c r="B593"/>
  <c r="BO592"/>
  <c r="N592"/>
  <c r="M592"/>
  <c r="B592"/>
  <c r="BO591"/>
  <c r="N591"/>
  <c r="M591"/>
  <c r="B591"/>
  <c r="BO590"/>
  <c r="N590"/>
  <c r="M590"/>
  <c r="B590"/>
  <c r="BO587"/>
  <c r="N587"/>
  <c r="M587"/>
  <c r="B587"/>
  <c r="BO584"/>
  <c r="N584"/>
  <c r="M584"/>
  <c r="B584"/>
  <c r="BO548"/>
  <c r="N548"/>
  <c r="M548"/>
  <c r="B548"/>
  <c r="BO547"/>
  <c r="N547"/>
  <c r="M547"/>
  <c r="B547"/>
  <c r="BO518"/>
  <c r="N518"/>
  <c r="M518"/>
  <c r="B518"/>
  <c r="BO502"/>
  <c r="N502"/>
  <c r="M502"/>
  <c r="B502"/>
  <c r="BO500"/>
  <c r="N500"/>
  <c r="M500"/>
  <c r="B500"/>
  <c r="BO499"/>
  <c r="N499"/>
  <c r="M499"/>
  <c r="B499"/>
  <c r="BO498"/>
  <c r="N498"/>
  <c r="M498"/>
  <c r="B498"/>
  <c r="BO496"/>
  <c r="N496"/>
  <c r="M496"/>
  <c r="B496"/>
  <c r="BO495"/>
  <c r="N495"/>
  <c r="M495"/>
  <c r="B495"/>
  <c r="BO478"/>
  <c r="N478"/>
  <c r="M478"/>
  <c r="B478"/>
  <c r="BO476"/>
  <c r="N476"/>
  <c r="M476"/>
  <c r="B476"/>
  <c r="BO453"/>
  <c r="N453"/>
  <c r="M453"/>
  <c r="B453"/>
  <c r="BO452"/>
  <c r="N452"/>
  <c r="M452"/>
  <c r="B452"/>
  <c r="BO440"/>
  <c r="N440"/>
  <c r="M440"/>
  <c r="B440"/>
  <c r="BO402"/>
  <c r="N402"/>
  <c r="M402"/>
  <c r="B402"/>
  <c r="BO383"/>
  <c r="N383"/>
  <c r="M383"/>
  <c r="B383"/>
  <c r="BO357"/>
  <c r="N357"/>
  <c r="M357"/>
  <c r="B357"/>
  <c r="BO343"/>
  <c r="N343"/>
  <c r="M343"/>
  <c r="B343"/>
  <c r="BO318"/>
  <c r="N318"/>
  <c r="M318"/>
  <c r="B318"/>
  <c r="BO289"/>
  <c r="N289"/>
  <c r="M289"/>
  <c r="B289"/>
  <c r="BO284"/>
  <c r="N284"/>
  <c r="M284"/>
  <c r="B284"/>
  <c r="BO224"/>
  <c r="N224"/>
  <c r="M224"/>
  <c r="B224"/>
  <c r="BO203"/>
  <c r="N203"/>
  <c r="M203"/>
  <c r="B203"/>
  <c r="BO201"/>
  <c r="N201"/>
  <c r="M201"/>
  <c r="B201"/>
  <c r="BO186"/>
  <c r="N186"/>
  <c r="M186"/>
  <c r="B186"/>
  <c r="BO171"/>
  <c r="N171"/>
  <c r="M171"/>
  <c r="B171"/>
  <c r="BO170"/>
  <c r="N170"/>
  <c r="M170"/>
  <c r="BO157"/>
  <c r="N157"/>
  <c r="M157"/>
  <c r="B157"/>
  <c r="BO151"/>
  <c r="N151"/>
  <c r="M151"/>
  <c r="B151"/>
  <c r="BO131"/>
  <c r="N131"/>
  <c r="M131"/>
  <c r="B131"/>
  <c r="BO86"/>
  <c r="N86"/>
  <c r="M86"/>
  <c r="B86"/>
  <c r="BO85"/>
  <c r="N85"/>
  <c r="M85"/>
  <c r="B85"/>
  <c r="BO84"/>
  <c r="N84"/>
  <c r="M84"/>
  <c r="B84"/>
  <c r="BO83"/>
  <c r="N83"/>
  <c r="M83"/>
  <c r="B83"/>
  <c r="BO82"/>
  <c r="N82"/>
  <c r="M82"/>
  <c r="B82"/>
  <c r="BO81"/>
  <c r="N81"/>
  <c r="M81"/>
  <c r="B81"/>
  <c r="BO80"/>
  <c r="N80"/>
  <c r="M80"/>
  <c r="B80"/>
  <c r="BO79"/>
  <c r="N79"/>
  <c r="M79"/>
  <c r="B79"/>
  <c r="BO78"/>
  <c r="N78"/>
  <c r="M78"/>
  <c r="B78"/>
  <c r="BO77"/>
  <c r="N77"/>
  <c r="M77"/>
  <c r="B77"/>
  <c r="BO39"/>
  <c r="N39"/>
  <c r="M39"/>
  <c r="B39"/>
  <c r="BO29"/>
  <c r="N29"/>
  <c r="M29"/>
  <c r="B29"/>
  <c r="BO26"/>
  <c r="N26"/>
  <c r="M26"/>
  <c r="B26"/>
  <c r="BO22"/>
  <c r="N22"/>
  <c r="M22"/>
  <c r="B22"/>
  <c r="BO21"/>
  <c r="N21"/>
  <c r="M21"/>
  <c r="B21"/>
  <c r="BO19"/>
  <c r="N19"/>
  <c r="M19"/>
  <c r="BO18"/>
  <c r="N18"/>
  <c r="M18"/>
  <c r="B18"/>
  <c r="BO16"/>
  <c r="N16"/>
  <c r="M16"/>
  <c r="B16"/>
  <c r="BO6"/>
  <c r="N6"/>
  <c r="M6"/>
  <c r="B6"/>
  <c r="BO3"/>
  <c r="N3"/>
  <c r="M3"/>
  <c r="B3"/>
  <c r="BO2743"/>
  <c r="N2743"/>
  <c r="M2743"/>
  <c r="B2743"/>
  <c r="BO2732"/>
  <c r="N2732"/>
  <c r="M2732"/>
  <c r="B2732"/>
  <c r="BO2725"/>
  <c r="N2725"/>
  <c r="M2725"/>
  <c r="B2725"/>
  <c r="BO2714"/>
  <c r="N2714"/>
  <c r="M2714"/>
  <c r="B2714"/>
  <c r="BO2701"/>
  <c r="N2701"/>
  <c r="M2701"/>
  <c r="B2701"/>
  <c r="BO2684"/>
  <c r="N2684"/>
  <c r="M2684"/>
  <c r="B2684"/>
  <c r="BO2672"/>
  <c r="N2672"/>
  <c r="M2672"/>
  <c r="BO2647"/>
  <c r="N2647"/>
  <c r="M2647"/>
  <c r="B2647"/>
  <c r="BO2606"/>
  <c r="N2606"/>
  <c r="M2606"/>
  <c r="B2606"/>
  <c r="BO2589"/>
  <c r="N2589"/>
  <c r="M2589"/>
  <c r="B2589"/>
  <c r="BO2580"/>
  <c r="N2580"/>
  <c r="M2580"/>
  <c r="B2580"/>
  <c r="BO2575"/>
  <c r="N2575"/>
  <c r="M2575"/>
  <c r="BO2564"/>
  <c r="N2564"/>
  <c r="M2564"/>
  <c r="BO2547"/>
  <c r="N2547"/>
  <c r="M2547"/>
  <c r="B2547"/>
  <c r="BO2541"/>
  <c r="N2541"/>
  <c r="M2541"/>
  <c r="B2541"/>
  <c r="BO2540"/>
  <c r="N2540"/>
  <c r="M2540"/>
  <c r="B2540"/>
  <c r="BO2497"/>
  <c r="N2497"/>
  <c r="M2497"/>
  <c r="B2497"/>
  <c r="BO2471"/>
  <c r="N2471"/>
  <c r="M2471"/>
  <c r="B2471"/>
  <c r="BO2457"/>
  <c r="N2457"/>
  <c r="M2457"/>
  <c r="BO2424"/>
  <c r="N2424"/>
  <c r="M2424"/>
  <c r="B2424"/>
  <c r="BO2410"/>
  <c r="N2410"/>
  <c r="M2410"/>
  <c r="B2410"/>
  <c r="BO2400"/>
  <c r="N2400"/>
  <c r="M2400"/>
  <c r="B2400"/>
  <c r="BO2389"/>
  <c r="N2389"/>
  <c r="M2389"/>
  <c r="B2389"/>
  <c r="BO2382"/>
  <c r="N2382"/>
  <c r="M2382"/>
  <c r="B2382"/>
  <c r="BO2368"/>
  <c r="N2368"/>
  <c r="M2368"/>
  <c r="B2368"/>
  <c r="BO2357"/>
  <c r="N2357"/>
  <c r="M2357"/>
  <c r="B2357"/>
  <c r="BO2352"/>
  <c r="N2352"/>
  <c r="M2352"/>
  <c r="B2352"/>
  <c r="BO2341"/>
  <c r="N2341"/>
  <c r="M2341"/>
  <c r="B2341"/>
  <c r="BO2312"/>
  <c r="N2312"/>
  <c r="M2312"/>
  <c r="B2312"/>
  <c r="BO2303"/>
  <c r="N2303"/>
  <c r="M2303"/>
  <c r="B2303"/>
  <c r="BO2286"/>
  <c r="N2286"/>
  <c r="M2286"/>
  <c r="B2286"/>
  <c r="BO2282"/>
  <c r="N2282"/>
  <c r="M2282"/>
  <c r="B2282"/>
  <c r="BO2266"/>
  <c r="N2266"/>
  <c r="M2266"/>
  <c r="B2266"/>
  <c r="BO2251"/>
  <c r="N2251"/>
  <c r="M2251"/>
  <c r="B2251"/>
  <c r="BO2250"/>
  <c r="N2250"/>
  <c r="M2250"/>
  <c r="B2250"/>
  <c r="BO2247"/>
  <c r="N2247"/>
  <c r="M2247"/>
  <c r="B2247"/>
  <c r="BO2239"/>
  <c r="N2239"/>
  <c r="M2239"/>
  <c r="B2239"/>
  <c r="BO2233"/>
  <c r="N2233"/>
  <c r="M2233"/>
  <c r="B2233"/>
  <c r="BO2226"/>
  <c r="N2226"/>
  <c r="M2226"/>
  <c r="B2226"/>
  <c r="BO2212"/>
  <c r="N2212"/>
  <c r="M2212"/>
  <c r="B2212"/>
  <c r="BO2210"/>
  <c r="N2210"/>
  <c r="M2210"/>
  <c r="B2210"/>
  <c r="BO2201"/>
  <c r="N2201"/>
  <c r="M2201"/>
  <c r="B2201"/>
  <c r="BO2193"/>
  <c r="N2193"/>
  <c r="M2193"/>
  <c r="B2193"/>
  <c r="BO2191"/>
  <c r="N2191"/>
  <c r="M2191"/>
  <c r="B2191"/>
  <c r="BO2189"/>
  <c r="N2189"/>
  <c r="M2189"/>
  <c r="B2189"/>
  <c r="BO2188"/>
  <c r="N2188"/>
  <c r="M2188"/>
  <c r="B2188"/>
  <c r="BO2164"/>
  <c r="N2164"/>
  <c r="M2164"/>
  <c r="BO2160"/>
  <c r="N2160"/>
  <c r="M2160"/>
  <c r="B2160"/>
  <c r="BO2158"/>
  <c r="N2158"/>
  <c r="M2158"/>
  <c r="B2158"/>
  <c r="BO2157"/>
  <c r="N2157"/>
  <c r="M2157"/>
  <c r="B2157"/>
  <c r="BO2156"/>
  <c r="N2156"/>
  <c r="M2156"/>
  <c r="B2156"/>
  <c r="BO2150"/>
  <c r="N2150"/>
  <c r="M2150"/>
  <c r="B2150"/>
  <c r="BO2146"/>
  <c r="N2146"/>
  <c r="M2146"/>
  <c r="B2146"/>
  <c r="BO2143"/>
  <c r="N2143"/>
  <c r="M2143"/>
  <c r="B2143"/>
  <c r="BO2142"/>
  <c r="N2142"/>
  <c r="M2142"/>
  <c r="BO2137"/>
  <c r="N2137"/>
  <c r="M2137"/>
  <c r="B2137"/>
  <c r="BO2128"/>
  <c r="N2128"/>
  <c r="M2128"/>
  <c r="B2128"/>
  <c r="BO2114"/>
  <c r="N2114"/>
  <c r="M2114"/>
  <c r="B2114"/>
  <c r="BO2101"/>
  <c r="N2101"/>
  <c r="M2101"/>
  <c r="B2101"/>
  <c r="BO2093"/>
  <c r="N2093"/>
  <c r="M2093"/>
  <c r="B2093"/>
  <c r="BO2083"/>
  <c r="N2083"/>
  <c r="M2083"/>
  <c r="B2083"/>
  <c r="BO2082"/>
  <c r="N2082"/>
  <c r="M2082"/>
  <c r="B2082"/>
  <c r="BO2081"/>
  <c r="N2081"/>
  <c r="M2081"/>
  <c r="B2081"/>
  <c r="BO2076"/>
  <c r="N2076"/>
  <c r="M2076"/>
  <c r="B2076"/>
  <c r="BO2074"/>
  <c r="N2074"/>
  <c r="M2074"/>
  <c r="B2074"/>
  <c r="BO2069"/>
  <c r="N2069"/>
  <c r="M2069"/>
  <c r="B2069"/>
  <c r="BO2030"/>
  <c r="N2030"/>
  <c r="M2030"/>
  <c r="B2030"/>
  <c r="BO2028"/>
  <c r="N2028"/>
  <c r="M2028"/>
  <c r="B2028"/>
  <c r="BO2024"/>
  <c r="N2024"/>
  <c r="M2024"/>
  <c r="BO2020"/>
  <c r="N2020"/>
  <c r="M2020"/>
  <c r="B2020"/>
  <c r="BO2014"/>
  <c r="N2014"/>
  <c r="M2014"/>
  <c r="B2014"/>
  <c r="BO1998"/>
  <c r="N1998"/>
  <c r="M1998"/>
  <c r="B1998"/>
  <c r="BO1980"/>
  <c r="N1980"/>
  <c r="M1980"/>
  <c r="B1980"/>
  <c r="BO1972"/>
  <c r="N1972"/>
  <c r="M1972"/>
  <c r="B1972"/>
  <c r="BO1958"/>
  <c r="N1958"/>
  <c r="M1958"/>
  <c r="B1958"/>
  <c r="BO1954"/>
  <c r="N1954"/>
  <c r="M1954"/>
  <c r="B1954"/>
  <c r="BO1950"/>
  <c r="N1950"/>
  <c r="M1950"/>
  <c r="B1950"/>
  <c r="BO1949"/>
  <c r="N1949"/>
  <c r="M1949"/>
  <c r="B1949"/>
  <c r="BO1919"/>
  <c r="N1919"/>
  <c r="M1919"/>
  <c r="B1919"/>
  <c r="BO1883"/>
  <c r="N1883"/>
  <c r="M1883"/>
  <c r="B1883"/>
  <c r="BO1876"/>
  <c r="N1876"/>
  <c r="M1876"/>
  <c r="B1876"/>
  <c r="BO1786"/>
  <c r="N1786"/>
  <c r="M1786"/>
  <c r="B1786"/>
  <c r="BO1785"/>
  <c r="N1785"/>
  <c r="M1785"/>
  <c r="B1785"/>
  <c r="BO1770"/>
  <c r="N1770"/>
  <c r="M1770"/>
  <c r="B1770"/>
  <c r="BO1766"/>
  <c r="N1766"/>
  <c r="M1766"/>
  <c r="B1766"/>
  <c r="BO1757"/>
  <c r="N1757"/>
  <c r="M1757"/>
  <c r="BO1746"/>
  <c r="N1746"/>
  <c r="M1746"/>
  <c r="B1746"/>
  <c r="BO1742"/>
  <c r="N1742"/>
  <c r="M1742"/>
  <c r="B1742"/>
  <c r="BO1735"/>
  <c r="N1735"/>
  <c r="M1735"/>
  <c r="B1735"/>
  <c r="BO1731"/>
  <c r="N1731"/>
  <c r="M1731"/>
  <c r="BO1722"/>
  <c r="N1722"/>
  <c r="M1722"/>
  <c r="B1722"/>
  <c r="BO1721"/>
  <c r="N1721"/>
  <c r="M1721"/>
  <c r="BO1711"/>
  <c r="N1711"/>
  <c r="M1711"/>
  <c r="B1711"/>
  <c r="BO1709"/>
  <c r="N1709"/>
  <c r="M1709"/>
  <c r="B1709"/>
  <c r="BO1708"/>
  <c r="N1708"/>
  <c r="M1708"/>
  <c r="B1708"/>
  <c r="BO1705"/>
  <c r="N1705"/>
  <c r="M1705"/>
  <c r="B1705"/>
  <c r="BO1701"/>
  <c r="N1701"/>
  <c r="M1701"/>
  <c r="B1701"/>
  <c r="BO1691"/>
  <c r="N1691"/>
  <c r="M1691"/>
  <c r="B1691"/>
  <c r="BO1684"/>
  <c r="N1684"/>
  <c r="M1684"/>
  <c r="B1684"/>
  <c r="BO1682"/>
  <c r="N1682"/>
  <c r="M1682"/>
  <c r="B1682"/>
  <c r="BO1643"/>
  <c r="N1643"/>
  <c r="M1643"/>
  <c r="B1643"/>
  <c r="BO1638"/>
  <c r="N1638"/>
  <c r="M1638"/>
  <c r="B1638"/>
  <c r="BO1632"/>
  <c r="N1632"/>
  <c r="M1632"/>
  <c r="B1632"/>
  <c r="BO1630"/>
  <c r="N1630"/>
  <c r="M1630"/>
  <c r="B1630"/>
  <c r="BO1623"/>
  <c r="N1623"/>
  <c r="M1623"/>
  <c r="B1623"/>
  <c r="BO1622"/>
  <c r="N1622"/>
  <c r="M1622"/>
  <c r="B1622"/>
  <c r="BO1616"/>
  <c r="N1616"/>
  <c r="M1616"/>
  <c r="B1616"/>
  <c r="BO1604"/>
  <c r="N1604"/>
  <c r="M1604"/>
  <c r="B1604"/>
  <c r="BO1596"/>
  <c r="N1596"/>
  <c r="M1596"/>
  <c r="BO1590"/>
  <c r="N1590"/>
  <c r="M1590"/>
  <c r="B1590"/>
  <c r="BO1584"/>
  <c r="N1584"/>
  <c r="M1584"/>
  <c r="B1584"/>
  <c r="BO1566"/>
  <c r="N1566"/>
  <c r="M1566"/>
  <c r="BO1558"/>
  <c r="N1558"/>
  <c r="M1558"/>
  <c r="B1558"/>
  <c r="BO1557"/>
  <c r="N1557"/>
  <c r="M1557"/>
  <c r="B1557"/>
  <c r="BO1553"/>
  <c r="N1553"/>
  <c r="M1553"/>
  <c r="B1553"/>
  <c r="BO1551"/>
  <c r="N1551"/>
  <c r="M1551"/>
  <c r="B1551"/>
  <c r="BO1541"/>
  <c r="N1541"/>
  <c r="M1541"/>
  <c r="B1541"/>
  <c r="BO1533"/>
  <c r="N1533"/>
  <c r="M1533"/>
  <c r="B1533"/>
  <c r="BO1513"/>
  <c r="N1513"/>
  <c r="M1513"/>
  <c r="B1513"/>
  <c r="BO1499"/>
  <c r="N1499"/>
  <c r="M1499"/>
  <c r="B1499"/>
  <c r="BO1475"/>
  <c r="N1475"/>
  <c r="M1475"/>
  <c r="B1475"/>
  <c r="BO1455"/>
  <c r="N1455"/>
  <c r="M1455"/>
  <c r="B1455"/>
  <c r="BO1447"/>
  <c r="N1447"/>
  <c r="M1447"/>
  <c r="B1447"/>
  <c r="BO1431"/>
  <c r="N1431"/>
  <c r="M1431"/>
  <c r="B1431"/>
  <c r="BO1429"/>
  <c r="N1429"/>
  <c r="M1429"/>
  <c r="BO1420"/>
  <c r="N1420"/>
  <c r="M1420"/>
  <c r="B1420"/>
  <c r="BO1396"/>
  <c r="N1396"/>
  <c r="M1396"/>
  <c r="B1396"/>
  <c r="BO1360"/>
  <c r="N1360"/>
  <c r="M1360"/>
  <c r="B1360"/>
  <c r="BO1344"/>
  <c r="N1344"/>
  <c r="M1344"/>
  <c r="B1344"/>
  <c r="BO1329"/>
  <c r="N1329"/>
  <c r="M1329"/>
  <c r="B1329"/>
  <c r="BO1324"/>
  <c r="N1324"/>
  <c r="M1324"/>
  <c r="B1324"/>
  <c r="BO1317"/>
  <c r="N1317"/>
  <c r="M1317"/>
  <c r="BO1309"/>
  <c r="N1309"/>
  <c r="M1309"/>
  <c r="B1309"/>
  <c r="BO1306"/>
  <c r="N1306"/>
  <c r="M1306"/>
  <c r="BO1285"/>
  <c r="N1285"/>
  <c r="M1285"/>
  <c r="B1285"/>
  <c r="BO1282"/>
  <c r="N1282"/>
  <c r="M1282"/>
  <c r="BO1270"/>
  <c r="N1270"/>
  <c r="M1270"/>
  <c r="B1270"/>
  <c r="BO1250"/>
  <c r="N1250"/>
  <c r="M1250"/>
  <c r="B1250"/>
  <c r="BO1246"/>
  <c r="N1246"/>
  <c r="M1246"/>
  <c r="B1246"/>
  <c r="BO1240"/>
  <c r="N1240"/>
  <c r="M1240"/>
  <c r="B1240"/>
  <c r="BO1236"/>
  <c r="N1236"/>
  <c r="M1236"/>
  <c r="B1236"/>
  <c r="BO1215"/>
  <c r="N1215"/>
  <c r="M1215"/>
  <c r="B1215"/>
  <c r="BO1208"/>
  <c r="N1208"/>
  <c r="M1208"/>
  <c r="B1208"/>
  <c r="BO1204"/>
  <c r="N1204"/>
  <c r="M1204"/>
  <c r="B1204"/>
  <c r="BO1192"/>
  <c r="N1192"/>
  <c r="M1192"/>
  <c r="B1192"/>
  <c r="BO1178"/>
  <c r="N1178"/>
  <c r="M1178"/>
  <c r="B1178"/>
  <c r="BO1168"/>
  <c r="N1168"/>
  <c r="M1168"/>
  <c r="B1168"/>
  <c r="BO1155"/>
  <c r="N1155"/>
  <c r="M1155"/>
  <c r="B1155"/>
  <c r="BO1142"/>
  <c r="N1142"/>
  <c r="M1142"/>
  <c r="B1142"/>
  <c r="BO1126"/>
  <c r="N1126"/>
  <c r="M1126"/>
  <c r="B1126"/>
  <c r="BO1099"/>
  <c r="N1099"/>
  <c r="M1099"/>
  <c r="B1099"/>
  <c r="BO1068"/>
  <c r="N1068"/>
  <c r="M1068"/>
  <c r="B1068"/>
  <c r="BO1056"/>
  <c r="N1056"/>
  <c r="M1056"/>
  <c r="B1056"/>
  <c r="BO1042"/>
  <c r="N1042"/>
  <c r="M1042"/>
  <c r="B1042"/>
  <c r="BO1017"/>
  <c r="N1017"/>
  <c r="M1017"/>
  <c r="B1017"/>
  <c r="BO990"/>
  <c r="N990"/>
  <c r="M990"/>
  <c r="B990"/>
  <c r="BO988"/>
  <c r="N988"/>
  <c r="M988"/>
  <c r="B988"/>
  <c r="BO970"/>
  <c r="N970"/>
  <c r="M970"/>
  <c r="B970"/>
  <c r="BO961"/>
  <c r="N961"/>
  <c r="M961"/>
  <c r="B961"/>
  <c r="BO948"/>
  <c r="N948"/>
  <c r="M948"/>
  <c r="B948"/>
  <c r="BO936"/>
  <c r="N936"/>
  <c r="M936"/>
  <c r="BO935"/>
  <c r="N935"/>
  <c r="M935"/>
  <c r="B935"/>
  <c r="BO928"/>
  <c r="N928"/>
  <c r="M928"/>
  <c r="B928"/>
  <c r="BO926"/>
  <c r="N926"/>
  <c r="M926"/>
  <c r="B926"/>
  <c r="BO914"/>
  <c r="N914"/>
  <c r="M914"/>
  <c r="B914"/>
  <c r="BO905"/>
  <c r="N905"/>
  <c r="M905"/>
  <c r="B905"/>
  <c r="BO893"/>
  <c r="N893"/>
  <c r="M893"/>
  <c r="B893"/>
  <c r="BO892"/>
  <c r="N892"/>
  <c r="M892"/>
  <c r="B892"/>
  <c r="BO888"/>
  <c r="N888"/>
  <c r="M888"/>
  <c r="B888"/>
  <c r="BO880"/>
  <c r="N880"/>
  <c r="M880"/>
  <c r="B880"/>
  <c r="BO849"/>
  <c r="N849"/>
  <c r="M849"/>
  <c r="B849"/>
  <c r="BO841"/>
  <c r="N841"/>
  <c r="M841"/>
  <c r="BO828"/>
  <c r="N828"/>
  <c r="M828"/>
  <c r="B828"/>
  <c r="BO820"/>
  <c r="N820"/>
  <c r="M820"/>
  <c r="B820"/>
  <c r="BO814"/>
  <c r="N814"/>
  <c r="M814"/>
  <c r="B814"/>
  <c r="BO795"/>
  <c r="N795"/>
  <c r="M795"/>
  <c r="B795"/>
  <c r="BO788"/>
  <c r="N788"/>
  <c r="M788"/>
  <c r="B788"/>
  <c r="BO787"/>
  <c r="N787"/>
  <c r="M787"/>
  <c r="B787"/>
  <c r="BO786"/>
  <c r="N786"/>
  <c r="M786"/>
  <c r="B786"/>
  <c r="BO785"/>
  <c r="N785"/>
  <c r="M785"/>
  <c r="B785"/>
  <c r="BO783"/>
  <c r="N783"/>
  <c r="M783"/>
  <c r="B783"/>
  <c r="BO782"/>
  <c r="N782"/>
  <c r="M782"/>
  <c r="B782"/>
  <c r="BO781"/>
  <c r="N781"/>
  <c r="M781"/>
  <c r="B781"/>
  <c r="BO778"/>
  <c r="N778"/>
  <c r="M778"/>
  <c r="B778"/>
  <c r="BO768"/>
  <c r="N768"/>
  <c r="M768"/>
  <c r="B768"/>
  <c r="BO765"/>
  <c r="N765"/>
  <c r="M765"/>
  <c r="B765"/>
  <c r="BO747"/>
  <c r="N747"/>
  <c r="M747"/>
  <c r="B747"/>
  <c r="BO727"/>
  <c r="N727"/>
  <c r="M727"/>
  <c r="B727"/>
  <c r="BO726"/>
  <c r="N726"/>
  <c r="M726"/>
  <c r="B726"/>
  <c r="BO706"/>
  <c r="N706"/>
  <c r="M706"/>
  <c r="B706"/>
  <c r="BO705"/>
  <c r="N705"/>
  <c r="M705"/>
  <c r="B705"/>
  <c r="BO683"/>
  <c r="N683"/>
  <c r="M683"/>
  <c r="B683"/>
  <c r="BO675"/>
  <c r="N675"/>
  <c r="M675"/>
  <c r="B675"/>
  <c r="BO647"/>
  <c r="N647"/>
  <c r="M647"/>
  <c r="B647"/>
  <c r="BO622"/>
  <c r="N622"/>
  <c r="M622"/>
  <c r="B622"/>
  <c r="BO619"/>
  <c r="N619"/>
  <c r="M619"/>
  <c r="B619"/>
  <c r="BO605"/>
  <c r="N605"/>
  <c r="M605"/>
  <c r="B605"/>
  <c r="BO582"/>
  <c r="N582"/>
  <c r="M582"/>
  <c r="B582"/>
  <c r="BO574"/>
  <c r="N574"/>
  <c r="M574"/>
  <c r="B574"/>
  <c r="BO570"/>
  <c r="N570"/>
  <c r="M570"/>
  <c r="B570"/>
  <c r="BO569"/>
  <c r="N569"/>
  <c r="M569"/>
  <c r="B569"/>
  <c r="BO556"/>
  <c r="N556"/>
  <c r="M556"/>
  <c r="B556"/>
  <c r="BO555"/>
  <c r="N555"/>
  <c r="M555"/>
  <c r="B555"/>
  <c r="BO538"/>
  <c r="N538"/>
  <c r="M538"/>
  <c r="B538"/>
  <c r="BO525"/>
  <c r="N525"/>
  <c r="M525"/>
  <c r="B525"/>
  <c r="BO512"/>
  <c r="N512"/>
  <c r="M512"/>
  <c r="B512"/>
  <c r="BO469"/>
  <c r="N469"/>
  <c r="M469"/>
  <c r="B469"/>
  <c r="BO465"/>
  <c r="N465"/>
  <c r="M465"/>
  <c r="B465"/>
  <c r="BO457"/>
  <c r="N457"/>
  <c r="M457"/>
  <c r="B457"/>
  <c r="BO448"/>
  <c r="N448"/>
  <c r="M448"/>
  <c r="B448"/>
  <c r="BO441"/>
  <c r="N441"/>
  <c r="M441"/>
  <c r="B441"/>
  <c r="BO406"/>
  <c r="N406"/>
  <c r="M406"/>
  <c r="B406"/>
  <c r="BO403"/>
  <c r="N403"/>
  <c r="M403"/>
  <c r="B403"/>
  <c r="BO400"/>
  <c r="N400"/>
  <c r="M400"/>
  <c r="B400"/>
  <c r="BO393"/>
  <c r="N393"/>
  <c r="M393"/>
  <c r="B393"/>
  <c r="BO382"/>
  <c r="N382"/>
  <c r="M382"/>
  <c r="BO364"/>
  <c r="N364"/>
  <c r="M364"/>
  <c r="B364"/>
  <c r="BO344"/>
  <c r="N344"/>
  <c r="M344"/>
  <c r="B344"/>
  <c r="BO319"/>
  <c r="N319"/>
  <c r="M319"/>
  <c r="B319"/>
  <c r="BO309"/>
  <c r="N309"/>
  <c r="M309"/>
  <c r="B309"/>
  <c r="BO283"/>
  <c r="N283"/>
  <c r="M283"/>
  <c r="B283"/>
  <c r="BO282"/>
  <c r="N282"/>
  <c r="M282"/>
  <c r="B282"/>
  <c r="BO281"/>
  <c r="N281"/>
  <c r="M281"/>
  <c r="B281"/>
  <c r="BO280"/>
  <c r="N280"/>
  <c r="M280"/>
  <c r="B280"/>
  <c r="BO273"/>
  <c r="N273"/>
  <c r="M273"/>
  <c r="B273"/>
  <c r="BO248"/>
  <c r="N248"/>
  <c r="M248"/>
  <c r="B248"/>
  <c r="BO236"/>
  <c r="N236"/>
  <c r="M236"/>
  <c r="B236"/>
  <c r="BO225"/>
  <c r="N225"/>
  <c r="M225"/>
  <c r="B225"/>
  <c r="BO218"/>
  <c r="N218"/>
  <c r="M218"/>
  <c r="B218"/>
  <c r="BO216"/>
  <c r="N216"/>
  <c r="M216"/>
  <c r="B216"/>
  <c r="BO184"/>
  <c r="N184"/>
  <c r="M184"/>
  <c r="B184"/>
  <c r="BO179"/>
  <c r="N179"/>
  <c r="M179"/>
  <c r="B179"/>
  <c r="BO173"/>
  <c r="N173"/>
  <c r="M173"/>
  <c r="B173"/>
  <c r="BO172"/>
  <c r="N172"/>
  <c r="M172"/>
  <c r="B172"/>
  <c r="BO169"/>
  <c r="N169"/>
  <c r="M169"/>
  <c r="B169"/>
  <c r="BO162"/>
  <c r="N162"/>
  <c r="M162"/>
  <c r="BO155"/>
  <c r="N155"/>
  <c r="M155"/>
  <c r="B155"/>
  <c r="BO148"/>
  <c r="N148"/>
  <c r="M148"/>
  <c r="B148"/>
  <c r="BO137"/>
  <c r="N137"/>
  <c r="M137"/>
  <c r="B137"/>
  <c r="BO136"/>
  <c r="N136"/>
  <c r="M136"/>
  <c r="B136"/>
  <c r="BO128"/>
  <c r="N128"/>
  <c r="M128"/>
  <c r="B128"/>
  <c r="BO109"/>
  <c r="N109"/>
  <c r="M109"/>
  <c r="B109"/>
  <c r="BO108"/>
  <c r="N108"/>
  <c r="M108"/>
  <c r="B108"/>
  <c r="BO107"/>
  <c r="N107"/>
  <c r="M107"/>
  <c r="B107"/>
  <c r="BO103"/>
  <c r="N103"/>
  <c r="M103"/>
  <c r="B103"/>
  <c r="BO102"/>
  <c r="N102"/>
  <c r="M102"/>
  <c r="B102"/>
  <c r="BO95"/>
  <c r="N95"/>
  <c r="M95"/>
  <c r="B95"/>
  <c r="BO93"/>
  <c r="N93"/>
  <c r="M93"/>
  <c r="B93"/>
  <c r="BO92"/>
  <c r="N92"/>
  <c r="M92"/>
  <c r="B92"/>
  <c r="BO91"/>
  <c r="N91"/>
  <c r="M91"/>
  <c r="B91"/>
  <c r="BO76"/>
  <c r="N76"/>
  <c r="M76"/>
  <c r="B76"/>
  <c r="BO70"/>
  <c r="N70"/>
  <c r="M70"/>
  <c r="B70"/>
  <c r="BO65"/>
  <c r="N65"/>
  <c r="M65"/>
  <c r="B65"/>
  <c r="BO47"/>
  <c r="N47"/>
  <c r="M47"/>
  <c r="B47"/>
  <c r="BO28"/>
  <c r="N28"/>
  <c r="M28"/>
  <c r="B28"/>
  <c r="BO24"/>
  <c r="N24"/>
  <c r="M24"/>
  <c r="B24"/>
  <c r="BO20"/>
  <c r="N20"/>
  <c r="M20"/>
  <c r="B20"/>
  <c r="BO9"/>
  <c r="N9"/>
  <c r="M9"/>
  <c r="BO2762"/>
  <c r="N2762"/>
  <c r="M2762"/>
  <c r="B2762"/>
  <c r="BO2754"/>
  <c r="N2754"/>
  <c r="M2754"/>
  <c r="B2754"/>
  <c r="BO2746"/>
  <c r="N2746"/>
  <c r="M2746"/>
  <c r="BO2735"/>
  <c r="N2735"/>
  <c r="M2735"/>
  <c r="B2735"/>
  <c r="BO2718"/>
  <c r="N2718"/>
  <c r="M2718"/>
  <c r="BO2715"/>
  <c r="N2715"/>
  <c r="M2715"/>
  <c r="B2715"/>
  <c r="BO2709"/>
  <c r="N2709"/>
  <c r="M2709"/>
  <c r="B2709"/>
  <c r="BO2687"/>
  <c r="N2687"/>
  <c r="M2687"/>
  <c r="B2687"/>
  <c r="BO2686"/>
  <c r="N2686"/>
  <c r="M2686"/>
  <c r="B2686"/>
  <c r="BO2682"/>
  <c r="N2682"/>
  <c r="M2682"/>
  <c r="B2682"/>
  <c r="BO2679"/>
  <c r="N2679"/>
  <c r="M2679"/>
  <c r="BO2660"/>
  <c r="N2660"/>
  <c r="M2660"/>
  <c r="B2660"/>
  <c r="BO2643"/>
  <c r="N2643"/>
  <c r="M2643"/>
  <c r="B2643"/>
  <c r="BO2613"/>
  <c r="N2613"/>
  <c r="M2613"/>
  <c r="B2613"/>
  <c r="BO2611"/>
  <c r="N2611"/>
  <c r="M2611"/>
  <c r="B2611"/>
  <c r="BO2590"/>
  <c r="N2590"/>
  <c r="M2590"/>
  <c r="B2590"/>
  <c r="BO2582"/>
  <c r="N2582"/>
  <c r="M2582"/>
  <c r="B2582"/>
  <c r="BO2556"/>
  <c r="N2556"/>
  <c r="M2556"/>
  <c r="BO2539"/>
  <c r="N2539"/>
  <c r="M2539"/>
  <c r="B2539"/>
  <c r="BO2534"/>
  <c r="N2534"/>
  <c r="M2534"/>
  <c r="B2534"/>
  <c r="BO2519"/>
  <c r="N2519"/>
  <c r="M2519"/>
  <c r="B2519"/>
  <c r="BO2516"/>
  <c r="N2516"/>
  <c r="M2516"/>
  <c r="B2516"/>
  <c r="BO2509"/>
  <c r="N2509"/>
  <c r="M2509"/>
  <c r="B2509"/>
  <c r="BO2505"/>
  <c r="N2505"/>
  <c r="M2505"/>
  <c r="BO2477"/>
  <c r="N2477"/>
  <c r="M2477"/>
  <c r="BO2450"/>
  <c r="N2450"/>
  <c r="M2450"/>
  <c r="B2450"/>
  <c r="BO2442"/>
  <c r="N2442"/>
  <c r="M2442"/>
  <c r="B2442"/>
  <c r="BO2441"/>
  <c r="N2441"/>
  <c r="M2441"/>
  <c r="B2441"/>
  <c r="BO2427"/>
  <c r="N2427"/>
  <c r="M2427"/>
  <c r="B2427"/>
  <c r="BO2416"/>
  <c r="N2416"/>
  <c r="M2416"/>
  <c r="B2416"/>
  <c r="BO2384"/>
  <c r="N2384"/>
  <c r="M2384"/>
  <c r="B2384"/>
  <c r="BO2383"/>
  <c r="N2383"/>
  <c r="M2383"/>
  <c r="B2383"/>
  <c r="BO2377"/>
  <c r="N2377"/>
  <c r="M2377"/>
  <c r="B2377"/>
  <c r="BO2372"/>
  <c r="N2372"/>
  <c r="M2372"/>
  <c r="B2372"/>
  <c r="BO2371"/>
  <c r="N2371"/>
  <c r="M2371"/>
  <c r="B2371"/>
  <c r="BO2362"/>
  <c r="N2362"/>
  <c r="M2362"/>
  <c r="B2362"/>
  <c r="BO2353"/>
  <c r="N2353"/>
  <c r="M2353"/>
  <c r="B2353"/>
  <c r="BO2337"/>
  <c r="N2337"/>
  <c r="M2337"/>
  <c r="B2337"/>
  <c r="BO2325"/>
  <c r="N2325"/>
  <c r="M2325"/>
  <c r="B2325"/>
  <c r="BO2324"/>
  <c r="N2324"/>
  <c r="M2324"/>
  <c r="BO2304"/>
  <c r="N2304"/>
  <c r="M2304"/>
  <c r="B2304"/>
  <c r="BO2293"/>
  <c r="N2293"/>
  <c r="M2293"/>
  <c r="B2293"/>
  <c r="BO2285"/>
  <c r="N2285"/>
  <c r="M2285"/>
  <c r="B2285"/>
  <c r="BO2283"/>
  <c r="N2283"/>
  <c r="M2283"/>
  <c r="B2283"/>
  <c r="BO2276"/>
  <c r="N2276"/>
  <c r="M2276"/>
  <c r="B2276"/>
  <c r="BO2273"/>
  <c r="N2273"/>
  <c r="M2273"/>
  <c r="B2273"/>
  <c r="BO2268"/>
  <c r="N2268"/>
  <c r="M2268"/>
  <c r="BO2234"/>
  <c r="N2234"/>
  <c r="M2234"/>
  <c r="B2234"/>
  <c r="BO2221"/>
  <c r="N2221"/>
  <c r="M2221"/>
  <c r="B2221"/>
  <c r="BO2218"/>
  <c r="N2218"/>
  <c r="M2218"/>
  <c r="B2218"/>
  <c r="BO2208"/>
  <c r="N2208"/>
  <c r="M2208"/>
  <c r="B2208"/>
  <c r="BO2196"/>
  <c r="N2196"/>
  <c r="M2196"/>
  <c r="B2196"/>
  <c r="BO2192"/>
  <c r="N2192"/>
  <c r="M2192"/>
  <c r="B2192"/>
  <c r="BO2182"/>
  <c r="N2182"/>
  <c r="M2182"/>
  <c r="B2182"/>
  <c r="BO2179"/>
  <c r="N2179"/>
  <c r="M2179"/>
  <c r="B2179"/>
  <c r="BO2177"/>
  <c r="N2177"/>
  <c r="M2177"/>
  <c r="B2177"/>
  <c r="BO2176"/>
  <c r="N2176"/>
  <c r="M2176"/>
  <c r="B2176"/>
  <c r="BO2174"/>
  <c r="N2174"/>
  <c r="M2174"/>
  <c r="BO2123"/>
  <c r="N2123"/>
  <c r="M2123"/>
  <c r="B2123"/>
  <c r="BO2112"/>
  <c r="N2112"/>
  <c r="M2112"/>
  <c r="B2112"/>
  <c r="BO2107"/>
  <c r="N2107"/>
  <c r="M2107"/>
  <c r="B2107"/>
  <c r="BO2098"/>
  <c r="N2098"/>
  <c r="M2098"/>
  <c r="B2098"/>
  <c r="BO2090"/>
  <c r="N2090"/>
  <c r="M2090"/>
  <c r="B2090"/>
  <c r="BO2068"/>
  <c r="N2068"/>
  <c r="M2068"/>
  <c r="B2068"/>
  <c r="BO2060"/>
  <c r="N2060"/>
  <c r="M2060"/>
  <c r="B2060"/>
  <c r="BO2058"/>
  <c r="N2058"/>
  <c r="M2058"/>
  <c r="B2058"/>
  <c r="BO2048"/>
  <c r="N2048"/>
  <c r="M2048"/>
  <c r="B2048"/>
  <c r="BO2043"/>
  <c r="N2043"/>
  <c r="M2043"/>
  <c r="B2043"/>
  <c r="BO2040"/>
  <c r="N2040"/>
  <c r="M2040"/>
  <c r="B2040"/>
  <c r="BO2035"/>
  <c r="N2035"/>
  <c r="M2035"/>
  <c r="BO2002"/>
  <c r="N2002"/>
  <c r="M2002"/>
  <c r="B2002"/>
  <c r="BO2000"/>
  <c r="N2000"/>
  <c r="M2000"/>
  <c r="B2000"/>
  <c r="BO1989"/>
  <c r="N1989"/>
  <c r="M1989"/>
  <c r="B1989"/>
  <c r="BO1975"/>
  <c r="N1975"/>
  <c r="M1975"/>
  <c r="B1975"/>
  <c r="BO1970"/>
  <c r="N1970"/>
  <c r="M1970"/>
  <c r="B1970"/>
  <c r="BO1967"/>
  <c r="N1967"/>
  <c r="M1967"/>
  <c r="B1967"/>
  <c r="BO1960"/>
  <c r="N1960"/>
  <c r="M1960"/>
  <c r="B1960"/>
  <c r="BO1956"/>
  <c r="N1956"/>
  <c r="M1956"/>
  <c r="B1956"/>
  <c r="BO1952"/>
  <c r="N1952"/>
  <c r="M1952"/>
  <c r="B1952"/>
  <c r="BO1951"/>
  <c r="N1951"/>
  <c r="M1951"/>
  <c r="B1951"/>
  <c r="BO1932"/>
  <c r="N1932"/>
  <c r="M1932"/>
  <c r="B1932"/>
  <c r="BO1924"/>
  <c r="N1924"/>
  <c r="M1924"/>
  <c r="B1924"/>
  <c r="BO1914"/>
  <c r="N1914"/>
  <c r="M1914"/>
  <c r="B1914"/>
  <c r="BO1910"/>
  <c r="N1910"/>
  <c r="M1910"/>
  <c r="B1910"/>
  <c r="BO1868"/>
  <c r="N1868"/>
  <c r="M1868"/>
  <c r="B1868"/>
  <c r="BO1865"/>
  <c r="N1865"/>
  <c r="M1865"/>
  <c r="B1865"/>
  <c r="BO1855"/>
  <c r="N1855"/>
  <c r="M1855"/>
  <c r="B1855"/>
  <c r="BO1847"/>
  <c r="N1847"/>
  <c r="M1847"/>
  <c r="B1847"/>
  <c r="BO1837"/>
  <c r="N1837"/>
  <c r="M1837"/>
  <c r="B1837"/>
  <c r="BO1829"/>
  <c r="N1829"/>
  <c r="M1829"/>
  <c r="B1829"/>
  <c r="BO1828"/>
  <c r="N1828"/>
  <c r="M1828"/>
  <c r="B1828"/>
  <c r="BO1827"/>
  <c r="N1827"/>
  <c r="M1827"/>
  <c r="B1827"/>
  <c r="BO1822"/>
  <c r="N1822"/>
  <c r="M1822"/>
  <c r="B1822"/>
  <c r="BO1810"/>
  <c r="N1810"/>
  <c r="M1810"/>
  <c r="B1810"/>
  <c r="BO1784"/>
  <c r="N1784"/>
  <c r="M1784"/>
  <c r="B1784"/>
  <c r="BO1779"/>
  <c r="N1779"/>
  <c r="M1779"/>
  <c r="B1779"/>
  <c r="BO1778"/>
  <c r="N1778"/>
  <c r="M1778"/>
  <c r="B1778"/>
  <c r="BO1768"/>
  <c r="N1768"/>
  <c r="M1768"/>
  <c r="B1768"/>
  <c r="BO1751"/>
  <c r="N1751"/>
  <c r="M1751"/>
  <c r="B1751"/>
  <c r="BO1738"/>
  <c r="N1738"/>
  <c r="M1738"/>
  <c r="B1738"/>
  <c r="BO1737"/>
  <c r="N1737"/>
  <c r="M1737"/>
  <c r="B1737"/>
  <c r="BO1718"/>
  <c r="N1718"/>
  <c r="M1718"/>
  <c r="B1718"/>
  <c r="BO1694"/>
  <c r="N1694"/>
  <c r="M1694"/>
  <c r="B1694"/>
  <c r="BO1688"/>
  <c r="N1688"/>
  <c r="M1688"/>
  <c r="B1688"/>
  <c r="BO1658"/>
  <c r="N1658"/>
  <c r="M1658"/>
  <c r="B1658"/>
  <c r="BO1651"/>
  <c r="N1651"/>
  <c r="M1651"/>
  <c r="B1651"/>
  <c r="BO1649"/>
  <c r="N1649"/>
  <c r="M1649"/>
  <c r="B1649"/>
  <c r="BO1644"/>
  <c r="N1644"/>
  <c r="M1644"/>
  <c r="B1644"/>
  <c r="BO1627"/>
  <c r="N1627"/>
  <c r="M1627"/>
  <c r="B1627"/>
  <c r="BO1625"/>
  <c r="N1625"/>
  <c r="M1625"/>
  <c r="B1625"/>
  <c r="BO1607"/>
  <c r="N1607"/>
  <c r="M1607"/>
  <c r="B1607"/>
  <c r="BO1606"/>
  <c r="N1606"/>
  <c r="M1606"/>
  <c r="B1606"/>
  <c r="BO1605"/>
  <c r="N1605"/>
  <c r="M1605"/>
  <c r="B1605"/>
  <c r="BO1575"/>
  <c r="N1575"/>
  <c r="M1575"/>
  <c r="B1575"/>
  <c r="BO1569"/>
  <c r="N1569"/>
  <c r="M1569"/>
  <c r="B1569"/>
  <c r="BO1567"/>
  <c r="N1567"/>
  <c r="M1567"/>
  <c r="B1567"/>
  <c r="BO1559"/>
  <c r="N1559"/>
  <c r="M1559"/>
  <c r="B1559"/>
  <c r="BO1544"/>
  <c r="N1544"/>
  <c r="M1544"/>
  <c r="B1544"/>
  <c r="BO1525"/>
  <c r="N1525"/>
  <c r="M1525"/>
  <c r="B1525"/>
  <c r="BO1523"/>
  <c r="N1523"/>
  <c r="M1523"/>
  <c r="B1523"/>
  <c r="BO1515"/>
  <c r="N1515"/>
  <c r="M1515"/>
  <c r="B1515"/>
  <c r="BO1506"/>
  <c r="N1506"/>
  <c r="M1506"/>
  <c r="B1506"/>
  <c r="BO1505"/>
  <c r="N1505"/>
  <c r="M1505"/>
  <c r="B1505"/>
  <c r="BO1504"/>
  <c r="N1504"/>
  <c r="M1504"/>
  <c r="B1504"/>
  <c r="BO1494"/>
  <c r="N1494"/>
  <c r="M1494"/>
  <c r="B1494"/>
  <c r="BO1491"/>
  <c r="N1491"/>
  <c r="M1491"/>
  <c r="B1491"/>
  <c r="BO1490"/>
  <c r="N1490"/>
  <c r="M1490"/>
  <c r="B1490"/>
  <c r="BO1488"/>
  <c r="N1488"/>
  <c r="M1488"/>
  <c r="B1488"/>
  <c r="BO1482"/>
  <c r="N1482"/>
  <c r="M1482"/>
  <c r="B1482"/>
  <c r="BO1476"/>
  <c r="N1476"/>
  <c r="M1476"/>
  <c r="B1476"/>
  <c r="BO1474"/>
  <c r="N1474"/>
  <c r="M1474"/>
  <c r="B1474"/>
  <c r="BO1453"/>
  <c r="N1453"/>
  <c r="M1453"/>
  <c r="B1453"/>
  <c r="BO1446"/>
  <c r="N1446"/>
  <c r="M1446"/>
  <c r="B1446"/>
  <c r="BO1440"/>
  <c r="N1440"/>
  <c r="M1440"/>
  <c r="B1440"/>
  <c r="BO1438"/>
  <c r="N1438"/>
  <c r="M1438"/>
  <c r="BO1434"/>
  <c r="N1434"/>
  <c r="M1434"/>
  <c r="B1434"/>
  <c r="BO1412"/>
  <c r="N1412"/>
  <c r="M1412"/>
  <c r="B1412"/>
  <c r="BO1398"/>
  <c r="N1398"/>
  <c r="M1398"/>
  <c r="B1398"/>
  <c r="BO1392"/>
  <c r="N1392"/>
  <c r="M1392"/>
  <c r="B1392"/>
  <c r="BO1390"/>
  <c r="N1390"/>
  <c r="M1390"/>
  <c r="B1390"/>
  <c r="BO1375"/>
  <c r="N1375"/>
  <c r="M1375"/>
  <c r="B1375"/>
  <c r="BO1363"/>
  <c r="N1363"/>
  <c r="M1363"/>
  <c r="B1363"/>
  <c r="BO1362"/>
  <c r="N1362"/>
  <c r="M1362"/>
  <c r="B1362"/>
  <c r="BO1353"/>
  <c r="N1353"/>
  <c r="M1353"/>
  <c r="BO1352"/>
  <c r="N1352"/>
  <c r="M1352"/>
  <c r="B1352"/>
  <c r="BO1349"/>
  <c r="N1349"/>
  <c r="M1349"/>
  <c r="B1349"/>
  <c r="BO1338"/>
  <c r="N1338"/>
  <c r="M1338"/>
  <c r="B1338"/>
  <c r="BO1323"/>
  <c r="N1323"/>
  <c r="M1323"/>
  <c r="B1323"/>
  <c r="BO1321"/>
  <c r="N1321"/>
  <c r="M1321"/>
  <c r="B1321"/>
  <c r="BO1310"/>
  <c r="N1310"/>
  <c r="M1310"/>
  <c r="B1310"/>
  <c r="BO1300"/>
  <c r="N1300"/>
  <c r="M1300"/>
  <c r="B1300"/>
  <c r="BO1294"/>
  <c r="N1294"/>
  <c r="M1294"/>
  <c r="B1294"/>
  <c r="BO1293"/>
  <c r="N1293"/>
  <c r="M1293"/>
  <c r="B1293"/>
  <c r="BO1288"/>
  <c r="N1288"/>
  <c r="M1288"/>
  <c r="B1288"/>
  <c r="BO1284"/>
  <c r="N1284"/>
  <c r="M1284"/>
  <c r="B1284"/>
  <c r="BO1238"/>
  <c r="N1238"/>
  <c r="M1238"/>
  <c r="B1238"/>
  <c r="BO1232"/>
  <c r="N1232"/>
  <c r="M1232"/>
  <c r="B1232"/>
  <c r="BO1225"/>
  <c r="N1225"/>
  <c r="M1225"/>
  <c r="B1225"/>
  <c r="BO1219"/>
  <c r="N1219"/>
  <c r="M1219"/>
  <c r="B1219"/>
  <c r="BO1199"/>
  <c r="N1199"/>
  <c r="M1199"/>
  <c r="B1199"/>
  <c r="BO1197"/>
  <c r="N1197"/>
  <c r="M1197"/>
  <c r="BO1195"/>
  <c r="N1195"/>
  <c r="M1195"/>
  <c r="B1195"/>
  <c r="BO1181"/>
  <c r="N1181"/>
  <c r="M1181"/>
  <c r="B1181"/>
  <c r="BO1156"/>
  <c r="N1156"/>
  <c r="M1156"/>
  <c r="B1156"/>
  <c r="BO1138"/>
  <c r="N1138"/>
  <c r="M1138"/>
  <c r="B1138"/>
  <c r="BO1124"/>
  <c r="N1124"/>
  <c r="M1124"/>
  <c r="B1124"/>
  <c r="BO1096"/>
  <c r="N1096"/>
  <c r="M1096"/>
  <c r="BO1086"/>
  <c r="N1086"/>
  <c r="M1086"/>
  <c r="B1086"/>
  <c r="BO1061"/>
  <c r="N1061"/>
  <c r="M1061"/>
  <c r="BO1060"/>
  <c r="N1060"/>
  <c r="M1060"/>
  <c r="B1060"/>
  <c r="BO1043"/>
  <c r="N1043"/>
  <c r="M1043"/>
  <c r="BO987"/>
  <c r="N987"/>
  <c r="M987"/>
  <c r="B987"/>
  <c r="BO986"/>
  <c r="N986"/>
  <c r="M986"/>
  <c r="B986"/>
  <c r="BO984"/>
  <c r="N984"/>
  <c r="M984"/>
  <c r="B984"/>
  <c r="BO975"/>
  <c r="N975"/>
  <c r="M975"/>
  <c r="B975"/>
  <c r="BO964"/>
  <c r="N964"/>
  <c r="M964"/>
  <c r="B964"/>
  <c r="BO958"/>
  <c r="N958"/>
  <c r="M958"/>
  <c r="B958"/>
  <c r="BO957"/>
  <c r="N957"/>
  <c r="M957"/>
  <c r="B957"/>
  <c r="BO956"/>
  <c r="N956"/>
  <c r="M956"/>
  <c r="B956"/>
  <c r="BO945"/>
  <c r="N945"/>
  <c r="M945"/>
  <c r="B945"/>
  <c r="BO943"/>
  <c r="N943"/>
  <c r="M943"/>
  <c r="B943"/>
  <c r="BO942"/>
  <c r="N942"/>
  <c r="M942"/>
  <c r="BO920"/>
  <c r="N920"/>
  <c r="M920"/>
  <c r="B920"/>
  <c r="BO918"/>
  <c r="N918"/>
  <c r="M918"/>
  <c r="B918"/>
  <c r="BO917"/>
  <c r="N917"/>
  <c r="M917"/>
  <c r="B917"/>
  <c r="BO913"/>
  <c r="N913"/>
  <c r="M913"/>
  <c r="B913"/>
  <c r="BO906"/>
  <c r="N906"/>
  <c r="M906"/>
  <c r="B906"/>
  <c r="BO900"/>
  <c r="N900"/>
  <c r="M900"/>
  <c r="B900"/>
  <c r="BO897"/>
  <c r="N897"/>
  <c r="M897"/>
  <c r="B897"/>
  <c r="BO878"/>
  <c r="N878"/>
  <c r="M878"/>
  <c r="B878"/>
  <c r="BO854"/>
  <c r="N854"/>
  <c r="M854"/>
  <c r="B854"/>
  <c r="BO848"/>
  <c r="N848"/>
  <c r="M848"/>
  <c r="B848"/>
  <c r="BO846"/>
  <c r="N846"/>
  <c r="M846"/>
  <c r="B846"/>
  <c r="BO831"/>
  <c r="N831"/>
  <c r="M831"/>
  <c r="B831"/>
  <c r="BO826"/>
  <c r="N826"/>
  <c r="M826"/>
  <c r="BO818"/>
  <c r="N818"/>
  <c r="M818"/>
  <c r="B818"/>
  <c r="BO793"/>
  <c r="N793"/>
  <c r="M793"/>
  <c r="B793"/>
  <c r="BO784"/>
  <c r="N784"/>
  <c r="M784"/>
  <c r="B784"/>
  <c r="BO760"/>
  <c r="N760"/>
  <c r="M760"/>
  <c r="BO748"/>
  <c r="N748"/>
  <c r="M748"/>
  <c r="B748"/>
  <c r="BO742"/>
  <c r="N742"/>
  <c r="M742"/>
  <c r="B742"/>
  <c r="BO734"/>
  <c r="N734"/>
  <c r="M734"/>
  <c r="BO720"/>
  <c r="N720"/>
  <c r="M720"/>
  <c r="B720"/>
  <c r="BO719"/>
  <c r="N719"/>
  <c r="M719"/>
  <c r="B719"/>
  <c r="BO714"/>
  <c r="N714"/>
  <c r="M714"/>
  <c r="B714"/>
  <c r="BO704"/>
  <c r="N704"/>
  <c r="M704"/>
  <c r="B704"/>
  <c r="BO696"/>
  <c r="N696"/>
  <c r="M696"/>
  <c r="B696"/>
  <c r="BO691"/>
  <c r="N691"/>
  <c r="M691"/>
  <c r="B691"/>
  <c r="BO678"/>
  <c r="N678"/>
  <c r="M678"/>
  <c r="BO672"/>
  <c r="N672"/>
  <c r="M672"/>
  <c r="B672"/>
  <c r="BO654"/>
  <c r="N654"/>
  <c r="M654"/>
  <c r="B654"/>
  <c r="BO645"/>
  <c r="N645"/>
  <c r="M645"/>
  <c r="B645"/>
  <c r="BO640"/>
  <c r="N640"/>
  <c r="M640"/>
  <c r="B640"/>
  <c r="BO639"/>
  <c r="N639"/>
  <c r="M639"/>
  <c r="B639"/>
  <c r="BO632"/>
  <c r="N632"/>
  <c r="M632"/>
  <c r="B632"/>
  <c r="BO631"/>
  <c r="N631"/>
  <c r="M631"/>
  <c r="B631"/>
  <c r="BO628"/>
  <c r="N628"/>
  <c r="M628"/>
  <c r="B628"/>
  <c r="BO609"/>
  <c r="N609"/>
  <c r="M609"/>
  <c r="BO603"/>
  <c r="N603"/>
  <c r="M603"/>
  <c r="B603"/>
  <c r="BO578"/>
  <c r="N578"/>
  <c r="M578"/>
  <c r="BO564"/>
  <c r="N564"/>
  <c r="M564"/>
  <c r="B564"/>
  <c r="BO553"/>
  <c r="N553"/>
  <c r="M553"/>
  <c r="B553"/>
  <c r="BO545"/>
  <c r="N545"/>
  <c r="M545"/>
  <c r="B545"/>
  <c r="BO544"/>
  <c r="N544"/>
  <c r="M544"/>
  <c r="B544"/>
  <c r="BO534"/>
  <c r="N534"/>
  <c r="M534"/>
  <c r="B534"/>
  <c r="BO529"/>
  <c r="N529"/>
  <c r="M529"/>
  <c r="B529"/>
  <c r="BO520"/>
  <c r="N520"/>
  <c r="M520"/>
  <c r="B520"/>
  <c r="BO507"/>
  <c r="N507"/>
  <c r="M507"/>
  <c r="BO503"/>
  <c r="N503"/>
  <c r="M503"/>
  <c r="B503"/>
  <c r="BO493"/>
  <c r="N493"/>
  <c r="M493"/>
  <c r="B493"/>
  <c r="BO492"/>
  <c r="N492"/>
  <c r="M492"/>
  <c r="B492"/>
  <c r="BO480"/>
  <c r="N480"/>
  <c r="M480"/>
  <c r="BO414"/>
  <c r="N414"/>
  <c r="M414"/>
  <c r="B414"/>
  <c r="BO405"/>
  <c r="N405"/>
  <c r="M405"/>
  <c r="B405"/>
  <c r="BO390"/>
  <c r="N390"/>
  <c r="M390"/>
  <c r="B390"/>
  <c r="BO388"/>
  <c r="N388"/>
  <c r="M388"/>
  <c r="B388"/>
  <c r="BO377"/>
  <c r="N377"/>
  <c r="M377"/>
  <c r="BO360"/>
  <c r="N360"/>
  <c r="M360"/>
  <c r="B360"/>
  <c r="BO354"/>
  <c r="N354"/>
  <c r="M354"/>
  <c r="B354"/>
  <c r="BO348"/>
  <c r="N348"/>
  <c r="M348"/>
  <c r="B348"/>
  <c r="BO345"/>
  <c r="N345"/>
  <c r="M345"/>
  <c r="B345"/>
  <c r="BO329"/>
  <c r="N329"/>
  <c r="M329"/>
  <c r="B329"/>
  <c r="BO307"/>
  <c r="N307"/>
  <c r="M307"/>
  <c r="B307"/>
  <c r="BO298"/>
  <c r="N298"/>
  <c r="M298"/>
  <c r="B298"/>
  <c r="BO297"/>
  <c r="N297"/>
  <c r="M297"/>
  <c r="B297"/>
  <c r="BO293"/>
  <c r="N293"/>
  <c r="M293"/>
  <c r="B293"/>
  <c r="BO271"/>
  <c r="N271"/>
  <c r="M271"/>
  <c r="B271"/>
  <c r="BO265"/>
  <c r="N265"/>
  <c r="M265"/>
  <c r="B265"/>
  <c r="BO259"/>
  <c r="N259"/>
  <c r="M259"/>
  <c r="B259"/>
  <c r="BO243"/>
  <c r="N243"/>
  <c r="M243"/>
  <c r="B243"/>
  <c r="BO235"/>
  <c r="N235"/>
  <c r="M235"/>
  <c r="B235"/>
  <c r="BO232"/>
  <c r="N232"/>
  <c r="M232"/>
  <c r="B232"/>
  <c r="BO228"/>
  <c r="N228"/>
  <c r="M228"/>
  <c r="B228"/>
  <c r="BO209"/>
  <c r="N209"/>
  <c r="M209"/>
  <c r="B209"/>
  <c r="BO197"/>
  <c r="N197"/>
  <c r="M197"/>
  <c r="B197"/>
  <c r="BO187"/>
  <c r="N187"/>
  <c r="M187"/>
  <c r="B187"/>
  <c r="BO166"/>
  <c r="N166"/>
  <c r="M166"/>
  <c r="B166"/>
  <c r="BO165"/>
  <c r="N165"/>
  <c r="M165"/>
  <c r="B165"/>
  <c r="BO164"/>
  <c r="N164"/>
  <c r="M164"/>
  <c r="B164"/>
  <c r="BO163"/>
  <c r="N163"/>
  <c r="M163"/>
  <c r="B163"/>
  <c r="BO161"/>
  <c r="N161"/>
  <c r="M161"/>
  <c r="B161"/>
  <c r="BO159"/>
  <c r="N159"/>
  <c r="M159"/>
  <c r="B159"/>
  <c r="BO133"/>
  <c r="N133"/>
  <c r="M133"/>
  <c r="B133"/>
  <c r="BO124"/>
  <c r="N124"/>
  <c r="M124"/>
  <c r="B124"/>
  <c r="BO120"/>
  <c r="N120"/>
  <c r="M120"/>
  <c r="B120"/>
  <c r="BO117"/>
  <c r="N117"/>
  <c r="M117"/>
  <c r="BO114"/>
  <c r="N114"/>
  <c r="M114"/>
  <c r="B114"/>
  <c r="BO110"/>
  <c r="N110"/>
  <c r="M110"/>
  <c r="B110"/>
  <c r="BO105"/>
  <c r="N105"/>
  <c r="M105"/>
  <c r="BO94"/>
  <c r="N94"/>
  <c r="M94"/>
  <c r="B94"/>
  <c r="BO74"/>
  <c r="N74"/>
  <c r="M74"/>
  <c r="B74"/>
  <c r="BO59"/>
  <c r="N59"/>
  <c r="M59"/>
  <c r="B59"/>
  <c r="BO58"/>
  <c r="N58"/>
  <c r="M58"/>
  <c r="B58"/>
  <c r="BO56"/>
  <c r="N56"/>
  <c r="M56"/>
  <c r="B56"/>
  <c r="BO55"/>
  <c r="N55"/>
  <c r="M55"/>
  <c r="B55"/>
  <c r="BO54"/>
  <c r="N54"/>
  <c r="M54"/>
  <c r="B54"/>
  <c r="BO46"/>
  <c r="N46"/>
  <c r="M46"/>
  <c r="B46"/>
  <c r="BO44"/>
  <c r="N44"/>
  <c r="M44"/>
  <c r="B44"/>
  <c r="BO43"/>
  <c r="N43"/>
  <c r="M43"/>
  <c r="B43"/>
  <c r="BO42"/>
  <c r="N42"/>
  <c r="M42"/>
  <c r="B42"/>
  <c r="BO2629"/>
  <c r="N2629"/>
  <c r="M2629"/>
  <c r="B2629"/>
  <c r="BO2537"/>
  <c r="N2537"/>
  <c r="M2537"/>
  <c r="B2537"/>
  <c r="BO2536"/>
  <c r="N2536"/>
  <c r="M2536"/>
  <c r="B2536"/>
  <c r="BO2531"/>
  <c r="N2531"/>
  <c r="M2531"/>
  <c r="B2531"/>
  <c r="BO2514"/>
  <c r="N2514"/>
  <c r="M2514"/>
  <c r="B2514"/>
  <c r="BO2498"/>
  <c r="N2498"/>
  <c r="M2498"/>
  <c r="B2498"/>
  <c r="BO2419"/>
  <c r="N2419"/>
  <c r="M2419"/>
  <c r="B2419"/>
  <c r="BO2417"/>
  <c r="N2417"/>
  <c r="M2417"/>
  <c r="BO2366"/>
  <c r="N2366"/>
  <c r="M2366"/>
  <c r="B2366"/>
  <c r="BO2345"/>
  <c r="N2345"/>
  <c r="M2345"/>
  <c r="B2345"/>
  <c r="BO2306"/>
  <c r="N2306"/>
  <c r="M2306"/>
  <c r="B2306"/>
  <c r="BO2264"/>
  <c r="N2264"/>
  <c r="M2264"/>
  <c r="B2264"/>
  <c r="BO2249"/>
  <c r="N2249"/>
  <c r="M2249"/>
  <c r="BO2195"/>
  <c r="N2195"/>
  <c r="M2195"/>
  <c r="B2195"/>
  <c r="BO2120"/>
  <c r="N2120"/>
  <c r="M2120"/>
  <c r="B2120"/>
  <c r="BO2104"/>
  <c r="N2104"/>
  <c r="M2104"/>
  <c r="B2104"/>
  <c r="BO2102"/>
  <c r="N2102"/>
  <c r="M2102"/>
  <c r="B2102"/>
  <c r="BO2063"/>
  <c r="N2063"/>
  <c r="M2063"/>
  <c r="B2063"/>
  <c r="BO2017"/>
  <c r="N2017"/>
  <c r="M2017"/>
  <c r="B2017"/>
  <c r="BO1926"/>
  <c r="N1926"/>
  <c r="M1926"/>
  <c r="B1926"/>
  <c r="BO1854"/>
  <c r="N1854"/>
  <c r="M1854"/>
  <c r="B1854"/>
  <c r="BO1819"/>
  <c r="N1819"/>
  <c r="M1819"/>
  <c r="B1819"/>
  <c r="BO1814"/>
  <c r="N1814"/>
  <c r="M1814"/>
  <c r="B1814"/>
  <c r="BO1811"/>
  <c r="N1811"/>
  <c r="M1811"/>
  <c r="B1811"/>
  <c r="BO1720"/>
  <c r="N1720"/>
  <c r="M1720"/>
  <c r="B1720"/>
  <c r="BO1652"/>
  <c r="N1652"/>
  <c r="M1652"/>
  <c r="B1652"/>
  <c r="BO1585"/>
  <c r="N1585"/>
  <c r="M1585"/>
  <c r="B1585"/>
  <c r="BO1486"/>
  <c r="N1486"/>
  <c r="M1486"/>
  <c r="B1486"/>
  <c r="BO1480"/>
  <c r="N1480"/>
  <c r="M1480"/>
  <c r="B1480"/>
  <c r="BO1432"/>
  <c r="N1432"/>
  <c r="M1432"/>
  <c r="B1432"/>
  <c r="BO1214"/>
  <c r="N1214"/>
  <c r="M1214"/>
  <c r="B1214"/>
  <c r="BO1203"/>
  <c r="N1203"/>
  <c r="M1203"/>
  <c r="BO1154"/>
  <c r="N1154"/>
  <c r="M1154"/>
  <c r="B1154"/>
  <c r="BO1143"/>
  <c r="N1143"/>
  <c r="M1143"/>
  <c r="BO1127"/>
  <c r="N1127"/>
  <c r="M1127"/>
  <c r="B1127"/>
  <c r="BO1011"/>
  <c r="N1011"/>
  <c r="M1011"/>
  <c r="B1011"/>
  <c r="BO992"/>
  <c r="N992"/>
  <c r="M992"/>
  <c r="B992"/>
  <c r="BO951"/>
  <c r="N951"/>
  <c r="M951"/>
  <c r="B951"/>
  <c r="BO881"/>
  <c r="N881"/>
  <c r="M881"/>
  <c r="B881"/>
  <c r="BO802"/>
  <c r="N802"/>
  <c r="M802"/>
  <c r="B802"/>
  <c r="BO589"/>
  <c r="N589"/>
  <c r="M589"/>
  <c r="B589"/>
  <c r="BO576"/>
  <c r="N576"/>
  <c r="M576"/>
  <c r="B576"/>
  <c r="BO573"/>
  <c r="N573"/>
  <c r="M573"/>
  <c r="B573"/>
  <c r="BO571"/>
  <c r="N571"/>
  <c r="M571"/>
  <c r="B571"/>
  <c r="BO566"/>
  <c r="N566"/>
  <c r="M566"/>
  <c r="B566"/>
  <c r="BO539"/>
  <c r="N539"/>
  <c r="M539"/>
  <c r="B539"/>
  <c r="BO443"/>
  <c r="N443"/>
  <c r="M443"/>
  <c r="B443"/>
  <c r="BO384"/>
  <c r="N384"/>
  <c r="M384"/>
  <c r="B384"/>
  <c r="BO372"/>
  <c r="N372"/>
  <c r="M372"/>
  <c r="B372"/>
  <c r="BO327"/>
  <c r="N327"/>
  <c r="M327"/>
  <c r="B327"/>
  <c r="BO277"/>
  <c r="N277"/>
  <c r="M277"/>
  <c r="B277"/>
  <c r="BO255"/>
  <c r="N255"/>
  <c r="M255"/>
  <c r="B255"/>
  <c r="BO242"/>
  <c r="N242"/>
  <c r="M242"/>
  <c r="B242"/>
  <c r="BO204"/>
  <c r="N204"/>
  <c r="M204"/>
  <c r="B204"/>
  <c r="BO194"/>
  <c r="N194"/>
  <c r="M194"/>
  <c r="BO185"/>
  <c r="N185"/>
  <c r="M185"/>
  <c r="B185"/>
  <c r="BO115"/>
  <c r="N115"/>
  <c r="M115"/>
  <c r="B115"/>
  <c r="BO57"/>
  <c r="N57"/>
  <c r="M57"/>
  <c r="B57"/>
  <c r="BO2750"/>
  <c r="N2750"/>
  <c r="M2750"/>
  <c r="B2750"/>
  <c r="BO2747"/>
  <c r="N2747"/>
  <c r="M2747"/>
  <c r="B2747"/>
  <c r="BO2744"/>
  <c r="N2744"/>
  <c r="M2744"/>
  <c r="B2744"/>
  <c r="BO2739"/>
  <c r="N2739"/>
  <c r="M2739"/>
  <c r="B2739"/>
  <c r="BO2729"/>
  <c r="N2729"/>
  <c r="M2729"/>
  <c r="B2729"/>
  <c r="BO2508"/>
  <c r="N2508"/>
  <c r="M2508"/>
  <c r="B2508"/>
  <c r="BO2484"/>
  <c r="N2484"/>
  <c r="M2484"/>
  <c r="B2484"/>
  <c r="BO2380"/>
  <c r="N2380"/>
  <c r="M2380"/>
  <c r="BO2374"/>
  <c r="N2374"/>
  <c r="M2374"/>
  <c r="B2374"/>
  <c r="BO2369"/>
  <c r="N2369"/>
  <c r="M2369"/>
  <c r="B2369"/>
  <c r="BO2358"/>
  <c r="N2358"/>
  <c r="M2358"/>
  <c r="B2358"/>
  <c r="BO2332"/>
  <c r="N2332"/>
  <c r="M2332"/>
  <c r="B2332"/>
  <c r="BO2261"/>
  <c r="N2261"/>
  <c r="M2261"/>
  <c r="B2261"/>
  <c r="BO2243"/>
  <c r="N2243"/>
  <c r="M2243"/>
  <c r="B2243"/>
  <c r="BO2077"/>
  <c r="N2077"/>
  <c r="M2077"/>
  <c r="B2077"/>
  <c r="BO2044"/>
  <c r="N2044"/>
  <c r="M2044"/>
  <c r="B2044"/>
  <c r="BO1979"/>
  <c r="N1979"/>
  <c r="M1979"/>
  <c r="B1979"/>
  <c r="BO1978"/>
  <c r="N1978"/>
  <c r="M1978"/>
  <c r="B1978"/>
  <c r="BO1916"/>
  <c r="N1916"/>
  <c r="M1916"/>
  <c r="B1916"/>
  <c r="BO1873"/>
  <c r="N1873"/>
  <c r="M1873"/>
  <c r="B1873"/>
  <c r="BO1831"/>
  <c r="N1831"/>
  <c r="M1831"/>
  <c r="B1831"/>
  <c r="BO1782"/>
  <c r="N1782"/>
  <c r="M1782"/>
  <c r="B1782"/>
  <c r="BO1755"/>
  <c r="N1755"/>
  <c r="M1755"/>
  <c r="B1755"/>
  <c r="BO1500"/>
  <c r="N1500"/>
  <c r="M1500"/>
  <c r="BO1498"/>
  <c r="N1498"/>
  <c r="M1498"/>
  <c r="B1498"/>
  <c r="BO1481"/>
  <c r="N1481"/>
  <c r="M1481"/>
  <c r="B1481"/>
  <c r="BO1458"/>
  <c r="N1458"/>
  <c r="M1458"/>
  <c r="B1458"/>
  <c r="BO1419"/>
  <c r="N1419"/>
  <c r="M1419"/>
  <c r="B1419"/>
  <c r="BO1416"/>
  <c r="N1416"/>
  <c r="M1416"/>
  <c r="B1416"/>
  <c r="BO1361"/>
  <c r="N1361"/>
  <c r="M1361"/>
  <c r="B1361"/>
  <c r="BO1339"/>
  <c r="N1339"/>
  <c r="M1339"/>
  <c r="B1339"/>
  <c r="BO1335"/>
  <c r="N1335"/>
  <c r="M1335"/>
  <c r="B1335"/>
  <c r="BO1332"/>
  <c r="N1332"/>
  <c r="M1332"/>
  <c r="B1332"/>
  <c r="BO1312"/>
  <c r="N1312"/>
  <c r="M1312"/>
  <c r="B1312"/>
  <c r="BO1281"/>
  <c r="N1281"/>
  <c r="M1281"/>
  <c r="B1281"/>
  <c r="BO1257"/>
  <c r="N1257"/>
  <c r="M1257"/>
  <c r="B1257"/>
  <c r="BO1253"/>
  <c r="N1253"/>
  <c r="M1253"/>
  <c r="B1253"/>
  <c r="BO1163"/>
  <c r="N1163"/>
  <c r="M1163"/>
  <c r="B1163"/>
  <c r="BO1067"/>
  <c r="N1067"/>
  <c r="M1067"/>
  <c r="BO1052"/>
  <c r="N1052"/>
  <c r="M1052"/>
  <c r="B1052"/>
  <c r="BO1013"/>
  <c r="N1013"/>
  <c r="M1013"/>
  <c r="B1013"/>
  <c r="BO1001"/>
  <c r="N1001"/>
  <c r="M1001"/>
  <c r="B1001"/>
  <c r="BO996"/>
  <c r="N996"/>
  <c r="M996"/>
  <c r="B996"/>
  <c r="BO876"/>
  <c r="N876"/>
  <c r="M876"/>
  <c r="B876"/>
  <c r="BO856"/>
  <c r="N856"/>
  <c r="M856"/>
  <c r="B856"/>
  <c r="BO847"/>
  <c r="N847"/>
  <c r="M847"/>
  <c r="BO816"/>
  <c r="N816"/>
  <c r="M816"/>
  <c r="B816"/>
  <c r="BO773"/>
  <c r="N773"/>
  <c r="M773"/>
  <c r="B773"/>
  <c r="BO730"/>
  <c r="N730"/>
  <c r="M730"/>
  <c r="B730"/>
  <c r="BO729"/>
  <c r="N729"/>
  <c r="M729"/>
  <c r="B729"/>
  <c r="BO682"/>
  <c r="N682"/>
  <c r="M682"/>
  <c r="B682"/>
  <c r="BO652"/>
  <c r="N652"/>
  <c r="M652"/>
  <c r="B652"/>
  <c r="BO646"/>
  <c r="N646"/>
  <c r="M646"/>
  <c r="B646"/>
  <c r="BO623"/>
  <c r="N623"/>
  <c r="M623"/>
  <c r="B623"/>
  <c r="BO614"/>
  <c r="N614"/>
  <c r="M614"/>
  <c r="B614"/>
  <c r="BO456"/>
  <c r="N456"/>
  <c r="M456"/>
  <c r="B456"/>
  <c r="BO416"/>
  <c r="N416"/>
  <c r="M416"/>
  <c r="B416"/>
  <c r="BO412"/>
  <c r="N412"/>
  <c r="M412"/>
  <c r="BO394"/>
  <c r="N394"/>
  <c r="M394"/>
  <c r="B394"/>
  <c r="BO373"/>
  <c r="N373"/>
  <c r="M373"/>
  <c r="B373"/>
  <c r="BO367"/>
  <c r="N367"/>
  <c r="M367"/>
  <c r="B367"/>
  <c r="BO366"/>
  <c r="N366"/>
  <c r="M366"/>
  <c r="B366"/>
  <c r="BO267"/>
  <c r="N267"/>
  <c r="M267"/>
  <c r="B267"/>
  <c r="BO239"/>
  <c r="N239"/>
  <c r="M239"/>
  <c r="B239"/>
  <c r="BO237"/>
  <c r="N237"/>
  <c r="M237"/>
  <c r="B237"/>
  <c r="BO200"/>
  <c r="N200"/>
  <c r="M200"/>
  <c r="B200"/>
  <c r="BO98"/>
  <c r="N98"/>
  <c r="M98"/>
  <c r="B98"/>
  <c r="BO67"/>
  <c r="N67"/>
  <c r="M67"/>
  <c r="B67"/>
  <c r="BO15"/>
  <c r="N15"/>
  <c r="M15"/>
  <c r="B15"/>
  <c r="BO14"/>
  <c r="N14"/>
  <c r="M14"/>
  <c r="B14"/>
  <c r="BO2740"/>
  <c r="N2740"/>
  <c r="M2740"/>
  <c r="B2740"/>
  <c r="BO2730"/>
  <c r="N2730"/>
  <c r="M2730"/>
  <c r="B2730"/>
  <c r="BO2717"/>
  <c r="N2717"/>
  <c r="M2717"/>
  <c r="B2717"/>
  <c r="BO2716"/>
  <c r="N2716"/>
  <c r="M2716"/>
  <c r="B2716"/>
  <c r="BO2713"/>
  <c r="N2713"/>
  <c r="M2713"/>
  <c r="B2713"/>
  <c r="BO2712"/>
  <c r="N2712"/>
  <c r="M2712"/>
  <c r="B2712"/>
  <c r="BO2707"/>
  <c r="N2707"/>
  <c r="M2707"/>
  <c r="B2707"/>
  <c r="BO2698"/>
  <c r="N2698"/>
  <c r="M2698"/>
  <c r="B2698"/>
  <c r="BO2696"/>
  <c r="N2696"/>
  <c r="M2696"/>
  <c r="B2696"/>
  <c r="BO2689"/>
  <c r="N2689"/>
  <c r="M2689"/>
  <c r="B2689"/>
  <c r="BO2602"/>
  <c r="N2602"/>
  <c r="M2602"/>
  <c r="B2602"/>
  <c r="BO2600"/>
  <c r="N2600"/>
  <c r="M2600"/>
  <c r="B2600"/>
  <c r="BO2594"/>
  <c r="N2594"/>
  <c r="M2594"/>
  <c r="B2594"/>
  <c r="BO2581"/>
  <c r="N2581"/>
  <c r="M2581"/>
  <c r="B2581"/>
  <c r="BO2574"/>
  <c r="N2574"/>
  <c r="M2574"/>
  <c r="BO2566"/>
  <c r="N2566"/>
  <c r="M2566"/>
  <c r="B2566"/>
  <c r="BO2565"/>
  <c r="N2565"/>
  <c r="M2565"/>
  <c r="B2565"/>
  <c r="BO2528"/>
  <c r="N2528"/>
  <c r="M2528"/>
  <c r="B2528"/>
  <c r="BO2479"/>
  <c r="N2479"/>
  <c r="M2479"/>
  <c r="B2479"/>
  <c r="BO2474"/>
  <c r="N2474"/>
  <c r="M2474"/>
  <c r="B2474"/>
  <c r="BO2465"/>
  <c r="N2465"/>
  <c r="M2465"/>
  <c r="B2465"/>
  <c r="BO2446"/>
  <c r="N2446"/>
  <c r="M2446"/>
  <c r="B2446"/>
  <c r="BO2431"/>
  <c r="N2431"/>
  <c r="M2431"/>
  <c r="B2431"/>
  <c r="BO2379"/>
  <c r="N2379"/>
  <c r="M2379"/>
  <c r="B2379"/>
  <c r="BO2365"/>
  <c r="N2365"/>
  <c r="M2365"/>
  <c r="B2365"/>
  <c r="BO2329"/>
  <c r="N2329"/>
  <c r="M2329"/>
  <c r="B2329"/>
  <c r="BO2309"/>
  <c r="N2309"/>
  <c r="M2309"/>
  <c r="B2309"/>
  <c r="BO2297"/>
  <c r="N2297"/>
  <c r="M2297"/>
  <c r="B2297"/>
  <c r="BO2296"/>
  <c r="N2296"/>
  <c r="M2296"/>
  <c r="B2296"/>
  <c r="BO2281"/>
  <c r="N2281"/>
  <c r="M2281"/>
  <c r="B2281"/>
  <c r="BO2278"/>
  <c r="N2278"/>
  <c r="M2278"/>
  <c r="B2278"/>
  <c r="BO2275"/>
  <c r="N2275"/>
  <c r="M2275"/>
  <c r="B2275"/>
  <c r="BO2265"/>
  <c r="N2265"/>
  <c r="M2265"/>
  <c r="BO2256"/>
  <c r="N2256"/>
  <c r="M2256"/>
  <c r="B2256"/>
  <c r="BO2254"/>
  <c r="N2254"/>
  <c r="M2254"/>
  <c r="B2254"/>
  <c r="BO2246"/>
  <c r="N2246"/>
  <c r="M2246"/>
  <c r="B2246"/>
  <c r="BO2198"/>
  <c r="N2198"/>
  <c r="M2198"/>
  <c r="B2198"/>
  <c r="BO2190"/>
  <c r="N2190"/>
  <c r="M2190"/>
  <c r="B2190"/>
  <c r="BO2175"/>
  <c r="N2175"/>
  <c r="M2175"/>
  <c r="B2175"/>
  <c r="BO2134"/>
  <c r="N2134"/>
  <c r="M2134"/>
  <c r="B2134"/>
  <c r="BO2133"/>
  <c r="N2133"/>
  <c r="M2133"/>
  <c r="B2133"/>
  <c r="BO2130"/>
  <c r="N2130"/>
  <c r="M2130"/>
  <c r="B2130"/>
  <c r="BO2099"/>
  <c r="N2099"/>
  <c r="M2099"/>
  <c r="B2099"/>
  <c r="BO2084"/>
  <c r="N2084"/>
  <c r="M2084"/>
  <c r="B2084"/>
  <c r="BO2075"/>
  <c r="N2075"/>
  <c r="M2075"/>
  <c r="B2075"/>
  <c r="BO2008"/>
  <c r="N2008"/>
  <c r="M2008"/>
  <c r="B2008"/>
  <c r="BO1936"/>
  <c r="N1936"/>
  <c r="M1936"/>
  <c r="B1936"/>
  <c r="BO1933"/>
  <c r="N1933"/>
  <c r="M1933"/>
  <c r="B1933"/>
  <c r="BO1923"/>
  <c r="N1923"/>
  <c r="M1923"/>
  <c r="B1923"/>
  <c r="BO1908"/>
  <c r="N1908"/>
  <c r="M1908"/>
  <c r="B1908"/>
  <c r="BO1905"/>
  <c r="N1905"/>
  <c r="M1905"/>
  <c r="B1905"/>
  <c r="BO1896"/>
  <c r="N1896"/>
  <c r="M1896"/>
  <c r="B1896"/>
  <c r="BO1885"/>
  <c r="N1885"/>
  <c r="M1885"/>
  <c r="B1885"/>
  <c r="BO1849"/>
  <c r="N1849"/>
  <c r="M1849"/>
  <c r="B1849"/>
  <c r="BO1792"/>
  <c r="N1792"/>
  <c r="M1792"/>
  <c r="B1792"/>
  <c r="BO1787"/>
  <c r="N1787"/>
  <c r="M1787"/>
  <c r="B1787"/>
  <c r="BO1732"/>
  <c r="N1732"/>
  <c r="M1732"/>
  <c r="B1732"/>
  <c r="BO1707"/>
  <c r="N1707"/>
  <c r="M1707"/>
  <c r="B1707"/>
  <c r="BO1689"/>
  <c r="N1689"/>
  <c r="M1689"/>
  <c r="BO1667"/>
  <c r="N1667"/>
  <c r="M1667"/>
  <c r="B1667"/>
  <c r="BO1655"/>
  <c r="N1655"/>
  <c r="M1655"/>
  <c r="BO1647"/>
  <c r="N1647"/>
  <c r="M1647"/>
  <c r="B1647"/>
  <c r="BO1639"/>
  <c r="N1639"/>
  <c r="M1639"/>
  <c r="B1639"/>
  <c r="BO1619"/>
  <c r="N1619"/>
  <c r="M1619"/>
  <c r="B1619"/>
  <c r="BO1601"/>
  <c r="N1601"/>
  <c r="M1601"/>
  <c r="B1601"/>
  <c r="BO1582"/>
  <c r="N1582"/>
  <c r="M1582"/>
  <c r="B1582"/>
  <c r="BO1554"/>
  <c r="N1554"/>
  <c r="M1554"/>
  <c r="B1554"/>
  <c r="BO1552"/>
  <c r="N1552"/>
  <c r="M1552"/>
  <c r="B1552"/>
  <c r="BO1542"/>
  <c r="N1542"/>
  <c r="M1542"/>
  <c r="B1542"/>
  <c r="BO1540"/>
  <c r="N1540"/>
  <c r="M1540"/>
  <c r="B1540"/>
  <c r="BO1539"/>
  <c r="N1539"/>
  <c r="M1539"/>
  <c r="B1539"/>
  <c r="BO1537"/>
  <c r="N1537"/>
  <c r="M1537"/>
  <c r="B1537"/>
  <c r="BO1492"/>
  <c r="N1492"/>
  <c r="M1492"/>
  <c r="B1492"/>
  <c r="BO1489"/>
  <c r="N1489"/>
  <c r="M1489"/>
  <c r="B1489"/>
  <c r="BO1473"/>
  <c r="N1473"/>
  <c r="M1473"/>
  <c r="B1473"/>
  <c r="BO1466"/>
  <c r="N1466"/>
  <c r="M1466"/>
  <c r="B1466"/>
  <c r="BO1457"/>
  <c r="N1457"/>
  <c r="M1457"/>
  <c r="B1457"/>
  <c r="BO1417"/>
  <c r="N1417"/>
  <c r="M1417"/>
  <c r="B1417"/>
  <c r="BO1407"/>
  <c r="N1407"/>
  <c r="M1407"/>
  <c r="B1407"/>
  <c r="BO1369"/>
  <c r="N1369"/>
  <c r="M1369"/>
  <c r="B1369"/>
  <c r="BO1366"/>
  <c r="N1366"/>
  <c r="M1366"/>
  <c r="B1366"/>
  <c r="BO1365"/>
  <c r="N1365"/>
  <c r="M1365"/>
  <c r="B1365"/>
  <c r="BO1346"/>
  <c r="N1346"/>
  <c r="M1346"/>
  <c r="B1346"/>
  <c r="BO1337"/>
  <c r="N1337"/>
  <c r="M1337"/>
  <c r="B1337"/>
  <c r="BO1305"/>
  <c r="N1305"/>
  <c r="M1305"/>
  <c r="B1305"/>
  <c r="BO1296"/>
  <c r="N1296"/>
  <c r="M1296"/>
  <c r="B1296"/>
  <c r="BO1290"/>
  <c r="N1290"/>
  <c r="M1290"/>
  <c r="B1290"/>
  <c r="BO1289"/>
  <c r="N1289"/>
  <c r="M1289"/>
  <c r="B1289"/>
  <c r="BO1278"/>
  <c r="N1278"/>
  <c r="M1278"/>
  <c r="B1278"/>
  <c r="BO1272"/>
  <c r="N1272"/>
  <c r="M1272"/>
  <c r="B1272"/>
  <c r="BO1265"/>
  <c r="N1265"/>
  <c r="M1265"/>
  <c r="B1265"/>
  <c r="BO1237"/>
  <c r="N1237"/>
  <c r="M1237"/>
  <c r="B1237"/>
  <c r="BO1233"/>
  <c r="N1233"/>
  <c r="M1233"/>
  <c r="B1233"/>
  <c r="BO1229"/>
  <c r="N1229"/>
  <c r="M1229"/>
  <c r="B1229"/>
  <c r="BO1223"/>
  <c r="N1223"/>
  <c r="M1223"/>
  <c r="B1223"/>
  <c r="BO1189"/>
  <c r="N1189"/>
  <c r="M1189"/>
  <c r="B1189"/>
  <c r="BO1187"/>
  <c r="N1187"/>
  <c r="M1187"/>
  <c r="B1187"/>
  <c r="BO1157"/>
  <c r="N1157"/>
  <c r="M1157"/>
  <c r="B1157"/>
  <c r="BO1146"/>
  <c r="N1146"/>
  <c r="M1146"/>
  <c r="B1146"/>
  <c r="BO1122"/>
  <c r="N1122"/>
  <c r="M1122"/>
  <c r="B1122"/>
  <c r="BO1121"/>
  <c r="N1121"/>
  <c r="M1121"/>
  <c r="BO1120"/>
  <c r="N1120"/>
  <c r="M1120"/>
  <c r="B1120"/>
  <c r="BO1119"/>
  <c r="N1119"/>
  <c r="M1119"/>
  <c r="B1119"/>
  <c r="BO1118"/>
  <c r="N1118"/>
  <c r="M1118"/>
  <c r="B1118"/>
  <c r="BO1117"/>
  <c r="N1117"/>
  <c r="M1117"/>
  <c r="B1117"/>
  <c r="BO1092"/>
  <c r="N1092"/>
  <c r="M1092"/>
  <c r="B1092"/>
  <c r="BO1087"/>
  <c r="N1087"/>
  <c r="M1087"/>
  <c r="BO1065"/>
  <c r="N1065"/>
  <c r="M1065"/>
  <c r="B1065"/>
  <c r="BO1044"/>
  <c r="N1044"/>
  <c r="M1044"/>
  <c r="B1044"/>
  <c r="BO1041"/>
  <c r="N1041"/>
  <c r="M1041"/>
  <c r="B1041"/>
  <c r="BO1039"/>
  <c r="N1039"/>
  <c r="M1039"/>
  <c r="B1039"/>
  <c r="BO1038"/>
  <c r="N1038"/>
  <c r="M1038"/>
  <c r="B1038"/>
  <c r="BO1016"/>
  <c r="N1016"/>
  <c r="M1016"/>
  <c r="B1016"/>
  <c r="BO995"/>
  <c r="N995"/>
  <c r="M995"/>
  <c r="B995"/>
  <c r="BO950"/>
  <c r="N950"/>
  <c r="M950"/>
  <c r="B950"/>
  <c r="BO916"/>
  <c r="N916"/>
  <c r="M916"/>
  <c r="BO879"/>
  <c r="N879"/>
  <c r="M879"/>
  <c r="B879"/>
  <c r="BO864"/>
  <c r="N864"/>
  <c r="M864"/>
  <c r="B864"/>
  <c r="BO853"/>
  <c r="N853"/>
  <c r="M853"/>
  <c r="B853"/>
  <c r="BO852"/>
  <c r="N852"/>
  <c r="M852"/>
  <c r="B852"/>
  <c r="BO850"/>
  <c r="N850"/>
  <c r="M850"/>
  <c r="B850"/>
  <c r="BO830"/>
  <c r="N830"/>
  <c r="M830"/>
  <c r="B830"/>
  <c r="BO790"/>
  <c r="N790"/>
  <c r="M790"/>
  <c r="B790"/>
  <c r="BO741"/>
  <c r="N741"/>
  <c r="M741"/>
  <c r="B741"/>
  <c r="BO732"/>
  <c r="N732"/>
  <c r="M732"/>
  <c r="B732"/>
  <c r="BO688"/>
  <c r="N688"/>
  <c r="M688"/>
  <c r="B688"/>
  <c r="BO685"/>
  <c r="N685"/>
  <c r="M685"/>
  <c r="B685"/>
  <c r="BO651"/>
  <c r="N651"/>
  <c r="M651"/>
  <c r="B651"/>
  <c r="BO649"/>
  <c r="N649"/>
  <c r="M649"/>
  <c r="B649"/>
  <c r="BO635"/>
  <c r="N635"/>
  <c r="M635"/>
  <c r="B635"/>
  <c r="BO604"/>
  <c r="N604"/>
  <c r="M604"/>
  <c r="B604"/>
  <c r="BO562"/>
  <c r="N562"/>
  <c r="M562"/>
  <c r="B562"/>
  <c r="BO561"/>
  <c r="N561"/>
  <c r="M561"/>
  <c r="B561"/>
  <c r="BO559"/>
  <c r="N559"/>
  <c r="M559"/>
  <c r="B559"/>
  <c r="BO552"/>
  <c r="N552"/>
  <c r="M552"/>
  <c r="B552"/>
  <c r="BO546"/>
  <c r="N546"/>
  <c r="M546"/>
  <c r="BO542"/>
  <c r="N542"/>
  <c r="M542"/>
  <c r="B542"/>
  <c r="BO523"/>
  <c r="N523"/>
  <c r="M523"/>
  <c r="B523"/>
  <c r="BO508"/>
  <c r="N508"/>
  <c r="M508"/>
  <c r="B508"/>
  <c r="BO467"/>
  <c r="N467"/>
  <c r="M467"/>
  <c r="B467"/>
  <c r="BO450"/>
  <c r="N450"/>
  <c r="M450"/>
  <c r="B450"/>
  <c r="BO429"/>
  <c r="N429"/>
  <c r="M429"/>
  <c r="B429"/>
  <c r="BO415"/>
  <c r="N415"/>
  <c r="M415"/>
  <c r="B415"/>
  <c r="BO411"/>
  <c r="N411"/>
  <c r="M411"/>
  <c r="B411"/>
  <c r="BO407"/>
  <c r="N407"/>
  <c r="M407"/>
  <c r="BO389"/>
  <c r="N389"/>
  <c r="M389"/>
  <c r="B389"/>
  <c r="BO369"/>
  <c r="N369"/>
  <c r="M369"/>
  <c r="B369"/>
  <c r="BO368"/>
  <c r="N368"/>
  <c r="M368"/>
  <c r="B368"/>
  <c r="BO361"/>
  <c r="N361"/>
  <c r="M361"/>
  <c r="B361"/>
  <c r="BO358"/>
  <c r="N358"/>
  <c r="M358"/>
  <c r="B358"/>
  <c r="BO347"/>
  <c r="N347"/>
  <c r="M347"/>
  <c r="B347"/>
  <c r="BO323"/>
  <c r="N323"/>
  <c r="M323"/>
  <c r="B323"/>
  <c r="BO296"/>
  <c r="N296"/>
  <c r="M296"/>
  <c r="BO290"/>
  <c r="N290"/>
  <c r="M290"/>
  <c r="B290"/>
  <c r="BO272"/>
  <c r="N272"/>
  <c r="M272"/>
  <c r="B272"/>
  <c r="BO258"/>
  <c r="N258"/>
  <c r="M258"/>
  <c r="B258"/>
  <c r="BO257"/>
  <c r="N257"/>
  <c r="M257"/>
  <c r="B257"/>
  <c r="BO251"/>
  <c r="N251"/>
  <c r="M251"/>
  <c r="B251"/>
  <c r="BO250"/>
  <c r="N250"/>
  <c r="M250"/>
  <c r="B250"/>
  <c r="BO231"/>
  <c r="N231"/>
  <c r="M231"/>
  <c r="B231"/>
  <c r="BO219"/>
  <c r="N219"/>
  <c r="M219"/>
  <c r="B219"/>
  <c r="BO196"/>
  <c r="N196"/>
  <c r="M196"/>
  <c r="B196"/>
  <c r="BO182"/>
  <c r="N182"/>
  <c r="M182"/>
  <c r="BO180"/>
  <c r="N180"/>
  <c r="M180"/>
  <c r="B180"/>
  <c r="BO141"/>
  <c r="N141"/>
  <c r="M141"/>
  <c r="B141"/>
  <c r="BO101"/>
  <c r="N101"/>
  <c r="M101"/>
  <c r="B101"/>
  <c r="BO96"/>
  <c r="N96"/>
  <c r="M96"/>
  <c r="B96"/>
  <c r="BO75"/>
  <c r="N75"/>
  <c r="M75"/>
  <c r="B75"/>
  <c r="BO62"/>
  <c r="N62"/>
  <c r="M62"/>
  <c r="B62"/>
  <c r="BO53"/>
  <c r="N53"/>
  <c r="M53"/>
  <c r="B53"/>
  <c r="BO52"/>
  <c r="N52"/>
  <c r="M52"/>
  <c r="B52"/>
  <c r="BO51"/>
  <c r="N51"/>
  <c r="M51"/>
  <c r="B51"/>
  <c r="BO25"/>
  <c r="N25"/>
  <c r="M25"/>
  <c r="B25"/>
  <c r="BO23"/>
  <c r="N23"/>
  <c r="M23"/>
  <c r="B23"/>
  <c r="BO11"/>
  <c r="N11"/>
  <c r="M11"/>
  <c r="B11"/>
  <c r="BO10"/>
  <c r="N10"/>
  <c r="M10"/>
  <c r="B10"/>
  <c r="BO2722"/>
  <c r="N2722"/>
  <c r="M2722"/>
  <c r="B2722"/>
  <c r="BO2721"/>
  <c r="N2721"/>
  <c r="M2721"/>
  <c r="B2721"/>
  <c r="BO2720"/>
  <c r="N2720"/>
  <c r="M2720"/>
  <c r="B2720"/>
  <c r="BO2711"/>
  <c r="N2711"/>
  <c r="M2711"/>
  <c r="B2711"/>
  <c r="BO2710"/>
  <c r="N2710"/>
  <c r="M2710"/>
  <c r="B2710"/>
  <c r="BO2705"/>
  <c r="N2705"/>
  <c r="M2705"/>
  <c r="B2705"/>
  <c r="BO2685"/>
  <c r="N2685"/>
  <c r="M2685"/>
  <c r="B2685"/>
  <c r="BO2677"/>
  <c r="N2677"/>
  <c r="M2677"/>
  <c r="B2677"/>
  <c r="BO2639"/>
  <c r="N2639"/>
  <c r="M2639"/>
  <c r="BO2628"/>
  <c r="N2628"/>
  <c r="M2628"/>
  <c r="B2628"/>
  <c r="BO2609"/>
  <c r="N2609"/>
  <c r="M2609"/>
  <c r="B2609"/>
  <c r="BO2605"/>
  <c r="N2605"/>
  <c r="M2605"/>
  <c r="B2605"/>
  <c r="BO2603"/>
  <c r="N2603"/>
  <c r="M2603"/>
  <c r="B2603"/>
  <c r="BO2560"/>
  <c r="N2560"/>
  <c r="M2560"/>
  <c r="B2560"/>
  <c r="BO2521"/>
  <c r="N2521"/>
  <c r="M2521"/>
  <c r="B2521"/>
  <c r="BO2515"/>
  <c r="N2515"/>
  <c r="M2515"/>
  <c r="B2515"/>
  <c r="BO2503"/>
  <c r="N2503"/>
  <c r="M2503"/>
  <c r="B2503"/>
  <c r="BO2499"/>
  <c r="N2499"/>
  <c r="M2499"/>
  <c r="B2499"/>
  <c r="BO2475"/>
  <c r="N2475"/>
  <c r="M2475"/>
  <c r="BO2464"/>
  <c r="N2464"/>
  <c r="M2464"/>
  <c r="B2464"/>
  <c r="BO2463"/>
  <c r="N2463"/>
  <c r="M2463"/>
  <c r="B2463"/>
  <c r="BO2462"/>
  <c r="N2462"/>
  <c r="M2462"/>
  <c r="B2462"/>
  <c r="BO2459"/>
  <c r="N2459"/>
  <c r="M2459"/>
  <c r="B2459"/>
  <c r="BO2452"/>
  <c r="N2452"/>
  <c r="M2452"/>
  <c r="B2452"/>
  <c r="BO2418"/>
  <c r="N2418"/>
  <c r="M2418"/>
  <c r="B2418"/>
  <c r="BO2415"/>
  <c r="N2415"/>
  <c r="M2415"/>
  <c r="BO2390"/>
  <c r="N2390"/>
  <c r="M2390"/>
  <c r="B2390"/>
  <c r="BO2373"/>
  <c r="N2373"/>
  <c r="M2373"/>
  <c r="B2373"/>
  <c r="BO2323"/>
  <c r="N2323"/>
  <c r="M2323"/>
  <c r="B2323"/>
  <c r="BO2291"/>
  <c r="N2291"/>
  <c r="M2291"/>
  <c r="B2291"/>
  <c r="BO2280"/>
  <c r="N2280"/>
  <c r="M2280"/>
  <c r="B2280"/>
  <c r="BO2225"/>
  <c r="N2225"/>
  <c r="M2225"/>
  <c r="B2225"/>
  <c r="BO2219"/>
  <c r="N2219"/>
  <c r="M2219"/>
  <c r="B2219"/>
  <c r="BO2202"/>
  <c r="N2202"/>
  <c r="M2202"/>
  <c r="B2202"/>
  <c r="BO2168"/>
  <c r="N2168"/>
  <c r="M2168"/>
  <c r="B2168"/>
  <c r="BO2159"/>
  <c r="N2159"/>
  <c r="M2159"/>
  <c r="B2159"/>
  <c r="BO2126"/>
  <c r="N2126"/>
  <c r="M2126"/>
  <c r="B2126"/>
  <c r="BO2122"/>
  <c r="N2122"/>
  <c r="M2122"/>
  <c r="B2122"/>
  <c r="BO2111"/>
  <c r="N2111"/>
  <c r="M2111"/>
  <c r="B2111"/>
  <c r="BO2105"/>
  <c r="N2105"/>
  <c r="M2105"/>
  <c r="B2105"/>
  <c r="BO2095"/>
  <c r="N2095"/>
  <c r="M2095"/>
  <c r="B2095"/>
  <c r="BO2088"/>
  <c r="N2088"/>
  <c r="M2088"/>
  <c r="B2088"/>
  <c r="BO2051"/>
  <c r="N2051"/>
  <c r="M2051"/>
  <c r="B2051"/>
  <c r="BO2033"/>
  <c r="N2033"/>
  <c r="M2033"/>
  <c r="B2033"/>
  <c r="BO2023"/>
  <c r="N2023"/>
  <c r="M2023"/>
  <c r="B2023"/>
  <c r="BO1986"/>
  <c r="N1986"/>
  <c r="M1986"/>
  <c r="B1986"/>
  <c r="BO1983"/>
  <c r="N1983"/>
  <c r="M1983"/>
  <c r="B1983"/>
  <c r="BO1971"/>
  <c r="N1971"/>
  <c r="M1971"/>
  <c r="B1971"/>
  <c r="BO1964"/>
  <c r="N1964"/>
  <c r="M1964"/>
  <c r="B1964"/>
  <c r="BO1945"/>
  <c r="N1945"/>
  <c r="M1945"/>
  <c r="B1945"/>
  <c r="BO1903"/>
  <c r="N1903"/>
  <c r="M1903"/>
  <c r="B1903"/>
  <c r="BO1890"/>
  <c r="N1890"/>
  <c r="M1890"/>
  <c r="B1890"/>
  <c r="BO1872"/>
  <c r="N1872"/>
  <c r="M1872"/>
  <c r="B1872"/>
  <c r="BO1836"/>
  <c r="N1836"/>
  <c r="M1836"/>
  <c r="B1836"/>
  <c r="BO1821"/>
  <c r="N1821"/>
  <c r="M1821"/>
  <c r="B1821"/>
  <c r="BO1812"/>
  <c r="N1812"/>
  <c r="M1812"/>
  <c r="B1812"/>
  <c r="BO1754"/>
  <c r="N1754"/>
  <c r="M1754"/>
  <c r="B1754"/>
  <c r="BO1752"/>
  <c r="N1752"/>
  <c r="M1752"/>
  <c r="B1752"/>
  <c r="BO1729"/>
  <c r="N1729"/>
  <c r="M1729"/>
  <c r="B1729"/>
  <c r="BO1728"/>
  <c r="N1728"/>
  <c r="M1728"/>
  <c r="B1728"/>
  <c r="BO1726"/>
  <c r="N1726"/>
  <c r="M1726"/>
  <c r="B1726"/>
  <c r="BO1698"/>
  <c r="N1698"/>
  <c r="M1698"/>
  <c r="B1698"/>
  <c r="BO1697"/>
  <c r="N1697"/>
  <c r="M1697"/>
  <c r="B1697"/>
  <c r="BO1665"/>
  <c r="N1665"/>
  <c r="M1665"/>
  <c r="B1665"/>
  <c r="BO1664"/>
  <c r="N1664"/>
  <c r="M1664"/>
  <c r="B1664"/>
  <c r="BO1641"/>
  <c r="N1641"/>
  <c r="M1641"/>
  <c r="B1641"/>
  <c r="BO1640"/>
  <c r="N1640"/>
  <c r="M1640"/>
  <c r="B1640"/>
  <c r="BO1635"/>
  <c r="N1635"/>
  <c r="M1635"/>
  <c r="B1635"/>
  <c r="BO1634"/>
  <c r="N1634"/>
  <c r="M1634"/>
  <c r="B1634"/>
  <c r="BO1633"/>
  <c r="N1633"/>
  <c r="M1633"/>
  <c r="B1633"/>
  <c r="BO1617"/>
  <c r="N1617"/>
  <c r="M1617"/>
  <c r="B1617"/>
  <c r="BO1612"/>
  <c r="N1612"/>
  <c r="M1612"/>
  <c r="B1612"/>
  <c r="BO1610"/>
  <c r="N1610"/>
  <c r="M1610"/>
  <c r="B1610"/>
  <c r="BO1600"/>
  <c r="N1600"/>
  <c r="M1600"/>
  <c r="B1600"/>
  <c r="BO1594"/>
  <c r="N1594"/>
  <c r="M1594"/>
  <c r="B1594"/>
  <c r="BO1593"/>
  <c r="N1593"/>
  <c r="M1593"/>
  <c r="B1593"/>
  <c r="BO1592"/>
  <c r="N1592"/>
  <c r="M1592"/>
  <c r="B1592"/>
  <c r="BO1571"/>
  <c r="N1571"/>
  <c r="M1571"/>
  <c r="B1571"/>
  <c r="BO1570"/>
  <c r="N1570"/>
  <c r="M1570"/>
  <c r="B1570"/>
  <c r="BO1546"/>
  <c r="N1546"/>
  <c r="M1546"/>
  <c r="B1546"/>
  <c r="BO1543"/>
  <c r="N1543"/>
  <c r="M1543"/>
  <c r="B1543"/>
  <c r="BO1534"/>
  <c r="N1534"/>
  <c r="M1534"/>
  <c r="B1534"/>
  <c r="BO1522"/>
  <c r="N1522"/>
  <c r="M1522"/>
  <c r="B1522"/>
  <c r="BO1461"/>
  <c r="N1461"/>
  <c r="M1461"/>
  <c r="B1461"/>
  <c r="BO1450"/>
  <c r="N1450"/>
  <c r="M1450"/>
  <c r="B1450"/>
  <c r="BO1391"/>
  <c r="N1391"/>
  <c r="M1391"/>
  <c r="B1391"/>
  <c r="BO1368"/>
  <c r="N1368"/>
  <c r="M1368"/>
  <c r="B1368"/>
  <c r="BO1355"/>
  <c r="N1355"/>
  <c r="M1355"/>
  <c r="B1355"/>
  <c r="BO1340"/>
  <c r="N1340"/>
  <c r="M1340"/>
  <c r="B1340"/>
  <c r="BO1277"/>
  <c r="N1277"/>
  <c r="M1277"/>
  <c r="B1277"/>
  <c r="BO1244"/>
  <c r="N1244"/>
  <c r="M1244"/>
  <c r="B1244"/>
  <c r="BO1234"/>
  <c r="N1234"/>
  <c r="M1234"/>
  <c r="B1234"/>
  <c r="BO1188"/>
  <c r="N1188"/>
  <c r="M1188"/>
  <c r="B1188"/>
  <c r="BO1185"/>
  <c r="N1185"/>
  <c r="M1185"/>
  <c r="B1185"/>
  <c r="BO1175"/>
  <c r="N1175"/>
  <c r="M1175"/>
  <c r="B1175"/>
  <c r="BO1165"/>
  <c r="N1165"/>
  <c r="M1165"/>
  <c r="B1165"/>
  <c r="BO1160"/>
  <c r="N1160"/>
  <c r="M1160"/>
  <c r="B1160"/>
  <c r="BO1150"/>
  <c r="N1150"/>
  <c r="M1150"/>
  <c r="B1150"/>
  <c r="BO1149"/>
  <c r="N1149"/>
  <c r="M1149"/>
  <c r="B1149"/>
  <c r="BO1144"/>
  <c r="N1144"/>
  <c r="M1144"/>
  <c r="B1144"/>
  <c r="BO1139"/>
  <c r="N1139"/>
  <c r="M1139"/>
  <c r="B1139"/>
  <c r="BO1130"/>
  <c r="N1130"/>
  <c r="M1130"/>
  <c r="B1130"/>
  <c r="BO1110"/>
  <c r="N1110"/>
  <c r="M1110"/>
  <c r="B1110"/>
  <c r="BO1107"/>
  <c r="N1107"/>
  <c r="M1107"/>
  <c r="B1107"/>
  <c r="BO1093"/>
  <c r="N1093"/>
  <c r="M1093"/>
  <c r="B1093"/>
  <c r="BO1085"/>
  <c r="N1085"/>
  <c r="M1085"/>
  <c r="B1085"/>
  <c r="BO1084"/>
  <c r="N1084"/>
  <c r="M1084"/>
  <c r="BO1073"/>
  <c r="N1073"/>
  <c r="M1073"/>
  <c r="B1073"/>
  <c r="BO1071"/>
  <c r="N1071"/>
  <c r="M1071"/>
  <c r="B1071"/>
  <c r="BO1057"/>
  <c r="N1057"/>
  <c r="M1057"/>
  <c r="B1057"/>
  <c r="BO1049"/>
  <c r="N1049"/>
  <c r="M1049"/>
  <c r="B1049"/>
  <c r="BO1024"/>
  <c r="N1024"/>
  <c r="M1024"/>
  <c r="B1024"/>
  <c r="BO1018"/>
  <c r="N1018"/>
  <c r="M1018"/>
  <c r="B1018"/>
  <c r="BO1005"/>
  <c r="N1005"/>
  <c r="M1005"/>
  <c r="B1005"/>
  <c r="BO1003"/>
  <c r="N1003"/>
  <c r="M1003"/>
  <c r="B1003"/>
  <c r="BO979"/>
  <c r="N979"/>
  <c r="M979"/>
  <c r="B979"/>
  <c r="BO978"/>
  <c r="N978"/>
  <c r="M978"/>
  <c r="B978"/>
  <c r="BO966"/>
  <c r="N966"/>
  <c r="M966"/>
  <c r="B966"/>
  <c r="BO963"/>
  <c r="N963"/>
  <c r="M963"/>
  <c r="B963"/>
  <c r="BO949"/>
  <c r="N949"/>
  <c r="M949"/>
  <c r="B949"/>
  <c r="BO938"/>
  <c r="N938"/>
  <c r="M938"/>
  <c r="B938"/>
  <c r="BO932"/>
  <c r="N932"/>
  <c r="M932"/>
  <c r="B932"/>
  <c r="BO929"/>
  <c r="N929"/>
  <c r="M929"/>
  <c r="B929"/>
  <c r="BO919"/>
  <c r="N919"/>
  <c r="M919"/>
  <c r="B919"/>
  <c r="BO907"/>
  <c r="N907"/>
  <c r="M907"/>
  <c r="B907"/>
  <c r="BO877"/>
  <c r="N877"/>
  <c r="M877"/>
  <c r="B877"/>
  <c r="BO872"/>
  <c r="N872"/>
  <c r="M872"/>
  <c r="B872"/>
  <c r="BO871"/>
  <c r="N871"/>
  <c r="M871"/>
  <c r="B871"/>
  <c r="BO836"/>
  <c r="N836"/>
  <c r="M836"/>
  <c r="B836"/>
  <c r="BO832"/>
  <c r="N832"/>
  <c r="M832"/>
  <c r="B832"/>
  <c r="BO827"/>
  <c r="N827"/>
  <c r="M827"/>
  <c r="B827"/>
  <c r="BO824"/>
  <c r="N824"/>
  <c r="M824"/>
  <c r="B824"/>
  <c r="BO821"/>
  <c r="N821"/>
  <c r="M821"/>
  <c r="BO796"/>
  <c r="N796"/>
  <c r="M796"/>
  <c r="B796"/>
  <c r="BO771"/>
  <c r="N771"/>
  <c r="M771"/>
  <c r="B771"/>
  <c r="BO769"/>
  <c r="N769"/>
  <c r="M769"/>
  <c r="BO757"/>
  <c r="N757"/>
  <c r="M757"/>
  <c r="B757"/>
  <c r="BO756"/>
  <c r="N756"/>
  <c r="M756"/>
  <c r="BO749"/>
  <c r="N749"/>
  <c r="M749"/>
  <c r="B749"/>
  <c r="BO725"/>
  <c r="N725"/>
  <c r="M725"/>
  <c r="BO723"/>
  <c r="N723"/>
  <c r="M723"/>
  <c r="B723"/>
  <c r="BO722"/>
  <c r="N722"/>
  <c r="M722"/>
  <c r="B722"/>
  <c r="BO721"/>
  <c r="N721"/>
  <c r="M721"/>
  <c r="B721"/>
  <c r="BO718"/>
  <c r="N718"/>
  <c r="M718"/>
  <c r="BO692"/>
  <c r="N692"/>
  <c r="M692"/>
  <c r="B692"/>
  <c r="BO677"/>
  <c r="N677"/>
  <c r="M677"/>
  <c r="B677"/>
  <c r="BO661"/>
  <c r="N661"/>
  <c r="M661"/>
  <c r="B661"/>
  <c r="BO660"/>
  <c r="N660"/>
  <c r="M660"/>
  <c r="B660"/>
  <c r="BO659"/>
  <c r="N659"/>
  <c r="M659"/>
  <c r="B659"/>
  <c r="BO657"/>
  <c r="N657"/>
  <c r="M657"/>
  <c r="B657"/>
  <c r="BO648"/>
  <c r="N648"/>
  <c r="M648"/>
  <c r="B648"/>
  <c r="BO630"/>
  <c r="N630"/>
  <c r="M630"/>
  <c r="B630"/>
  <c r="BO629"/>
  <c r="N629"/>
  <c r="M629"/>
  <c r="B629"/>
  <c r="BO624"/>
  <c r="N624"/>
  <c r="M624"/>
  <c r="BO618"/>
  <c r="N618"/>
  <c r="M618"/>
  <c r="B618"/>
  <c r="BO617"/>
  <c r="N617"/>
  <c r="M617"/>
  <c r="BO616"/>
  <c r="N616"/>
  <c r="M616"/>
  <c r="B616"/>
  <c r="BO613"/>
  <c r="N613"/>
  <c r="M613"/>
  <c r="B613"/>
  <c r="BO606"/>
  <c r="N606"/>
  <c r="M606"/>
  <c r="B606"/>
  <c r="BO557"/>
  <c r="N557"/>
  <c r="M557"/>
  <c r="B557"/>
  <c r="BO543"/>
  <c r="N543"/>
  <c r="M543"/>
  <c r="B543"/>
  <c r="BO536"/>
  <c r="N536"/>
  <c r="M536"/>
  <c r="B536"/>
  <c r="BO530"/>
  <c r="N530"/>
  <c r="M530"/>
  <c r="B530"/>
  <c r="BO513"/>
  <c r="N513"/>
  <c r="M513"/>
  <c r="B513"/>
  <c r="BO510"/>
  <c r="N510"/>
  <c r="M510"/>
  <c r="B510"/>
  <c r="BO490"/>
  <c r="N490"/>
  <c r="M490"/>
  <c r="B490"/>
  <c r="BO455"/>
  <c r="N455"/>
  <c r="M455"/>
  <c r="B455"/>
  <c r="BO438"/>
  <c r="N438"/>
  <c r="M438"/>
  <c r="B438"/>
  <c r="BO437"/>
  <c r="N437"/>
  <c r="M437"/>
  <c r="B437"/>
  <c r="BO397"/>
  <c r="N397"/>
  <c r="M397"/>
  <c r="B397"/>
  <c r="BO375"/>
  <c r="N375"/>
  <c r="M375"/>
  <c r="B375"/>
  <c r="BO370"/>
  <c r="N370"/>
  <c r="M370"/>
  <c r="BO351"/>
  <c r="N351"/>
  <c r="M351"/>
  <c r="B351"/>
  <c r="BO274"/>
  <c r="N274"/>
  <c r="M274"/>
  <c r="B274"/>
  <c r="BO245"/>
  <c r="N245"/>
  <c r="M245"/>
  <c r="B245"/>
  <c r="BO217"/>
  <c r="N217"/>
  <c r="M217"/>
  <c r="B217"/>
  <c r="BO188"/>
  <c r="N188"/>
  <c r="M188"/>
  <c r="B188"/>
  <c r="BO160"/>
  <c r="N160"/>
  <c r="M160"/>
  <c r="B160"/>
  <c r="BO146"/>
  <c r="N146"/>
  <c r="M146"/>
  <c r="B146"/>
  <c r="BO139"/>
  <c r="N139"/>
  <c r="M139"/>
  <c r="B139"/>
  <c r="BO130"/>
  <c r="N130"/>
  <c r="M130"/>
  <c r="B130"/>
  <c r="BO125"/>
  <c r="N125"/>
  <c r="M125"/>
  <c r="BO116"/>
  <c r="N116"/>
  <c r="M116"/>
  <c r="B116"/>
  <c r="BO112"/>
  <c r="N112"/>
  <c r="M112"/>
  <c r="B112"/>
  <c r="BO66"/>
  <c r="N66"/>
  <c r="M66"/>
  <c r="B66"/>
  <c r="BO2700"/>
  <c r="N2700"/>
  <c r="M2700"/>
  <c r="B2700"/>
  <c r="BO2386"/>
  <c r="N2386"/>
  <c r="M2386"/>
  <c r="B2386"/>
  <c r="BO2333"/>
  <c r="N2333"/>
  <c r="M2333"/>
  <c r="B2333"/>
  <c r="BO2262"/>
  <c r="N2262"/>
  <c r="M2262"/>
  <c r="B2262"/>
  <c r="BO2050"/>
  <c r="N2050"/>
  <c r="M2050"/>
  <c r="B2050"/>
  <c r="BO1881"/>
  <c r="N1881"/>
  <c r="M1881"/>
  <c r="B1881"/>
  <c r="BO1798"/>
  <c r="N1798"/>
  <c r="M1798"/>
  <c r="B1798"/>
  <c r="BO1194"/>
  <c r="N1194"/>
  <c r="M1194"/>
  <c r="B1194"/>
  <c r="BO1098"/>
  <c r="N1098"/>
  <c r="M1098"/>
  <c r="B1098"/>
  <c r="BO743"/>
  <c r="N743"/>
  <c r="M743"/>
  <c r="BO322"/>
  <c r="N322"/>
  <c r="M322"/>
  <c r="B322"/>
  <c r="BO270"/>
  <c r="N270"/>
  <c r="M270"/>
  <c r="B270"/>
  <c r="BO38"/>
  <c r="N38"/>
  <c r="M38"/>
  <c r="B38"/>
  <c r="BO37"/>
  <c r="N37"/>
  <c r="M37"/>
  <c r="B37"/>
  <c r="BO33"/>
  <c r="N33"/>
  <c r="M33"/>
  <c r="B33"/>
  <c r="BO7"/>
  <c r="N7"/>
  <c r="M7"/>
  <c r="B7"/>
  <c r="BO2704"/>
  <c r="N2704"/>
  <c r="M2704"/>
  <c r="B2704"/>
  <c r="BO2671"/>
  <c r="N2671"/>
  <c r="M2671"/>
  <c r="B2671"/>
  <c r="BO2668"/>
  <c r="N2668"/>
  <c r="M2668"/>
  <c r="B2668"/>
  <c r="BO2667"/>
  <c r="N2667"/>
  <c r="M2667"/>
  <c r="B2667"/>
  <c r="BO2665"/>
  <c r="N2665"/>
  <c r="M2665"/>
  <c r="B2665"/>
  <c r="BO2617"/>
  <c r="N2617"/>
  <c r="M2617"/>
  <c r="BO2616"/>
  <c r="N2616"/>
  <c r="M2616"/>
  <c r="BO2614"/>
  <c r="N2614"/>
  <c r="M2614"/>
  <c r="B2614"/>
  <c r="BO2601"/>
  <c r="N2601"/>
  <c r="M2601"/>
  <c r="B2601"/>
  <c r="BO2596"/>
  <c r="N2596"/>
  <c r="M2596"/>
  <c r="B2596"/>
  <c r="BO2591"/>
  <c r="N2591"/>
  <c r="M2591"/>
  <c r="B2591"/>
  <c r="BO2563"/>
  <c r="N2563"/>
  <c r="M2563"/>
  <c r="B2563"/>
  <c r="BO2544"/>
  <c r="N2544"/>
  <c r="M2544"/>
  <c r="BO2535"/>
  <c r="N2535"/>
  <c r="M2535"/>
  <c r="B2535"/>
  <c r="BO2523"/>
  <c r="N2523"/>
  <c r="M2523"/>
  <c r="B2523"/>
  <c r="BO2513"/>
  <c r="N2513"/>
  <c r="M2513"/>
  <c r="B2513"/>
  <c r="BO2480"/>
  <c r="N2480"/>
  <c r="M2480"/>
  <c r="B2480"/>
  <c r="BO2468"/>
  <c r="N2468"/>
  <c r="M2468"/>
  <c r="B2468"/>
  <c r="BO2453"/>
  <c r="N2453"/>
  <c r="M2453"/>
  <c r="B2453"/>
  <c r="BO2444"/>
  <c r="N2444"/>
  <c r="M2444"/>
  <c r="B2444"/>
  <c r="BO2440"/>
  <c r="N2440"/>
  <c r="M2440"/>
  <c r="BO2439"/>
  <c r="N2439"/>
  <c r="M2439"/>
  <c r="B2439"/>
  <c r="BO2436"/>
  <c r="N2436"/>
  <c r="M2436"/>
  <c r="B2436"/>
  <c r="BO2426"/>
  <c r="N2426"/>
  <c r="M2426"/>
  <c r="B2426"/>
  <c r="BO2404"/>
  <c r="N2404"/>
  <c r="M2404"/>
  <c r="B2404"/>
  <c r="BO2398"/>
  <c r="N2398"/>
  <c r="M2398"/>
  <c r="B2398"/>
  <c r="BO2354"/>
  <c r="N2354"/>
  <c r="M2354"/>
  <c r="B2354"/>
  <c r="BO2343"/>
  <c r="N2343"/>
  <c r="M2343"/>
  <c r="B2343"/>
  <c r="BO2317"/>
  <c r="N2317"/>
  <c r="M2317"/>
  <c r="B2317"/>
  <c r="BO2315"/>
  <c r="N2315"/>
  <c r="M2315"/>
  <c r="B2315"/>
  <c r="BO2301"/>
  <c r="N2301"/>
  <c r="M2301"/>
  <c r="B2301"/>
  <c r="BO2300"/>
  <c r="N2300"/>
  <c r="M2300"/>
  <c r="B2300"/>
  <c r="BO2290"/>
  <c r="N2290"/>
  <c r="M2290"/>
  <c r="B2290"/>
  <c r="BO2269"/>
  <c r="N2269"/>
  <c r="M2269"/>
  <c r="B2269"/>
  <c r="BO2253"/>
  <c r="N2253"/>
  <c r="M2253"/>
  <c r="BO2241"/>
  <c r="N2241"/>
  <c r="M2241"/>
  <c r="B2241"/>
  <c r="BO2236"/>
  <c r="N2236"/>
  <c r="M2236"/>
  <c r="B2236"/>
  <c r="BO2227"/>
  <c r="N2227"/>
  <c r="M2227"/>
  <c r="B2227"/>
  <c r="BO2213"/>
  <c r="N2213"/>
  <c r="M2213"/>
  <c r="B2213"/>
  <c r="BO2207"/>
  <c r="N2207"/>
  <c r="M2207"/>
  <c r="BO2206"/>
  <c r="N2206"/>
  <c r="M2206"/>
  <c r="B2206"/>
  <c r="BO2200"/>
  <c r="N2200"/>
  <c r="M2200"/>
  <c r="B2200"/>
  <c r="BO2151"/>
  <c r="N2151"/>
  <c r="M2151"/>
  <c r="B2151"/>
  <c r="BO2136"/>
  <c r="N2136"/>
  <c r="M2136"/>
  <c r="B2136"/>
  <c r="BO2127"/>
  <c r="N2127"/>
  <c r="M2127"/>
  <c r="B2127"/>
  <c r="BO2096"/>
  <c r="N2096"/>
  <c r="M2096"/>
  <c r="B2096"/>
  <c r="BO2091"/>
  <c r="N2091"/>
  <c r="M2091"/>
  <c r="B2091"/>
  <c r="BO2089"/>
  <c r="N2089"/>
  <c r="M2089"/>
  <c r="B2089"/>
  <c r="BO2073"/>
  <c r="N2073"/>
  <c r="M2073"/>
  <c r="B2073"/>
  <c r="BO2052"/>
  <c r="N2052"/>
  <c r="M2052"/>
  <c r="B2052"/>
  <c r="BO2049"/>
  <c r="N2049"/>
  <c r="M2049"/>
  <c r="B2049"/>
  <c r="BO2041"/>
  <c r="N2041"/>
  <c r="M2041"/>
  <c r="B2041"/>
  <c r="BO2036"/>
  <c r="N2036"/>
  <c r="M2036"/>
  <c r="B2036"/>
  <c r="BO2021"/>
  <c r="N2021"/>
  <c r="M2021"/>
  <c r="B2021"/>
  <c r="BO2019"/>
  <c r="N2019"/>
  <c r="M2019"/>
  <c r="B2019"/>
  <c r="BO2016"/>
  <c r="N2016"/>
  <c r="M2016"/>
  <c r="B2016"/>
  <c r="BO2015"/>
  <c r="N2015"/>
  <c r="M2015"/>
  <c r="B2015"/>
  <c r="BO2009"/>
  <c r="N2009"/>
  <c r="M2009"/>
  <c r="B2009"/>
  <c r="BO1969"/>
  <c r="N1969"/>
  <c r="M1969"/>
  <c r="B1969"/>
  <c r="BO1962"/>
  <c r="N1962"/>
  <c r="M1962"/>
  <c r="B1962"/>
  <c r="BO1948"/>
  <c r="N1948"/>
  <c r="M1948"/>
  <c r="B1948"/>
  <c r="BO1946"/>
  <c r="N1946"/>
  <c r="M1946"/>
  <c r="B1946"/>
  <c r="BO1942"/>
  <c r="N1942"/>
  <c r="M1942"/>
  <c r="B1942"/>
  <c r="BO1934"/>
  <c r="N1934"/>
  <c r="M1934"/>
  <c r="BO1931"/>
  <c r="N1931"/>
  <c r="M1931"/>
  <c r="B1931"/>
  <c r="BO1928"/>
  <c r="N1928"/>
  <c r="M1928"/>
  <c r="B1928"/>
  <c r="BO1922"/>
  <c r="N1922"/>
  <c r="M1922"/>
  <c r="B1922"/>
  <c r="BO1913"/>
  <c r="N1913"/>
  <c r="M1913"/>
  <c r="B1913"/>
  <c r="BO1894"/>
  <c r="N1894"/>
  <c r="M1894"/>
  <c r="BO1893"/>
  <c r="N1893"/>
  <c r="M1893"/>
  <c r="B1893"/>
  <c r="BO1892"/>
  <c r="N1892"/>
  <c r="M1892"/>
  <c r="B1892"/>
  <c r="BO1891"/>
  <c r="N1891"/>
  <c r="M1891"/>
  <c r="B1891"/>
  <c r="BO1875"/>
  <c r="N1875"/>
  <c r="M1875"/>
  <c r="B1875"/>
  <c r="BO1866"/>
  <c r="N1866"/>
  <c r="M1866"/>
  <c r="B1866"/>
  <c r="BO1861"/>
  <c r="N1861"/>
  <c r="M1861"/>
  <c r="B1861"/>
  <c r="BO1853"/>
  <c r="N1853"/>
  <c r="M1853"/>
  <c r="B1853"/>
  <c r="BO1833"/>
  <c r="N1833"/>
  <c r="M1833"/>
  <c r="B1833"/>
  <c r="BO1832"/>
  <c r="N1832"/>
  <c r="M1832"/>
  <c r="B1832"/>
  <c r="BO1806"/>
  <c r="N1806"/>
  <c r="M1806"/>
  <c r="B1806"/>
  <c r="BO1799"/>
  <c r="N1799"/>
  <c r="M1799"/>
  <c r="BO1780"/>
  <c r="N1780"/>
  <c r="M1780"/>
  <c r="B1780"/>
  <c r="BO1777"/>
  <c r="N1777"/>
  <c r="M1777"/>
  <c r="B1777"/>
  <c r="BO1765"/>
  <c r="N1765"/>
  <c r="M1765"/>
  <c r="B1765"/>
  <c r="BO1753"/>
  <c r="N1753"/>
  <c r="M1753"/>
  <c r="B1753"/>
  <c r="BO1734"/>
  <c r="N1734"/>
  <c r="M1734"/>
  <c r="B1734"/>
  <c r="BO1719"/>
  <c r="N1719"/>
  <c r="M1719"/>
  <c r="B1719"/>
  <c r="BO1710"/>
  <c r="N1710"/>
  <c r="M1710"/>
  <c r="B1710"/>
  <c r="BO1662"/>
  <c r="N1662"/>
  <c r="M1662"/>
  <c r="B1662"/>
  <c r="BO1659"/>
  <c r="N1659"/>
  <c r="M1659"/>
  <c r="B1659"/>
  <c r="BO1645"/>
  <c r="N1645"/>
  <c r="M1645"/>
  <c r="B1645"/>
  <c r="BO1631"/>
  <c r="N1631"/>
  <c r="M1631"/>
  <c r="B1631"/>
  <c r="BO1624"/>
  <c r="N1624"/>
  <c r="M1624"/>
  <c r="B1624"/>
  <c r="BO1608"/>
  <c r="N1608"/>
  <c r="M1608"/>
  <c r="B1608"/>
  <c r="BO1597"/>
  <c r="N1597"/>
  <c r="M1597"/>
  <c r="B1597"/>
  <c r="BO1591"/>
  <c r="N1591"/>
  <c r="M1591"/>
  <c r="B1591"/>
  <c r="BO1589"/>
  <c r="N1589"/>
  <c r="M1589"/>
  <c r="B1589"/>
  <c r="BO1586"/>
  <c r="N1586"/>
  <c r="M1586"/>
  <c r="B1586"/>
  <c r="BO1568"/>
  <c r="N1568"/>
  <c r="M1568"/>
  <c r="B1568"/>
  <c r="BO1563"/>
  <c r="N1563"/>
  <c r="M1563"/>
  <c r="B1563"/>
  <c r="BO1545"/>
  <c r="N1545"/>
  <c r="M1545"/>
  <c r="B1545"/>
  <c r="BO1510"/>
  <c r="N1510"/>
  <c r="M1510"/>
  <c r="B1510"/>
  <c r="BO1496"/>
  <c r="N1496"/>
  <c r="M1496"/>
  <c r="B1496"/>
  <c r="BO1484"/>
  <c r="N1484"/>
  <c r="M1484"/>
  <c r="BO1479"/>
  <c r="N1479"/>
  <c r="M1479"/>
  <c r="B1479"/>
  <c r="BO1443"/>
  <c r="N1443"/>
  <c r="M1443"/>
  <c r="B1443"/>
  <c r="BO1442"/>
  <c r="N1442"/>
  <c r="M1442"/>
  <c r="B1442"/>
  <c r="BO1424"/>
  <c r="N1424"/>
  <c r="M1424"/>
  <c r="B1424"/>
  <c r="BO1409"/>
  <c r="N1409"/>
  <c r="M1409"/>
  <c r="B1409"/>
  <c r="BO1408"/>
  <c r="N1408"/>
  <c r="M1408"/>
  <c r="B1408"/>
  <c r="BO1401"/>
  <c r="N1401"/>
  <c r="M1401"/>
  <c r="B1401"/>
  <c r="BO1384"/>
  <c r="N1384"/>
  <c r="M1384"/>
  <c r="B1384"/>
  <c r="BO1381"/>
  <c r="N1381"/>
  <c r="M1381"/>
  <c r="B1381"/>
  <c r="BO1378"/>
  <c r="N1378"/>
  <c r="M1378"/>
  <c r="B1378"/>
  <c r="BO1373"/>
  <c r="N1373"/>
  <c r="M1373"/>
  <c r="B1373"/>
  <c r="BO1372"/>
  <c r="N1372"/>
  <c r="M1372"/>
  <c r="B1372"/>
  <c r="BO1348"/>
  <c r="N1348"/>
  <c r="M1348"/>
  <c r="B1348"/>
  <c r="BO1347"/>
  <c r="N1347"/>
  <c r="M1347"/>
  <c r="B1347"/>
  <c r="BO1345"/>
  <c r="N1345"/>
  <c r="M1345"/>
  <c r="B1345"/>
  <c r="BO1330"/>
  <c r="N1330"/>
  <c r="M1330"/>
  <c r="B1330"/>
  <c r="BO1322"/>
  <c r="N1322"/>
  <c r="M1322"/>
  <c r="B1322"/>
  <c r="BO1316"/>
  <c r="N1316"/>
  <c r="M1316"/>
  <c r="B1316"/>
  <c r="BO1315"/>
  <c r="N1315"/>
  <c r="M1315"/>
  <c r="B1315"/>
  <c r="BO1313"/>
  <c r="N1313"/>
  <c r="M1313"/>
  <c r="B1313"/>
  <c r="BO1311"/>
  <c r="N1311"/>
  <c r="M1311"/>
  <c r="BO1266"/>
  <c r="N1266"/>
  <c r="M1266"/>
  <c r="B1266"/>
  <c r="BO1264"/>
  <c r="N1264"/>
  <c r="M1264"/>
  <c r="B1264"/>
  <c r="BO1263"/>
  <c r="N1263"/>
  <c r="M1263"/>
  <c r="B1263"/>
  <c r="BO1262"/>
  <c r="N1262"/>
  <c r="M1262"/>
  <c r="BO1245"/>
  <c r="N1245"/>
  <c r="M1245"/>
  <c r="B1245"/>
  <c r="BO1231"/>
  <c r="N1231"/>
  <c r="M1231"/>
  <c r="B1231"/>
  <c r="BO1226"/>
  <c r="N1226"/>
  <c r="M1226"/>
  <c r="B1226"/>
  <c r="BO1222"/>
  <c r="N1222"/>
  <c r="M1222"/>
  <c r="B1222"/>
  <c r="BO1216"/>
  <c r="N1216"/>
  <c r="M1216"/>
  <c r="B1216"/>
  <c r="BO1211"/>
  <c r="N1211"/>
  <c r="M1211"/>
  <c r="B1211"/>
  <c r="BO1186"/>
  <c r="N1186"/>
  <c r="M1186"/>
  <c r="B1186"/>
  <c r="BO1141"/>
  <c r="N1141"/>
  <c r="M1141"/>
  <c r="B1141"/>
  <c r="BO1112"/>
  <c r="N1112"/>
  <c r="M1112"/>
  <c r="BO1083"/>
  <c r="N1083"/>
  <c r="M1083"/>
  <c r="BO1082"/>
  <c r="N1082"/>
  <c r="M1082"/>
  <c r="B1082"/>
  <c r="BO1078"/>
  <c r="N1078"/>
  <c r="M1078"/>
  <c r="BO1076"/>
  <c r="N1076"/>
  <c r="M1076"/>
  <c r="B1076"/>
  <c r="BO1058"/>
  <c r="N1058"/>
  <c r="M1058"/>
  <c r="B1058"/>
  <c r="BO1054"/>
  <c r="N1054"/>
  <c r="M1054"/>
  <c r="B1054"/>
  <c r="BO1034"/>
  <c r="N1034"/>
  <c r="M1034"/>
  <c r="B1034"/>
  <c r="BO1025"/>
  <c r="N1025"/>
  <c r="M1025"/>
  <c r="B1025"/>
  <c r="BO1020"/>
  <c r="N1020"/>
  <c r="M1020"/>
  <c r="B1020"/>
  <c r="BO1006"/>
  <c r="N1006"/>
  <c r="M1006"/>
  <c r="BO994"/>
  <c r="N994"/>
  <c r="M994"/>
  <c r="B994"/>
  <c r="BO982"/>
  <c r="N982"/>
  <c r="M982"/>
  <c r="B982"/>
  <c r="BO980"/>
  <c r="N980"/>
  <c r="M980"/>
  <c r="B980"/>
  <c r="BO962"/>
  <c r="N962"/>
  <c r="M962"/>
  <c r="B962"/>
  <c r="BO925"/>
  <c r="N925"/>
  <c r="M925"/>
  <c r="B925"/>
  <c r="BO890"/>
  <c r="N890"/>
  <c r="M890"/>
  <c r="B890"/>
  <c r="BO862"/>
  <c r="N862"/>
  <c r="M862"/>
  <c r="B862"/>
  <c r="BO859"/>
  <c r="N859"/>
  <c r="M859"/>
  <c r="B859"/>
  <c r="BO844"/>
  <c r="N844"/>
  <c r="M844"/>
  <c r="B844"/>
  <c r="BO808"/>
  <c r="N808"/>
  <c r="M808"/>
  <c r="B808"/>
  <c r="BO807"/>
  <c r="N807"/>
  <c r="M807"/>
  <c r="B807"/>
  <c r="BO797"/>
  <c r="N797"/>
  <c r="M797"/>
  <c r="B797"/>
  <c r="BO766"/>
  <c r="N766"/>
  <c r="M766"/>
  <c r="B766"/>
  <c r="BO740"/>
  <c r="N740"/>
  <c r="M740"/>
  <c r="BO738"/>
  <c r="N738"/>
  <c r="M738"/>
  <c r="B738"/>
  <c r="BO708"/>
  <c r="N708"/>
  <c r="M708"/>
  <c r="B708"/>
  <c r="BO701"/>
  <c r="N701"/>
  <c r="M701"/>
  <c r="B701"/>
  <c r="BO699"/>
  <c r="N699"/>
  <c r="M699"/>
  <c r="B699"/>
  <c r="BO698"/>
  <c r="N698"/>
  <c r="M698"/>
  <c r="B698"/>
  <c r="BO689"/>
  <c r="N689"/>
  <c r="M689"/>
  <c r="B689"/>
  <c r="BO674"/>
  <c r="N674"/>
  <c r="M674"/>
  <c r="B674"/>
  <c r="BO662"/>
  <c r="N662"/>
  <c r="M662"/>
  <c r="BO656"/>
  <c r="N656"/>
  <c r="M656"/>
  <c r="B656"/>
  <c r="BO655"/>
  <c r="N655"/>
  <c r="M655"/>
  <c r="B655"/>
  <c r="BO643"/>
  <c r="N643"/>
  <c r="M643"/>
  <c r="B643"/>
  <c r="BO637"/>
  <c r="N637"/>
  <c r="M637"/>
  <c r="B637"/>
  <c r="BO610"/>
  <c r="N610"/>
  <c r="M610"/>
  <c r="BO602"/>
  <c r="N602"/>
  <c r="M602"/>
  <c r="B602"/>
  <c r="BO583"/>
  <c r="N583"/>
  <c r="M583"/>
  <c r="B583"/>
  <c r="BO572"/>
  <c r="N572"/>
  <c r="M572"/>
  <c r="B572"/>
  <c r="BO563"/>
  <c r="N563"/>
  <c r="M563"/>
  <c r="B563"/>
  <c r="BO551"/>
  <c r="N551"/>
  <c r="M551"/>
  <c r="B551"/>
  <c r="BO535"/>
  <c r="N535"/>
  <c r="M535"/>
  <c r="B535"/>
  <c r="BO533"/>
  <c r="N533"/>
  <c r="M533"/>
  <c r="B533"/>
  <c r="BO524"/>
  <c r="N524"/>
  <c r="M524"/>
  <c r="B524"/>
  <c r="BO517"/>
  <c r="N517"/>
  <c r="M517"/>
  <c r="B517"/>
  <c r="BO515"/>
  <c r="N515"/>
  <c r="M515"/>
  <c r="B515"/>
  <c r="BO439"/>
  <c r="N439"/>
  <c r="M439"/>
  <c r="B439"/>
  <c r="BO433"/>
  <c r="N433"/>
  <c r="M433"/>
  <c r="B433"/>
  <c r="BO408"/>
  <c r="N408"/>
  <c r="M408"/>
  <c r="B408"/>
  <c r="BO401"/>
  <c r="N401"/>
  <c r="M401"/>
  <c r="B401"/>
  <c r="BO395"/>
  <c r="N395"/>
  <c r="M395"/>
  <c r="BO391"/>
  <c r="N391"/>
  <c r="M391"/>
  <c r="B391"/>
  <c r="BO363"/>
  <c r="N363"/>
  <c r="M363"/>
  <c r="B363"/>
  <c r="BO362"/>
  <c r="N362"/>
  <c r="M362"/>
  <c r="B362"/>
  <c r="BO346"/>
  <c r="N346"/>
  <c r="M346"/>
  <c r="B346"/>
  <c r="BO340"/>
  <c r="N340"/>
  <c r="M340"/>
  <c r="B340"/>
  <c r="BO335"/>
  <c r="N335"/>
  <c r="M335"/>
  <c r="B335"/>
  <c r="BO333"/>
  <c r="N333"/>
  <c r="M333"/>
  <c r="B333"/>
  <c r="BO330"/>
  <c r="N330"/>
  <c r="M330"/>
  <c r="B330"/>
  <c r="BO313"/>
  <c r="N313"/>
  <c r="M313"/>
  <c r="B313"/>
  <c r="BO312"/>
  <c r="N312"/>
  <c r="M312"/>
  <c r="B312"/>
  <c r="BO287"/>
  <c r="N287"/>
  <c r="M287"/>
  <c r="B287"/>
  <c r="BO286"/>
  <c r="N286"/>
  <c r="M286"/>
  <c r="B286"/>
  <c r="BO266"/>
  <c r="N266"/>
  <c r="M266"/>
  <c r="BO241"/>
  <c r="N241"/>
  <c r="M241"/>
  <c r="B241"/>
  <c r="BO240"/>
  <c r="N240"/>
  <c r="M240"/>
  <c r="B240"/>
  <c r="BO238"/>
  <c r="N238"/>
  <c r="M238"/>
  <c r="B238"/>
  <c r="BO233"/>
  <c r="N233"/>
  <c r="M233"/>
  <c r="B233"/>
  <c r="BO208"/>
  <c r="N208"/>
  <c r="M208"/>
  <c r="B208"/>
  <c r="BO168"/>
  <c r="N168"/>
  <c r="M168"/>
  <c r="B168"/>
  <c r="BO145"/>
  <c r="N145"/>
  <c r="M145"/>
  <c r="B145"/>
  <c r="BO134"/>
  <c r="N134"/>
  <c r="M134"/>
  <c r="B134"/>
  <c r="BO127"/>
  <c r="N127"/>
  <c r="M127"/>
  <c r="B127"/>
  <c r="BO122"/>
  <c r="N122"/>
  <c r="M122"/>
  <c r="B122"/>
  <c r="BO97"/>
  <c r="N97"/>
  <c r="M97"/>
  <c r="B97"/>
  <c r="BO88"/>
  <c r="N88"/>
  <c r="M88"/>
  <c r="B88"/>
  <c r="BO64"/>
  <c r="N64"/>
  <c r="M64"/>
  <c r="B64"/>
  <c r="BO45"/>
  <c r="N45"/>
  <c r="M45"/>
  <c r="B45"/>
  <c r="BO27"/>
  <c r="N27"/>
  <c r="M27"/>
  <c r="B27"/>
  <c r="BO13"/>
  <c r="N13"/>
  <c r="M13"/>
  <c r="B13"/>
  <c r="BO2"/>
  <c r="N2"/>
  <c r="M2"/>
  <c r="B2"/>
  <c r="BO2772"/>
  <c r="N2772"/>
  <c r="M2772"/>
  <c r="B2772"/>
  <c r="BO2757"/>
  <c r="N2757"/>
  <c r="M2757"/>
  <c r="B2757"/>
  <c r="BO2736"/>
  <c r="N2736"/>
  <c r="M2736"/>
  <c r="B2736"/>
  <c r="BO2692"/>
  <c r="N2692"/>
  <c r="M2692"/>
  <c r="B2692"/>
  <c r="BO2683"/>
  <c r="N2683"/>
  <c r="M2683"/>
  <c r="B2683"/>
  <c r="BO2645"/>
  <c r="N2645"/>
  <c r="M2645"/>
  <c r="BO2638"/>
  <c r="N2638"/>
  <c r="M2638"/>
  <c r="B2638"/>
  <c r="BO2637"/>
  <c r="N2637"/>
  <c r="M2637"/>
  <c r="B2637"/>
  <c r="BO2636"/>
  <c r="N2636"/>
  <c r="M2636"/>
  <c r="B2636"/>
  <c r="BO2634"/>
  <c r="N2634"/>
  <c r="M2634"/>
  <c r="B2634"/>
  <c r="BO2633"/>
  <c r="N2633"/>
  <c r="M2633"/>
  <c r="BO2604"/>
  <c r="N2604"/>
  <c r="M2604"/>
  <c r="BO2585"/>
  <c r="N2585"/>
  <c r="M2585"/>
  <c r="B2585"/>
  <c r="BO2583"/>
  <c r="N2583"/>
  <c r="M2583"/>
  <c r="B2583"/>
  <c r="BO2572"/>
  <c r="N2572"/>
  <c r="M2572"/>
  <c r="B2572"/>
  <c r="BO2558"/>
  <c r="N2558"/>
  <c r="M2558"/>
  <c r="B2558"/>
  <c r="BO2546"/>
  <c r="N2546"/>
  <c r="M2546"/>
  <c r="BO2491"/>
  <c r="N2491"/>
  <c r="M2491"/>
  <c r="B2491"/>
  <c r="BO2488"/>
  <c r="N2488"/>
  <c r="M2488"/>
  <c r="B2488"/>
  <c r="BO2423"/>
  <c r="N2423"/>
  <c r="M2423"/>
  <c r="B2423"/>
  <c r="BO2403"/>
  <c r="N2403"/>
  <c r="M2403"/>
  <c r="B2403"/>
  <c r="BO2402"/>
  <c r="N2402"/>
  <c r="M2402"/>
  <c r="B2402"/>
  <c r="BO2367"/>
  <c r="N2367"/>
  <c r="M2367"/>
  <c r="B2367"/>
  <c r="BO2351"/>
  <c r="N2351"/>
  <c r="M2351"/>
  <c r="B2351"/>
  <c r="BO2347"/>
  <c r="N2347"/>
  <c r="M2347"/>
  <c r="B2347"/>
  <c r="BO2338"/>
  <c r="N2338"/>
  <c r="M2338"/>
  <c r="B2338"/>
  <c r="BO2328"/>
  <c r="N2328"/>
  <c r="M2328"/>
  <c r="B2328"/>
  <c r="BO2305"/>
  <c r="N2305"/>
  <c r="M2305"/>
  <c r="B2305"/>
  <c r="BO2294"/>
  <c r="N2294"/>
  <c r="M2294"/>
  <c r="BO2292"/>
  <c r="N2292"/>
  <c r="M2292"/>
  <c r="BO2252"/>
  <c r="N2252"/>
  <c r="M2252"/>
  <c r="B2252"/>
  <c r="BO2220"/>
  <c r="N2220"/>
  <c r="M2220"/>
  <c r="B2220"/>
  <c r="BO2199"/>
  <c r="N2199"/>
  <c r="M2199"/>
  <c r="B2199"/>
  <c r="BO2153"/>
  <c r="N2153"/>
  <c r="M2153"/>
  <c r="B2153"/>
  <c r="BO2135"/>
  <c r="N2135"/>
  <c r="M2135"/>
  <c r="B2135"/>
  <c r="BO2110"/>
  <c r="N2110"/>
  <c r="M2110"/>
  <c r="B2110"/>
  <c r="BO2071"/>
  <c r="N2071"/>
  <c r="M2071"/>
  <c r="B2071"/>
  <c r="BO2066"/>
  <c r="N2066"/>
  <c r="M2066"/>
  <c r="B2066"/>
  <c r="BO2013"/>
  <c r="N2013"/>
  <c r="M2013"/>
  <c r="BO1911"/>
  <c r="N1911"/>
  <c r="M1911"/>
  <c r="B1911"/>
  <c r="BO1878"/>
  <c r="N1878"/>
  <c r="M1878"/>
  <c r="B1878"/>
  <c r="BO1862"/>
  <c r="N1862"/>
  <c r="M1862"/>
  <c r="B1862"/>
  <c r="BO1845"/>
  <c r="N1845"/>
  <c r="M1845"/>
  <c r="B1845"/>
  <c r="BO1843"/>
  <c r="N1843"/>
  <c r="M1843"/>
  <c r="B1843"/>
  <c r="BO1801"/>
  <c r="N1801"/>
  <c r="M1801"/>
  <c r="B1801"/>
  <c r="BO1739"/>
  <c r="N1739"/>
  <c r="M1739"/>
  <c r="B1739"/>
  <c r="BO1736"/>
  <c r="N1736"/>
  <c r="M1736"/>
  <c r="BO1724"/>
  <c r="N1724"/>
  <c r="M1724"/>
  <c r="B1724"/>
  <c r="BO1715"/>
  <c r="N1715"/>
  <c r="M1715"/>
  <c r="B1715"/>
  <c r="BO1714"/>
  <c r="N1714"/>
  <c r="M1714"/>
  <c r="B1714"/>
  <c r="BO1712"/>
  <c r="N1712"/>
  <c r="M1712"/>
  <c r="B1712"/>
  <c r="BO1702"/>
  <c r="N1702"/>
  <c r="M1702"/>
  <c r="B1702"/>
  <c r="BO1674"/>
  <c r="N1674"/>
  <c r="M1674"/>
  <c r="B1674"/>
  <c r="BO1648"/>
  <c r="N1648"/>
  <c r="M1648"/>
  <c r="B1648"/>
  <c r="BO1609"/>
  <c r="N1609"/>
  <c r="M1609"/>
  <c r="B1609"/>
  <c r="BO1576"/>
  <c r="N1576"/>
  <c r="M1576"/>
  <c r="B1576"/>
  <c r="BO1574"/>
  <c r="N1574"/>
  <c r="M1574"/>
  <c r="BO1573"/>
  <c r="N1573"/>
  <c r="M1573"/>
  <c r="B1573"/>
  <c r="BO1572"/>
  <c r="N1572"/>
  <c r="M1572"/>
  <c r="B1572"/>
  <c r="BO1550"/>
  <c r="N1550"/>
  <c r="M1550"/>
  <c r="B1550"/>
  <c r="BO1520"/>
  <c r="N1520"/>
  <c r="M1520"/>
  <c r="B1520"/>
  <c r="BO1508"/>
  <c r="N1508"/>
  <c r="M1508"/>
  <c r="B1508"/>
  <c r="BO1467"/>
  <c r="N1467"/>
  <c r="M1467"/>
  <c r="B1467"/>
  <c r="BO1426"/>
  <c r="N1426"/>
  <c r="M1426"/>
  <c r="B1426"/>
  <c r="BO1404"/>
  <c r="N1404"/>
  <c r="M1404"/>
  <c r="B1404"/>
  <c r="BO1382"/>
  <c r="N1382"/>
  <c r="M1382"/>
  <c r="B1382"/>
  <c r="BO1377"/>
  <c r="N1377"/>
  <c r="M1377"/>
  <c r="B1377"/>
  <c r="BO1367"/>
  <c r="N1367"/>
  <c r="M1367"/>
  <c r="B1367"/>
  <c r="BO1364"/>
  <c r="N1364"/>
  <c r="M1364"/>
  <c r="B1364"/>
  <c r="BO1334"/>
  <c r="N1334"/>
  <c r="M1334"/>
  <c r="B1334"/>
  <c r="BO1318"/>
  <c r="N1318"/>
  <c r="M1318"/>
  <c r="B1318"/>
  <c r="BO1307"/>
  <c r="N1307"/>
  <c r="M1307"/>
  <c r="B1307"/>
  <c r="BO1291"/>
  <c r="N1291"/>
  <c r="M1291"/>
  <c r="B1291"/>
  <c r="BO1283"/>
  <c r="N1283"/>
  <c r="M1283"/>
  <c r="B1283"/>
  <c r="BO1255"/>
  <c r="N1255"/>
  <c r="M1255"/>
  <c r="B1255"/>
  <c r="BO1251"/>
  <c r="N1251"/>
  <c r="M1251"/>
  <c r="B1251"/>
  <c r="BO1249"/>
  <c r="N1249"/>
  <c r="M1249"/>
  <c r="B1249"/>
  <c r="BO1247"/>
  <c r="N1247"/>
  <c r="M1247"/>
  <c r="B1247"/>
  <c r="BO1241"/>
  <c r="N1241"/>
  <c r="M1241"/>
  <c r="B1241"/>
  <c r="BO1220"/>
  <c r="N1220"/>
  <c r="M1220"/>
  <c r="B1220"/>
  <c r="BO1213"/>
  <c r="N1213"/>
  <c r="M1213"/>
  <c r="B1213"/>
  <c r="BO1212"/>
  <c r="N1212"/>
  <c r="M1212"/>
  <c r="B1212"/>
  <c r="BO1210"/>
  <c r="N1210"/>
  <c r="M1210"/>
  <c r="B1210"/>
  <c r="BO1200"/>
  <c r="N1200"/>
  <c r="M1200"/>
  <c r="B1200"/>
  <c r="BO1170"/>
  <c r="N1170"/>
  <c r="M1170"/>
  <c r="B1170"/>
  <c r="BO1162"/>
  <c r="N1162"/>
  <c r="M1162"/>
  <c r="B1162"/>
  <c r="BO1077"/>
  <c r="N1077"/>
  <c r="M1077"/>
  <c r="B1077"/>
  <c r="BO1069"/>
  <c r="N1069"/>
  <c r="M1069"/>
  <c r="B1069"/>
  <c r="BO1051"/>
  <c r="N1051"/>
  <c r="M1051"/>
  <c r="BO1027"/>
  <c r="N1027"/>
  <c r="M1027"/>
  <c r="B1027"/>
  <c r="BO959"/>
  <c r="N959"/>
  <c r="M959"/>
  <c r="BO954"/>
  <c r="N954"/>
  <c r="M954"/>
  <c r="B954"/>
  <c r="BO930"/>
  <c r="N930"/>
  <c r="M930"/>
  <c r="B930"/>
  <c r="BO911"/>
  <c r="N911"/>
  <c r="M911"/>
  <c r="B911"/>
  <c r="BO910"/>
  <c r="N910"/>
  <c r="M910"/>
  <c r="B910"/>
  <c r="BO909"/>
  <c r="N909"/>
  <c r="M909"/>
  <c r="B909"/>
  <c r="BO891"/>
  <c r="N891"/>
  <c r="M891"/>
  <c r="B891"/>
  <c r="BO870"/>
  <c r="N870"/>
  <c r="M870"/>
  <c r="B870"/>
  <c r="BO869"/>
  <c r="N869"/>
  <c r="M869"/>
  <c r="B869"/>
  <c r="BO861"/>
  <c r="N861"/>
  <c r="M861"/>
  <c r="B861"/>
  <c r="BO860"/>
  <c r="N860"/>
  <c r="M860"/>
  <c r="BO775"/>
  <c r="N775"/>
  <c r="M775"/>
  <c r="B775"/>
  <c r="BO774"/>
  <c r="N774"/>
  <c r="M774"/>
  <c r="B774"/>
  <c r="BO750"/>
  <c r="N750"/>
  <c r="M750"/>
  <c r="B750"/>
  <c r="BO744"/>
  <c r="N744"/>
  <c r="M744"/>
  <c r="B744"/>
  <c r="BO690"/>
  <c r="N690"/>
  <c r="M690"/>
  <c r="B690"/>
  <c r="BO669"/>
  <c r="N669"/>
  <c r="M669"/>
  <c r="B669"/>
  <c r="BO633"/>
  <c r="N633"/>
  <c r="M633"/>
  <c r="B633"/>
  <c r="BO620"/>
  <c r="N620"/>
  <c r="M620"/>
  <c r="B620"/>
  <c r="BO596"/>
  <c r="N596"/>
  <c r="M596"/>
  <c r="B596"/>
  <c r="BO586"/>
  <c r="N586"/>
  <c r="M586"/>
  <c r="B586"/>
  <c r="BO567"/>
  <c r="N567"/>
  <c r="M567"/>
  <c r="B567"/>
  <c r="BO560"/>
  <c r="N560"/>
  <c r="M560"/>
  <c r="B560"/>
  <c r="BO554"/>
  <c r="N554"/>
  <c r="M554"/>
  <c r="B554"/>
  <c r="BO531"/>
  <c r="N531"/>
  <c r="M531"/>
  <c r="B531"/>
  <c r="BO528"/>
  <c r="N528"/>
  <c r="M528"/>
  <c r="B528"/>
  <c r="BO527"/>
  <c r="N527"/>
  <c r="M527"/>
  <c r="B527"/>
  <c r="BO475"/>
  <c r="N475"/>
  <c r="M475"/>
  <c r="B475"/>
  <c r="BO474"/>
  <c r="N474"/>
  <c r="M474"/>
  <c r="B474"/>
  <c r="BO451"/>
  <c r="N451"/>
  <c r="M451"/>
  <c r="B451"/>
  <c r="BO417"/>
  <c r="N417"/>
  <c r="M417"/>
  <c r="B417"/>
  <c r="BO387"/>
  <c r="N387"/>
  <c r="M387"/>
  <c r="B387"/>
  <c r="BO379"/>
  <c r="N379"/>
  <c r="M379"/>
  <c r="B379"/>
  <c r="BO349"/>
  <c r="N349"/>
  <c r="M349"/>
  <c r="B349"/>
  <c r="BO334"/>
  <c r="N334"/>
  <c r="M334"/>
  <c r="B334"/>
  <c r="BO331"/>
  <c r="N331"/>
  <c r="M331"/>
  <c r="B331"/>
  <c r="BO324"/>
  <c r="N324"/>
  <c r="M324"/>
  <c r="B324"/>
  <c r="BO317"/>
  <c r="N317"/>
  <c r="M317"/>
  <c r="B317"/>
  <c r="BO311"/>
  <c r="N311"/>
  <c r="M311"/>
  <c r="B311"/>
  <c r="BO260"/>
  <c r="N260"/>
  <c r="M260"/>
  <c r="B260"/>
  <c r="BO234"/>
  <c r="N234"/>
  <c r="M234"/>
  <c r="B234"/>
  <c r="BO230"/>
  <c r="N230"/>
  <c r="M230"/>
  <c r="B230"/>
  <c r="BO229"/>
  <c r="N229"/>
  <c r="M229"/>
  <c r="B229"/>
  <c r="BO227"/>
  <c r="N227"/>
  <c r="M227"/>
  <c r="B227"/>
  <c r="BO226"/>
  <c r="N226"/>
  <c r="M226"/>
  <c r="B226"/>
  <c r="BO213"/>
  <c r="N213"/>
  <c r="M213"/>
  <c r="B213"/>
  <c r="BO212"/>
  <c r="N212"/>
  <c r="M212"/>
  <c r="B212"/>
  <c r="BO211"/>
  <c r="N211"/>
  <c r="M211"/>
  <c r="B211"/>
  <c r="BO210"/>
  <c r="N210"/>
  <c r="M210"/>
  <c r="B210"/>
  <c r="BO206"/>
  <c r="N206"/>
  <c r="M206"/>
  <c r="B206"/>
  <c r="BO205"/>
  <c r="N205"/>
  <c r="M205"/>
  <c r="B205"/>
  <c r="BO199"/>
  <c r="N199"/>
  <c r="M199"/>
  <c r="B199"/>
  <c r="BO198"/>
  <c r="N198"/>
  <c r="M198"/>
  <c r="B198"/>
  <c r="BO193"/>
  <c r="N193"/>
  <c r="M193"/>
  <c r="B193"/>
  <c r="BO192"/>
  <c r="N192"/>
  <c r="M192"/>
  <c r="B192"/>
  <c r="BO191"/>
  <c r="N191"/>
  <c r="M191"/>
  <c r="B191"/>
  <c r="BO190"/>
  <c r="N190"/>
  <c r="M190"/>
  <c r="B190"/>
  <c r="BO189"/>
  <c r="N189"/>
  <c r="M189"/>
  <c r="B189"/>
  <c r="BO177"/>
  <c r="N177"/>
  <c r="M177"/>
  <c r="B177"/>
  <c r="BO176"/>
  <c r="N176"/>
  <c r="M176"/>
  <c r="B176"/>
  <c r="BO175"/>
  <c r="N175"/>
  <c r="M175"/>
  <c r="B175"/>
  <c r="BO147"/>
  <c r="N147"/>
  <c r="M147"/>
  <c r="B147"/>
  <c r="BO138"/>
  <c r="N138"/>
  <c r="M138"/>
  <c r="BO121"/>
  <c r="N121"/>
  <c r="M121"/>
  <c r="B121"/>
  <c r="BO104"/>
  <c r="N104"/>
  <c r="M104"/>
  <c r="B104"/>
  <c r="BO69"/>
  <c r="N69"/>
  <c r="M69"/>
  <c r="B69"/>
  <c r="BO41"/>
  <c r="N41"/>
  <c r="M41"/>
  <c r="B41"/>
  <c r="BO17"/>
  <c r="N17"/>
  <c r="M17"/>
  <c r="B17"/>
  <c r="BO2770"/>
  <c r="N2770"/>
  <c r="M2770"/>
  <c r="B2770"/>
  <c r="BO2756"/>
  <c r="N2756"/>
  <c r="M2756"/>
  <c r="BO2753"/>
  <c r="N2753"/>
  <c r="M2753"/>
  <c r="BO2749"/>
  <c r="N2749"/>
  <c r="M2749"/>
  <c r="B2749"/>
  <c r="BO2742"/>
  <c r="N2742"/>
  <c r="M2742"/>
  <c r="B2742"/>
  <c r="BO2727"/>
  <c r="N2727"/>
  <c r="M2727"/>
  <c r="B2727"/>
  <c r="BO2726"/>
  <c r="N2726"/>
  <c r="M2726"/>
  <c r="B2726"/>
  <c r="BO2699"/>
  <c r="N2699"/>
  <c r="M2699"/>
  <c r="B2699"/>
  <c r="BO2693"/>
  <c r="N2693"/>
  <c r="M2693"/>
  <c r="B2693"/>
  <c r="BO2691"/>
  <c r="N2691"/>
  <c r="M2691"/>
  <c r="B2691"/>
  <c r="BO2688"/>
  <c r="N2688"/>
  <c r="M2688"/>
  <c r="B2688"/>
  <c r="BO2680"/>
  <c r="N2680"/>
  <c r="M2680"/>
  <c r="B2680"/>
  <c r="BO2656"/>
  <c r="N2656"/>
  <c r="M2656"/>
  <c r="BO2641"/>
  <c r="N2641"/>
  <c r="M2641"/>
  <c r="B2641"/>
  <c r="BO2624"/>
  <c r="N2624"/>
  <c r="M2624"/>
  <c r="B2624"/>
  <c r="BO2598"/>
  <c r="N2598"/>
  <c r="M2598"/>
  <c r="B2598"/>
  <c r="BO2597"/>
  <c r="N2597"/>
  <c r="M2597"/>
  <c r="B2597"/>
  <c r="BO2595"/>
  <c r="N2595"/>
  <c r="M2595"/>
  <c r="B2595"/>
  <c r="BO2587"/>
  <c r="N2587"/>
  <c r="M2587"/>
  <c r="B2587"/>
  <c r="BO2577"/>
  <c r="N2577"/>
  <c r="M2577"/>
  <c r="B2577"/>
  <c r="BO2568"/>
  <c r="N2568"/>
  <c r="M2568"/>
  <c r="B2568"/>
  <c r="BO2562"/>
  <c r="N2562"/>
  <c r="M2562"/>
  <c r="BO2532"/>
  <c r="N2532"/>
  <c r="M2532"/>
  <c r="B2532"/>
  <c r="BO2502"/>
  <c r="N2502"/>
  <c r="M2502"/>
  <c r="B2502"/>
  <c r="BO2496"/>
  <c r="N2496"/>
  <c r="M2496"/>
  <c r="B2496"/>
  <c r="BO2495"/>
  <c r="N2495"/>
  <c r="M2495"/>
  <c r="B2495"/>
  <c r="BO2492"/>
  <c r="N2492"/>
  <c r="M2492"/>
  <c r="B2492"/>
  <c r="BO2478"/>
  <c r="N2478"/>
  <c r="M2478"/>
  <c r="BO2454"/>
  <c r="N2454"/>
  <c r="M2454"/>
  <c r="B2454"/>
  <c r="BO2448"/>
  <c r="N2448"/>
  <c r="M2448"/>
  <c r="B2448"/>
  <c r="BO2437"/>
  <c r="N2437"/>
  <c r="M2437"/>
  <c r="B2437"/>
  <c r="BO2435"/>
  <c r="N2435"/>
  <c r="M2435"/>
  <c r="B2435"/>
  <c r="BO2434"/>
  <c r="N2434"/>
  <c r="M2434"/>
  <c r="BO2393"/>
  <c r="N2393"/>
  <c r="M2393"/>
  <c r="B2393"/>
  <c r="BO2392"/>
  <c r="N2392"/>
  <c r="M2392"/>
  <c r="B2392"/>
  <c r="BO2385"/>
  <c r="N2385"/>
  <c r="M2385"/>
  <c r="B2385"/>
  <c r="BO2350"/>
  <c r="N2350"/>
  <c r="M2350"/>
  <c r="B2350"/>
  <c r="BO2349"/>
  <c r="N2349"/>
  <c r="M2349"/>
  <c r="B2349"/>
  <c r="BO2342"/>
  <c r="N2342"/>
  <c r="M2342"/>
  <c r="B2342"/>
  <c r="BO2334"/>
  <c r="N2334"/>
  <c r="M2334"/>
  <c r="BO2331"/>
  <c r="N2331"/>
  <c r="M2331"/>
  <c r="B2331"/>
  <c r="BO2314"/>
  <c r="N2314"/>
  <c r="M2314"/>
  <c r="B2314"/>
  <c r="BO2289"/>
  <c r="N2289"/>
  <c r="M2289"/>
  <c r="B2289"/>
  <c r="BO2284"/>
  <c r="N2284"/>
  <c r="M2284"/>
  <c r="B2284"/>
  <c r="BO2271"/>
  <c r="N2271"/>
  <c r="M2271"/>
  <c r="B2271"/>
  <c r="BO2263"/>
  <c r="N2263"/>
  <c r="M2263"/>
  <c r="B2263"/>
  <c r="BO2255"/>
  <c r="N2255"/>
  <c r="M2255"/>
  <c r="B2255"/>
  <c r="BO2244"/>
  <c r="N2244"/>
  <c r="M2244"/>
  <c r="BO2238"/>
  <c r="N2238"/>
  <c r="M2238"/>
  <c r="BO2235"/>
  <c r="N2235"/>
  <c r="M2235"/>
  <c r="B2235"/>
  <c r="BO2209"/>
  <c r="N2209"/>
  <c r="M2209"/>
  <c r="B2209"/>
  <c r="BO2204"/>
  <c r="N2204"/>
  <c r="M2204"/>
  <c r="BO2185"/>
  <c r="N2185"/>
  <c r="M2185"/>
  <c r="B2185"/>
  <c r="BO2181"/>
  <c r="N2181"/>
  <c r="M2181"/>
  <c r="B2181"/>
  <c r="BO2173"/>
  <c r="N2173"/>
  <c r="M2173"/>
  <c r="B2173"/>
  <c r="BO2116"/>
  <c r="N2116"/>
  <c r="M2116"/>
  <c r="BO2113"/>
  <c r="N2113"/>
  <c r="M2113"/>
  <c r="BO2067"/>
  <c r="N2067"/>
  <c r="M2067"/>
  <c r="B2067"/>
  <c r="BO2047"/>
  <c r="N2047"/>
  <c r="M2047"/>
  <c r="B2047"/>
  <c r="BO2038"/>
  <c r="N2038"/>
  <c r="M2038"/>
  <c r="B2038"/>
  <c r="BO2037"/>
  <c r="N2037"/>
  <c r="M2037"/>
  <c r="B2037"/>
  <c r="BO2027"/>
  <c r="N2027"/>
  <c r="M2027"/>
  <c r="BO2025"/>
  <c r="N2025"/>
  <c r="M2025"/>
  <c r="B2025"/>
  <c r="BO2018"/>
  <c r="N2018"/>
  <c r="M2018"/>
  <c r="BO2012"/>
  <c r="N2012"/>
  <c r="M2012"/>
  <c r="B2012"/>
  <c r="BO2005"/>
  <c r="N2005"/>
  <c r="M2005"/>
  <c r="B2005"/>
  <c r="BO1994"/>
  <c r="N1994"/>
  <c r="M1994"/>
  <c r="B1994"/>
  <c r="BO1993"/>
  <c r="N1993"/>
  <c r="M1993"/>
  <c r="B1993"/>
  <c r="BO1991"/>
  <c r="N1991"/>
  <c r="M1991"/>
  <c r="B1991"/>
  <c r="BO1990"/>
  <c r="N1990"/>
  <c r="M1990"/>
  <c r="B1990"/>
  <c r="BO1988"/>
  <c r="N1988"/>
  <c r="M1988"/>
  <c r="B1988"/>
  <c r="BO1981"/>
  <c r="N1981"/>
  <c r="M1981"/>
  <c r="B1981"/>
  <c r="BO1976"/>
  <c r="N1976"/>
  <c r="M1976"/>
  <c r="B1976"/>
  <c r="BO1974"/>
  <c r="N1974"/>
  <c r="M1974"/>
  <c r="BO1965"/>
  <c r="N1965"/>
  <c r="M1965"/>
  <c r="B1965"/>
  <c r="BO1963"/>
  <c r="N1963"/>
  <c r="M1963"/>
  <c r="B1963"/>
  <c r="BO1959"/>
  <c r="N1959"/>
  <c r="M1959"/>
  <c r="B1959"/>
  <c r="BO1955"/>
  <c r="N1955"/>
  <c r="M1955"/>
  <c r="B1955"/>
  <c r="BO1929"/>
  <c r="N1929"/>
  <c r="M1929"/>
  <c r="B1929"/>
  <c r="BO1904"/>
  <c r="N1904"/>
  <c r="M1904"/>
  <c r="B1904"/>
  <c r="BO1901"/>
  <c r="N1901"/>
  <c r="M1901"/>
  <c r="B1901"/>
  <c r="BO1900"/>
  <c r="N1900"/>
  <c r="M1900"/>
  <c r="BO1895"/>
  <c r="N1895"/>
  <c r="M1895"/>
  <c r="B1895"/>
  <c r="BO1889"/>
  <c r="N1889"/>
  <c r="M1889"/>
  <c r="B1889"/>
  <c r="BO1884"/>
  <c r="N1884"/>
  <c r="M1884"/>
  <c r="B1884"/>
  <c r="BO1864"/>
  <c r="N1864"/>
  <c r="M1864"/>
  <c r="B1864"/>
  <c r="BO1851"/>
  <c r="N1851"/>
  <c r="M1851"/>
  <c r="B1851"/>
  <c r="BO1841"/>
  <c r="N1841"/>
  <c r="M1841"/>
  <c r="B1841"/>
  <c r="BO1809"/>
  <c r="N1809"/>
  <c r="M1809"/>
  <c r="B1809"/>
  <c r="BO1808"/>
  <c r="N1808"/>
  <c r="M1808"/>
  <c r="B1808"/>
  <c r="BO1807"/>
  <c r="N1807"/>
  <c r="M1807"/>
  <c r="BO1805"/>
  <c r="N1805"/>
  <c r="M1805"/>
  <c r="B1805"/>
  <c r="BO1797"/>
  <c r="N1797"/>
  <c r="M1797"/>
  <c r="B1797"/>
  <c r="BO1796"/>
  <c r="N1796"/>
  <c r="M1796"/>
  <c r="B1796"/>
  <c r="BO1795"/>
  <c r="N1795"/>
  <c r="M1795"/>
  <c r="B1795"/>
  <c r="BO1791"/>
  <c r="N1791"/>
  <c r="M1791"/>
  <c r="B1791"/>
  <c r="BO1788"/>
  <c r="N1788"/>
  <c r="M1788"/>
  <c r="B1788"/>
  <c r="BO1776"/>
  <c r="N1776"/>
  <c r="M1776"/>
  <c r="B1776"/>
  <c r="BO1775"/>
  <c r="N1775"/>
  <c r="M1775"/>
  <c r="B1775"/>
  <c r="BO1774"/>
  <c r="N1774"/>
  <c r="M1774"/>
  <c r="B1774"/>
  <c r="BO1773"/>
  <c r="N1773"/>
  <c r="M1773"/>
  <c r="B1773"/>
  <c r="BO1772"/>
  <c r="N1772"/>
  <c r="M1772"/>
  <c r="B1772"/>
  <c r="BO1771"/>
  <c r="N1771"/>
  <c r="M1771"/>
  <c r="B1771"/>
  <c r="BO1763"/>
  <c r="N1763"/>
  <c r="M1763"/>
  <c r="B1763"/>
  <c r="BO1759"/>
  <c r="N1759"/>
  <c r="M1759"/>
  <c r="B1759"/>
  <c r="BO1749"/>
  <c r="N1749"/>
  <c r="M1749"/>
  <c r="B1749"/>
  <c r="BO1706"/>
  <c r="N1706"/>
  <c r="M1706"/>
  <c r="B1706"/>
  <c r="BO1704"/>
  <c r="N1704"/>
  <c r="M1704"/>
  <c r="B1704"/>
  <c r="BO1703"/>
  <c r="N1703"/>
  <c r="M1703"/>
  <c r="B1703"/>
  <c r="BO1696"/>
  <c r="N1696"/>
  <c r="M1696"/>
  <c r="B1696"/>
  <c r="BO1695"/>
  <c r="N1695"/>
  <c r="M1695"/>
  <c r="B1695"/>
  <c r="BO1690"/>
  <c r="N1690"/>
  <c r="M1690"/>
  <c r="B1690"/>
  <c r="BO1687"/>
  <c r="N1687"/>
  <c r="M1687"/>
  <c r="B1687"/>
  <c r="BO1686"/>
  <c r="N1686"/>
  <c r="M1686"/>
  <c r="B1686"/>
  <c r="BO1685"/>
  <c r="N1685"/>
  <c r="M1685"/>
  <c r="BO1683"/>
  <c r="N1683"/>
  <c r="M1683"/>
  <c r="B1683"/>
  <c r="BO1663"/>
  <c r="N1663"/>
  <c r="M1663"/>
  <c r="B1663"/>
  <c r="BO1661"/>
  <c r="N1661"/>
  <c r="M1661"/>
  <c r="B1661"/>
  <c r="BO1657"/>
  <c r="N1657"/>
  <c r="M1657"/>
  <c r="B1657"/>
  <c r="BO1656"/>
  <c r="N1656"/>
  <c r="M1656"/>
  <c r="B1656"/>
  <c r="BO1654"/>
  <c r="N1654"/>
  <c r="M1654"/>
  <c r="B1654"/>
  <c r="BO1642"/>
  <c r="N1642"/>
  <c r="M1642"/>
  <c r="B1642"/>
  <c r="BO1636"/>
  <c r="N1636"/>
  <c r="M1636"/>
  <c r="BO1620"/>
  <c r="N1620"/>
  <c r="M1620"/>
  <c r="B1620"/>
  <c r="BO1618"/>
  <c r="N1618"/>
  <c r="M1618"/>
  <c r="B1618"/>
  <c r="BO1615"/>
  <c r="N1615"/>
  <c r="M1615"/>
  <c r="B1615"/>
  <c r="BO1614"/>
  <c r="N1614"/>
  <c r="M1614"/>
  <c r="B1614"/>
  <c r="BO1599"/>
  <c r="N1599"/>
  <c r="M1599"/>
  <c r="B1599"/>
  <c r="BO1598"/>
  <c r="N1598"/>
  <c r="M1598"/>
  <c r="B1598"/>
  <c r="BO1588"/>
  <c r="N1588"/>
  <c r="M1588"/>
  <c r="B1588"/>
  <c r="BO1579"/>
  <c r="N1579"/>
  <c r="M1579"/>
  <c r="B1579"/>
  <c r="BO1562"/>
  <c r="N1562"/>
  <c r="M1562"/>
  <c r="B1562"/>
  <c r="BO1536"/>
  <c r="N1536"/>
  <c r="M1536"/>
  <c r="B1536"/>
  <c r="BO1532"/>
  <c r="N1532"/>
  <c r="M1532"/>
  <c r="B1532"/>
  <c r="BO1511"/>
  <c r="N1511"/>
  <c r="M1511"/>
  <c r="B1511"/>
  <c r="BO1503"/>
  <c r="N1503"/>
  <c r="M1503"/>
  <c r="B1503"/>
  <c r="BO1502"/>
  <c r="N1502"/>
  <c r="M1502"/>
  <c r="B1502"/>
  <c r="BO1477"/>
  <c r="N1477"/>
  <c r="M1477"/>
  <c r="B1477"/>
  <c r="BO1471"/>
  <c r="N1471"/>
  <c r="M1471"/>
  <c r="B1471"/>
  <c r="BO1469"/>
  <c r="N1469"/>
  <c r="M1469"/>
  <c r="B1469"/>
  <c r="BO1464"/>
  <c r="N1464"/>
  <c r="M1464"/>
  <c r="B1464"/>
  <c r="BO1462"/>
  <c r="N1462"/>
  <c r="M1462"/>
  <c r="B1462"/>
  <c r="BO1460"/>
  <c r="N1460"/>
  <c r="M1460"/>
  <c r="B1460"/>
  <c r="BO1459"/>
  <c r="N1459"/>
  <c r="M1459"/>
  <c r="B1459"/>
  <c r="BO1456"/>
  <c r="N1456"/>
  <c r="M1456"/>
  <c r="B1456"/>
  <c r="BO1445"/>
  <c r="N1445"/>
  <c r="M1445"/>
  <c r="B1445"/>
  <c r="BO1441"/>
  <c r="N1441"/>
  <c r="M1441"/>
  <c r="B1441"/>
  <c r="BO1437"/>
  <c r="N1437"/>
  <c r="M1437"/>
  <c r="B1437"/>
  <c r="BO1436"/>
  <c r="N1436"/>
  <c r="M1436"/>
  <c r="B1436"/>
  <c r="BO1433"/>
  <c r="N1433"/>
  <c r="M1433"/>
  <c r="B1433"/>
  <c r="BO1430"/>
  <c r="N1430"/>
  <c r="M1430"/>
  <c r="B1430"/>
  <c r="BO1425"/>
  <c r="N1425"/>
  <c r="M1425"/>
  <c r="B1425"/>
  <c r="BO1422"/>
  <c r="N1422"/>
  <c r="M1422"/>
  <c r="B1422"/>
  <c r="BO1411"/>
  <c r="N1411"/>
  <c r="M1411"/>
  <c r="B1411"/>
  <c r="BO1405"/>
  <c r="N1405"/>
  <c r="M1405"/>
  <c r="B1405"/>
  <c r="BO1400"/>
  <c r="N1400"/>
  <c r="M1400"/>
  <c r="B1400"/>
  <c r="BO1399"/>
  <c r="N1399"/>
  <c r="M1399"/>
  <c r="B1399"/>
  <c r="BO1395"/>
  <c r="N1395"/>
  <c r="M1395"/>
  <c r="B1395"/>
  <c r="BO1389"/>
  <c r="N1389"/>
  <c r="M1389"/>
  <c r="B1389"/>
  <c r="BO1371"/>
  <c r="N1371"/>
  <c r="M1371"/>
  <c r="B1371"/>
  <c r="BO1370"/>
  <c r="N1370"/>
  <c r="M1370"/>
  <c r="B1370"/>
  <c r="BO1359"/>
  <c r="N1359"/>
  <c r="M1359"/>
  <c r="B1359"/>
  <c r="BO1327"/>
  <c r="N1327"/>
  <c r="M1327"/>
  <c r="B1327"/>
  <c r="BO1325"/>
  <c r="N1325"/>
  <c r="M1325"/>
  <c r="B1325"/>
  <c r="BO1319"/>
  <c r="N1319"/>
  <c r="M1319"/>
  <c r="B1319"/>
  <c r="BO1308"/>
  <c r="N1308"/>
  <c r="M1308"/>
  <c r="B1308"/>
  <c r="BO1292"/>
  <c r="N1292"/>
  <c r="M1292"/>
  <c r="BO1279"/>
  <c r="N1279"/>
  <c r="M1279"/>
  <c r="B1279"/>
  <c r="BO1275"/>
  <c r="N1275"/>
  <c r="M1275"/>
  <c r="B1275"/>
  <c r="BO1269"/>
  <c r="N1269"/>
  <c r="M1269"/>
  <c r="B1269"/>
  <c r="BO1261"/>
  <c r="N1261"/>
  <c r="M1261"/>
  <c r="B1261"/>
  <c r="BO1242"/>
  <c r="N1242"/>
  <c r="M1242"/>
  <c r="B1242"/>
  <c r="BO1209"/>
  <c r="N1209"/>
  <c r="M1209"/>
  <c r="B1209"/>
  <c r="BO1206"/>
  <c r="N1206"/>
  <c r="M1206"/>
  <c r="B1206"/>
  <c r="BO1205"/>
  <c r="N1205"/>
  <c r="M1205"/>
  <c r="B1205"/>
  <c r="BO1193"/>
  <c r="N1193"/>
  <c r="M1193"/>
  <c r="B1193"/>
  <c r="BO1137"/>
  <c r="N1137"/>
  <c r="M1137"/>
  <c r="BO1131"/>
  <c r="N1131"/>
  <c r="M1131"/>
  <c r="B1131"/>
  <c r="BO1128"/>
  <c r="N1128"/>
  <c r="M1128"/>
  <c r="B1128"/>
  <c r="BO1116"/>
  <c r="N1116"/>
  <c r="M1116"/>
  <c r="B1116"/>
  <c r="BO1115"/>
  <c r="N1115"/>
  <c r="M1115"/>
  <c r="B1115"/>
  <c r="BO1111"/>
  <c r="N1111"/>
  <c r="M1111"/>
  <c r="B1111"/>
  <c r="BO1106"/>
  <c r="N1106"/>
  <c r="M1106"/>
  <c r="B1106"/>
  <c r="BO1088"/>
  <c r="N1088"/>
  <c r="M1088"/>
  <c r="B1088"/>
  <c r="BO1064"/>
  <c r="N1064"/>
  <c r="M1064"/>
  <c r="B1064"/>
  <c r="BO1062"/>
  <c r="N1062"/>
  <c r="M1062"/>
  <c r="B1062"/>
  <c r="BO1053"/>
  <c r="N1053"/>
  <c r="M1053"/>
  <c r="B1053"/>
  <c r="BO1035"/>
  <c r="N1035"/>
  <c r="M1035"/>
  <c r="B1035"/>
  <c r="BO1029"/>
  <c r="N1029"/>
  <c r="M1029"/>
  <c r="B1029"/>
  <c r="BO1028"/>
  <c r="N1028"/>
  <c r="M1028"/>
  <c r="B1028"/>
  <c r="BO1022"/>
  <c r="N1022"/>
  <c r="M1022"/>
  <c r="B1022"/>
  <c r="BO997"/>
  <c r="N997"/>
  <c r="M997"/>
  <c r="BO973"/>
  <c r="N973"/>
  <c r="M973"/>
  <c r="B973"/>
  <c r="BO972"/>
  <c r="N972"/>
  <c r="M972"/>
  <c r="B972"/>
  <c r="BO971"/>
  <c r="N971"/>
  <c r="M971"/>
  <c r="B971"/>
  <c r="BO968"/>
  <c r="N968"/>
  <c r="M968"/>
  <c r="BO967"/>
  <c r="N967"/>
  <c r="M967"/>
  <c r="B967"/>
  <c r="BO947"/>
  <c r="N947"/>
  <c r="M947"/>
  <c r="B947"/>
  <c r="BO934"/>
  <c r="N934"/>
  <c r="M934"/>
  <c r="B934"/>
  <c r="BO886"/>
  <c r="N886"/>
  <c r="M886"/>
  <c r="B886"/>
  <c r="BO885"/>
  <c r="N885"/>
  <c r="M885"/>
  <c r="B885"/>
  <c r="BO874"/>
  <c r="N874"/>
  <c r="M874"/>
  <c r="B874"/>
  <c r="BO857"/>
  <c r="N857"/>
  <c r="M857"/>
  <c r="B857"/>
  <c r="BO851"/>
  <c r="N851"/>
  <c r="M851"/>
  <c r="B851"/>
  <c r="BO845"/>
  <c r="N845"/>
  <c r="M845"/>
  <c r="BO840"/>
  <c r="N840"/>
  <c r="M840"/>
  <c r="B840"/>
  <c r="BO780"/>
  <c r="N780"/>
  <c r="M780"/>
  <c r="B780"/>
  <c r="BO779"/>
  <c r="N779"/>
  <c r="M779"/>
  <c r="B779"/>
  <c r="BO776"/>
  <c r="N776"/>
  <c r="M776"/>
  <c r="B776"/>
  <c r="BO772"/>
  <c r="N772"/>
  <c r="M772"/>
  <c r="B772"/>
  <c r="BO763"/>
  <c r="N763"/>
  <c r="M763"/>
  <c r="B763"/>
  <c r="BO753"/>
  <c r="N753"/>
  <c r="M753"/>
  <c r="B753"/>
  <c r="BO739"/>
  <c r="N739"/>
  <c r="M739"/>
  <c r="B739"/>
  <c r="BO735"/>
  <c r="N735"/>
  <c r="M735"/>
  <c r="B735"/>
  <c r="BO724"/>
  <c r="N724"/>
  <c r="M724"/>
  <c r="B724"/>
  <c r="BO712"/>
  <c r="N712"/>
  <c r="M712"/>
  <c r="BO711"/>
  <c r="N711"/>
  <c r="M711"/>
  <c r="B711"/>
  <c r="BO710"/>
  <c r="N710"/>
  <c r="M710"/>
  <c r="BO697"/>
  <c r="N697"/>
  <c r="M697"/>
  <c r="B697"/>
  <c r="BO686"/>
  <c r="N686"/>
  <c r="M686"/>
  <c r="B686"/>
  <c r="BO670"/>
  <c r="N670"/>
  <c r="M670"/>
  <c r="B670"/>
  <c r="BO666"/>
  <c r="N666"/>
  <c r="M666"/>
  <c r="B666"/>
  <c r="BO665"/>
  <c r="N665"/>
  <c r="M665"/>
  <c r="B665"/>
  <c r="BO658"/>
  <c r="N658"/>
  <c r="M658"/>
  <c r="B658"/>
  <c r="BO634"/>
  <c r="N634"/>
  <c r="M634"/>
  <c r="B634"/>
  <c r="BO599"/>
  <c r="N599"/>
  <c r="M599"/>
  <c r="B599"/>
  <c r="BO594"/>
  <c r="N594"/>
  <c r="M594"/>
  <c r="B594"/>
  <c r="BO581"/>
  <c r="N581"/>
  <c r="M581"/>
  <c r="B581"/>
  <c r="BO565"/>
  <c r="N565"/>
  <c r="M565"/>
  <c r="B565"/>
  <c r="BO558"/>
  <c r="N558"/>
  <c r="M558"/>
  <c r="B558"/>
  <c r="BO541"/>
  <c r="N541"/>
  <c r="M541"/>
  <c r="BO509"/>
  <c r="N509"/>
  <c r="M509"/>
  <c r="B509"/>
  <c r="BO506"/>
  <c r="N506"/>
  <c r="M506"/>
  <c r="B506"/>
  <c r="BO494"/>
  <c r="N494"/>
  <c r="M494"/>
  <c r="B494"/>
  <c r="BO489"/>
  <c r="N489"/>
  <c r="M489"/>
  <c r="B489"/>
  <c r="BO464"/>
  <c r="N464"/>
  <c r="M464"/>
  <c r="B464"/>
  <c r="BO463"/>
  <c r="N463"/>
  <c r="M463"/>
  <c r="B463"/>
  <c r="BO462"/>
  <c r="N462"/>
  <c r="M462"/>
  <c r="B462"/>
  <c r="BO460"/>
  <c r="N460"/>
  <c r="M460"/>
  <c r="B460"/>
  <c r="BO430"/>
  <c r="N430"/>
  <c r="M430"/>
  <c r="B430"/>
  <c r="BO378"/>
  <c r="N378"/>
  <c r="M378"/>
  <c r="B378"/>
  <c r="BO338"/>
  <c r="N338"/>
  <c r="M338"/>
  <c r="B338"/>
  <c r="BO336"/>
  <c r="N336"/>
  <c r="M336"/>
  <c r="B336"/>
  <c r="BO320"/>
  <c r="N320"/>
  <c r="M320"/>
  <c r="B320"/>
  <c r="BO315"/>
  <c r="N315"/>
  <c r="M315"/>
  <c r="B315"/>
  <c r="BO314"/>
  <c r="N314"/>
  <c r="M314"/>
  <c r="B314"/>
  <c r="BO310"/>
  <c r="N310"/>
  <c r="M310"/>
  <c r="B310"/>
  <c r="BO295"/>
  <c r="N295"/>
  <c r="M295"/>
  <c r="B295"/>
  <c r="BO294"/>
  <c r="N294"/>
  <c r="M294"/>
  <c r="B294"/>
  <c r="BO291"/>
  <c r="N291"/>
  <c r="M291"/>
  <c r="B291"/>
  <c r="BO261"/>
  <c r="N261"/>
  <c r="M261"/>
  <c r="B261"/>
  <c r="BO249"/>
  <c r="N249"/>
  <c r="M249"/>
  <c r="B249"/>
  <c r="BO244"/>
  <c r="N244"/>
  <c r="M244"/>
  <c r="B244"/>
  <c r="BO221"/>
  <c r="N221"/>
  <c r="M221"/>
  <c r="B221"/>
  <c r="BO220"/>
  <c r="N220"/>
  <c r="M220"/>
  <c r="B220"/>
  <c r="BO154"/>
  <c r="N154"/>
  <c r="M154"/>
  <c r="B154"/>
  <c r="BO150"/>
  <c r="N150"/>
  <c r="M150"/>
  <c r="B150"/>
  <c r="BO132"/>
  <c r="N132"/>
  <c r="M132"/>
  <c r="B132"/>
  <c r="BO129"/>
  <c r="N129"/>
  <c r="M129"/>
  <c r="B129"/>
  <c r="BO106"/>
  <c r="N106"/>
  <c r="M106"/>
  <c r="B106"/>
  <c r="BO89"/>
  <c r="N89"/>
  <c r="M89"/>
  <c r="B89"/>
  <c r="BO60"/>
  <c r="N60"/>
  <c r="M60"/>
  <c r="B60"/>
  <c r="BO30"/>
  <c r="N30"/>
  <c r="M30"/>
  <c r="B30"/>
  <c r="BO2759"/>
  <c r="N2759"/>
  <c r="M2759"/>
  <c r="B2759"/>
  <c r="BO2733"/>
  <c r="N2733"/>
  <c r="M2733"/>
  <c r="BO2728"/>
  <c r="N2728"/>
  <c r="M2728"/>
  <c r="B2728"/>
  <c r="BO2676"/>
  <c r="N2676"/>
  <c r="M2676"/>
  <c r="B2676"/>
  <c r="BO2669"/>
  <c r="N2669"/>
  <c r="M2669"/>
  <c r="B2669"/>
  <c r="BO2659"/>
  <c r="N2659"/>
  <c r="M2659"/>
  <c r="BO2623"/>
  <c r="N2623"/>
  <c r="M2623"/>
  <c r="B2623"/>
  <c r="BO2620"/>
  <c r="N2620"/>
  <c r="M2620"/>
  <c r="B2620"/>
  <c r="BO2592"/>
  <c r="N2592"/>
  <c r="M2592"/>
  <c r="B2592"/>
  <c r="BO2586"/>
  <c r="N2586"/>
  <c r="M2586"/>
  <c r="B2586"/>
  <c r="BO2576"/>
  <c r="N2576"/>
  <c r="M2576"/>
  <c r="B2576"/>
  <c r="BO2569"/>
  <c r="N2569"/>
  <c r="M2569"/>
  <c r="B2569"/>
  <c r="BO2559"/>
  <c r="N2559"/>
  <c r="M2559"/>
  <c r="B2559"/>
  <c r="BO2549"/>
  <c r="N2549"/>
  <c r="M2549"/>
  <c r="BO2522"/>
  <c r="N2522"/>
  <c r="M2522"/>
  <c r="B2522"/>
  <c r="BO2500"/>
  <c r="N2500"/>
  <c r="M2500"/>
  <c r="B2500"/>
  <c r="BO2493"/>
  <c r="N2493"/>
  <c r="M2493"/>
  <c r="B2493"/>
  <c r="BO2476"/>
  <c r="N2476"/>
  <c r="M2476"/>
  <c r="B2476"/>
  <c r="BO2469"/>
  <c r="N2469"/>
  <c r="M2469"/>
  <c r="B2469"/>
  <c r="BO2467"/>
  <c r="N2467"/>
  <c r="M2467"/>
  <c r="BO2461"/>
  <c r="N2461"/>
  <c r="M2461"/>
  <c r="B2461"/>
  <c r="BO2456"/>
  <c r="N2456"/>
  <c r="M2456"/>
  <c r="BO2443"/>
  <c r="N2443"/>
  <c r="M2443"/>
  <c r="B2443"/>
  <c r="BO2414"/>
  <c r="N2414"/>
  <c r="M2414"/>
  <c r="B2414"/>
  <c r="BO2378"/>
  <c r="N2378"/>
  <c r="M2378"/>
  <c r="BO2375"/>
  <c r="N2375"/>
  <c r="M2375"/>
  <c r="BO2339"/>
  <c r="N2339"/>
  <c r="M2339"/>
  <c r="B2339"/>
  <c r="BO2319"/>
  <c r="N2319"/>
  <c r="M2319"/>
  <c r="B2319"/>
  <c r="BO2288"/>
  <c r="N2288"/>
  <c r="M2288"/>
  <c r="B2288"/>
  <c r="BO2279"/>
  <c r="N2279"/>
  <c r="M2279"/>
  <c r="B2279"/>
  <c r="BO2267"/>
  <c r="N2267"/>
  <c r="M2267"/>
  <c r="BO2260"/>
  <c r="N2260"/>
  <c r="M2260"/>
  <c r="B2260"/>
  <c r="BO2231"/>
  <c r="N2231"/>
  <c r="M2231"/>
  <c r="B2231"/>
  <c r="BO2229"/>
  <c r="N2229"/>
  <c r="M2229"/>
  <c r="B2229"/>
  <c r="BO2205"/>
  <c r="N2205"/>
  <c r="M2205"/>
  <c r="B2205"/>
  <c r="BO2184"/>
  <c r="N2184"/>
  <c r="M2184"/>
  <c r="B2184"/>
  <c r="BO2169"/>
  <c r="N2169"/>
  <c r="M2169"/>
  <c r="B2169"/>
  <c r="BO2162"/>
  <c r="N2162"/>
  <c r="M2162"/>
  <c r="BO2141"/>
  <c r="N2141"/>
  <c r="M2141"/>
  <c r="B2141"/>
  <c r="BO2124"/>
  <c r="N2124"/>
  <c r="M2124"/>
  <c r="B2124"/>
  <c r="BO2121"/>
  <c r="N2121"/>
  <c r="M2121"/>
  <c r="B2121"/>
  <c r="BO2117"/>
  <c r="N2117"/>
  <c r="M2117"/>
  <c r="B2117"/>
  <c r="BO2106"/>
  <c r="N2106"/>
  <c r="M2106"/>
  <c r="B2106"/>
  <c r="BO2103"/>
  <c r="N2103"/>
  <c r="M2103"/>
  <c r="B2103"/>
  <c r="BO2094"/>
  <c r="N2094"/>
  <c r="M2094"/>
  <c r="B2094"/>
  <c r="BO2087"/>
  <c r="N2087"/>
  <c r="M2087"/>
  <c r="B2087"/>
  <c r="BO2079"/>
  <c r="N2079"/>
  <c r="M2079"/>
  <c r="B2079"/>
  <c r="BO2064"/>
  <c r="N2064"/>
  <c r="M2064"/>
  <c r="B2064"/>
  <c r="BO2054"/>
  <c r="N2054"/>
  <c r="M2054"/>
  <c r="B2054"/>
  <c r="BO2003"/>
  <c r="N2003"/>
  <c r="M2003"/>
  <c r="B2003"/>
  <c r="BO1973"/>
  <c r="N1973"/>
  <c r="M1973"/>
  <c r="BO1940"/>
  <c r="N1940"/>
  <c r="M1940"/>
  <c r="B1940"/>
  <c r="BO1930"/>
  <c r="N1930"/>
  <c r="M1930"/>
  <c r="B1930"/>
  <c r="BO1879"/>
  <c r="N1879"/>
  <c r="M1879"/>
  <c r="B1879"/>
  <c r="BO1871"/>
  <c r="N1871"/>
  <c r="M1871"/>
  <c r="B1871"/>
  <c r="BO1870"/>
  <c r="N1870"/>
  <c r="M1870"/>
  <c r="B1870"/>
  <c r="BO1858"/>
  <c r="N1858"/>
  <c r="M1858"/>
  <c r="B1858"/>
  <c r="BO1856"/>
  <c r="N1856"/>
  <c r="M1856"/>
  <c r="B1856"/>
  <c r="BO1850"/>
  <c r="N1850"/>
  <c r="M1850"/>
  <c r="B1850"/>
  <c r="BO1846"/>
  <c r="N1846"/>
  <c r="M1846"/>
  <c r="B1846"/>
  <c r="BO1840"/>
  <c r="N1840"/>
  <c r="M1840"/>
  <c r="B1840"/>
  <c r="BO1838"/>
  <c r="N1838"/>
  <c r="M1838"/>
  <c r="B1838"/>
  <c r="BO1834"/>
  <c r="N1834"/>
  <c r="M1834"/>
  <c r="B1834"/>
  <c r="BO1830"/>
  <c r="N1830"/>
  <c r="M1830"/>
  <c r="B1830"/>
  <c r="BO1816"/>
  <c r="N1816"/>
  <c r="M1816"/>
  <c r="B1816"/>
  <c r="BO1813"/>
  <c r="N1813"/>
  <c r="M1813"/>
  <c r="B1813"/>
  <c r="BO1793"/>
  <c r="N1793"/>
  <c r="M1793"/>
  <c r="BO1769"/>
  <c r="N1769"/>
  <c r="M1769"/>
  <c r="B1769"/>
  <c r="BO1740"/>
  <c r="N1740"/>
  <c r="M1740"/>
  <c r="B1740"/>
  <c r="BO1723"/>
  <c r="N1723"/>
  <c r="M1723"/>
  <c r="B1723"/>
  <c r="BO1699"/>
  <c r="N1699"/>
  <c r="M1699"/>
  <c r="B1699"/>
  <c r="BO1666"/>
  <c r="N1666"/>
  <c r="M1666"/>
  <c r="B1666"/>
  <c r="BO1587"/>
  <c r="N1587"/>
  <c r="M1587"/>
  <c r="B1587"/>
  <c r="BO1581"/>
  <c r="N1581"/>
  <c r="M1581"/>
  <c r="B1581"/>
  <c r="BO1535"/>
  <c r="N1535"/>
  <c r="M1535"/>
  <c r="B1535"/>
  <c r="BO1519"/>
  <c r="N1519"/>
  <c r="M1519"/>
  <c r="B1519"/>
  <c r="BO1487"/>
  <c r="N1487"/>
  <c r="M1487"/>
  <c r="B1487"/>
  <c r="BO1451"/>
  <c r="N1451"/>
  <c r="M1451"/>
  <c r="B1451"/>
  <c r="BO1394"/>
  <c r="N1394"/>
  <c r="M1394"/>
  <c r="B1394"/>
  <c r="BO1383"/>
  <c r="N1383"/>
  <c r="M1383"/>
  <c r="B1383"/>
  <c r="BO1358"/>
  <c r="N1358"/>
  <c r="M1358"/>
  <c r="B1358"/>
  <c r="BO1351"/>
  <c r="N1351"/>
  <c r="M1351"/>
  <c r="B1351"/>
  <c r="BO1320"/>
  <c r="N1320"/>
  <c r="M1320"/>
  <c r="B1320"/>
  <c r="BO1301"/>
  <c r="N1301"/>
  <c r="M1301"/>
  <c r="B1301"/>
  <c r="BO1271"/>
  <c r="N1271"/>
  <c r="M1271"/>
  <c r="B1271"/>
  <c r="BO1258"/>
  <c r="N1258"/>
  <c r="M1258"/>
  <c r="B1258"/>
  <c r="BO1228"/>
  <c r="N1228"/>
  <c r="M1228"/>
  <c r="B1228"/>
  <c r="BO1196"/>
  <c r="N1196"/>
  <c r="M1196"/>
  <c r="B1196"/>
  <c r="BO1174"/>
  <c r="N1174"/>
  <c r="M1174"/>
  <c r="B1174"/>
  <c r="BO1167"/>
  <c r="N1167"/>
  <c r="M1167"/>
  <c r="B1167"/>
  <c r="BO1158"/>
  <c r="N1158"/>
  <c r="M1158"/>
  <c r="B1158"/>
  <c r="BO1151"/>
  <c r="N1151"/>
  <c r="M1151"/>
  <c r="B1151"/>
  <c r="BO1145"/>
  <c r="N1145"/>
  <c r="M1145"/>
  <c r="B1145"/>
  <c r="BO1100"/>
  <c r="N1100"/>
  <c r="M1100"/>
  <c r="B1100"/>
  <c r="BO1090"/>
  <c r="N1090"/>
  <c r="M1090"/>
  <c r="B1090"/>
  <c r="BO1066"/>
  <c r="N1066"/>
  <c r="M1066"/>
  <c r="B1066"/>
  <c r="BO1055"/>
  <c r="N1055"/>
  <c r="M1055"/>
  <c r="B1055"/>
  <c r="BO1012"/>
  <c r="N1012"/>
  <c r="M1012"/>
  <c r="B1012"/>
  <c r="BO901"/>
  <c r="N901"/>
  <c r="M901"/>
  <c r="B901"/>
  <c r="BO812"/>
  <c r="N812"/>
  <c r="M812"/>
  <c r="B812"/>
  <c r="BO702"/>
  <c r="N702"/>
  <c r="M702"/>
  <c r="BO695"/>
  <c r="N695"/>
  <c r="M695"/>
  <c r="BO664"/>
  <c r="N664"/>
  <c r="M664"/>
  <c r="B664"/>
  <c r="BO626"/>
  <c r="N626"/>
  <c r="M626"/>
  <c r="B626"/>
  <c r="BO625"/>
  <c r="N625"/>
  <c r="M625"/>
  <c r="B625"/>
  <c r="BO608"/>
  <c r="N608"/>
  <c r="M608"/>
  <c r="B608"/>
  <c r="BO532"/>
  <c r="N532"/>
  <c r="M532"/>
  <c r="B532"/>
  <c r="BO511"/>
  <c r="N511"/>
  <c r="M511"/>
  <c r="B511"/>
  <c r="BO504"/>
  <c r="N504"/>
  <c r="M504"/>
  <c r="B504"/>
  <c r="BO458"/>
  <c r="N458"/>
  <c r="M458"/>
  <c r="B458"/>
  <c r="BO352"/>
  <c r="N352"/>
  <c r="M352"/>
  <c r="B352"/>
  <c r="BO321"/>
  <c r="N321"/>
  <c r="M321"/>
  <c r="B321"/>
  <c r="BO279"/>
  <c r="N279"/>
  <c r="M279"/>
  <c r="B279"/>
  <c r="BO215"/>
  <c r="N215"/>
  <c r="M215"/>
  <c r="B215"/>
  <c r="BO178"/>
  <c r="N178"/>
  <c r="M178"/>
  <c r="BO152"/>
  <c r="N152"/>
  <c r="M152"/>
  <c r="B152"/>
  <c r="BO113"/>
  <c r="N113"/>
  <c r="M113"/>
  <c r="BO2774"/>
  <c r="N2774"/>
  <c r="M2774"/>
  <c r="B2774"/>
  <c r="BO2723"/>
  <c r="N2723"/>
  <c r="M2723"/>
  <c r="BO2681"/>
  <c r="N2681"/>
  <c r="M2681"/>
  <c r="B2681"/>
  <c r="BO2657"/>
  <c r="N2657"/>
  <c r="M2657"/>
  <c r="B2657"/>
  <c r="BO2630"/>
  <c r="N2630"/>
  <c r="M2630"/>
  <c r="B2630"/>
  <c r="BO2622"/>
  <c r="N2622"/>
  <c r="M2622"/>
  <c r="BO2618"/>
  <c r="N2618"/>
  <c r="M2618"/>
  <c r="B2618"/>
  <c r="BO2593"/>
  <c r="N2593"/>
  <c r="M2593"/>
  <c r="B2593"/>
  <c r="BO2588"/>
  <c r="N2588"/>
  <c r="M2588"/>
  <c r="B2588"/>
  <c r="BO2584"/>
  <c r="N2584"/>
  <c r="M2584"/>
  <c r="BO2579"/>
  <c r="N2579"/>
  <c r="M2579"/>
  <c r="B2579"/>
  <c r="BO2570"/>
  <c r="N2570"/>
  <c r="M2570"/>
  <c r="B2570"/>
  <c r="BO2561"/>
  <c r="N2561"/>
  <c r="M2561"/>
  <c r="B2561"/>
  <c r="BO2557"/>
  <c r="N2557"/>
  <c r="M2557"/>
  <c r="B2557"/>
  <c r="BO2554"/>
  <c r="N2554"/>
  <c r="M2554"/>
  <c r="B2554"/>
  <c r="BO2542"/>
  <c r="N2542"/>
  <c r="M2542"/>
  <c r="BO2530"/>
  <c r="N2530"/>
  <c r="M2530"/>
  <c r="B2530"/>
  <c r="BO2529"/>
  <c r="N2529"/>
  <c r="M2529"/>
  <c r="B2529"/>
  <c r="BO2524"/>
  <c r="N2524"/>
  <c r="M2524"/>
  <c r="B2524"/>
  <c r="BO2487"/>
  <c r="N2487"/>
  <c r="M2487"/>
  <c r="B2487"/>
  <c r="BO2486"/>
  <c r="N2486"/>
  <c r="M2486"/>
  <c r="B2486"/>
  <c r="BO2458"/>
  <c r="N2458"/>
  <c r="M2458"/>
  <c r="B2458"/>
  <c r="BO2432"/>
  <c r="N2432"/>
  <c r="M2432"/>
  <c r="BO2430"/>
  <c r="N2430"/>
  <c r="M2430"/>
  <c r="B2430"/>
  <c r="BO2429"/>
  <c r="N2429"/>
  <c r="M2429"/>
  <c r="B2429"/>
  <c r="BO2428"/>
  <c r="N2428"/>
  <c r="M2428"/>
  <c r="B2428"/>
  <c r="BO2401"/>
  <c r="N2401"/>
  <c r="M2401"/>
  <c r="B2401"/>
  <c r="BO2397"/>
  <c r="N2397"/>
  <c r="M2397"/>
  <c r="B2397"/>
  <c r="BO2394"/>
  <c r="N2394"/>
  <c r="M2394"/>
  <c r="BO2370"/>
  <c r="N2370"/>
  <c r="M2370"/>
  <c r="B2370"/>
  <c r="BO2361"/>
  <c r="N2361"/>
  <c r="M2361"/>
  <c r="B2361"/>
  <c r="BO2359"/>
  <c r="N2359"/>
  <c r="M2359"/>
  <c r="BO2346"/>
  <c r="N2346"/>
  <c r="M2346"/>
  <c r="BO2340"/>
  <c r="N2340"/>
  <c r="M2340"/>
  <c r="B2340"/>
  <c r="BO2322"/>
  <c r="N2322"/>
  <c r="M2322"/>
  <c r="B2322"/>
  <c r="BO2307"/>
  <c r="N2307"/>
  <c r="M2307"/>
  <c r="B2307"/>
  <c r="BO2274"/>
  <c r="N2274"/>
  <c r="M2274"/>
  <c r="B2274"/>
  <c r="BO2248"/>
  <c r="N2248"/>
  <c r="M2248"/>
  <c r="B2248"/>
  <c r="BO2232"/>
  <c r="N2232"/>
  <c r="M2232"/>
  <c r="B2232"/>
  <c r="BO2223"/>
  <c r="N2223"/>
  <c r="M2223"/>
  <c r="B2223"/>
  <c r="BO2217"/>
  <c r="N2217"/>
  <c r="M2217"/>
  <c r="B2217"/>
  <c r="BO2214"/>
  <c r="N2214"/>
  <c r="M2214"/>
  <c r="B2214"/>
  <c r="BO2178"/>
  <c r="N2178"/>
  <c r="M2178"/>
  <c r="B2178"/>
  <c r="BO2166"/>
  <c r="N2166"/>
  <c r="M2166"/>
  <c r="B2166"/>
  <c r="BO2152"/>
  <c r="N2152"/>
  <c r="M2152"/>
  <c r="BO2145"/>
  <c r="N2145"/>
  <c r="M2145"/>
  <c r="B2145"/>
  <c r="BO2144"/>
  <c r="N2144"/>
  <c r="M2144"/>
  <c r="B2144"/>
  <c r="BO2109"/>
  <c r="N2109"/>
  <c r="M2109"/>
  <c r="B2109"/>
  <c r="BO2072"/>
  <c r="N2072"/>
  <c r="M2072"/>
  <c r="B2072"/>
  <c r="BO2070"/>
  <c r="N2070"/>
  <c r="M2070"/>
  <c r="B2070"/>
  <c r="BO2065"/>
  <c r="N2065"/>
  <c r="M2065"/>
  <c r="BO2056"/>
  <c r="N2056"/>
  <c r="M2056"/>
  <c r="B2056"/>
  <c r="BO2053"/>
  <c r="N2053"/>
  <c r="M2053"/>
  <c r="B2053"/>
  <c r="BO2031"/>
  <c r="N2031"/>
  <c r="M2031"/>
  <c r="B2031"/>
  <c r="BO2026"/>
  <c r="N2026"/>
  <c r="M2026"/>
  <c r="B2026"/>
  <c r="BO1999"/>
  <c r="N1999"/>
  <c r="M1999"/>
  <c r="B1999"/>
  <c r="BO1985"/>
  <c r="N1985"/>
  <c r="M1985"/>
  <c r="B1985"/>
  <c r="BO1953"/>
  <c r="N1953"/>
  <c r="M1953"/>
  <c r="B1953"/>
  <c r="BO1939"/>
  <c r="N1939"/>
  <c r="M1939"/>
  <c r="B1939"/>
  <c r="BO1925"/>
  <c r="N1925"/>
  <c r="M1925"/>
  <c r="B1925"/>
  <c r="BO1915"/>
  <c r="N1915"/>
  <c r="M1915"/>
  <c r="B1915"/>
  <c r="BO1909"/>
  <c r="N1909"/>
  <c r="M1909"/>
  <c r="B1909"/>
  <c r="BO1887"/>
  <c r="N1887"/>
  <c r="M1887"/>
  <c r="B1887"/>
  <c r="BO1877"/>
  <c r="N1877"/>
  <c r="M1877"/>
  <c r="B1877"/>
  <c r="BO1874"/>
  <c r="N1874"/>
  <c r="M1874"/>
  <c r="B1874"/>
  <c r="BO1842"/>
  <c r="N1842"/>
  <c r="M1842"/>
  <c r="BO1835"/>
  <c r="N1835"/>
  <c r="M1835"/>
  <c r="B1835"/>
  <c r="BO1818"/>
  <c r="N1818"/>
  <c r="M1818"/>
  <c r="B1818"/>
  <c r="BO1815"/>
  <c r="N1815"/>
  <c r="M1815"/>
  <c r="B1815"/>
  <c r="BO1758"/>
  <c r="N1758"/>
  <c r="M1758"/>
  <c r="BO1748"/>
  <c r="N1748"/>
  <c r="M1748"/>
  <c r="B1748"/>
  <c r="BO1730"/>
  <c r="N1730"/>
  <c r="M1730"/>
  <c r="B1730"/>
  <c r="BO1717"/>
  <c r="N1717"/>
  <c r="M1717"/>
  <c r="BO1681"/>
  <c r="N1681"/>
  <c r="M1681"/>
  <c r="B1681"/>
  <c r="BO1678"/>
  <c r="N1678"/>
  <c r="M1678"/>
  <c r="B1678"/>
  <c r="BO1671"/>
  <c r="N1671"/>
  <c r="M1671"/>
  <c r="B1671"/>
  <c r="BO1613"/>
  <c r="N1613"/>
  <c r="M1613"/>
  <c r="B1613"/>
  <c r="BO1602"/>
  <c r="N1602"/>
  <c r="M1602"/>
  <c r="B1602"/>
  <c r="BO1595"/>
  <c r="N1595"/>
  <c r="M1595"/>
  <c r="B1595"/>
  <c r="BO1564"/>
  <c r="N1564"/>
  <c r="M1564"/>
  <c r="B1564"/>
  <c r="BO1548"/>
  <c r="N1548"/>
  <c r="M1548"/>
  <c r="B1548"/>
  <c r="BO1547"/>
  <c r="N1547"/>
  <c r="M1547"/>
  <c r="B1547"/>
  <c r="BO1530"/>
  <c r="N1530"/>
  <c r="M1530"/>
  <c r="BO1529"/>
  <c r="N1529"/>
  <c r="M1529"/>
  <c r="B1529"/>
  <c r="BO1521"/>
  <c r="N1521"/>
  <c r="M1521"/>
  <c r="B1521"/>
  <c r="BO1509"/>
  <c r="N1509"/>
  <c r="M1509"/>
  <c r="B1509"/>
  <c r="BO1472"/>
  <c r="N1472"/>
  <c r="M1472"/>
  <c r="B1472"/>
  <c r="BO1470"/>
  <c r="N1470"/>
  <c r="M1470"/>
  <c r="B1470"/>
  <c r="BO1468"/>
  <c r="N1468"/>
  <c r="M1468"/>
  <c r="B1468"/>
  <c r="BO1452"/>
  <c r="N1452"/>
  <c r="M1452"/>
  <c r="B1452"/>
  <c r="BO1449"/>
  <c r="N1449"/>
  <c r="M1449"/>
  <c r="B1449"/>
  <c r="BO1448"/>
  <c r="N1448"/>
  <c r="M1448"/>
  <c r="B1448"/>
  <c r="BO1413"/>
  <c r="N1413"/>
  <c r="M1413"/>
  <c r="B1413"/>
  <c r="BO1402"/>
  <c r="N1402"/>
  <c r="M1402"/>
  <c r="B1402"/>
  <c r="BO1397"/>
  <c r="N1397"/>
  <c r="M1397"/>
  <c r="B1397"/>
  <c r="BO1379"/>
  <c r="N1379"/>
  <c r="M1379"/>
  <c r="BO1376"/>
  <c r="N1376"/>
  <c r="M1376"/>
  <c r="B1376"/>
  <c r="BO1354"/>
  <c r="N1354"/>
  <c r="M1354"/>
  <c r="B1354"/>
  <c r="BO1295"/>
  <c r="N1295"/>
  <c r="M1295"/>
  <c r="B1295"/>
  <c r="BO1287"/>
  <c r="N1287"/>
  <c r="M1287"/>
  <c r="B1287"/>
  <c r="BO1267"/>
  <c r="N1267"/>
  <c r="M1267"/>
  <c r="B1267"/>
  <c r="BO1254"/>
  <c r="N1254"/>
  <c r="M1254"/>
  <c r="B1254"/>
  <c r="BO1248"/>
  <c r="N1248"/>
  <c r="M1248"/>
  <c r="B1248"/>
  <c r="BO1239"/>
  <c r="N1239"/>
  <c r="M1239"/>
  <c r="B1239"/>
  <c r="BO1207"/>
  <c r="N1207"/>
  <c r="M1207"/>
  <c r="B1207"/>
  <c r="BO1202"/>
  <c r="N1202"/>
  <c r="M1202"/>
  <c r="B1202"/>
  <c r="BO1201"/>
  <c r="N1201"/>
  <c r="M1201"/>
  <c r="B1201"/>
  <c r="BO1184"/>
  <c r="N1184"/>
  <c r="M1184"/>
  <c r="B1184"/>
  <c r="BO1182"/>
  <c r="N1182"/>
  <c r="M1182"/>
  <c r="B1182"/>
  <c r="BO1180"/>
  <c r="N1180"/>
  <c r="M1180"/>
  <c r="B1180"/>
  <c r="BO1179"/>
  <c r="N1179"/>
  <c r="M1179"/>
  <c r="B1179"/>
  <c r="BO1173"/>
  <c r="N1173"/>
  <c r="M1173"/>
  <c r="B1173"/>
  <c r="BO1171"/>
  <c r="N1171"/>
  <c r="M1171"/>
  <c r="B1171"/>
  <c r="BO1166"/>
  <c r="N1166"/>
  <c r="M1166"/>
  <c r="B1166"/>
  <c r="BO1135"/>
  <c r="N1135"/>
  <c r="M1135"/>
  <c r="B1135"/>
  <c r="BO1123"/>
  <c r="N1123"/>
  <c r="M1123"/>
  <c r="B1123"/>
  <c r="BO1070"/>
  <c r="N1070"/>
  <c r="M1070"/>
  <c r="B1070"/>
  <c r="BO1045"/>
  <c r="N1045"/>
  <c r="M1045"/>
  <c r="B1045"/>
  <c r="BO1037"/>
  <c r="N1037"/>
  <c r="M1037"/>
  <c r="B1037"/>
  <c r="BO1000"/>
  <c r="N1000"/>
  <c r="M1000"/>
  <c r="BO989"/>
  <c r="N989"/>
  <c r="M989"/>
  <c r="B989"/>
  <c r="BO981"/>
  <c r="N981"/>
  <c r="M981"/>
  <c r="B981"/>
  <c r="BO955"/>
  <c r="N955"/>
  <c r="M955"/>
  <c r="B955"/>
  <c r="BO953"/>
  <c r="N953"/>
  <c r="M953"/>
  <c r="B953"/>
  <c r="BO946"/>
  <c r="N946"/>
  <c r="M946"/>
  <c r="BO912"/>
  <c r="N912"/>
  <c r="M912"/>
  <c r="B912"/>
  <c r="BO908"/>
  <c r="N908"/>
  <c r="M908"/>
  <c r="B908"/>
  <c r="BO903"/>
  <c r="N903"/>
  <c r="M903"/>
  <c r="B903"/>
  <c r="BO902"/>
  <c r="N902"/>
  <c r="M902"/>
  <c r="B902"/>
  <c r="BO894"/>
  <c r="N894"/>
  <c r="M894"/>
  <c r="BO882"/>
  <c r="N882"/>
  <c r="M882"/>
  <c r="B882"/>
  <c r="BO865"/>
  <c r="N865"/>
  <c r="M865"/>
  <c r="B865"/>
  <c r="BO838"/>
  <c r="N838"/>
  <c r="M838"/>
  <c r="B838"/>
  <c r="BO833"/>
  <c r="N833"/>
  <c r="M833"/>
  <c r="BO819"/>
  <c r="N819"/>
  <c r="M819"/>
  <c r="B819"/>
  <c r="BO813"/>
  <c r="N813"/>
  <c r="M813"/>
  <c r="B813"/>
  <c r="BO806"/>
  <c r="N806"/>
  <c r="M806"/>
  <c r="B806"/>
  <c r="BO803"/>
  <c r="N803"/>
  <c r="M803"/>
  <c r="B803"/>
  <c r="BO792"/>
  <c r="N792"/>
  <c r="M792"/>
  <c r="B792"/>
  <c r="BO728"/>
  <c r="N728"/>
  <c r="M728"/>
  <c r="B728"/>
  <c r="BO717"/>
  <c r="N717"/>
  <c r="M717"/>
  <c r="BO694"/>
  <c r="N694"/>
  <c r="M694"/>
  <c r="B694"/>
  <c r="BO680"/>
  <c r="N680"/>
  <c r="M680"/>
  <c r="B680"/>
  <c r="BO667"/>
  <c r="N667"/>
  <c r="M667"/>
  <c r="B667"/>
  <c r="BO615"/>
  <c r="N615"/>
  <c r="M615"/>
  <c r="B615"/>
  <c r="BO595"/>
  <c r="N595"/>
  <c r="M595"/>
  <c r="B595"/>
  <c r="BO522"/>
  <c r="N522"/>
  <c r="M522"/>
  <c r="B522"/>
  <c r="BO519"/>
  <c r="N519"/>
  <c r="M519"/>
  <c r="B519"/>
  <c r="BO477"/>
  <c r="N477"/>
  <c r="M477"/>
  <c r="B477"/>
  <c r="BO468"/>
  <c r="N468"/>
  <c r="M468"/>
  <c r="B468"/>
  <c r="BO461"/>
  <c r="N461"/>
  <c r="M461"/>
  <c r="BO435"/>
  <c r="N435"/>
  <c r="M435"/>
  <c r="B435"/>
  <c r="BO434"/>
  <c r="N434"/>
  <c r="M434"/>
  <c r="B434"/>
  <c r="BO432"/>
  <c r="N432"/>
  <c r="M432"/>
  <c r="B432"/>
  <c r="BO431"/>
  <c r="N431"/>
  <c r="M431"/>
  <c r="B431"/>
  <c r="BO427"/>
  <c r="N427"/>
  <c r="M427"/>
  <c r="B427"/>
  <c r="BO381"/>
  <c r="N381"/>
  <c r="M381"/>
  <c r="B381"/>
  <c r="BO355"/>
  <c r="N355"/>
  <c r="M355"/>
  <c r="B355"/>
  <c r="BO337"/>
  <c r="N337"/>
  <c r="M337"/>
  <c r="B337"/>
  <c r="BO326"/>
  <c r="N326"/>
  <c r="M326"/>
  <c r="B326"/>
  <c r="BO316"/>
  <c r="N316"/>
  <c r="M316"/>
  <c r="B316"/>
  <c r="BO300"/>
  <c r="N300"/>
  <c r="M300"/>
  <c r="B300"/>
  <c r="BO299"/>
  <c r="N299"/>
  <c r="M299"/>
  <c r="B299"/>
  <c r="BO292"/>
  <c r="N292"/>
  <c r="M292"/>
  <c r="B292"/>
  <c r="BO285"/>
  <c r="N285"/>
  <c r="M285"/>
  <c r="B285"/>
  <c r="BO278"/>
  <c r="N278"/>
  <c r="M278"/>
  <c r="B278"/>
  <c r="BO214"/>
  <c r="N214"/>
  <c r="M214"/>
  <c r="B214"/>
  <c r="BO143"/>
  <c r="N143"/>
  <c r="M143"/>
  <c r="B143"/>
  <c r="BO126"/>
  <c r="N126"/>
  <c r="M126"/>
  <c r="B126"/>
  <c r="BO100"/>
  <c r="N100"/>
  <c r="M100"/>
  <c r="B100"/>
  <c r="BO90"/>
  <c r="N90"/>
  <c r="M90"/>
  <c r="B90"/>
  <c r="BO5"/>
  <c r="N5"/>
  <c r="M5"/>
  <c r="B5"/>
  <c r="BO2763"/>
  <c r="N2763"/>
  <c r="M2763"/>
  <c r="B2763"/>
  <c r="BO2674"/>
  <c r="N2674"/>
  <c r="M2674"/>
  <c r="B2674"/>
  <c r="BO2670"/>
  <c r="N2670"/>
  <c r="M2670"/>
  <c r="B2670"/>
  <c r="BO2663"/>
  <c r="N2663"/>
  <c r="M2663"/>
  <c r="B2663"/>
  <c r="BO2662"/>
  <c r="N2662"/>
  <c r="M2662"/>
  <c r="B2662"/>
  <c r="BO2652"/>
  <c r="N2652"/>
  <c r="M2652"/>
  <c r="B2652"/>
  <c r="BO2650"/>
  <c r="N2650"/>
  <c r="M2650"/>
  <c r="B2650"/>
  <c r="BO2649"/>
  <c r="N2649"/>
  <c r="M2649"/>
  <c r="BO2648"/>
  <c r="N2648"/>
  <c r="M2648"/>
  <c r="B2648"/>
  <c r="BO2644"/>
  <c r="N2644"/>
  <c r="M2644"/>
  <c r="B2644"/>
  <c r="BO2615"/>
  <c r="N2615"/>
  <c r="M2615"/>
  <c r="B2615"/>
  <c r="BO2552"/>
  <c r="N2552"/>
  <c r="M2552"/>
  <c r="B2552"/>
  <c r="BO2545"/>
  <c r="N2545"/>
  <c r="M2545"/>
  <c r="B2545"/>
  <c r="BO2527"/>
  <c r="N2527"/>
  <c r="M2527"/>
  <c r="B2527"/>
  <c r="BO2511"/>
  <c r="N2511"/>
  <c r="M2511"/>
  <c r="B2511"/>
  <c r="BO2510"/>
  <c r="N2510"/>
  <c r="M2510"/>
  <c r="B2510"/>
  <c r="BO2494"/>
  <c r="N2494"/>
  <c r="M2494"/>
  <c r="BO2490"/>
  <c r="N2490"/>
  <c r="M2490"/>
  <c r="B2490"/>
  <c r="BO2470"/>
  <c r="N2470"/>
  <c r="M2470"/>
  <c r="B2470"/>
  <c r="BO2455"/>
  <c r="N2455"/>
  <c r="M2455"/>
  <c r="B2455"/>
  <c r="BO2422"/>
  <c r="N2422"/>
  <c r="M2422"/>
  <c r="B2422"/>
  <c r="BO2407"/>
  <c r="N2407"/>
  <c r="M2407"/>
  <c r="B2407"/>
  <c r="BO2396"/>
  <c r="N2396"/>
  <c r="M2396"/>
  <c r="B2396"/>
  <c r="BO2388"/>
  <c r="N2388"/>
  <c r="M2388"/>
  <c r="B2388"/>
  <c r="BO2376"/>
  <c r="N2376"/>
  <c r="M2376"/>
  <c r="B2376"/>
  <c r="BO2330"/>
  <c r="N2330"/>
  <c r="M2330"/>
  <c r="B2330"/>
  <c r="BO2321"/>
  <c r="N2321"/>
  <c r="M2321"/>
  <c r="B2321"/>
  <c r="BO2320"/>
  <c r="N2320"/>
  <c r="M2320"/>
  <c r="B2320"/>
  <c r="BO2302"/>
  <c r="N2302"/>
  <c r="M2302"/>
  <c r="B2302"/>
  <c r="BO2298"/>
  <c r="N2298"/>
  <c r="M2298"/>
  <c r="B2298"/>
  <c r="BO2295"/>
  <c r="N2295"/>
  <c r="M2295"/>
  <c r="B2295"/>
  <c r="BO2163"/>
  <c r="N2163"/>
  <c r="M2163"/>
  <c r="B2163"/>
  <c r="BO2140"/>
  <c r="N2140"/>
  <c r="M2140"/>
  <c r="B2140"/>
  <c r="BO2139"/>
  <c r="N2139"/>
  <c r="M2139"/>
  <c r="B2139"/>
  <c r="BO2138"/>
  <c r="N2138"/>
  <c r="M2138"/>
  <c r="BO2125"/>
  <c r="N2125"/>
  <c r="M2125"/>
  <c r="B2125"/>
  <c r="BO2100"/>
  <c r="N2100"/>
  <c r="M2100"/>
  <c r="B2100"/>
  <c r="BO2080"/>
  <c r="N2080"/>
  <c r="M2080"/>
  <c r="BO2059"/>
  <c r="N2059"/>
  <c r="M2059"/>
  <c r="BO1997"/>
  <c r="N1997"/>
  <c r="M1997"/>
  <c r="B1997"/>
  <c r="BO1987"/>
  <c r="N1987"/>
  <c r="M1987"/>
  <c r="B1987"/>
  <c r="BO1977"/>
  <c r="N1977"/>
  <c r="M1977"/>
  <c r="B1977"/>
  <c r="BO1941"/>
  <c r="N1941"/>
  <c r="M1941"/>
  <c r="B1941"/>
  <c r="BO1860"/>
  <c r="N1860"/>
  <c r="M1860"/>
  <c r="BO1852"/>
  <c r="N1852"/>
  <c r="M1852"/>
  <c r="B1852"/>
  <c r="BO1767"/>
  <c r="N1767"/>
  <c r="M1767"/>
  <c r="B1767"/>
  <c r="BO1760"/>
  <c r="N1760"/>
  <c r="M1760"/>
  <c r="B1760"/>
  <c r="BO1745"/>
  <c r="N1745"/>
  <c r="M1745"/>
  <c r="B1745"/>
  <c r="BO1741"/>
  <c r="N1741"/>
  <c r="M1741"/>
  <c r="B1741"/>
  <c r="BO1692"/>
  <c r="N1692"/>
  <c r="M1692"/>
  <c r="B1692"/>
  <c r="BO1673"/>
  <c r="N1673"/>
  <c r="M1673"/>
  <c r="B1673"/>
  <c r="BO1660"/>
  <c r="N1660"/>
  <c r="M1660"/>
  <c r="B1660"/>
  <c r="BO1621"/>
  <c r="N1621"/>
  <c r="M1621"/>
  <c r="B1621"/>
  <c r="BO1555"/>
  <c r="N1555"/>
  <c r="M1555"/>
  <c r="B1555"/>
  <c r="BO1518"/>
  <c r="N1518"/>
  <c r="M1518"/>
  <c r="B1518"/>
  <c r="BO1514"/>
  <c r="N1514"/>
  <c r="M1514"/>
  <c r="B1514"/>
  <c r="BO1493"/>
  <c r="N1493"/>
  <c r="M1493"/>
  <c r="B1493"/>
  <c r="BO1463"/>
  <c r="N1463"/>
  <c r="M1463"/>
  <c r="B1463"/>
  <c r="BO1427"/>
  <c r="N1427"/>
  <c r="M1427"/>
  <c r="B1427"/>
  <c r="BO1393"/>
  <c r="N1393"/>
  <c r="M1393"/>
  <c r="B1393"/>
  <c r="BO1388"/>
  <c r="N1388"/>
  <c r="M1388"/>
  <c r="B1388"/>
  <c r="BO1385"/>
  <c r="N1385"/>
  <c r="M1385"/>
  <c r="B1385"/>
  <c r="BO1374"/>
  <c r="N1374"/>
  <c r="M1374"/>
  <c r="B1374"/>
  <c r="BO1343"/>
  <c r="N1343"/>
  <c r="M1343"/>
  <c r="BO1341"/>
  <c r="N1341"/>
  <c r="M1341"/>
  <c r="B1341"/>
  <c r="BO1328"/>
  <c r="N1328"/>
  <c r="M1328"/>
  <c r="B1328"/>
  <c r="BO1299"/>
  <c r="N1299"/>
  <c r="M1299"/>
  <c r="B1299"/>
  <c r="BO1260"/>
  <c r="N1260"/>
  <c r="M1260"/>
  <c r="B1260"/>
  <c r="BO1230"/>
  <c r="N1230"/>
  <c r="M1230"/>
  <c r="B1230"/>
  <c r="BO1218"/>
  <c r="N1218"/>
  <c r="M1218"/>
  <c r="B1218"/>
  <c r="BO1217"/>
  <c r="N1217"/>
  <c r="M1217"/>
  <c r="B1217"/>
  <c r="BO1190"/>
  <c r="N1190"/>
  <c r="M1190"/>
  <c r="B1190"/>
  <c r="BO1183"/>
  <c r="N1183"/>
  <c r="M1183"/>
  <c r="B1183"/>
  <c r="BO1148"/>
  <c r="N1148"/>
  <c r="M1148"/>
  <c r="B1148"/>
  <c r="BO1125"/>
  <c r="N1125"/>
  <c r="M1125"/>
  <c r="B1125"/>
  <c r="BO1114"/>
  <c r="N1114"/>
  <c r="M1114"/>
  <c r="B1114"/>
  <c r="BO1113"/>
  <c r="N1113"/>
  <c r="M1113"/>
  <c r="B1113"/>
  <c r="BO1063"/>
  <c r="N1063"/>
  <c r="M1063"/>
  <c r="B1063"/>
  <c r="BO969"/>
  <c r="N969"/>
  <c r="M969"/>
  <c r="B969"/>
  <c r="BO941"/>
  <c r="N941"/>
  <c r="M941"/>
  <c r="B941"/>
  <c r="BO923"/>
  <c r="N923"/>
  <c r="M923"/>
  <c r="B923"/>
  <c r="BO898"/>
  <c r="N898"/>
  <c r="M898"/>
  <c r="B898"/>
  <c r="BO895"/>
  <c r="N895"/>
  <c r="M895"/>
  <c r="BO810"/>
  <c r="N810"/>
  <c r="M810"/>
  <c r="BO700"/>
  <c r="N700"/>
  <c r="M700"/>
  <c r="B700"/>
  <c r="BO673"/>
  <c r="N673"/>
  <c r="M673"/>
  <c r="B673"/>
  <c r="BO644"/>
  <c r="N644"/>
  <c r="M644"/>
  <c r="B644"/>
  <c r="BO641"/>
  <c r="N641"/>
  <c r="M641"/>
  <c r="B641"/>
  <c r="BO597"/>
  <c r="N597"/>
  <c r="M597"/>
  <c r="BO580"/>
  <c r="N580"/>
  <c r="M580"/>
  <c r="B580"/>
  <c r="BO575"/>
  <c r="N575"/>
  <c r="M575"/>
  <c r="B575"/>
  <c r="BO526"/>
  <c r="N526"/>
  <c r="M526"/>
  <c r="B526"/>
  <c r="BO481"/>
  <c r="N481"/>
  <c r="M481"/>
  <c r="B481"/>
  <c r="BO471"/>
  <c r="N471"/>
  <c r="M471"/>
  <c r="B471"/>
  <c r="BO470"/>
  <c r="N470"/>
  <c r="M470"/>
  <c r="B470"/>
  <c r="BO459"/>
  <c r="N459"/>
  <c r="M459"/>
  <c r="B459"/>
  <c r="BO442"/>
  <c r="N442"/>
  <c r="M442"/>
  <c r="B442"/>
  <c r="BO436"/>
  <c r="N436"/>
  <c r="M436"/>
  <c r="B436"/>
  <c r="BO371"/>
  <c r="N371"/>
  <c r="M371"/>
  <c r="B371"/>
  <c r="BO356"/>
  <c r="N356"/>
  <c r="M356"/>
  <c r="B356"/>
  <c r="BO339"/>
  <c r="N339"/>
  <c r="M339"/>
  <c r="B339"/>
  <c r="BO288"/>
  <c r="N288"/>
  <c r="M288"/>
  <c r="B288"/>
  <c r="BO276"/>
  <c r="N276"/>
  <c r="M276"/>
  <c r="B276"/>
  <c r="BO263"/>
  <c r="N263"/>
  <c r="M263"/>
  <c r="BO195"/>
  <c r="N195"/>
  <c r="M195"/>
  <c r="BO158"/>
  <c r="N158"/>
  <c r="M158"/>
  <c r="B158"/>
  <c r="BO111"/>
  <c r="N111"/>
  <c r="M111"/>
  <c r="B111"/>
  <c r="BO63"/>
  <c r="N63"/>
  <c r="M63"/>
  <c r="B63"/>
  <c r="BO2767"/>
  <c r="N2767"/>
  <c r="M2767"/>
  <c r="B2767"/>
  <c r="BO2748"/>
  <c r="N2748"/>
  <c r="M2748"/>
  <c r="B2748"/>
  <c r="BO2734"/>
  <c r="N2734"/>
  <c r="M2734"/>
  <c r="B2734"/>
  <c r="BO2664"/>
  <c r="N2664"/>
  <c r="M2664"/>
  <c r="B2664"/>
  <c r="BO2653"/>
  <c r="N2653"/>
  <c r="M2653"/>
  <c r="B2653"/>
  <c r="BO2626"/>
  <c r="N2626"/>
  <c r="M2626"/>
  <c r="B2626"/>
  <c r="BO2625"/>
  <c r="N2625"/>
  <c r="M2625"/>
  <c r="B2625"/>
  <c r="BO2610"/>
  <c r="N2610"/>
  <c r="M2610"/>
  <c r="B2610"/>
  <c r="BO2607"/>
  <c r="N2607"/>
  <c r="M2607"/>
  <c r="B2607"/>
  <c r="BO2573"/>
  <c r="N2573"/>
  <c r="M2573"/>
  <c r="B2573"/>
  <c r="BO2571"/>
  <c r="N2571"/>
  <c r="M2571"/>
  <c r="B2571"/>
  <c r="BO2553"/>
  <c r="N2553"/>
  <c r="M2553"/>
  <c r="B2553"/>
  <c r="BO2543"/>
  <c r="N2543"/>
  <c r="M2543"/>
  <c r="BO2538"/>
  <c r="N2538"/>
  <c r="M2538"/>
  <c r="BO2533"/>
  <c r="N2533"/>
  <c r="M2533"/>
  <c r="B2533"/>
  <c r="BO2526"/>
  <c r="N2526"/>
  <c r="M2526"/>
  <c r="BO2525"/>
  <c r="N2525"/>
  <c r="M2525"/>
  <c r="BO2507"/>
  <c r="N2507"/>
  <c r="M2507"/>
  <c r="BO2506"/>
  <c r="N2506"/>
  <c r="M2506"/>
  <c r="B2506"/>
  <c r="BO2504"/>
  <c r="N2504"/>
  <c r="M2504"/>
  <c r="B2504"/>
  <c r="BO2501"/>
  <c r="N2501"/>
  <c r="M2501"/>
  <c r="B2501"/>
  <c r="BO2447"/>
  <c r="N2447"/>
  <c r="M2447"/>
  <c r="B2447"/>
  <c r="BO2445"/>
  <c r="N2445"/>
  <c r="M2445"/>
  <c r="B2445"/>
  <c r="BO2438"/>
  <c r="N2438"/>
  <c r="M2438"/>
  <c r="B2438"/>
  <c r="BO2425"/>
  <c r="N2425"/>
  <c r="M2425"/>
  <c r="B2425"/>
  <c r="BO2420"/>
  <c r="N2420"/>
  <c r="M2420"/>
  <c r="B2420"/>
  <c r="BO2413"/>
  <c r="N2413"/>
  <c r="M2413"/>
  <c r="B2413"/>
  <c r="BO2412"/>
  <c r="N2412"/>
  <c r="M2412"/>
  <c r="B2412"/>
  <c r="BO2411"/>
  <c r="N2411"/>
  <c r="M2411"/>
  <c r="B2411"/>
  <c r="BO2408"/>
  <c r="N2408"/>
  <c r="M2408"/>
  <c r="BO2406"/>
  <c r="N2406"/>
  <c r="M2406"/>
  <c r="B2406"/>
  <c r="BO2405"/>
  <c r="N2405"/>
  <c r="M2405"/>
  <c r="B2405"/>
  <c r="BO2381"/>
  <c r="N2381"/>
  <c r="M2381"/>
  <c r="B2381"/>
  <c r="BO2364"/>
  <c r="N2364"/>
  <c r="M2364"/>
  <c r="B2364"/>
  <c r="BO2356"/>
  <c r="N2356"/>
  <c r="M2356"/>
  <c r="B2356"/>
  <c r="BO2355"/>
  <c r="N2355"/>
  <c r="M2355"/>
  <c r="B2355"/>
  <c r="BO2335"/>
  <c r="N2335"/>
  <c r="M2335"/>
  <c r="B2335"/>
  <c r="BO2327"/>
  <c r="N2327"/>
  <c r="M2327"/>
  <c r="B2327"/>
  <c r="BO2326"/>
  <c r="N2326"/>
  <c r="M2326"/>
  <c r="B2326"/>
  <c r="BO2318"/>
  <c r="N2318"/>
  <c r="M2318"/>
  <c r="B2318"/>
  <c r="BO2313"/>
  <c r="N2313"/>
  <c r="M2313"/>
  <c r="B2313"/>
  <c r="BO2308"/>
  <c r="N2308"/>
  <c r="M2308"/>
  <c r="B2308"/>
  <c r="BO2299"/>
  <c r="N2299"/>
  <c r="M2299"/>
  <c r="B2299"/>
  <c r="BO2257"/>
  <c r="N2257"/>
  <c r="M2257"/>
  <c r="B2257"/>
  <c r="BO2240"/>
  <c r="N2240"/>
  <c r="M2240"/>
  <c r="B2240"/>
  <c r="BO2194"/>
  <c r="N2194"/>
  <c r="M2194"/>
  <c r="B2194"/>
  <c r="BO2186"/>
  <c r="N2186"/>
  <c r="M2186"/>
  <c r="B2186"/>
  <c r="BO2183"/>
  <c r="N2183"/>
  <c r="M2183"/>
  <c r="B2183"/>
  <c r="BO2180"/>
  <c r="N2180"/>
  <c r="M2180"/>
  <c r="B2180"/>
  <c r="BO2172"/>
  <c r="N2172"/>
  <c r="M2172"/>
  <c r="B2172"/>
  <c r="BO2171"/>
  <c r="N2171"/>
  <c r="M2171"/>
  <c r="B2171"/>
  <c r="BO2167"/>
  <c r="N2167"/>
  <c r="M2167"/>
  <c r="B2167"/>
  <c r="BO2161"/>
  <c r="N2161"/>
  <c r="M2161"/>
  <c r="B2161"/>
  <c r="BO2155"/>
  <c r="N2155"/>
  <c r="M2155"/>
  <c r="B2155"/>
  <c r="BO2154"/>
  <c r="N2154"/>
  <c r="M2154"/>
  <c r="B2154"/>
  <c r="BO2149"/>
  <c r="N2149"/>
  <c r="M2149"/>
  <c r="B2149"/>
  <c r="BO2148"/>
  <c r="N2148"/>
  <c r="M2148"/>
  <c r="B2148"/>
  <c r="BO2147"/>
  <c r="N2147"/>
  <c r="M2147"/>
  <c r="B2147"/>
  <c r="BO2119"/>
  <c r="N2119"/>
  <c r="M2119"/>
  <c r="B2119"/>
  <c r="BO2086"/>
  <c r="N2086"/>
  <c r="M2086"/>
  <c r="B2086"/>
  <c r="BO2046"/>
  <c r="N2046"/>
  <c r="M2046"/>
  <c r="B2046"/>
  <c r="BO2045"/>
  <c r="N2045"/>
  <c r="M2045"/>
  <c r="BO2034"/>
  <c r="N2034"/>
  <c r="M2034"/>
  <c r="B2034"/>
  <c r="BO2029"/>
  <c r="N2029"/>
  <c r="M2029"/>
  <c r="BO2010"/>
  <c r="N2010"/>
  <c r="M2010"/>
  <c r="BO1996"/>
  <c r="N1996"/>
  <c r="M1996"/>
  <c r="B1996"/>
  <c r="BO1992"/>
  <c r="N1992"/>
  <c r="M1992"/>
  <c r="B1992"/>
  <c r="BO1966"/>
  <c r="N1966"/>
  <c r="M1966"/>
  <c r="B1966"/>
  <c r="BO1947"/>
  <c r="N1947"/>
  <c r="M1947"/>
  <c r="B1947"/>
  <c r="BO1938"/>
  <c r="N1938"/>
  <c r="M1938"/>
  <c r="B1938"/>
  <c r="BO1927"/>
  <c r="N1927"/>
  <c r="M1927"/>
  <c r="B1927"/>
  <c r="BO1920"/>
  <c r="N1920"/>
  <c r="M1920"/>
  <c r="BO1918"/>
  <c r="N1918"/>
  <c r="M1918"/>
  <c r="B1918"/>
  <c r="BO1917"/>
  <c r="N1917"/>
  <c r="M1917"/>
  <c r="B1917"/>
  <c r="BO1897"/>
  <c r="N1897"/>
  <c r="M1897"/>
  <c r="B1897"/>
  <c r="BO1867"/>
  <c r="N1867"/>
  <c r="M1867"/>
  <c r="B1867"/>
  <c r="BO1857"/>
  <c r="N1857"/>
  <c r="M1857"/>
  <c r="B1857"/>
  <c r="BO1844"/>
  <c r="N1844"/>
  <c r="M1844"/>
  <c r="B1844"/>
  <c r="BO1825"/>
  <c r="N1825"/>
  <c r="M1825"/>
  <c r="B1825"/>
  <c r="BO1824"/>
  <c r="N1824"/>
  <c r="M1824"/>
  <c r="B1824"/>
  <c r="BO1804"/>
  <c r="N1804"/>
  <c r="M1804"/>
  <c r="B1804"/>
  <c r="BO1802"/>
  <c r="N1802"/>
  <c r="M1802"/>
  <c r="B1802"/>
  <c r="BO1789"/>
  <c r="N1789"/>
  <c r="M1789"/>
  <c r="B1789"/>
  <c r="BO1743"/>
  <c r="N1743"/>
  <c r="M1743"/>
  <c r="BO1677"/>
  <c r="N1677"/>
  <c r="M1677"/>
  <c r="B1677"/>
  <c r="BO1637"/>
  <c r="N1637"/>
  <c r="M1637"/>
  <c r="BO1583"/>
  <c r="N1583"/>
  <c r="M1583"/>
  <c r="B1583"/>
  <c r="BO1549"/>
  <c r="N1549"/>
  <c r="M1549"/>
  <c r="BO1516"/>
  <c r="N1516"/>
  <c r="M1516"/>
  <c r="B1516"/>
  <c r="BO1512"/>
  <c r="N1512"/>
  <c r="M1512"/>
  <c r="B1512"/>
  <c r="BO1501"/>
  <c r="N1501"/>
  <c r="M1501"/>
  <c r="B1501"/>
  <c r="BO1497"/>
  <c r="N1497"/>
  <c r="M1497"/>
  <c r="B1497"/>
  <c r="BO1454"/>
  <c r="N1454"/>
  <c r="M1454"/>
  <c r="B1454"/>
  <c r="BO1421"/>
  <c r="N1421"/>
  <c r="M1421"/>
  <c r="B1421"/>
  <c r="BO1418"/>
  <c r="N1418"/>
  <c r="M1418"/>
  <c r="BO1415"/>
  <c r="N1415"/>
  <c r="M1415"/>
  <c r="B1415"/>
  <c r="BO1410"/>
  <c r="N1410"/>
  <c r="M1410"/>
  <c r="B1410"/>
  <c r="BO1406"/>
  <c r="N1406"/>
  <c r="M1406"/>
  <c r="B1406"/>
  <c r="BO1403"/>
  <c r="N1403"/>
  <c r="M1403"/>
  <c r="B1403"/>
  <c r="BO1336"/>
  <c r="N1336"/>
  <c r="M1336"/>
  <c r="B1336"/>
  <c r="BO1331"/>
  <c r="N1331"/>
  <c r="M1331"/>
  <c r="B1331"/>
  <c r="BO1303"/>
  <c r="N1303"/>
  <c r="M1303"/>
  <c r="B1303"/>
  <c r="BO1302"/>
  <c r="N1302"/>
  <c r="M1302"/>
  <c r="BO1298"/>
  <c r="N1298"/>
  <c r="M1298"/>
  <c r="B1298"/>
  <c r="BO1273"/>
  <c r="N1273"/>
  <c r="M1273"/>
  <c r="BO1259"/>
  <c r="N1259"/>
  <c r="M1259"/>
  <c r="B1259"/>
  <c r="BO1243"/>
  <c r="N1243"/>
  <c r="M1243"/>
  <c r="B1243"/>
  <c r="BO1221"/>
  <c r="N1221"/>
  <c r="M1221"/>
  <c r="B1221"/>
  <c r="BO1176"/>
  <c r="N1176"/>
  <c r="M1176"/>
  <c r="B1176"/>
  <c r="BO1164"/>
  <c r="N1164"/>
  <c r="M1164"/>
  <c r="B1164"/>
  <c r="BO1153"/>
  <c r="N1153"/>
  <c r="M1153"/>
  <c r="BO1136"/>
  <c r="N1136"/>
  <c r="M1136"/>
  <c r="B1136"/>
  <c r="BO1134"/>
  <c r="N1134"/>
  <c r="M1134"/>
  <c r="B1134"/>
  <c r="BO1133"/>
  <c r="N1133"/>
  <c r="M1133"/>
  <c r="B1133"/>
  <c r="BO1109"/>
  <c r="N1109"/>
  <c r="M1109"/>
  <c r="B1109"/>
  <c r="BO1091"/>
  <c r="N1091"/>
  <c r="M1091"/>
  <c r="B1091"/>
  <c r="BO1080"/>
  <c r="N1080"/>
  <c r="M1080"/>
  <c r="B1080"/>
  <c r="BO1079"/>
  <c r="N1079"/>
  <c r="M1079"/>
  <c r="B1079"/>
  <c r="BO1033"/>
  <c r="N1033"/>
  <c r="M1033"/>
  <c r="B1033"/>
  <c r="BO1032"/>
  <c r="N1032"/>
  <c r="M1032"/>
  <c r="B1032"/>
  <c r="BO1031"/>
  <c r="N1031"/>
  <c r="M1031"/>
  <c r="B1031"/>
  <c r="BO1030"/>
  <c r="N1030"/>
  <c r="M1030"/>
  <c r="B1030"/>
  <c r="BO1010"/>
  <c r="N1010"/>
  <c r="M1010"/>
  <c r="B1010"/>
  <c r="BO999"/>
  <c r="N999"/>
  <c r="M999"/>
  <c r="B999"/>
  <c r="BO985"/>
  <c r="N985"/>
  <c r="M985"/>
  <c r="BO977"/>
  <c r="N977"/>
  <c r="M977"/>
  <c r="B977"/>
  <c r="BO976"/>
  <c r="N976"/>
  <c r="M976"/>
  <c r="B976"/>
  <c r="BO965"/>
  <c r="N965"/>
  <c r="M965"/>
  <c r="B965"/>
  <c r="BO944"/>
  <c r="N944"/>
  <c r="M944"/>
  <c r="B944"/>
  <c r="BO924"/>
  <c r="N924"/>
  <c r="M924"/>
  <c r="B924"/>
  <c r="BO922"/>
  <c r="N922"/>
  <c r="M922"/>
  <c r="B922"/>
  <c r="BO896"/>
  <c r="N896"/>
  <c r="M896"/>
  <c r="B896"/>
  <c r="BO889"/>
  <c r="N889"/>
  <c r="M889"/>
  <c r="BO867"/>
  <c r="N867"/>
  <c r="M867"/>
  <c r="B867"/>
  <c r="BO863"/>
  <c r="N863"/>
  <c r="M863"/>
  <c r="B863"/>
  <c r="BO855"/>
  <c r="N855"/>
  <c r="M855"/>
  <c r="B855"/>
  <c r="BO835"/>
  <c r="N835"/>
  <c r="M835"/>
  <c r="B835"/>
  <c r="BO829"/>
  <c r="N829"/>
  <c r="M829"/>
  <c r="B829"/>
  <c r="BO825"/>
  <c r="N825"/>
  <c r="M825"/>
  <c r="B825"/>
  <c r="BO801"/>
  <c r="N801"/>
  <c r="M801"/>
  <c r="B801"/>
  <c r="BO798"/>
  <c r="N798"/>
  <c r="M798"/>
  <c r="B798"/>
  <c r="BO789"/>
  <c r="N789"/>
  <c r="M789"/>
  <c r="B789"/>
  <c r="BO770"/>
  <c r="N770"/>
  <c r="M770"/>
  <c r="BO767"/>
  <c r="N767"/>
  <c r="M767"/>
  <c r="B767"/>
  <c r="BO764"/>
  <c r="N764"/>
  <c r="M764"/>
  <c r="B764"/>
  <c r="BO758"/>
  <c r="N758"/>
  <c r="M758"/>
  <c r="B758"/>
  <c r="BO754"/>
  <c r="N754"/>
  <c r="M754"/>
  <c r="B754"/>
  <c r="BO746"/>
  <c r="N746"/>
  <c r="M746"/>
  <c r="B746"/>
  <c r="BO715"/>
  <c r="N715"/>
  <c r="M715"/>
  <c r="B715"/>
  <c r="BO709"/>
  <c r="N709"/>
  <c r="M709"/>
  <c r="B709"/>
  <c r="BO693"/>
  <c r="N693"/>
  <c r="M693"/>
  <c r="B693"/>
  <c r="BO684"/>
  <c r="N684"/>
  <c r="M684"/>
  <c r="B684"/>
  <c r="BO627"/>
  <c r="N627"/>
  <c r="M627"/>
  <c r="BO621"/>
  <c r="N621"/>
  <c r="M621"/>
  <c r="BO612"/>
  <c r="N612"/>
  <c r="M612"/>
  <c r="B612"/>
  <c r="BO607"/>
  <c r="N607"/>
  <c r="M607"/>
  <c r="B607"/>
  <c r="BO601"/>
  <c r="N601"/>
  <c r="M601"/>
  <c r="B601"/>
  <c r="BO600"/>
  <c r="N600"/>
  <c r="M600"/>
  <c r="B600"/>
  <c r="BO585"/>
  <c r="N585"/>
  <c r="M585"/>
  <c r="B585"/>
  <c r="BO540"/>
  <c r="N540"/>
  <c r="M540"/>
  <c r="B540"/>
  <c r="BO505"/>
  <c r="N505"/>
  <c r="M505"/>
  <c r="B505"/>
  <c r="BO486"/>
  <c r="N486"/>
  <c r="M486"/>
  <c r="B486"/>
  <c r="BO484"/>
  <c r="N484"/>
  <c r="M484"/>
  <c r="B484"/>
  <c r="BO479"/>
  <c r="N479"/>
  <c r="M479"/>
  <c r="B479"/>
  <c r="BO472"/>
  <c r="N472"/>
  <c r="M472"/>
  <c r="B472"/>
  <c r="BO428"/>
  <c r="N428"/>
  <c r="M428"/>
  <c r="B428"/>
  <c r="BO413"/>
  <c r="N413"/>
  <c r="M413"/>
  <c r="B413"/>
  <c r="BO380"/>
  <c r="N380"/>
  <c r="M380"/>
  <c r="B380"/>
  <c r="BO374"/>
  <c r="N374"/>
  <c r="M374"/>
  <c r="B374"/>
  <c r="BO365"/>
  <c r="N365"/>
  <c r="M365"/>
  <c r="B365"/>
  <c r="BO359"/>
  <c r="N359"/>
  <c r="M359"/>
  <c r="BO350"/>
  <c r="N350"/>
  <c r="M350"/>
  <c r="B350"/>
  <c r="BO332"/>
  <c r="N332"/>
  <c r="M332"/>
  <c r="B332"/>
  <c r="BO328"/>
  <c r="N328"/>
  <c r="M328"/>
  <c r="B328"/>
  <c r="BO325"/>
  <c r="N325"/>
  <c r="M325"/>
  <c r="B325"/>
  <c r="BO308"/>
  <c r="N308"/>
  <c r="M308"/>
  <c r="B308"/>
  <c r="BO306"/>
  <c r="N306"/>
  <c r="M306"/>
  <c r="B306"/>
  <c r="BO305"/>
  <c r="N305"/>
  <c r="M305"/>
  <c r="B305"/>
  <c r="BO304"/>
  <c r="N304"/>
  <c r="M304"/>
  <c r="B304"/>
  <c r="BO303"/>
  <c r="N303"/>
  <c r="M303"/>
  <c r="B303"/>
  <c r="BO302"/>
  <c r="N302"/>
  <c r="M302"/>
  <c r="B302"/>
  <c r="BO269"/>
  <c r="N269"/>
  <c r="M269"/>
  <c r="B269"/>
  <c r="BO256"/>
  <c r="N256"/>
  <c r="M256"/>
  <c r="B256"/>
  <c r="BO254"/>
  <c r="N254"/>
  <c r="M254"/>
  <c r="B254"/>
  <c r="BO247"/>
  <c r="N247"/>
  <c r="M247"/>
  <c r="B247"/>
  <c r="BO223"/>
  <c r="N223"/>
  <c r="M223"/>
  <c r="B223"/>
  <c r="BO207"/>
  <c r="N207"/>
  <c r="M207"/>
  <c r="B207"/>
  <c r="BO181"/>
  <c r="N181"/>
  <c r="M181"/>
  <c r="B181"/>
  <c r="BO149"/>
  <c r="N149"/>
  <c r="M149"/>
  <c r="B149"/>
  <c r="BO123"/>
  <c r="N123"/>
  <c r="M123"/>
  <c r="B123"/>
  <c r="BO119"/>
  <c r="N119"/>
  <c r="M119"/>
  <c r="B119"/>
  <c r="BO118"/>
  <c r="N118"/>
  <c r="M118"/>
  <c r="B118"/>
  <c r="BO31"/>
  <c r="N31"/>
  <c r="M31"/>
  <c r="B31"/>
  <c r="BO12"/>
  <c r="N12"/>
  <c r="M12"/>
  <c r="B12"/>
  <c r="BO68"/>
  <c r="N68"/>
  <c r="M68"/>
  <c r="B68"/>
  <c r="BO2758"/>
  <c r="N2758"/>
  <c r="M2758"/>
  <c r="B2758"/>
  <c r="BO2741"/>
  <c r="N2741"/>
  <c r="M2741"/>
  <c r="B2741"/>
  <c r="BO2719"/>
  <c r="N2719"/>
  <c r="M2719"/>
  <c r="B2719"/>
  <c r="BO2708"/>
  <c r="N2708"/>
  <c r="M2708"/>
  <c r="B2708"/>
  <c r="BO2702"/>
  <c r="N2702"/>
  <c r="M2702"/>
  <c r="BO2697"/>
  <c r="N2697"/>
  <c r="M2697"/>
  <c r="BO2695"/>
  <c r="N2695"/>
  <c r="M2695"/>
  <c r="B2695"/>
  <c r="BO2673"/>
  <c r="N2673"/>
  <c r="M2673"/>
  <c r="BO2608"/>
  <c r="N2608"/>
  <c r="M2608"/>
  <c r="B2608"/>
  <c r="B2567"/>
  <c r="B2391"/>
  <c r="B1803"/>
  <c r="BO2675"/>
  <c r="N2675"/>
  <c r="M2675"/>
  <c r="B2675"/>
  <c r="BO2655"/>
  <c r="N2655"/>
  <c r="M2655"/>
  <c r="B2655"/>
  <c r="BO2646"/>
  <c r="N2646"/>
  <c r="M2646"/>
  <c r="B2646"/>
  <c r="B2399"/>
  <c r="B2387"/>
  <c r="B2336"/>
  <c r="B1982"/>
  <c r="BO1869"/>
  <c r="N1869"/>
  <c r="M1869"/>
  <c r="B1869"/>
  <c r="BO1781"/>
  <c r="N1781"/>
  <c r="M1781"/>
  <c r="B1781"/>
  <c r="B1750"/>
  <c r="B1561"/>
  <c r="B1224"/>
  <c r="BO1172"/>
  <c r="N1172"/>
  <c r="M1172"/>
  <c r="B1172"/>
  <c r="B799"/>
  <c r="BO759"/>
  <c r="N759"/>
  <c r="M759"/>
  <c r="B759"/>
  <c r="B537"/>
  <c r="B447"/>
  <c r="B445"/>
  <c r="BO87"/>
  <c r="N87"/>
  <c r="M87"/>
  <c r="B87"/>
  <c r="BO2640"/>
  <c r="N2640"/>
  <c r="M2640"/>
  <c r="B2640"/>
  <c r="BO2632"/>
  <c r="N2632"/>
  <c r="M2632"/>
  <c r="B2632"/>
  <c r="BO2631"/>
  <c r="N2631"/>
  <c r="M2631"/>
  <c r="B2631"/>
  <c r="BO2621"/>
  <c r="N2621"/>
  <c r="M2621"/>
  <c r="BO2619"/>
  <c r="N2619"/>
  <c r="M2619"/>
  <c r="B2619"/>
  <c r="BO2578"/>
  <c r="N2578"/>
  <c r="M2578"/>
  <c r="B2578"/>
  <c r="BO2567"/>
  <c r="N2567"/>
  <c r="M2567"/>
  <c r="BO2451"/>
  <c r="N2451"/>
  <c r="M2451"/>
  <c r="B2451"/>
  <c r="BO446"/>
  <c r="N446"/>
  <c r="M446"/>
  <c r="B446"/>
  <c r="BO444"/>
  <c r="N444"/>
  <c r="M444"/>
  <c r="BO2551"/>
  <c r="N2551"/>
  <c r="M2551"/>
  <c r="BO899"/>
  <c r="N899"/>
  <c r="M899"/>
  <c r="B899"/>
  <c r="BO550"/>
  <c r="N550"/>
  <c r="M550"/>
  <c r="B550"/>
  <c r="BO549"/>
  <c r="N549"/>
  <c r="M549"/>
  <c r="B549"/>
  <c r="BO2395"/>
  <c r="N2395"/>
  <c r="M2395"/>
  <c r="B2395"/>
  <c r="BO2092"/>
  <c r="N2092"/>
  <c r="M2092"/>
  <c r="B2092"/>
  <c r="BO1465"/>
  <c r="N1465"/>
  <c r="M1465"/>
  <c r="B1465"/>
  <c r="BO1169"/>
  <c r="N1169"/>
  <c r="M1169"/>
  <c r="B1169"/>
  <c r="BO1048"/>
  <c r="N1048"/>
  <c r="M1048"/>
  <c r="B1048"/>
  <c r="BO2520"/>
  <c r="N2520"/>
  <c r="M2520"/>
  <c r="BO2483"/>
  <c r="N2483"/>
  <c r="M2483"/>
  <c r="B2483"/>
  <c r="BO2391"/>
  <c r="N2391"/>
  <c r="M2391"/>
  <c r="BO2348"/>
  <c r="N2348"/>
  <c r="M2348"/>
  <c r="B2348"/>
  <c r="BO1177"/>
  <c r="N1177"/>
  <c r="M1177"/>
  <c r="B1177"/>
  <c r="BO342"/>
  <c r="N342"/>
  <c r="M342"/>
  <c r="B342"/>
  <c r="BO2481"/>
  <c r="N2481"/>
  <c r="M2481"/>
  <c r="B2481"/>
  <c r="BO2460"/>
  <c r="N2460"/>
  <c r="M2460"/>
  <c r="B2460"/>
  <c r="BO2433"/>
  <c r="N2433"/>
  <c r="M2433"/>
  <c r="B2433"/>
  <c r="BO2421"/>
  <c r="N2421"/>
  <c r="M2421"/>
  <c r="B2421"/>
  <c r="BO2409"/>
  <c r="N2409"/>
  <c r="M2409"/>
  <c r="BO2387"/>
  <c r="N2387"/>
  <c r="M2387"/>
  <c r="BO1356"/>
  <c r="N1356"/>
  <c r="M1356"/>
  <c r="B1356"/>
  <c r="BO2363"/>
  <c r="N2363"/>
  <c r="M2363"/>
  <c r="B2363"/>
  <c r="BO2399"/>
  <c r="N2399"/>
  <c r="M2399"/>
  <c r="BO2360"/>
  <c r="N2360"/>
  <c r="M2360"/>
  <c r="B2360"/>
  <c r="BO2336"/>
  <c r="N2336"/>
  <c r="M2336"/>
  <c r="BO2316"/>
  <c r="N2316"/>
  <c r="M2316"/>
  <c r="B2316"/>
  <c r="BO2311"/>
  <c r="N2311"/>
  <c r="M2311"/>
  <c r="B2311"/>
  <c r="BO2310"/>
  <c r="N2310"/>
  <c r="M2310"/>
  <c r="B2310"/>
  <c r="BO2270"/>
  <c r="N2270"/>
  <c r="M2270"/>
  <c r="BO2245"/>
  <c r="N2245"/>
  <c r="M2245"/>
  <c r="B2245"/>
  <c r="BO2259"/>
  <c r="N2259"/>
  <c r="M2259"/>
  <c r="B2259"/>
  <c r="BO2258"/>
  <c r="N2258"/>
  <c r="M2258"/>
  <c r="B2258"/>
  <c r="BO2242"/>
  <c r="N2242"/>
  <c r="M2242"/>
  <c r="B2242"/>
  <c r="BO2222"/>
  <c r="N2222"/>
  <c r="M2222"/>
  <c r="B2222"/>
  <c r="BO2203"/>
  <c r="N2203"/>
  <c r="M2203"/>
  <c r="B2203"/>
  <c r="BO2118"/>
  <c r="N2118"/>
  <c r="M2118"/>
  <c r="B2118"/>
  <c r="BO2230"/>
  <c r="N2230"/>
  <c r="M2230"/>
  <c r="B2230"/>
  <c r="BO2228"/>
  <c r="N2228"/>
  <c r="M2228"/>
  <c r="B2228"/>
  <c r="BO2224"/>
  <c r="N2224"/>
  <c r="M2224"/>
  <c r="B2224"/>
  <c r="BO2216"/>
  <c r="N2216"/>
  <c r="M2216"/>
  <c r="B2216"/>
  <c r="BO2215"/>
  <c r="N2215"/>
  <c r="M2215"/>
  <c r="B2215"/>
  <c r="BO2211"/>
  <c r="N2211"/>
  <c r="M2211"/>
  <c r="BO2197"/>
  <c r="N2197"/>
  <c r="M2197"/>
  <c r="B2197"/>
  <c r="BO2165"/>
  <c r="N2165"/>
  <c r="M2165"/>
  <c r="B2165"/>
  <c r="BO2085"/>
  <c r="N2085"/>
  <c r="M2085"/>
  <c r="B2085"/>
  <c r="BO2011"/>
  <c r="N2011"/>
  <c r="M2011"/>
  <c r="B2011"/>
  <c r="BO1912"/>
  <c r="N1912"/>
  <c r="M1912"/>
  <c r="B1912"/>
  <c r="BO2115"/>
  <c r="N2115"/>
  <c r="M2115"/>
  <c r="B2115"/>
  <c r="BO2132"/>
  <c r="N2132"/>
  <c r="M2132"/>
  <c r="B2132"/>
  <c r="BO2129"/>
  <c r="N2129"/>
  <c r="M2129"/>
  <c r="B2129"/>
  <c r="BO2108"/>
  <c r="N2108"/>
  <c r="M2108"/>
  <c r="B2108"/>
  <c r="BO2097"/>
  <c r="N2097"/>
  <c r="M2097"/>
  <c r="B2097"/>
  <c r="BO2078"/>
  <c r="N2078"/>
  <c r="M2078"/>
  <c r="B2078"/>
  <c r="BO2062"/>
  <c r="N2062"/>
  <c r="M2062"/>
  <c r="BO2061"/>
  <c r="N2061"/>
  <c r="M2061"/>
  <c r="BO2055"/>
  <c r="N2055"/>
  <c r="M2055"/>
  <c r="B2055"/>
  <c r="BO2039"/>
  <c r="N2039"/>
  <c r="M2039"/>
  <c r="B2039"/>
  <c r="BO2022"/>
  <c r="N2022"/>
  <c r="M2022"/>
  <c r="B2022"/>
  <c r="BO2007"/>
  <c r="N2007"/>
  <c r="M2007"/>
  <c r="B2007"/>
  <c r="BO2006"/>
  <c r="N2006"/>
  <c r="M2006"/>
  <c r="B2006"/>
  <c r="BO2001"/>
  <c r="N2001"/>
  <c r="M2001"/>
  <c r="B2001"/>
  <c r="BO1982"/>
  <c r="N1982"/>
  <c r="M1982"/>
  <c r="BO1902"/>
  <c r="N1902"/>
  <c r="M1902"/>
  <c r="B1902"/>
  <c r="BO1899"/>
  <c r="N1899"/>
  <c r="M1899"/>
  <c r="B1899"/>
  <c r="BO1898"/>
  <c r="N1898"/>
  <c r="M1898"/>
  <c r="B1898"/>
  <c r="BO1888"/>
  <c r="N1888"/>
  <c r="M1888"/>
  <c r="B1888"/>
  <c r="BO1886"/>
  <c r="N1886"/>
  <c r="M1886"/>
  <c r="B1886"/>
  <c r="BO1882"/>
  <c r="N1882"/>
  <c r="M1882"/>
  <c r="B1882"/>
  <c r="BO1848"/>
  <c r="N1848"/>
  <c r="M1848"/>
  <c r="B1848"/>
  <c r="BO1820"/>
  <c r="N1820"/>
  <c r="M1820"/>
  <c r="B1820"/>
  <c r="BO1817"/>
  <c r="N1817"/>
  <c r="M1817"/>
  <c r="B1817"/>
  <c r="BO1803"/>
  <c r="N1803"/>
  <c r="M1803"/>
  <c r="BO1783"/>
  <c r="N1783"/>
  <c r="M1783"/>
  <c r="B1783"/>
  <c r="BO1750"/>
  <c r="N1750"/>
  <c r="M1750"/>
  <c r="BO1747"/>
  <c r="N1747"/>
  <c r="M1747"/>
  <c r="B1747"/>
  <c r="BO1744"/>
  <c r="N1744"/>
  <c r="M1744"/>
  <c r="B1744"/>
  <c r="BO1713"/>
  <c r="N1713"/>
  <c r="M1713"/>
  <c r="B1713"/>
  <c r="BO1700"/>
  <c r="N1700"/>
  <c r="M1700"/>
  <c r="B1700"/>
  <c r="BO1676"/>
  <c r="N1676"/>
  <c r="M1676"/>
  <c r="B1676"/>
  <c r="BO1675"/>
  <c r="N1675"/>
  <c r="M1675"/>
  <c r="B1675"/>
  <c r="BO1650"/>
  <c r="N1650"/>
  <c r="M1650"/>
  <c r="B1650"/>
  <c r="BO1646"/>
  <c r="N1646"/>
  <c r="M1646"/>
  <c r="B1646"/>
  <c r="BO1626"/>
  <c r="N1626"/>
  <c r="M1626"/>
  <c r="B1626"/>
  <c r="BO1611"/>
  <c r="N1611"/>
  <c r="M1611"/>
  <c r="B1611"/>
  <c r="BO1580"/>
  <c r="N1580"/>
  <c r="M1580"/>
  <c r="B1580"/>
  <c r="BO1578"/>
  <c r="N1578"/>
  <c r="M1578"/>
  <c r="B1578"/>
  <c r="BO1577"/>
  <c r="N1577"/>
  <c r="M1577"/>
  <c r="B1577"/>
  <c r="BO1565"/>
  <c r="N1565"/>
  <c r="M1565"/>
  <c r="B1565"/>
  <c r="BO1561"/>
  <c r="N1561"/>
  <c r="M1561"/>
  <c r="BO1556"/>
  <c r="N1556"/>
  <c r="M1556"/>
  <c r="B1556"/>
  <c r="BO1538"/>
  <c r="N1538"/>
  <c r="M1538"/>
  <c r="B1538"/>
  <c r="BO1531"/>
  <c r="N1531"/>
  <c r="M1531"/>
  <c r="B1531"/>
  <c r="BO1527"/>
  <c r="N1527"/>
  <c r="M1527"/>
  <c r="B1527"/>
  <c r="BO1526"/>
  <c r="N1526"/>
  <c r="M1526"/>
  <c r="B1526"/>
  <c r="BO1507"/>
  <c r="N1507"/>
  <c r="M1507"/>
  <c r="B1507"/>
  <c r="BO1439"/>
  <c r="N1439"/>
  <c r="M1439"/>
  <c r="B1439"/>
  <c r="BO1428"/>
  <c r="N1428"/>
  <c r="M1428"/>
  <c r="BO1423"/>
  <c r="N1423"/>
  <c r="M1423"/>
  <c r="B1423"/>
  <c r="BO1386"/>
  <c r="N1386"/>
  <c r="M1386"/>
  <c r="B1386"/>
  <c r="BO1380"/>
  <c r="N1380"/>
  <c r="M1380"/>
  <c r="B1380"/>
  <c r="BO1357"/>
  <c r="N1357"/>
  <c r="M1357"/>
  <c r="B1357"/>
  <c r="BO1304"/>
  <c r="N1304"/>
  <c r="M1304"/>
  <c r="B1304"/>
  <c r="BO1286"/>
  <c r="N1286"/>
  <c r="M1286"/>
  <c r="BO1280"/>
  <c r="N1280"/>
  <c r="M1280"/>
  <c r="B1280"/>
  <c r="BO1276"/>
  <c r="N1276"/>
  <c r="M1276"/>
  <c r="B1276"/>
  <c r="BO1268"/>
  <c r="N1268"/>
  <c r="M1268"/>
  <c r="BO1252"/>
  <c r="N1252"/>
  <c r="M1252"/>
  <c r="B1252"/>
  <c r="BO1227"/>
  <c r="N1227"/>
  <c r="M1227"/>
  <c r="B1227"/>
  <c r="BO1224"/>
  <c r="N1224"/>
  <c r="M1224"/>
  <c r="BO1198"/>
  <c r="N1198"/>
  <c r="M1198"/>
  <c r="B1198"/>
  <c r="BO1191"/>
  <c r="N1191"/>
  <c r="M1191"/>
  <c r="B1191"/>
  <c r="BO1147"/>
  <c r="N1147"/>
  <c r="M1147"/>
  <c r="B1147"/>
  <c r="BO1105"/>
  <c r="N1105"/>
  <c r="M1105"/>
  <c r="B1105"/>
  <c r="BO1094"/>
  <c r="N1094"/>
  <c r="M1094"/>
  <c r="B1094"/>
  <c r="BO1089"/>
  <c r="N1089"/>
  <c r="M1089"/>
  <c r="BO1072"/>
  <c r="N1072"/>
  <c r="M1072"/>
  <c r="B1072"/>
  <c r="BO1046"/>
  <c r="N1046"/>
  <c r="M1046"/>
  <c r="BO1023"/>
  <c r="N1023"/>
  <c r="M1023"/>
  <c r="B1023"/>
  <c r="BO1009"/>
  <c r="N1009"/>
  <c r="M1009"/>
  <c r="B1009"/>
  <c r="BO1008"/>
  <c r="N1008"/>
  <c r="M1008"/>
  <c r="B1008"/>
  <c r="BO998"/>
  <c r="N998"/>
  <c r="M998"/>
  <c r="B998"/>
  <c r="BO983"/>
  <c r="N983"/>
  <c r="M983"/>
  <c r="B983"/>
  <c r="BO960"/>
  <c r="N960"/>
  <c r="M960"/>
  <c r="B960"/>
  <c r="BO939"/>
  <c r="N939"/>
  <c r="M939"/>
  <c r="BO921"/>
  <c r="N921"/>
  <c r="M921"/>
  <c r="B921"/>
  <c r="BO884"/>
  <c r="N884"/>
  <c r="M884"/>
  <c r="B884"/>
  <c r="BO843"/>
  <c r="N843"/>
  <c r="M843"/>
  <c r="B843"/>
  <c r="BO809"/>
  <c r="N809"/>
  <c r="M809"/>
  <c r="B809"/>
  <c r="BO805"/>
  <c r="N805"/>
  <c r="M805"/>
  <c r="B805"/>
  <c r="BO800"/>
  <c r="N800"/>
  <c r="M800"/>
  <c r="BO799"/>
  <c r="N799"/>
  <c r="M799"/>
  <c r="BO794"/>
  <c r="N794"/>
  <c r="M794"/>
  <c r="B794"/>
  <c r="BO777"/>
  <c r="N777"/>
  <c r="M777"/>
  <c r="B777"/>
  <c r="BO745"/>
  <c r="N745"/>
  <c r="M745"/>
  <c r="B745"/>
  <c r="BO713"/>
  <c r="N713"/>
  <c r="M713"/>
  <c r="B713"/>
  <c r="BO703"/>
  <c r="N703"/>
  <c r="M703"/>
  <c r="B703"/>
  <c r="BO687"/>
  <c r="N687"/>
  <c r="M687"/>
  <c r="B687"/>
  <c r="BO679"/>
  <c r="N679"/>
  <c r="M679"/>
  <c r="B679"/>
  <c r="BO676"/>
  <c r="N676"/>
  <c r="M676"/>
  <c r="B676"/>
  <c r="BO668"/>
  <c r="N668"/>
  <c r="M668"/>
  <c r="B668"/>
  <c r="BO663"/>
  <c r="N663"/>
  <c r="M663"/>
  <c r="B663"/>
  <c r="BO653"/>
  <c r="N653"/>
  <c r="M653"/>
  <c r="B653"/>
  <c r="BO650"/>
  <c r="N650"/>
  <c r="M650"/>
  <c r="B650"/>
  <c r="BO642"/>
  <c r="N642"/>
  <c r="M642"/>
  <c r="B642"/>
  <c r="BO636"/>
  <c r="N636"/>
  <c r="M636"/>
  <c r="B636"/>
  <c r="BO588"/>
  <c r="N588"/>
  <c r="M588"/>
  <c r="B588"/>
  <c r="BO537"/>
  <c r="N537"/>
  <c r="M537"/>
  <c r="BO488"/>
  <c r="N488"/>
  <c r="M488"/>
  <c r="B488"/>
  <c r="BO454"/>
  <c r="N454"/>
  <c r="M454"/>
  <c r="B454"/>
  <c r="BO449"/>
  <c r="N449"/>
  <c r="M449"/>
  <c r="B449"/>
  <c r="BO447"/>
  <c r="N447"/>
  <c r="M447"/>
  <c r="BO445"/>
  <c r="N445"/>
  <c r="M445"/>
  <c r="BO410"/>
  <c r="N410"/>
  <c r="M410"/>
  <c r="B410"/>
  <c r="BO409"/>
  <c r="N409"/>
  <c r="M409"/>
  <c r="B409"/>
  <c r="BO404"/>
  <c r="N404"/>
  <c r="M404"/>
  <c r="B404"/>
  <c r="BO398"/>
  <c r="N398"/>
  <c r="M398"/>
  <c r="B398"/>
  <c r="BO396"/>
  <c r="N396"/>
  <c r="M396"/>
  <c r="B396"/>
  <c r="BO392"/>
  <c r="N392"/>
  <c r="M392"/>
  <c r="B392"/>
  <c r="BO386"/>
  <c r="N386"/>
  <c r="M386"/>
  <c r="B386"/>
  <c r="BO385"/>
  <c r="N385"/>
  <c r="M385"/>
  <c r="B385"/>
  <c r="BO376"/>
  <c r="N376"/>
  <c r="M376"/>
  <c r="B376"/>
  <c r="BO341"/>
  <c r="N341"/>
  <c r="M341"/>
  <c r="B341"/>
  <c r="BO275"/>
  <c r="N275"/>
  <c r="M275"/>
  <c r="B275"/>
  <c r="BO268"/>
  <c r="N268"/>
  <c r="M268"/>
  <c r="B268"/>
  <c r="BO262"/>
  <c r="N262"/>
  <c r="M262"/>
  <c r="B262"/>
  <c r="BO253"/>
  <c r="N253"/>
  <c r="M253"/>
  <c r="B253"/>
  <c r="BO222"/>
  <c r="N222"/>
  <c r="M222"/>
  <c r="B222"/>
  <c r="BO167"/>
  <c r="N167"/>
  <c r="M167"/>
  <c r="B167"/>
  <c r="BO142"/>
  <c r="N142"/>
  <c r="M142"/>
  <c r="B142"/>
  <c r="BO140"/>
  <c r="N140"/>
  <c r="M140"/>
  <c r="B140"/>
  <c r="BO135"/>
  <c r="N135"/>
  <c r="M135"/>
  <c r="B135"/>
  <c r="BO40"/>
  <c r="N40"/>
  <c r="M40"/>
  <c r="B40"/>
  <c r="O548" i="164"/>
  <c r="M548"/>
  <c r="B548"/>
  <c r="O547"/>
  <c r="M547"/>
  <c r="B547"/>
  <c r="O546"/>
  <c r="M546"/>
  <c r="B546"/>
  <c r="O545"/>
  <c r="M545"/>
  <c r="B545"/>
  <c r="O544"/>
  <c r="M544"/>
  <c r="B544"/>
  <c r="O543"/>
  <c r="M543"/>
  <c r="B543"/>
  <c r="O542"/>
  <c r="M542"/>
  <c r="B542"/>
  <c r="O541"/>
  <c r="M541"/>
  <c r="B541"/>
  <c r="O540"/>
  <c r="M540"/>
  <c r="B540"/>
  <c r="O539"/>
  <c r="M539"/>
  <c r="B539"/>
  <c r="O538"/>
  <c r="M538"/>
  <c r="B538"/>
  <c r="O537"/>
  <c r="M537"/>
  <c r="B537"/>
  <c r="M536"/>
  <c r="B536"/>
  <c r="O535"/>
  <c r="M535"/>
  <c r="B535"/>
  <c r="O534"/>
  <c r="M534"/>
  <c r="B534"/>
  <c r="O533"/>
  <c r="M533"/>
  <c r="B533"/>
  <c r="O532"/>
  <c r="M532"/>
  <c r="B532"/>
  <c r="M531"/>
  <c r="B531"/>
  <c r="O530"/>
  <c r="M530"/>
  <c r="B530"/>
  <c r="O529"/>
  <c r="M529"/>
  <c r="B529"/>
  <c r="O528"/>
  <c r="M528"/>
  <c r="B528"/>
  <c r="O527"/>
  <c r="M527"/>
  <c r="B527"/>
  <c r="O526"/>
  <c r="M526"/>
  <c r="B526"/>
  <c r="O525"/>
  <c r="M525"/>
  <c r="B525"/>
  <c r="O524"/>
  <c r="M524"/>
  <c r="B524"/>
  <c r="O523"/>
  <c r="M523"/>
  <c r="B523"/>
  <c r="M522"/>
  <c r="B522"/>
  <c r="O521"/>
  <c r="M521"/>
  <c r="B521"/>
  <c r="O520"/>
  <c r="M520"/>
  <c r="B520"/>
  <c r="M519"/>
  <c r="B519"/>
  <c r="O518"/>
  <c r="M518"/>
  <c r="B518"/>
  <c r="O517"/>
  <c r="M517"/>
  <c r="B517"/>
  <c r="O516"/>
  <c r="M516"/>
  <c r="B516"/>
  <c r="O515"/>
  <c r="M515"/>
  <c r="B515"/>
  <c r="O514"/>
  <c r="M514"/>
  <c r="B514"/>
  <c r="O513"/>
  <c r="M513"/>
  <c r="B513"/>
  <c r="O512"/>
  <c r="M512"/>
  <c r="B512"/>
  <c r="O511"/>
  <c r="M511"/>
  <c r="B511"/>
  <c r="M510"/>
  <c r="B510"/>
  <c r="O509"/>
  <c r="M509"/>
  <c r="B509"/>
  <c r="O508"/>
  <c r="M508"/>
  <c r="B508"/>
  <c r="O507"/>
  <c r="M507"/>
  <c r="B507"/>
  <c r="O506"/>
  <c r="M506"/>
  <c r="B506"/>
  <c r="O505"/>
  <c r="M505"/>
  <c r="B505"/>
  <c r="O504"/>
  <c r="M504"/>
  <c r="B504"/>
  <c r="O503"/>
  <c r="M503"/>
  <c r="B503"/>
  <c r="O502"/>
  <c r="M502"/>
  <c r="B502"/>
  <c r="O501"/>
  <c r="M501"/>
  <c r="B501"/>
  <c r="O500"/>
  <c r="M500"/>
  <c r="B500"/>
  <c r="O499"/>
  <c r="M499"/>
  <c r="B499"/>
  <c r="O498"/>
  <c r="M498"/>
  <c r="B498"/>
  <c r="O497"/>
  <c r="M497"/>
  <c r="B497"/>
  <c r="O496"/>
  <c r="M496"/>
  <c r="B496"/>
  <c r="O495"/>
  <c r="M495"/>
  <c r="B495"/>
  <c r="O494"/>
  <c r="M494"/>
  <c r="B494"/>
  <c r="M493"/>
  <c r="B493"/>
  <c r="O492"/>
  <c r="M492"/>
  <c r="B492"/>
  <c r="O491"/>
  <c r="M491"/>
  <c r="B491"/>
  <c r="O490"/>
  <c r="M490"/>
  <c r="B490"/>
  <c r="O489"/>
  <c r="M489"/>
  <c r="B489"/>
  <c r="O488"/>
  <c r="M488"/>
  <c r="B488"/>
  <c r="O487"/>
  <c r="M487"/>
  <c r="B487"/>
  <c r="O486"/>
  <c r="M486"/>
  <c r="B486"/>
  <c r="O485"/>
  <c r="M485"/>
  <c r="B485"/>
  <c r="O484"/>
  <c r="M484"/>
  <c r="B484"/>
  <c r="O483"/>
  <c r="M483"/>
  <c r="B483"/>
  <c r="O482"/>
  <c r="M482"/>
  <c r="B482"/>
  <c r="O481"/>
  <c r="M481"/>
  <c r="B481"/>
  <c r="O480"/>
  <c r="M480"/>
  <c r="B480"/>
  <c r="O479"/>
  <c r="M479"/>
  <c r="B479"/>
  <c r="O478"/>
  <c r="M478"/>
  <c r="B478"/>
  <c r="O477"/>
  <c r="M477"/>
  <c r="B477"/>
  <c r="O476"/>
  <c r="M476"/>
  <c r="B476"/>
  <c r="O475"/>
  <c r="M475"/>
  <c r="B475"/>
  <c r="M474"/>
  <c r="B474"/>
  <c r="O473"/>
  <c r="M473"/>
  <c r="B473"/>
  <c r="O472"/>
  <c r="M472"/>
  <c r="B472"/>
  <c r="O471"/>
  <c r="M471"/>
  <c r="B471"/>
  <c r="O470"/>
  <c r="M470"/>
  <c r="B470"/>
  <c r="O469"/>
  <c r="M469"/>
  <c r="B469"/>
  <c r="O468"/>
  <c r="M468"/>
  <c r="B468"/>
  <c r="O467"/>
  <c r="M467"/>
  <c r="B467"/>
  <c r="M466"/>
  <c r="B466"/>
  <c r="O465"/>
  <c r="M465"/>
  <c r="B465"/>
  <c r="M464"/>
  <c r="B464"/>
  <c r="M463"/>
  <c r="B463"/>
  <c r="O462"/>
  <c r="M462"/>
  <c r="B462"/>
  <c r="O461"/>
  <c r="M461"/>
  <c r="B461"/>
  <c r="O460"/>
  <c r="M460"/>
  <c r="B460"/>
  <c r="O459"/>
  <c r="M459"/>
  <c r="B459"/>
  <c r="O458"/>
  <c r="M458"/>
  <c r="B458"/>
  <c r="O457"/>
  <c r="M457"/>
  <c r="B457"/>
  <c r="O456"/>
  <c r="M456"/>
  <c r="B456"/>
  <c r="O455"/>
  <c r="M455"/>
  <c r="B455"/>
  <c r="O454"/>
  <c r="M454"/>
  <c r="B454"/>
  <c r="O453"/>
  <c r="M453"/>
  <c r="B453"/>
  <c r="O452"/>
  <c r="M452"/>
  <c r="B452"/>
  <c r="O451"/>
  <c r="M451"/>
  <c r="B451"/>
  <c r="O450"/>
  <c r="M450"/>
  <c r="B450"/>
  <c r="O449"/>
  <c r="M449"/>
  <c r="B449"/>
  <c r="O448"/>
  <c r="M448"/>
  <c r="B448"/>
  <c r="O447"/>
  <c r="M447"/>
  <c r="B447"/>
  <c r="O446"/>
  <c r="M446"/>
  <c r="B446"/>
  <c r="O445"/>
  <c r="M445"/>
  <c r="B445"/>
  <c r="M444"/>
  <c r="B444"/>
  <c r="O443"/>
  <c r="M443"/>
  <c r="B443"/>
  <c r="BH442"/>
  <c r="O442"/>
  <c r="M442"/>
  <c r="B442"/>
  <c r="BH441"/>
  <c r="O441"/>
  <c r="M441"/>
  <c r="B441"/>
  <c r="BH440"/>
  <c r="O440"/>
  <c r="M440"/>
  <c r="B440"/>
  <c r="BH439"/>
  <c r="O439"/>
  <c r="M439"/>
  <c r="B439"/>
  <c r="BH438"/>
  <c r="O438"/>
  <c r="M438"/>
  <c r="B438"/>
  <c r="BH437"/>
  <c r="O437"/>
  <c r="M437"/>
  <c r="B437"/>
  <c r="BH436"/>
  <c r="O436"/>
  <c r="M436"/>
  <c r="B436"/>
  <c r="BH435"/>
  <c r="O435"/>
  <c r="M435"/>
  <c r="B435"/>
  <c r="BH434"/>
  <c r="O434"/>
  <c r="M434"/>
  <c r="B434"/>
  <c r="BH433"/>
  <c r="O433"/>
  <c r="M433"/>
  <c r="B433"/>
  <c r="BH432"/>
  <c r="O432"/>
  <c r="M432"/>
  <c r="B432"/>
  <c r="BH431"/>
  <c r="O431"/>
  <c r="M431"/>
  <c r="B431"/>
  <c r="BH430"/>
  <c r="O430"/>
  <c r="M430"/>
  <c r="B430"/>
  <c r="BH429"/>
  <c r="O429"/>
  <c r="M429"/>
  <c r="B429"/>
  <c r="BH428"/>
  <c r="O428"/>
  <c r="M428"/>
  <c r="B428"/>
  <c r="BH427"/>
  <c r="O427"/>
  <c r="M427"/>
  <c r="B427"/>
  <c r="BH426"/>
  <c r="O426"/>
  <c r="M426"/>
  <c r="B426"/>
  <c r="BH425"/>
  <c r="O425"/>
  <c r="M425"/>
  <c r="B425"/>
  <c r="BH424"/>
  <c r="O424"/>
  <c r="M424"/>
  <c r="B424"/>
  <c r="BH423"/>
  <c r="O423"/>
  <c r="M423"/>
  <c r="B423"/>
  <c r="BH422"/>
  <c r="O422"/>
  <c r="M422"/>
  <c r="B422"/>
  <c r="BH421"/>
  <c r="O421"/>
  <c r="M421"/>
  <c r="B421"/>
  <c r="BH420"/>
  <c r="O420"/>
  <c r="M420"/>
  <c r="B420"/>
  <c r="BH419"/>
  <c r="O419"/>
  <c r="M419"/>
  <c r="B419"/>
  <c r="BH418"/>
  <c r="O418"/>
  <c r="M418"/>
  <c r="B418"/>
  <c r="BH417"/>
  <c r="O417"/>
  <c r="M417"/>
  <c r="B417"/>
  <c r="BH416"/>
  <c r="O416"/>
  <c r="M416"/>
  <c r="B416"/>
  <c r="BH415"/>
  <c r="O415"/>
  <c r="M415"/>
  <c r="B415"/>
  <c r="BH414"/>
  <c r="O414"/>
  <c r="M414"/>
  <c r="B414"/>
  <c r="BH413"/>
  <c r="O413"/>
  <c r="M413"/>
  <c r="B413"/>
  <c r="BH412"/>
  <c r="O412"/>
  <c r="M412"/>
  <c r="B412"/>
  <c r="BH411"/>
  <c r="O411"/>
  <c r="M411"/>
  <c r="B411"/>
  <c r="BH410"/>
  <c r="O410"/>
  <c r="M410"/>
  <c r="B410"/>
  <c r="BH409"/>
  <c r="O409"/>
  <c r="M409"/>
  <c r="B409"/>
  <c r="BH408"/>
  <c r="O408"/>
  <c r="M408"/>
  <c r="B408"/>
  <c r="BH407"/>
  <c r="O407"/>
  <c r="M407"/>
  <c r="B407"/>
  <c r="BK406"/>
  <c r="BH406"/>
  <c r="O406"/>
  <c r="M406"/>
  <c r="B406"/>
  <c r="BH405"/>
  <c r="O405"/>
  <c r="M405"/>
  <c r="B405"/>
  <c r="BH404"/>
  <c r="O404"/>
  <c r="M404"/>
  <c r="B404"/>
  <c r="BH403"/>
  <c r="O403"/>
  <c r="M403"/>
  <c r="B403"/>
  <c r="BH402"/>
  <c r="O402"/>
  <c r="M402"/>
  <c r="B402"/>
  <c r="BH401"/>
  <c r="O401"/>
  <c r="M401"/>
  <c r="B401"/>
  <c r="BK400"/>
  <c r="BH400"/>
  <c r="O400"/>
  <c r="M400"/>
  <c r="B400"/>
  <c r="BH399"/>
  <c r="O399"/>
  <c r="M399"/>
  <c r="B399"/>
  <c r="BH398"/>
  <c r="O398"/>
  <c r="M398"/>
  <c r="B398"/>
  <c r="BH397"/>
  <c r="O397"/>
  <c r="M397"/>
  <c r="B397"/>
  <c r="BH396"/>
  <c r="O396"/>
  <c r="M396"/>
  <c r="B396"/>
  <c r="BH395"/>
  <c r="O395"/>
  <c r="M395"/>
  <c r="B395"/>
  <c r="BK394"/>
  <c r="BH394"/>
  <c r="O394"/>
  <c r="M394"/>
  <c r="B394"/>
  <c r="BH393"/>
  <c r="O393"/>
  <c r="M393"/>
  <c r="B393"/>
  <c r="BK392"/>
  <c r="BH392"/>
  <c r="O392"/>
  <c r="M392"/>
  <c r="B392"/>
  <c r="BH391"/>
  <c r="O391"/>
  <c r="M391"/>
  <c r="B391"/>
  <c r="BH390"/>
  <c r="O390"/>
  <c r="M390"/>
  <c r="B390"/>
  <c r="BH389"/>
  <c r="O389"/>
  <c r="M389"/>
  <c r="B389"/>
  <c r="BH388"/>
  <c r="O388"/>
  <c r="M388"/>
  <c r="B388"/>
  <c r="BK387"/>
  <c r="BH387"/>
  <c r="O387"/>
  <c r="M387"/>
  <c r="B387"/>
  <c r="BH386"/>
  <c r="O386"/>
  <c r="M386"/>
  <c r="B386"/>
  <c r="BH385"/>
  <c r="O385"/>
  <c r="M385"/>
  <c r="B385"/>
  <c r="BH384"/>
  <c r="O384"/>
  <c r="M384"/>
  <c r="B384"/>
  <c r="BH383"/>
  <c r="O383"/>
  <c r="M383"/>
  <c r="B383"/>
  <c r="BH382"/>
  <c r="O382"/>
  <c r="M382"/>
  <c r="B382"/>
  <c r="BH381"/>
  <c r="O381"/>
  <c r="M381"/>
  <c r="B381"/>
  <c r="BH380"/>
  <c r="O380"/>
  <c r="M380"/>
  <c r="B380"/>
  <c r="BK379"/>
  <c r="BH379"/>
  <c r="O379"/>
  <c r="M379"/>
  <c r="B379"/>
  <c r="BH378"/>
  <c r="O378"/>
  <c r="M378"/>
  <c r="B378"/>
  <c r="BH377"/>
  <c r="O377"/>
  <c r="M377"/>
  <c r="B377"/>
  <c r="BH376"/>
  <c r="O376"/>
  <c r="M376"/>
  <c r="B376"/>
  <c r="BH375"/>
  <c r="O375"/>
  <c r="M375"/>
  <c r="B375"/>
  <c r="BK374"/>
  <c r="BH374"/>
  <c r="O374"/>
  <c r="M374"/>
  <c r="B374"/>
  <c r="BH373"/>
  <c r="M373"/>
  <c r="B373"/>
  <c r="BH372"/>
  <c r="O372"/>
  <c r="M372"/>
  <c r="B372"/>
  <c r="BH371"/>
  <c r="O371"/>
  <c r="M371"/>
  <c r="B371"/>
  <c r="BH370"/>
  <c r="O370"/>
  <c r="M370"/>
  <c r="B370"/>
  <c r="BH369"/>
  <c r="O369"/>
  <c r="M369"/>
  <c r="B369"/>
  <c r="BH368"/>
  <c r="O368"/>
  <c r="M368"/>
  <c r="B368"/>
  <c r="BH367"/>
  <c r="O367"/>
  <c r="M367"/>
  <c r="B367"/>
  <c r="BH366"/>
  <c r="O366"/>
  <c r="M366"/>
  <c r="B366"/>
  <c r="BH365"/>
  <c r="O365"/>
  <c r="M365"/>
  <c r="B365"/>
  <c r="BH364"/>
  <c r="O364"/>
  <c r="M364"/>
  <c r="B364"/>
  <c r="BH363"/>
  <c r="O363"/>
  <c r="M363"/>
  <c r="B363"/>
  <c r="BH362"/>
  <c r="O362"/>
  <c r="M362"/>
  <c r="B362"/>
  <c r="BH361"/>
  <c r="O361"/>
  <c r="M361"/>
  <c r="B361"/>
  <c r="BH360"/>
  <c r="O360"/>
  <c r="M360"/>
  <c r="B360"/>
  <c r="BH359"/>
  <c r="O359"/>
  <c r="M359"/>
  <c r="B359"/>
  <c r="BH358"/>
  <c r="O358"/>
  <c r="M358"/>
  <c r="B358"/>
  <c r="BH357"/>
  <c r="O357"/>
  <c r="M357"/>
  <c r="B357"/>
  <c r="BH356"/>
  <c r="O356"/>
  <c r="M356"/>
  <c r="B356"/>
  <c r="BH355"/>
  <c r="O355"/>
  <c r="M355"/>
  <c r="B355"/>
  <c r="BH354"/>
  <c r="O354"/>
  <c r="M354"/>
  <c r="B354"/>
  <c r="BH353"/>
  <c r="O353"/>
  <c r="M353"/>
  <c r="B353"/>
  <c r="BH352"/>
  <c r="O352"/>
  <c r="M352"/>
  <c r="B352"/>
  <c r="BH351"/>
  <c r="O351"/>
  <c r="M351"/>
  <c r="B351"/>
  <c r="BH350"/>
  <c r="O350"/>
  <c r="M350"/>
  <c r="B350"/>
  <c r="BH349"/>
  <c r="O349"/>
  <c r="M349"/>
  <c r="B349"/>
  <c r="BH348"/>
  <c r="O348"/>
  <c r="M348"/>
  <c r="B348"/>
  <c r="BH347"/>
  <c r="O347"/>
  <c r="M347"/>
  <c r="B347"/>
  <c r="BH346"/>
  <c r="O346"/>
  <c r="M346"/>
  <c r="B346"/>
  <c r="BH345"/>
  <c r="M345"/>
  <c r="B345"/>
  <c r="BH344"/>
  <c r="O344"/>
  <c r="M344"/>
  <c r="B344"/>
  <c r="BK343"/>
  <c r="BH343"/>
  <c r="O343"/>
  <c r="M343"/>
  <c r="B343"/>
  <c r="BH342"/>
  <c r="O342"/>
  <c r="M342"/>
  <c r="B342"/>
  <c r="BK341"/>
  <c r="BH341"/>
  <c r="O341"/>
  <c r="M341"/>
  <c r="B341"/>
  <c r="BH340"/>
  <c r="O340"/>
  <c r="M340"/>
  <c r="B340"/>
  <c r="BK339"/>
  <c r="BH339"/>
  <c r="O339"/>
  <c r="M339"/>
  <c r="B339"/>
  <c r="BH338"/>
  <c r="O338"/>
  <c r="N338"/>
  <c r="M338"/>
  <c r="B338"/>
  <c r="BH337"/>
  <c r="O337"/>
  <c r="M337"/>
  <c r="B337"/>
  <c r="BH336"/>
  <c r="O336"/>
  <c r="N336"/>
  <c r="M336"/>
  <c r="B336"/>
  <c r="BH335"/>
  <c r="O335"/>
  <c r="M335"/>
  <c r="B335"/>
  <c r="BH334"/>
  <c r="O334"/>
  <c r="M334"/>
  <c r="B334"/>
  <c r="BH333"/>
  <c r="O333"/>
  <c r="M333"/>
  <c r="B333"/>
  <c r="BH332"/>
  <c r="O332"/>
  <c r="M332"/>
  <c r="B332"/>
  <c r="BK331"/>
  <c r="BH331"/>
  <c r="O331"/>
  <c r="M331"/>
  <c r="B331"/>
  <c r="BH330"/>
  <c r="O330"/>
  <c r="M330"/>
  <c r="B330"/>
  <c r="BH329"/>
  <c r="O329"/>
  <c r="M329"/>
  <c r="B329"/>
  <c r="BK328"/>
  <c r="BH328"/>
  <c r="O328"/>
  <c r="M328"/>
  <c r="B328"/>
  <c r="BH327"/>
  <c r="O327"/>
  <c r="M327"/>
  <c r="B327"/>
  <c r="BH326"/>
  <c r="O326"/>
  <c r="M326"/>
  <c r="B326"/>
  <c r="BH325"/>
  <c r="O325"/>
  <c r="M325"/>
  <c r="B325"/>
  <c r="BH324"/>
  <c r="O324"/>
  <c r="M324"/>
  <c r="B324"/>
  <c r="BK323"/>
  <c r="BH323"/>
  <c r="O323"/>
  <c r="M323"/>
  <c r="B323"/>
  <c r="BH322"/>
  <c r="O322"/>
  <c r="M322"/>
  <c r="B322"/>
  <c r="BH321"/>
  <c r="O321"/>
  <c r="M321"/>
  <c r="B321"/>
  <c r="BH320"/>
  <c r="O320"/>
  <c r="M320"/>
  <c r="B320"/>
  <c r="BK319"/>
  <c r="BH319"/>
  <c r="O319"/>
  <c r="M319"/>
  <c r="B319"/>
  <c r="BH318"/>
  <c r="O318"/>
  <c r="M318"/>
  <c r="B318"/>
  <c r="BH317"/>
  <c r="M317"/>
  <c r="B317"/>
  <c r="BH316"/>
  <c r="M316"/>
  <c r="B316"/>
  <c r="BH315"/>
  <c r="O315"/>
  <c r="M315"/>
  <c r="B315"/>
  <c r="BH314"/>
  <c r="O314"/>
  <c r="M314"/>
  <c r="B314"/>
  <c r="BH313"/>
  <c r="O313"/>
  <c r="M313"/>
  <c r="B313"/>
  <c r="BH312"/>
  <c r="O312"/>
  <c r="M312"/>
  <c r="B312"/>
  <c r="BK311"/>
  <c r="BH311"/>
  <c r="O311"/>
  <c r="M311"/>
  <c r="B311"/>
  <c r="BH310"/>
  <c r="O310"/>
  <c r="M310"/>
  <c r="B310"/>
  <c r="BH309"/>
  <c r="O309"/>
  <c r="M309"/>
  <c r="B309"/>
  <c r="BH308"/>
  <c r="O308"/>
  <c r="M308"/>
  <c r="B308"/>
  <c r="BH307"/>
  <c r="O307"/>
  <c r="M307"/>
  <c r="B307"/>
  <c r="BH306"/>
  <c r="O306"/>
  <c r="M306"/>
  <c r="B306"/>
  <c r="BH305"/>
  <c r="O305"/>
  <c r="M305"/>
  <c r="B305"/>
  <c r="BH304"/>
  <c r="O304"/>
  <c r="M304"/>
  <c r="B304"/>
  <c r="BH303"/>
  <c r="O303"/>
  <c r="M303"/>
  <c r="B303"/>
  <c r="BK302"/>
  <c r="BH302"/>
  <c r="O302"/>
  <c r="N302"/>
  <c r="M302"/>
  <c r="B302"/>
  <c r="BH301"/>
  <c r="M301"/>
  <c r="B301"/>
  <c r="BH300"/>
  <c r="O300"/>
  <c r="M300"/>
  <c r="B300"/>
  <c r="BH299"/>
  <c r="O299"/>
  <c r="M299"/>
  <c r="B299"/>
  <c r="BH298"/>
  <c r="O298"/>
  <c r="M298"/>
  <c r="B298"/>
  <c r="BH297"/>
  <c r="O297"/>
  <c r="M297"/>
  <c r="B297"/>
  <c r="BH296"/>
  <c r="O296"/>
  <c r="M296"/>
  <c r="B296"/>
  <c r="BH295"/>
  <c r="O295"/>
  <c r="M295"/>
  <c r="B295"/>
  <c r="BH294"/>
  <c r="O294"/>
  <c r="M294"/>
  <c r="B294"/>
  <c r="BH293"/>
  <c r="O293"/>
  <c r="M293"/>
  <c r="B293"/>
  <c r="BH292"/>
  <c r="O292"/>
  <c r="M292"/>
  <c r="B292"/>
  <c r="BH291"/>
  <c r="O291"/>
  <c r="M291"/>
  <c r="B291"/>
  <c r="BH290"/>
  <c r="O290"/>
  <c r="M290"/>
  <c r="B290"/>
  <c r="BH289"/>
  <c r="O289"/>
  <c r="M289"/>
  <c r="B289"/>
  <c r="BH288"/>
  <c r="O288"/>
  <c r="M288"/>
  <c r="B288"/>
  <c r="BH287"/>
  <c r="O287"/>
  <c r="M287"/>
  <c r="B287"/>
  <c r="BH286"/>
  <c r="O286"/>
  <c r="M286"/>
  <c r="B286"/>
  <c r="BH285"/>
  <c r="O285"/>
  <c r="M285"/>
  <c r="B285"/>
  <c r="BH284"/>
  <c r="O284"/>
  <c r="M284"/>
  <c r="B284"/>
  <c r="BK283"/>
  <c r="BH283"/>
  <c r="O283"/>
  <c r="M283"/>
  <c r="B283"/>
  <c r="BK282"/>
  <c r="BH282"/>
  <c r="O282"/>
  <c r="M282"/>
  <c r="B282"/>
  <c r="BH281"/>
  <c r="O281"/>
  <c r="M281"/>
  <c r="B281"/>
  <c r="BH280"/>
  <c r="O280"/>
  <c r="M280"/>
  <c r="B280"/>
  <c r="BH279"/>
  <c r="O279"/>
  <c r="M279"/>
  <c r="B279"/>
  <c r="BH278"/>
  <c r="O278"/>
  <c r="M278"/>
  <c r="B278"/>
  <c r="BH277"/>
  <c r="O277"/>
  <c r="M277"/>
  <c r="B277"/>
  <c r="BH276"/>
  <c r="O276"/>
  <c r="M276"/>
  <c r="B276"/>
  <c r="BH275"/>
  <c r="O275"/>
  <c r="M275"/>
  <c r="B275"/>
  <c r="BH274"/>
  <c r="O274"/>
  <c r="M274"/>
  <c r="B274"/>
  <c r="BH273"/>
  <c r="O273"/>
  <c r="M273"/>
  <c r="B273"/>
  <c r="BH272"/>
  <c r="O272"/>
  <c r="M272"/>
  <c r="B272"/>
  <c r="BH271"/>
  <c r="O271"/>
  <c r="M271"/>
  <c r="B271"/>
  <c r="BK270"/>
  <c r="BH270"/>
  <c r="O270"/>
  <c r="M270"/>
  <c r="B270"/>
  <c r="BH269"/>
  <c r="O269"/>
  <c r="M269"/>
  <c r="B269"/>
  <c r="BH268"/>
  <c r="O268"/>
  <c r="M268"/>
  <c r="B268"/>
  <c r="BH267"/>
  <c r="O267"/>
  <c r="M267"/>
  <c r="B267"/>
  <c r="BH266"/>
  <c r="O266"/>
  <c r="M266"/>
  <c r="B266"/>
  <c r="BH265"/>
  <c r="O265"/>
  <c r="M265"/>
  <c r="B265"/>
  <c r="BH264"/>
  <c r="O264"/>
  <c r="M264"/>
  <c r="B264"/>
  <c r="BK263"/>
  <c r="BH263"/>
  <c r="O263"/>
  <c r="N263"/>
  <c r="M263"/>
  <c r="B263"/>
  <c r="BH262"/>
  <c r="O262"/>
  <c r="M262"/>
  <c r="B262"/>
  <c r="BH261"/>
  <c r="O261"/>
  <c r="M261"/>
  <c r="B261"/>
  <c r="BH260"/>
  <c r="O260"/>
  <c r="M260"/>
  <c r="B260"/>
  <c r="BH259"/>
  <c r="O259"/>
  <c r="M259"/>
  <c r="B259"/>
  <c r="BH258"/>
  <c r="O258"/>
  <c r="M258"/>
  <c r="B258"/>
  <c r="BH257"/>
  <c r="O257"/>
  <c r="M257"/>
  <c r="B257"/>
  <c r="BH256"/>
  <c r="O256"/>
  <c r="M256"/>
  <c r="B256"/>
  <c r="BH255"/>
  <c r="O255"/>
  <c r="M255"/>
  <c r="B255"/>
  <c r="BH254"/>
  <c r="M254"/>
  <c r="B254"/>
  <c r="BK253"/>
  <c r="BH253"/>
  <c r="O253"/>
  <c r="M253"/>
  <c r="B253"/>
  <c r="BH252"/>
  <c r="O252"/>
  <c r="M252"/>
  <c r="B252"/>
  <c r="BH251"/>
  <c r="O251"/>
  <c r="M251"/>
  <c r="B251"/>
  <c r="BK250"/>
  <c r="BH250"/>
  <c r="O250"/>
  <c r="M250"/>
  <c r="B250"/>
  <c r="BK249"/>
  <c r="BH249"/>
  <c r="O249"/>
  <c r="M249"/>
  <c r="B249"/>
  <c r="BK248"/>
  <c r="BH248"/>
  <c r="O248"/>
  <c r="M248"/>
  <c r="B248"/>
  <c r="BH247"/>
  <c r="O247"/>
  <c r="N247"/>
  <c r="M247"/>
  <c r="B247"/>
  <c r="BK246"/>
  <c r="BH246"/>
  <c r="O246"/>
  <c r="M246"/>
  <c r="B246"/>
  <c r="BK245"/>
  <c r="BH245"/>
  <c r="O245"/>
  <c r="M245"/>
  <c r="B245"/>
  <c r="BH244"/>
  <c r="O244"/>
  <c r="N244"/>
  <c r="M244"/>
  <c r="B244"/>
  <c r="BH243"/>
  <c r="O243"/>
  <c r="M243"/>
  <c r="B243"/>
  <c r="BH242"/>
  <c r="O242"/>
  <c r="M242"/>
  <c r="B242"/>
  <c r="BK241"/>
  <c r="BH241"/>
  <c r="M241"/>
  <c r="B241"/>
  <c r="BH240"/>
  <c r="O240"/>
  <c r="M240"/>
  <c r="B240"/>
  <c r="BH239"/>
  <c r="O239"/>
  <c r="M239"/>
  <c r="B239"/>
  <c r="BH238"/>
  <c r="O238"/>
  <c r="M238"/>
  <c r="B238"/>
  <c r="BH237"/>
  <c r="O237"/>
  <c r="M237"/>
  <c r="B237"/>
  <c r="BH236"/>
  <c r="O236"/>
  <c r="M236"/>
  <c r="B236"/>
  <c r="BH235"/>
  <c r="O235"/>
  <c r="N235"/>
  <c r="M235"/>
  <c r="B235"/>
  <c r="BH234"/>
  <c r="O234"/>
  <c r="M234"/>
  <c r="B234"/>
  <c r="BH233"/>
  <c r="O233"/>
  <c r="M233"/>
  <c r="B233"/>
  <c r="BH232"/>
  <c r="O232"/>
  <c r="M232"/>
  <c r="B232"/>
  <c r="BH231"/>
  <c r="O231"/>
  <c r="N231"/>
  <c r="M231"/>
  <c r="B231"/>
  <c r="BH230"/>
  <c r="O230"/>
  <c r="N230"/>
  <c r="M230"/>
  <c r="B230"/>
  <c r="BH229"/>
  <c r="O229"/>
  <c r="M229"/>
  <c r="B229"/>
  <c r="BH228"/>
  <c r="O228"/>
  <c r="M228"/>
  <c r="B228"/>
  <c r="BH227"/>
  <c r="O227"/>
  <c r="M227"/>
  <c r="B227"/>
  <c r="BH226"/>
  <c r="O226"/>
  <c r="M226"/>
  <c r="B226"/>
  <c r="BH225"/>
  <c r="M225"/>
  <c r="B225"/>
  <c r="BH224"/>
  <c r="O224"/>
  <c r="M224"/>
  <c r="B224"/>
  <c r="BH223"/>
  <c r="O223"/>
  <c r="M223"/>
  <c r="B223"/>
  <c r="BH222"/>
  <c r="O222"/>
  <c r="N222"/>
  <c r="M222"/>
  <c r="B222"/>
  <c r="BH221"/>
  <c r="O221"/>
  <c r="M221"/>
  <c r="B221"/>
  <c r="BH220"/>
  <c r="O220"/>
  <c r="N220"/>
  <c r="M220"/>
  <c r="B220"/>
  <c r="BH219"/>
  <c r="O219"/>
  <c r="N219"/>
  <c r="M219"/>
  <c r="B219"/>
  <c r="BH218"/>
  <c r="O218"/>
  <c r="M218"/>
  <c r="B218"/>
  <c r="BH217"/>
  <c r="O217"/>
  <c r="M217"/>
  <c r="B217"/>
  <c r="BH216"/>
  <c r="O216"/>
  <c r="M216"/>
  <c r="B216"/>
  <c r="BH215"/>
  <c r="O215"/>
  <c r="M215"/>
  <c r="B215"/>
  <c r="BH214"/>
  <c r="O214"/>
  <c r="M214"/>
  <c r="B214"/>
  <c r="BH213"/>
  <c r="O213"/>
  <c r="N213"/>
  <c r="M213"/>
  <c r="B213"/>
  <c r="BK212"/>
  <c r="BH212"/>
  <c r="O212"/>
  <c r="M212"/>
  <c r="B212"/>
  <c r="BH211"/>
  <c r="O211"/>
  <c r="M211"/>
  <c r="B211"/>
  <c r="BH210"/>
  <c r="O210"/>
  <c r="M210"/>
  <c r="B210"/>
  <c r="BH209"/>
  <c r="O209"/>
  <c r="M209"/>
  <c r="B209"/>
  <c r="BH208"/>
  <c r="O208"/>
  <c r="M208"/>
  <c r="B208"/>
  <c r="BH207"/>
  <c r="O207"/>
  <c r="M207"/>
  <c r="B207"/>
  <c r="BH206"/>
  <c r="O206"/>
  <c r="M206"/>
  <c r="B206"/>
  <c r="BH205"/>
  <c r="O205"/>
  <c r="M205"/>
  <c r="B205"/>
  <c r="BH204"/>
  <c r="O204"/>
  <c r="M204"/>
  <c r="B204"/>
  <c r="BH203"/>
  <c r="O203"/>
  <c r="M203"/>
  <c r="B203"/>
  <c r="BH202"/>
  <c r="O202"/>
  <c r="M202"/>
  <c r="B202"/>
  <c r="BH201"/>
  <c r="O201"/>
  <c r="M201"/>
  <c r="B201"/>
  <c r="BH200"/>
  <c r="O200"/>
  <c r="M200"/>
  <c r="B200"/>
  <c r="BH199"/>
  <c r="O199"/>
  <c r="M199"/>
  <c r="B199"/>
  <c r="BH198"/>
  <c r="O198"/>
  <c r="M198"/>
  <c r="B198"/>
  <c r="BH197"/>
  <c r="O197"/>
  <c r="M197"/>
  <c r="B197"/>
  <c r="BH196"/>
  <c r="O196"/>
  <c r="M196"/>
  <c r="B196"/>
  <c r="BH195"/>
  <c r="O195"/>
  <c r="M195"/>
  <c r="B195"/>
  <c r="BH194"/>
  <c r="M194"/>
  <c r="B194"/>
  <c r="BH193"/>
  <c r="M193"/>
  <c r="B193"/>
  <c r="BH192"/>
  <c r="O192"/>
  <c r="N192"/>
  <c r="M192"/>
  <c r="B192"/>
  <c r="BH191"/>
  <c r="O191"/>
  <c r="N191"/>
  <c r="M191"/>
  <c r="B191"/>
  <c r="BH190"/>
  <c r="O190"/>
  <c r="N190"/>
  <c r="M190"/>
  <c r="B190"/>
  <c r="BH189"/>
  <c r="O189"/>
  <c r="M189"/>
  <c r="B189"/>
  <c r="BK188"/>
  <c r="BH188"/>
  <c r="O188"/>
  <c r="M188"/>
  <c r="B188"/>
  <c r="BK187"/>
  <c r="BH187"/>
  <c r="O187"/>
  <c r="M187"/>
  <c r="B187"/>
  <c r="BH186"/>
  <c r="O186"/>
  <c r="M186"/>
  <c r="B186"/>
  <c r="BH185"/>
  <c r="O185"/>
  <c r="M185"/>
  <c r="B185"/>
  <c r="BK184" s="1"/>
  <c r="BH184"/>
  <c r="M184"/>
  <c r="B184"/>
  <c r="BH183"/>
  <c r="O183"/>
  <c r="M183"/>
  <c r="B183"/>
  <c r="BK182"/>
  <c r="BH182"/>
  <c r="O182"/>
  <c r="M182"/>
  <c r="B182"/>
  <c r="BK181"/>
  <c r="BH181"/>
  <c r="O181"/>
  <c r="M181"/>
  <c r="B181"/>
  <c r="BH180"/>
  <c r="O180"/>
  <c r="M180"/>
  <c r="B180"/>
  <c r="BH179"/>
  <c r="O179"/>
  <c r="M179"/>
  <c r="B179"/>
  <c r="BH178"/>
  <c r="O178"/>
  <c r="M178"/>
  <c r="B178"/>
  <c r="BH177"/>
  <c r="O177"/>
  <c r="M177"/>
  <c r="B177"/>
  <c r="BH176"/>
  <c r="O176"/>
  <c r="M176"/>
  <c r="B176"/>
  <c r="BH175"/>
  <c r="O175"/>
  <c r="M175"/>
  <c r="B175"/>
  <c r="BK174"/>
  <c r="BH174"/>
  <c r="O174"/>
  <c r="M174"/>
  <c r="B174"/>
  <c r="BK173"/>
  <c r="BH173"/>
  <c r="O173"/>
  <c r="M173"/>
  <c r="B173"/>
  <c r="BH172"/>
  <c r="O172"/>
  <c r="M172"/>
  <c r="B172"/>
  <c r="BK171"/>
  <c r="BH171"/>
  <c r="O171"/>
  <c r="M171"/>
  <c r="B171"/>
  <c r="BH170"/>
  <c r="O170"/>
  <c r="M170"/>
  <c r="B170"/>
  <c r="BK169"/>
  <c r="BH169"/>
  <c r="O169"/>
  <c r="M169"/>
  <c r="B169"/>
  <c r="BH168"/>
  <c r="O168"/>
  <c r="M168"/>
  <c r="B168"/>
  <c r="BH167"/>
  <c r="O167"/>
  <c r="M167"/>
  <c r="B167"/>
  <c r="BH166"/>
  <c r="O166"/>
  <c r="M166"/>
  <c r="B166"/>
  <c r="BH165"/>
  <c r="O165"/>
  <c r="M165"/>
  <c r="B165"/>
  <c r="BH164"/>
  <c r="O164"/>
  <c r="N164"/>
  <c r="M164"/>
  <c r="B164"/>
  <c r="BH163"/>
  <c r="O163"/>
  <c r="M163"/>
  <c r="B163"/>
  <c r="BH162"/>
  <c r="O162"/>
  <c r="M162"/>
  <c r="B162"/>
  <c r="BK161"/>
  <c r="BH161"/>
  <c r="O161"/>
  <c r="M161"/>
  <c r="B161"/>
  <c r="BH160"/>
  <c r="O160"/>
  <c r="M160"/>
  <c r="B160"/>
  <c r="BH159"/>
  <c r="O159"/>
  <c r="M159"/>
  <c r="B159"/>
  <c r="BH158"/>
  <c r="O158"/>
  <c r="N158"/>
  <c r="M158"/>
  <c r="B158"/>
  <c r="BH157"/>
  <c r="O157"/>
  <c r="M157"/>
  <c r="B157"/>
  <c r="BH156"/>
  <c r="O156"/>
  <c r="M156"/>
  <c r="B156"/>
  <c r="BH155"/>
  <c r="O155"/>
  <c r="M155"/>
  <c r="B155"/>
  <c r="BH154"/>
  <c r="O154"/>
  <c r="N154"/>
  <c r="M154"/>
  <c r="B154"/>
  <c r="BH153"/>
  <c r="O153"/>
  <c r="M153"/>
  <c r="B153"/>
  <c r="BH152"/>
  <c r="O152"/>
  <c r="M152"/>
  <c r="B152"/>
  <c r="BH151"/>
  <c r="O151"/>
  <c r="M151"/>
  <c r="B151"/>
  <c r="BH150"/>
  <c r="O150"/>
  <c r="M150"/>
  <c r="B150"/>
  <c r="BH149"/>
  <c r="O149"/>
  <c r="M149"/>
  <c r="B149"/>
  <c r="BH148"/>
  <c r="O148"/>
  <c r="M148"/>
  <c r="B148"/>
  <c r="BH147"/>
  <c r="O147"/>
  <c r="M147"/>
  <c r="B147"/>
  <c r="BH146"/>
  <c r="O146"/>
  <c r="M146"/>
  <c r="B146"/>
  <c r="BK145"/>
  <c r="BH145"/>
  <c r="M145"/>
  <c r="B145"/>
  <c r="BK144"/>
  <c r="BH144"/>
  <c r="M144"/>
  <c r="B144"/>
  <c r="BK143"/>
  <c r="BH143"/>
  <c r="O143"/>
  <c r="M143"/>
  <c r="B143"/>
  <c r="BH142"/>
  <c r="O142"/>
  <c r="M142"/>
  <c r="B142"/>
  <c r="BH141"/>
  <c r="O141"/>
  <c r="M141"/>
  <c r="B141"/>
  <c r="BH140"/>
  <c r="M140"/>
  <c r="B140"/>
  <c r="BK139"/>
  <c r="BH139"/>
  <c r="O139"/>
  <c r="M139"/>
  <c r="B139"/>
  <c r="BK138"/>
  <c r="BH138"/>
  <c r="O138"/>
  <c r="M138"/>
  <c r="B138"/>
  <c r="BH137"/>
  <c r="O137"/>
  <c r="M137"/>
  <c r="B137"/>
  <c r="BH136"/>
  <c r="M136"/>
  <c r="B136"/>
  <c r="BH135"/>
  <c r="O135"/>
  <c r="M135"/>
  <c r="B135"/>
  <c r="BH134"/>
  <c r="O134"/>
  <c r="N134"/>
  <c r="M134"/>
  <c r="B134"/>
  <c r="BK133"/>
  <c r="BH133"/>
  <c r="O133"/>
  <c r="M133"/>
  <c r="B133"/>
  <c r="BH132"/>
  <c r="O132"/>
  <c r="M132"/>
  <c r="B132"/>
  <c r="BH131"/>
  <c r="O131"/>
  <c r="M131"/>
  <c r="B131"/>
  <c r="BK130"/>
  <c r="BH130"/>
  <c r="O130"/>
  <c r="N130"/>
  <c r="M130"/>
  <c r="B130"/>
  <c r="BH129"/>
  <c r="O129"/>
  <c r="M129"/>
  <c r="B129"/>
  <c r="BH128"/>
  <c r="O128"/>
  <c r="M128"/>
  <c r="B128"/>
  <c r="BH127"/>
  <c r="O127"/>
  <c r="M127"/>
  <c r="B127"/>
  <c r="BH126"/>
  <c r="O126"/>
  <c r="M126"/>
  <c r="B126"/>
  <c r="BH125"/>
  <c r="O125"/>
  <c r="N125"/>
  <c r="M125"/>
  <c r="B125"/>
  <c r="BH124"/>
  <c r="O124"/>
  <c r="M124"/>
  <c r="B124"/>
  <c r="BH123"/>
  <c r="M123"/>
  <c r="B123"/>
  <c r="BH122"/>
  <c r="O122"/>
  <c r="M122"/>
  <c r="B122"/>
  <c r="BH121"/>
  <c r="O121"/>
  <c r="M121"/>
  <c r="B121"/>
  <c r="BH120"/>
  <c r="O120"/>
  <c r="M120"/>
  <c r="B120"/>
  <c r="BH119"/>
  <c r="O119"/>
  <c r="M119"/>
  <c r="B119"/>
  <c r="BH118"/>
  <c r="O118"/>
  <c r="M118"/>
  <c r="B118"/>
  <c r="BH117"/>
  <c r="O117"/>
  <c r="M117"/>
  <c r="B117"/>
  <c r="BH116"/>
  <c r="O116"/>
  <c r="M116"/>
  <c r="B116"/>
  <c r="BK115"/>
  <c r="BH115"/>
  <c r="O115"/>
  <c r="M115"/>
  <c r="B115"/>
  <c r="BH114"/>
  <c r="O114"/>
  <c r="M114"/>
  <c r="B114"/>
  <c r="BH113"/>
  <c r="O113"/>
  <c r="M113"/>
  <c r="B113"/>
  <c r="BH112"/>
  <c r="O112"/>
  <c r="M112"/>
  <c r="B112"/>
  <c r="BH111"/>
  <c r="O111"/>
  <c r="M111"/>
  <c r="B111"/>
  <c r="BH110"/>
  <c r="O110"/>
  <c r="N110"/>
  <c r="M110"/>
  <c r="B110"/>
  <c r="BH109"/>
  <c r="O109"/>
  <c r="M109"/>
  <c r="B109"/>
  <c r="BH108"/>
  <c r="O108"/>
  <c r="M108"/>
  <c r="B108"/>
  <c r="BH107"/>
  <c r="O107"/>
  <c r="M107"/>
  <c r="B107"/>
  <c r="BH106"/>
  <c r="O106"/>
  <c r="M106"/>
  <c r="B106"/>
  <c r="BK105"/>
  <c r="BH105"/>
  <c r="O105"/>
  <c r="N105"/>
  <c r="M105"/>
  <c r="B105"/>
  <c r="BH104"/>
  <c r="O104"/>
  <c r="M104"/>
  <c r="B104"/>
  <c r="BK103"/>
  <c r="BH103"/>
  <c r="O103"/>
  <c r="M103"/>
  <c r="B103"/>
  <c r="BH102"/>
  <c r="M102"/>
  <c r="B102"/>
  <c r="BH101"/>
  <c r="O101"/>
  <c r="M101"/>
  <c r="B101"/>
  <c r="BH100"/>
  <c r="O100"/>
  <c r="M100"/>
  <c r="B100"/>
  <c r="BH99"/>
  <c r="O99"/>
  <c r="M99"/>
  <c r="B99"/>
  <c r="BH98"/>
  <c r="O98"/>
  <c r="M98"/>
  <c r="B98"/>
  <c r="BH97"/>
  <c r="O97"/>
  <c r="M97"/>
  <c r="B97"/>
  <c r="BH96"/>
  <c r="O96"/>
  <c r="M96"/>
  <c r="B96"/>
  <c r="BH95"/>
  <c r="O95"/>
  <c r="M95"/>
  <c r="B95"/>
  <c r="BH94"/>
  <c r="O94"/>
  <c r="M94"/>
  <c r="B94"/>
  <c r="BH93"/>
  <c r="O93"/>
  <c r="M93"/>
  <c r="B93"/>
  <c r="BH92"/>
  <c r="O92"/>
  <c r="M92"/>
  <c r="B92"/>
  <c r="BK91"/>
  <c r="BH91"/>
  <c r="O91"/>
  <c r="M91"/>
  <c r="B91"/>
  <c r="BH90"/>
  <c r="O90"/>
  <c r="M90"/>
  <c r="B90"/>
  <c r="BH89"/>
  <c r="O89"/>
  <c r="M89"/>
  <c r="B89"/>
  <c r="BH88"/>
  <c r="O88"/>
  <c r="M88"/>
  <c r="B88"/>
  <c r="BH87"/>
  <c r="O87"/>
  <c r="M87"/>
  <c r="B87"/>
  <c r="BH86"/>
  <c r="O86"/>
  <c r="M86"/>
  <c r="B86"/>
  <c r="BH85"/>
  <c r="O85"/>
  <c r="M85"/>
  <c r="B85"/>
  <c r="BH84"/>
  <c r="O84"/>
  <c r="M84"/>
  <c r="B84"/>
  <c r="BK83"/>
  <c r="BH83"/>
  <c r="O83"/>
  <c r="M83"/>
  <c r="B83"/>
  <c r="BH82"/>
  <c r="O82"/>
  <c r="M82"/>
  <c r="B82"/>
  <c r="BH81"/>
  <c r="O81"/>
  <c r="M81"/>
  <c r="B81"/>
  <c r="BH80"/>
  <c r="O80"/>
  <c r="M80"/>
  <c r="B80"/>
  <c r="BH79"/>
  <c r="O79"/>
  <c r="M79"/>
  <c r="B79"/>
  <c r="BH78"/>
  <c r="O78"/>
  <c r="M78"/>
  <c r="B78"/>
  <c r="BH77"/>
  <c r="O77"/>
  <c r="M77"/>
  <c r="B77"/>
  <c r="BK76"/>
  <c r="BH76"/>
  <c r="O76"/>
  <c r="M76"/>
  <c r="B76"/>
  <c r="BH75"/>
  <c r="M75"/>
  <c r="B75"/>
  <c r="BH74"/>
  <c r="O74"/>
  <c r="M74"/>
  <c r="B74"/>
  <c r="BH73"/>
  <c r="O73"/>
  <c r="M73"/>
  <c r="B73"/>
  <c r="BH72"/>
  <c r="O72"/>
  <c r="N72"/>
  <c r="M72"/>
  <c r="B72"/>
  <c r="BH71"/>
  <c r="O71"/>
  <c r="M71"/>
  <c r="B71"/>
  <c r="BH70"/>
  <c r="O70"/>
  <c r="M70"/>
  <c r="B70"/>
  <c r="BH69"/>
  <c r="O69"/>
  <c r="M69"/>
  <c r="B69"/>
  <c r="BH68"/>
  <c r="O68"/>
  <c r="M68"/>
  <c r="B68"/>
  <c r="BH67"/>
  <c r="O67"/>
  <c r="M67"/>
  <c r="B67"/>
  <c r="BH66"/>
  <c r="O66"/>
  <c r="M66"/>
  <c r="B66"/>
  <c r="BH65"/>
  <c r="O65"/>
  <c r="M65"/>
  <c r="B65"/>
  <c r="BH64"/>
  <c r="O64"/>
  <c r="M64"/>
  <c r="B64"/>
  <c r="BK63"/>
  <c r="BH63"/>
  <c r="O63"/>
  <c r="M63"/>
  <c r="B63"/>
  <c r="BH62"/>
  <c r="O62"/>
  <c r="M62"/>
  <c r="B62"/>
  <c r="BH61"/>
  <c r="O61"/>
  <c r="M61"/>
  <c r="B61"/>
  <c r="BH60"/>
  <c r="O60"/>
  <c r="M60"/>
  <c r="B60"/>
  <c r="BK59"/>
  <c r="BH59"/>
  <c r="O59"/>
  <c r="M59"/>
  <c r="B59"/>
  <c r="BH58"/>
  <c r="O58"/>
  <c r="M58"/>
  <c r="B58"/>
  <c r="BH57"/>
  <c r="O57"/>
  <c r="M57"/>
  <c r="B57"/>
  <c r="BH56"/>
  <c r="O56"/>
  <c r="M56"/>
  <c r="B56"/>
  <c r="BH55"/>
  <c r="O55"/>
  <c r="M55"/>
  <c r="B55"/>
  <c r="BH54"/>
  <c r="O54"/>
  <c r="M54"/>
  <c r="B54"/>
  <c r="BH53"/>
  <c r="O53"/>
  <c r="M53"/>
  <c r="B53"/>
  <c r="BH52"/>
  <c r="O52"/>
  <c r="M52"/>
  <c r="B52"/>
  <c r="BH51"/>
  <c r="O51"/>
  <c r="M51"/>
  <c r="B51"/>
  <c r="BH50"/>
  <c r="M50"/>
  <c r="B50"/>
  <c r="BH49"/>
  <c r="O49"/>
  <c r="M49"/>
  <c r="B49"/>
  <c r="BH48"/>
  <c r="O48"/>
  <c r="M48"/>
  <c r="B48"/>
  <c r="BH47"/>
  <c r="O47"/>
  <c r="M47"/>
  <c r="B47"/>
  <c r="BH46"/>
  <c r="O46"/>
  <c r="M46"/>
  <c r="B46"/>
  <c r="BK45"/>
  <c r="BH45"/>
  <c r="O45"/>
  <c r="M45"/>
  <c r="B45"/>
  <c r="BH44"/>
  <c r="O44"/>
  <c r="M44"/>
  <c r="B44"/>
  <c r="BK43"/>
  <c r="BH43"/>
  <c r="O43"/>
  <c r="M43"/>
  <c r="B43"/>
  <c r="BK42"/>
  <c r="BH42"/>
  <c r="O42"/>
  <c r="M42"/>
  <c r="B42"/>
  <c r="BH41"/>
  <c r="O41"/>
  <c r="M41"/>
  <c r="B41"/>
  <c r="BH40"/>
  <c r="O40"/>
  <c r="M40"/>
  <c r="B40"/>
  <c r="BH39"/>
  <c r="O39"/>
  <c r="M39"/>
  <c r="B39"/>
  <c r="BH38"/>
  <c r="O38"/>
  <c r="M38"/>
  <c r="B38"/>
  <c r="BH37"/>
  <c r="O37"/>
  <c r="M37"/>
  <c r="B37"/>
  <c r="BH36"/>
  <c r="O36"/>
  <c r="M36"/>
  <c r="B36"/>
  <c r="BH35"/>
  <c r="O35"/>
  <c r="M35"/>
  <c r="B35"/>
  <c r="BH34"/>
  <c r="O34"/>
  <c r="M34"/>
  <c r="B34"/>
  <c r="BH33"/>
  <c r="O33"/>
  <c r="M33"/>
  <c r="B33"/>
  <c r="BH32"/>
  <c r="O32"/>
  <c r="M32"/>
  <c r="B32"/>
  <c r="BH31"/>
  <c r="O31"/>
  <c r="M31"/>
  <c r="B31"/>
  <c r="BH30"/>
  <c r="O30"/>
  <c r="M30"/>
  <c r="B30"/>
  <c r="BH29"/>
  <c r="O29"/>
  <c r="M29"/>
  <c r="B29"/>
  <c r="BH28"/>
  <c r="O28"/>
  <c r="M28"/>
  <c r="B28"/>
  <c r="BH27"/>
  <c r="O27"/>
  <c r="M27"/>
  <c r="B27"/>
  <c r="BK26"/>
  <c r="BH26"/>
  <c r="M26"/>
  <c r="B26"/>
  <c r="BH25"/>
  <c r="O25"/>
  <c r="M25"/>
  <c r="B25"/>
  <c r="BH24"/>
  <c r="O24"/>
  <c r="M24"/>
  <c r="B24"/>
  <c r="BH23"/>
  <c r="O23"/>
  <c r="M23"/>
  <c r="B23"/>
  <c r="BH22"/>
  <c r="O22"/>
  <c r="M22"/>
  <c r="B22"/>
  <c r="BK21"/>
  <c r="BH21"/>
  <c r="O21"/>
  <c r="M21"/>
  <c r="B21"/>
  <c r="BK20"/>
  <c r="BH20"/>
  <c r="O20"/>
  <c r="M20"/>
  <c r="B20"/>
  <c r="BH19"/>
  <c r="O19"/>
  <c r="M19"/>
  <c r="B19"/>
  <c r="BH18"/>
  <c r="O18"/>
  <c r="M18"/>
  <c r="B18"/>
  <c r="BK17"/>
  <c r="BH17"/>
  <c r="O17"/>
  <c r="M17"/>
  <c r="B17"/>
  <c r="BH16"/>
  <c r="O16"/>
  <c r="M16"/>
  <c r="B16"/>
  <c r="BK15"/>
  <c r="BH15"/>
  <c r="O15"/>
  <c r="M15"/>
  <c r="B15"/>
  <c r="BH14"/>
  <c r="O14"/>
  <c r="M14"/>
  <c r="B14"/>
  <c r="BH13"/>
  <c r="O13"/>
  <c r="M13"/>
  <c r="B13"/>
  <c r="BK12" l="1"/>
  <c r="BH12"/>
  <c r="O12"/>
  <c r="M12"/>
  <c r="B12"/>
  <c r="BH11"/>
  <c r="O11"/>
  <c r="M11"/>
  <c r="B11"/>
  <c r="BH10"/>
  <c r="O10"/>
  <c r="M10"/>
  <c r="B10"/>
  <c r="BH9"/>
  <c r="O9"/>
  <c r="M9"/>
  <c r="B9"/>
  <c r="BH8"/>
  <c r="O8"/>
  <c r="M8"/>
  <c r="B8"/>
  <c r="BH7"/>
  <c r="O7"/>
  <c r="M7"/>
  <c r="B7"/>
  <c r="BH6"/>
  <c r="O6"/>
  <c r="M6"/>
  <c r="B6"/>
  <c r="BH5"/>
  <c r="O5"/>
  <c r="M5"/>
  <c r="B5"/>
  <c r="BH4"/>
  <c r="O4"/>
  <c r="M4"/>
  <c r="B4"/>
  <c r="BH3"/>
  <c r="O3"/>
  <c r="M3"/>
  <c r="B3"/>
  <c r="BH2"/>
  <c r="O2"/>
  <c r="M2"/>
  <c r="B2"/>
</calcChain>
</file>

<file path=xl/comments1.xml><?xml version="1.0" encoding="utf-8"?>
<comments xmlns="http://schemas.openxmlformats.org/spreadsheetml/2006/main">
  <authors>
    <author>Dave Smith</author>
  </authors>
  <commentList>
    <comment ref="F6" authorId="0">
      <text>
        <r>
          <rPr>
            <sz val="8"/>
            <color indexed="81"/>
            <rFont val="Tahoma"/>
            <charset val="1"/>
          </rPr>
          <t xml:space="preserve">03/30/2008
859000 --&gt; 829000
</t>
        </r>
      </text>
    </comment>
    <comment ref="B9" authorId="0">
      <text>
        <r>
          <rPr>
            <sz val="8"/>
            <color indexed="81"/>
            <rFont val="Tahoma"/>
            <charset val="1"/>
          </rPr>
          <t xml:space="preserve">03/31/2008
Active --&gt; Subject To Inspection
</t>
        </r>
      </text>
    </comment>
    <comment ref="F11" authorId="0">
      <text>
        <r>
          <rPr>
            <sz val="8"/>
            <color indexed="81"/>
            <rFont val="Tahoma"/>
            <charset val="1"/>
          </rPr>
          <t xml:space="preserve">04/08/2008
1249000 --&gt; 1229000
04/05/2008
1229000 --&gt; 1249000
</t>
        </r>
      </text>
    </comment>
    <comment ref="F17" authorId="0">
      <text>
        <r>
          <rPr>
            <sz val="8"/>
            <color indexed="81"/>
            <rFont val="Tahoma"/>
            <charset val="1"/>
          </rPr>
          <t xml:space="preserve">03/26/2008
2950000 --&gt; 2595000
</t>
        </r>
      </text>
    </comment>
    <comment ref="B19" authorId="0">
      <text>
        <r>
          <rPr>
            <sz val="8"/>
            <color indexed="81"/>
            <rFont val="Tahoma"/>
            <charset val="1"/>
          </rPr>
          <t xml:space="preserve">03/25/2008
Active --&gt; Contingent
</t>
        </r>
      </text>
    </comment>
    <comment ref="F21" authorId="0">
      <text>
        <r>
          <rPr>
            <sz val="8"/>
            <color indexed="81"/>
            <rFont val="Tahoma"/>
            <charset val="1"/>
          </rPr>
          <t xml:space="preserve">04/02/2008
569950 --&gt; 539950
</t>
        </r>
      </text>
    </comment>
    <comment ref="F23" authorId="0">
      <text>
        <r>
          <rPr>
            <sz val="8"/>
            <color indexed="81"/>
            <rFont val="Tahoma"/>
            <charset val="1"/>
          </rPr>
          <t xml:space="preserve">04/04/2008
869950 --&gt; 839950
</t>
        </r>
      </text>
    </comment>
    <comment ref="F32" authorId="0">
      <text>
        <r>
          <rPr>
            <sz val="8"/>
            <color indexed="81"/>
            <rFont val="Tahoma"/>
            <charset val="1"/>
          </rPr>
          <t xml:space="preserve">04/07/2008
825000 --&gt; 809000
</t>
        </r>
      </text>
    </comment>
    <comment ref="BC40" authorId="0">
      <text>
        <r>
          <rPr>
            <sz val="8"/>
            <color indexed="81"/>
            <rFont val="Tahoma"/>
            <charset val="1"/>
          </rPr>
          <t xml:space="preserve">03/07/2008
3/28/2007 11:24:33 AM --&gt; 3/28/2007 10:24:33 AM
</t>
        </r>
      </text>
    </comment>
    <comment ref="F42" authorId="0">
      <text>
        <r>
          <rPr>
            <sz val="8"/>
            <color indexed="81"/>
            <rFont val="Tahoma"/>
            <charset val="1"/>
          </rPr>
          <t xml:space="preserve">04/07/2008
720000 --&gt; 710000
</t>
        </r>
      </text>
    </comment>
    <comment ref="F56" authorId="0">
      <text>
        <r>
          <rPr>
            <sz val="8"/>
            <color indexed="81"/>
            <rFont val="Tahoma"/>
            <charset val="1"/>
          </rPr>
          <t xml:space="preserve">03/28/2008
934800 --&gt; 914800
</t>
        </r>
      </text>
    </comment>
    <comment ref="F64" authorId="0">
      <text>
        <r>
          <rPr>
            <sz val="8"/>
            <color indexed="81"/>
            <rFont val="Tahoma"/>
            <charset val="1"/>
          </rPr>
          <t xml:space="preserve">04/04/2008
509950 --&gt; 499950
</t>
        </r>
      </text>
    </comment>
    <comment ref="F71" authorId="0">
      <text>
        <r>
          <rPr>
            <sz val="8"/>
            <color indexed="81"/>
            <rFont val="Tahoma"/>
            <charset val="1"/>
          </rPr>
          <t xml:space="preserve">03/31/2008
699950 --&gt; 669950
</t>
        </r>
      </text>
    </comment>
    <comment ref="F74" authorId="0">
      <text>
        <r>
          <rPr>
            <sz val="8"/>
            <color indexed="81"/>
            <rFont val="Tahoma"/>
            <charset val="1"/>
          </rPr>
          <t xml:space="preserve">03/27/2008
799950 --&gt; 769950
</t>
        </r>
      </text>
    </comment>
    <comment ref="F85" authorId="0">
      <text>
        <r>
          <rPr>
            <sz val="8"/>
            <color indexed="81"/>
            <rFont val="Tahoma"/>
            <charset val="1"/>
          </rPr>
          <t xml:space="preserve">03/28/2008
409950 --&gt; 414650
</t>
        </r>
      </text>
    </comment>
    <comment ref="F86" authorId="0">
      <text>
        <r>
          <rPr>
            <sz val="8"/>
            <color indexed="81"/>
            <rFont val="Tahoma"/>
            <charset val="1"/>
          </rPr>
          <t xml:space="preserve">03/28/2008
399950 --&gt; 409808
</t>
        </r>
      </text>
    </comment>
    <comment ref="F90" authorId="0">
      <text>
        <r>
          <rPr>
            <sz val="8"/>
            <color indexed="81"/>
            <rFont val="Tahoma"/>
            <charset val="1"/>
          </rPr>
          <t xml:space="preserve">04/02/2008
797750 --&gt; 778000
</t>
        </r>
      </text>
    </comment>
    <comment ref="F101" authorId="0">
      <text>
        <r>
          <rPr>
            <sz val="8"/>
            <color indexed="81"/>
            <rFont val="Tahoma"/>
            <charset val="1"/>
          </rPr>
          <t xml:space="preserve">04/03/2008
849500 --&gt; 819500
</t>
        </r>
      </text>
    </comment>
    <comment ref="B105" authorId="0">
      <text>
        <r>
          <rPr>
            <sz val="8"/>
            <color indexed="81"/>
            <rFont val="Tahoma"/>
            <charset val="1"/>
          </rPr>
          <t xml:space="preserve">04/08/2008
Active --&gt; Subject To Inspection
</t>
        </r>
      </text>
    </comment>
    <comment ref="B113" authorId="0">
      <text>
        <r>
          <rPr>
            <sz val="8"/>
            <color indexed="81"/>
            <rFont val="Tahoma"/>
            <charset val="1"/>
          </rPr>
          <t xml:space="preserve">04/08/2008
Subject To Inspection --&gt; Active
04/04/2008
Active --&gt; Subject To Inspection
</t>
        </r>
      </text>
    </comment>
    <comment ref="B117" authorId="0">
      <text>
        <r>
          <rPr>
            <sz val="8"/>
            <color indexed="81"/>
            <rFont val="Tahoma"/>
            <charset val="1"/>
          </rPr>
          <t xml:space="preserve">03/24/2008
Active --&gt; Subject To Inspection
</t>
        </r>
      </text>
    </comment>
    <comment ref="F124" authorId="0">
      <text>
        <r>
          <rPr>
            <sz val="8"/>
            <color indexed="81"/>
            <rFont val="Tahoma"/>
            <charset val="1"/>
          </rPr>
          <t xml:space="preserve">04/03/2008
765000 --&gt; 749000
</t>
        </r>
      </text>
    </comment>
    <comment ref="B125" authorId="0">
      <text>
        <r>
          <rPr>
            <sz val="8"/>
            <color indexed="81"/>
            <rFont val="Tahoma"/>
            <charset val="1"/>
          </rPr>
          <t xml:space="preserve">04/02/2008
Active --&gt; Subject To Inspection
</t>
        </r>
      </text>
    </comment>
    <comment ref="F125" authorId="0">
      <text>
        <r>
          <rPr>
            <sz val="8"/>
            <color indexed="81"/>
            <rFont val="Tahoma"/>
            <charset val="1"/>
          </rPr>
          <t xml:space="preserve">03/26/2008
447000 --&gt; 439950
</t>
        </r>
      </text>
    </comment>
    <comment ref="F129" authorId="0">
      <text>
        <r>
          <rPr>
            <sz val="8"/>
            <color indexed="81"/>
            <rFont val="Tahoma"/>
            <charset val="1"/>
          </rPr>
          <t xml:space="preserve">03/31/2008
495000 --&gt; 490000
</t>
        </r>
      </text>
    </comment>
    <comment ref="B138" authorId="0">
      <text>
        <r>
          <rPr>
            <sz val="8"/>
            <color indexed="81"/>
            <rFont val="Tahoma"/>
            <charset val="1"/>
          </rPr>
          <t xml:space="preserve">03/27/2008
Active --&gt; Subject To Inspection
</t>
        </r>
      </text>
    </comment>
    <comment ref="F146" authorId="0">
      <text>
        <r>
          <rPr>
            <sz val="8"/>
            <color indexed="81"/>
            <rFont val="Tahoma"/>
            <charset val="1"/>
          </rPr>
          <t xml:space="preserve">04/01/2008
899950 --&gt; 949950
</t>
        </r>
      </text>
    </comment>
    <comment ref="F148" authorId="0">
      <text>
        <r>
          <rPr>
            <sz val="8"/>
            <color indexed="81"/>
            <rFont val="Tahoma"/>
            <charset val="1"/>
          </rPr>
          <t xml:space="preserve">04/01/2008
679950 --&gt; 649950
</t>
        </r>
      </text>
    </comment>
    <comment ref="F151" authorId="0">
      <text>
        <r>
          <rPr>
            <sz val="8"/>
            <color indexed="81"/>
            <rFont val="Tahoma"/>
            <charset val="1"/>
          </rPr>
          <t xml:space="preserve">03/26/2008
434900 --&gt; 424950
</t>
        </r>
      </text>
    </comment>
    <comment ref="B162" authorId="0">
      <text>
        <r>
          <rPr>
            <sz val="8"/>
            <color indexed="81"/>
            <rFont val="Tahoma"/>
            <charset val="1"/>
          </rPr>
          <t xml:space="preserve">03/26/2008
Active --&gt; Subject To Inspection
</t>
        </r>
      </text>
    </comment>
    <comment ref="B170" authorId="0">
      <text>
        <r>
          <rPr>
            <sz val="8"/>
            <color indexed="81"/>
            <rFont val="Tahoma"/>
            <charset val="1"/>
          </rPr>
          <t xml:space="preserve">03/31/2008
Subject To Inspection --&gt; Active
03/26/2008
Active --&gt; Subject To Inspection
</t>
        </r>
      </text>
    </comment>
    <comment ref="F170" authorId="0">
      <text>
        <r>
          <rPr>
            <sz val="8"/>
            <color indexed="81"/>
            <rFont val="Tahoma"/>
            <charset val="1"/>
          </rPr>
          <t xml:space="preserve">04/01/2008
599950 --&gt; 479950
</t>
        </r>
      </text>
    </comment>
    <comment ref="F173" authorId="0">
      <text>
        <r>
          <rPr>
            <sz val="8"/>
            <color indexed="81"/>
            <rFont val="Tahoma"/>
            <charset val="1"/>
          </rPr>
          <t xml:space="preserve">03/26/2008
999000 --&gt; 899000
</t>
        </r>
      </text>
    </comment>
    <comment ref="F175" authorId="0">
      <text>
        <r>
          <rPr>
            <sz val="8"/>
            <color indexed="81"/>
            <rFont val="Tahoma"/>
            <charset val="1"/>
          </rPr>
          <t xml:space="preserve">03/25/2008
1795000 --&gt; 1695000
</t>
        </r>
      </text>
    </comment>
    <comment ref="B178" authorId="0">
      <text>
        <r>
          <rPr>
            <sz val="8"/>
            <color indexed="81"/>
            <rFont val="Tahoma"/>
            <charset val="1"/>
          </rPr>
          <t xml:space="preserve">03/27/2008
Subject To Inspection --&gt; Active
</t>
        </r>
      </text>
    </comment>
    <comment ref="F178" authorId="0">
      <text>
        <r>
          <rPr>
            <sz val="8"/>
            <color indexed="81"/>
            <rFont val="Tahoma"/>
            <charset val="1"/>
          </rPr>
          <t xml:space="preserve">03/28/2008
824950 --&gt; 799950
</t>
        </r>
      </text>
    </comment>
    <comment ref="B182" authorId="0">
      <text>
        <r>
          <rPr>
            <sz val="8"/>
            <color indexed="81"/>
            <rFont val="Tahoma"/>
            <charset val="1"/>
          </rPr>
          <t xml:space="preserve">03/27/2008
Active --&gt; Subject To Inspection
</t>
        </r>
      </text>
    </comment>
    <comment ref="CL184" authorId="0">
      <text>
        <r>
          <rPr>
            <sz val="8"/>
            <color indexed="81"/>
            <rFont val="Tahoma"/>
            <charset val="1"/>
          </rPr>
          <t xml:space="preserve">04/05/2008
Sun, Mar 30 1 AM - 4 PM --&gt; Sun, Apr 6 1 AM - 4 PM
</t>
        </r>
      </text>
    </comment>
    <comment ref="F187" authorId="0">
      <text>
        <r>
          <rPr>
            <sz val="8"/>
            <color indexed="81"/>
            <rFont val="Tahoma"/>
            <charset val="1"/>
          </rPr>
          <t xml:space="preserve">04/02/2008
489000 --&gt; 474995
</t>
        </r>
      </text>
    </comment>
    <comment ref="CL188" authorId="0">
      <text>
        <r>
          <rPr>
            <sz val="8"/>
            <color indexed="81"/>
            <rFont val="Tahoma"/>
            <charset val="1"/>
          </rPr>
          <t xml:space="preserve">04/06/2008
Sun, Mar 30 1 - 4 PM --&gt; Sun, Apr 6 1 - 4 PM
03/30/2008
Sat, Mar 29 1 - 4 PM --&gt; Sun, Mar 30 1 - 4 PM
</t>
        </r>
      </text>
    </comment>
    <comment ref="B194" authorId="0">
      <text>
        <r>
          <rPr>
            <sz val="8"/>
            <color indexed="81"/>
            <rFont val="Tahoma"/>
            <charset val="1"/>
          </rPr>
          <t xml:space="preserve">04/02/2008
Subject To Inspection --&gt; Active
03/26/2008
Active --&gt; Subject To Inspection
</t>
        </r>
      </text>
    </comment>
    <comment ref="B195" authorId="0">
      <text>
        <r>
          <rPr>
            <sz val="8"/>
            <color indexed="81"/>
            <rFont val="Tahoma"/>
            <charset val="1"/>
          </rPr>
          <t xml:space="preserve">04/03/2008
Active --&gt; Subject To Inspection
</t>
        </r>
      </text>
    </comment>
    <comment ref="F195" authorId="0">
      <text>
        <r>
          <rPr>
            <sz val="8"/>
            <color indexed="81"/>
            <rFont val="Tahoma"/>
            <charset val="1"/>
          </rPr>
          <t xml:space="preserve">03/28/2008
329000 --&gt; 319998
</t>
        </r>
      </text>
    </comment>
    <comment ref="F200" authorId="0">
      <text>
        <r>
          <rPr>
            <sz val="8"/>
            <color indexed="81"/>
            <rFont val="Tahoma"/>
            <charset val="1"/>
          </rPr>
          <t xml:space="preserve">04/09/2008
559950 --&gt; 549950
</t>
        </r>
      </text>
    </comment>
    <comment ref="F208" authorId="0">
      <text>
        <r>
          <rPr>
            <sz val="8"/>
            <color indexed="81"/>
            <rFont val="Tahoma"/>
            <charset val="1"/>
          </rPr>
          <t xml:space="preserve">04/01/2008
725000 --&gt; 699999
</t>
        </r>
      </text>
    </comment>
    <comment ref="F209" authorId="0">
      <text>
        <r>
          <rPr>
            <sz val="8"/>
            <color indexed="81"/>
            <rFont val="Tahoma"/>
            <charset val="1"/>
          </rPr>
          <t xml:space="preserve">03/26/2008
496000 --&gt; 489999
</t>
        </r>
      </text>
    </comment>
    <comment ref="F214" authorId="0">
      <text>
        <r>
          <rPr>
            <sz val="8"/>
            <color indexed="81"/>
            <rFont val="Tahoma"/>
            <charset val="1"/>
          </rPr>
          <t xml:space="preserve">04/09/2008
794950 --&gt; 789950
04/03/2008
799950 --&gt; 794950
</t>
        </r>
      </text>
    </comment>
    <comment ref="F216" authorId="0">
      <text>
        <r>
          <rPr>
            <sz val="8"/>
            <color indexed="81"/>
            <rFont val="Tahoma"/>
            <charset val="1"/>
          </rPr>
          <t xml:space="preserve">03/28/2008
595000 --&gt; 585000
</t>
        </r>
      </text>
    </comment>
    <comment ref="F218" authorId="0">
      <text>
        <r>
          <rPr>
            <sz val="8"/>
            <color indexed="81"/>
            <rFont val="Tahoma"/>
            <charset val="1"/>
          </rPr>
          <t xml:space="preserve">04/08/2008
359950 --&gt; 355000
</t>
        </r>
      </text>
    </comment>
    <comment ref="F228" authorId="0">
      <text>
        <r>
          <rPr>
            <sz val="8"/>
            <color indexed="81"/>
            <rFont val="Tahoma"/>
            <charset val="1"/>
          </rPr>
          <t xml:space="preserve">04/02/2008
669990 --&gt; 659990
</t>
        </r>
      </text>
    </comment>
    <comment ref="F240" authorId="0">
      <text>
        <r>
          <rPr>
            <sz val="8"/>
            <color indexed="81"/>
            <rFont val="Tahoma"/>
            <charset val="1"/>
          </rPr>
          <t xml:space="preserve">04/08/2008
750000 --&gt; 725000
</t>
        </r>
      </text>
    </comment>
    <comment ref="B252" authorId="0">
      <text>
        <r>
          <rPr>
            <sz val="8"/>
            <color indexed="81"/>
            <rFont val="Tahoma"/>
            <charset val="1"/>
          </rPr>
          <t xml:space="preserve">04/04/2008
Active --&gt; Subject To Inspection
</t>
        </r>
      </text>
    </comment>
    <comment ref="F253" authorId="0">
      <text>
        <r>
          <rPr>
            <sz val="8"/>
            <color indexed="81"/>
            <rFont val="Tahoma"/>
            <charset val="1"/>
          </rPr>
          <t xml:space="preserve">04/08/2008
514950 --&gt; 499950
03/10/2008
535000 --&gt; 514950
</t>
        </r>
      </text>
    </comment>
    <comment ref="F256" authorId="0">
      <text>
        <r>
          <rPr>
            <sz val="8"/>
            <color indexed="81"/>
            <rFont val="Tahoma"/>
            <charset val="1"/>
          </rPr>
          <t xml:space="preserve">03/26/2008
492500 --&gt; 475500
</t>
        </r>
      </text>
    </comment>
    <comment ref="F259" authorId="0">
      <text>
        <r>
          <rPr>
            <sz val="8"/>
            <color indexed="81"/>
            <rFont val="Tahoma"/>
            <charset val="1"/>
          </rPr>
          <t xml:space="preserve">04/03/2008
495000 --&gt; 460000
</t>
        </r>
      </text>
    </comment>
    <comment ref="F260" authorId="0">
      <text>
        <r>
          <rPr>
            <sz val="8"/>
            <color indexed="81"/>
            <rFont val="Tahoma"/>
            <charset val="1"/>
          </rPr>
          <t xml:space="preserve">03/31/2008
674950 --&gt; 649950
</t>
        </r>
      </text>
    </comment>
    <comment ref="F261" authorId="0">
      <text>
        <r>
          <rPr>
            <sz val="8"/>
            <color indexed="81"/>
            <rFont val="Tahoma"/>
            <charset val="1"/>
          </rPr>
          <t xml:space="preserve">03/26/2008
749000 --&gt; 714000
</t>
        </r>
      </text>
    </comment>
    <comment ref="B263" authorId="0">
      <text>
        <r>
          <rPr>
            <sz val="8"/>
            <color indexed="81"/>
            <rFont val="Tahoma"/>
            <charset val="1"/>
          </rPr>
          <t xml:space="preserve">03/28/2008
Active --&gt; Subject To Inspection
</t>
        </r>
      </text>
    </comment>
    <comment ref="B266" authorId="0">
      <text>
        <r>
          <rPr>
            <sz val="8"/>
            <color indexed="81"/>
            <rFont val="Tahoma"/>
            <charset val="1"/>
          </rPr>
          <t xml:space="preserve">04/03/2008
Active --&gt; Subject To Inspection
</t>
        </r>
      </text>
    </comment>
    <comment ref="F266" authorId="0">
      <text>
        <r>
          <rPr>
            <sz val="8"/>
            <color indexed="81"/>
            <rFont val="Tahoma"/>
            <charset val="1"/>
          </rPr>
          <t xml:space="preserve">03/27/2008
400000 --&gt; 385000
</t>
        </r>
      </text>
    </comment>
    <comment ref="F276" authorId="0">
      <text>
        <r>
          <rPr>
            <sz val="8"/>
            <color indexed="81"/>
            <rFont val="Tahoma"/>
            <charset val="1"/>
          </rPr>
          <t xml:space="preserve">03/28/2008
329000 --&gt; 319998
</t>
        </r>
      </text>
    </comment>
    <comment ref="F277" authorId="0">
      <text>
        <r>
          <rPr>
            <sz val="8"/>
            <color indexed="81"/>
            <rFont val="Tahoma"/>
            <charset val="1"/>
          </rPr>
          <t xml:space="preserve">03/26/2008
1249000 --&gt; 1195000
</t>
        </r>
      </text>
    </comment>
    <comment ref="B296" authorId="0">
      <text>
        <r>
          <rPr>
            <sz val="8"/>
            <color indexed="81"/>
            <rFont val="Tahoma"/>
            <charset val="1"/>
          </rPr>
          <t xml:space="preserve">04/04/2008
Subject To Inspection --&gt; Active
</t>
        </r>
      </text>
    </comment>
    <comment ref="F298" authorId="0">
      <text>
        <r>
          <rPr>
            <sz val="8"/>
            <color indexed="81"/>
            <rFont val="Tahoma"/>
            <charset val="1"/>
          </rPr>
          <t xml:space="preserve">03/26/2008
729950 --&gt; 709950
</t>
        </r>
      </text>
    </comment>
    <comment ref="F303" authorId="0">
      <text>
        <r>
          <rPr>
            <sz val="8"/>
            <color indexed="81"/>
            <rFont val="Tahoma"/>
            <charset val="1"/>
          </rPr>
          <t xml:space="preserve">04/02/2008
679500 --&gt; 669500
</t>
        </r>
      </text>
    </comment>
    <comment ref="F304" authorId="0">
      <text>
        <r>
          <rPr>
            <sz val="8"/>
            <color indexed="81"/>
            <rFont val="Tahoma"/>
            <charset val="1"/>
          </rPr>
          <t xml:space="preserve">04/09/2008
724500 --&gt; 699500
</t>
        </r>
      </text>
    </comment>
    <comment ref="F305" authorId="0">
      <text>
        <r>
          <rPr>
            <sz val="8"/>
            <color indexed="81"/>
            <rFont val="Tahoma"/>
            <charset val="1"/>
          </rPr>
          <t xml:space="preserve">04/03/2008
709500 --&gt; 689500
</t>
        </r>
      </text>
    </comment>
    <comment ref="F306" authorId="0">
      <text>
        <r>
          <rPr>
            <sz val="8"/>
            <color indexed="81"/>
            <rFont val="Tahoma"/>
            <charset val="1"/>
          </rPr>
          <t xml:space="preserve">04/09/2008
729500 --&gt; 709500
</t>
        </r>
      </text>
    </comment>
    <comment ref="F308" authorId="0">
      <text>
        <r>
          <rPr>
            <sz val="8"/>
            <color indexed="81"/>
            <rFont val="Tahoma"/>
            <charset val="1"/>
          </rPr>
          <t xml:space="preserve">04/07/2008
895000 --&gt; 799000
</t>
        </r>
      </text>
    </comment>
    <comment ref="F316" authorId="0">
      <text>
        <r>
          <rPr>
            <sz val="8"/>
            <color indexed="81"/>
            <rFont val="Tahoma"/>
            <charset val="1"/>
          </rPr>
          <t xml:space="preserve">03/25/2008
499950 --&gt; 479000
</t>
        </r>
      </text>
    </comment>
    <comment ref="F321" authorId="0">
      <text>
        <r>
          <rPr>
            <sz val="8"/>
            <color indexed="81"/>
            <rFont val="Tahoma"/>
            <charset val="1"/>
          </rPr>
          <t xml:space="preserve">04/02/2008
549950 --&gt; 539950
</t>
        </r>
      </text>
    </comment>
    <comment ref="F322" authorId="0">
      <text>
        <r>
          <rPr>
            <sz val="8"/>
            <color indexed="81"/>
            <rFont val="Tahoma"/>
            <charset val="1"/>
          </rPr>
          <t xml:space="preserve">03/27/2008
3895000 --&gt; 3649000
</t>
        </r>
      </text>
    </comment>
    <comment ref="F327" authorId="0">
      <text>
        <r>
          <rPr>
            <sz val="8"/>
            <color indexed="81"/>
            <rFont val="Tahoma"/>
            <charset val="1"/>
          </rPr>
          <t xml:space="preserve">03/26/2008
1222888 --&gt; 1199888
</t>
        </r>
      </text>
    </comment>
    <comment ref="CL327" authorId="0">
      <text>
        <r>
          <rPr>
            <sz val="8"/>
            <color indexed="81"/>
            <rFont val="Tahoma"/>
            <charset val="1"/>
          </rPr>
          <t xml:space="preserve">03/30/2008
Sat, Mar 29 11 AM - 3 PM --&gt; Sun, Mar 30 11 AM - 3 PM
</t>
        </r>
      </text>
    </comment>
    <comment ref="F337" authorId="0">
      <text>
        <r>
          <rPr>
            <sz val="8"/>
            <color indexed="81"/>
            <rFont val="Tahoma"/>
            <charset val="1"/>
          </rPr>
          <t xml:space="preserve">04/08/2008
549950 --&gt; 550950
</t>
        </r>
      </text>
    </comment>
    <comment ref="F341" authorId="0">
      <text>
        <r>
          <rPr>
            <sz val="8"/>
            <color indexed="81"/>
            <rFont val="Tahoma"/>
            <charset val="1"/>
          </rPr>
          <t xml:space="preserve">03/26/2008
219950 --&gt; 215950
</t>
        </r>
      </text>
    </comment>
    <comment ref="F343" authorId="0">
      <text>
        <r>
          <rPr>
            <sz val="8"/>
            <color indexed="81"/>
            <rFont val="Tahoma"/>
            <charset val="1"/>
          </rPr>
          <t xml:space="preserve">04/07/2008
649950 --&gt; 624950
</t>
        </r>
      </text>
    </comment>
    <comment ref="F345" authorId="0">
      <text>
        <r>
          <rPr>
            <sz val="8"/>
            <color indexed="81"/>
            <rFont val="Tahoma"/>
            <charset val="1"/>
          </rPr>
          <t xml:space="preserve">03/30/2008
534975 --&gt; 519500
</t>
        </r>
      </text>
    </comment>
    <comment ref="B359" authorId="0">
      <text>
        <r>
          <rPr>
            <sz val="8"/>
            <color indexed="81"/>
            <rFont val="Tahoma"/>
            <charset val="1"/>
          </rPr>
          <t xml:space="preserve">03/30/2008
Active --&gt; Subject To Inspection
</t>
        </r>
      </text>
    </comment>
    <comment ref="CL364" authorId="0">
      <text>
        <r>
          <rPr>
            <sz val="8"/>
            <color indexed="81"/>
            <rFont val="Tahoma"/>
            <charset val="1"/>
          </rPr>
          <t xml:space="preserve">04/05/2008
Sat, Apr 5 1 - 4 PM --&gt; Sun, Apr 6 1 - 4 PM
</t>
        </r>
      </text>
    </comment>
    <comment ref="B370" authorId="0">
      <text>
        <r>
          <rPr>
            <sz val="8"/>
            <color indexed="81"/>
            <rFont val="Tahoma"/>
            <charset val="1"/>
          </rPr>
          <t xml:space="preserve">04/04/2008
Active --&gt; Subject To Inspection
</t>
        </r>
      </text>
    </comment>
    <comment ref="F371" authorId="0">
      <text>
        <r>
          <rPr>
            <sz val="8"/>
            <color indexed="81"/>
            <rFont val="Tahoma"/>
            <charset val="1"/>
          </rPr>
          <t xml:space="preserve">03/25/2008
339000 --&gt; 329000
</t>
        </r>
      </text>
    </comment>
    <comment ref="F376" authorId="0">
      <text>
        <r>
          <rPr>
            <sz val="8"/>
            <color indexed="81"/>
            <rFont val="Tahoma"/>
            <charset val="1"/>
          </rPr>
          <t xml:space="preserve">03/19/2008
500000 --&gt; 480000
</t>
        </r>
      </text>
    </comment>
    <comment ref="B377" authorId="0">
      <text>
        <r>
          <rPr>
            <sz val="8"/>
            <color indexed="81"/>
            <rFont val="Tahoma"/>
            <charset val="1"/>
          </rPr>
          <t xml:space="preserve">04/03/2008
Active --&gt; Subject To Inspection
</t>
        </r>
      </text>
    </comment>
    <comment ref="F377" authorId="0">
      <text>
        <r>
          <rPr>
            <sz val="8"/>
            <color indexed="81"/>
            <rFont val="Tahoma"/>
            <charset val="1"/>
          </rPr>
          <t xml:space="preserve">03/25/2008
629950 --&gt; 624950
</t>
        </r>
      </text>
    </comment>
    <comment ref="B382" authorId="0">
      <text>
        <r>
          <rPr>
            <sz val="8"/>
            <color indexed="81"/>
            <rFont val="Tahoma"/>
            <charset val="1"/>
          </rPr>
          <t xml:space="preserve">04/01/2008
Active --&gt; Subject To Inspection
</t>
        </r>
      </text>
    </comment>
    <comment ref="F391" authorId="0">
      <text>
        <r>
          <rPr>
            <sz val="8"/>
            <color indexed="81"/>
            <rFont val="Tahoma"/>
            <charset val="1"/>
          </rPr>
          <t xml:space="preserve">03/26/2008
834000 --&gt; 829000
</t>
        </r>
      </text>
    </comment>
    <comment ref="F393" authorId="0">
      <text>
        <r>
          <rPr>
            <sz val="8"/>
            <color indexed="81"/>
            <rFont val="Tahoma"/>
            <charset val="1"/>
          </rPr>
          <t xml:space="preserve">04/03/2008
769000 --&gt; 749950
</t>
        </r>
      </text>
    </comment>
    <comment ref="B395" authorId="0">
      <text>
        <r>
          <rPr>
            <sz val="8"/>
            <color indexed="81"/>
            <rFont val="Tahoma"/>
            <charset val="1"/>
          </rPr>
          <t xml:space="preserve">03/30/2008
Active --&gt; Subject To Inspection
</t>
        </r>
      </text>
    </comment>
    <comment ref="F398" authorId="0">
      <text>
        <r>
          <rPr>
            <sz val="8"/>
            <color indexed="81"/>
            <rFont val="Tahoma"/>
            <charset val="1"/>
          </rPr>
          <t xml:space="preserve">03/10/2008
675000 --&gt; 644950
</t>
        </r>
      </text>
    </comment>
    <comment ref="B407" authorId="0">
      <text>
        <r>
          <rPr>
            <sz val="8"/>
            <color indexed="81"/>
            <rFont val="Tahoma"/>
            <charset val="1"/>
          </rPr>
          <t xml:space="preserve">03/31/2008
Active --&gt; Subject To Inspection
</t>
        </r>
      </text>
    </comment>
    <comment ref="F407" authorId="0">
      <text>
        <r>
          <rPr>
            <sz val="8"/>
            <color indexed="81"/>
            <rFont val="Tahoma"/>
            <charset val="1"/>
          </rPr>
          <t xml:space="preserve">03/27/2008
419000 --&gt; 399950
</t>
        </r>
      </text>
    </comment>
    <comment ref="B412" authorId="0">
      <text>
        <r>
          <rPr>
            <sz val="8"/>
            <color indexed="81"/>
            <rFont val="Tahoma"/>
            <charset val="1"/>
          </rPr>
          <t xml:space="preserve">04/09/2008
Active --&gt; Subject To Inspection
</t>
        </r>
      </text>
    </comment>
    <comment ref="B426" authorId="0">
      <text>
        <r>
          <rPr>
            <sz val="8"/>
            <color indexed="81"/>
            <rFont val="Tahoma"/>
            <charset val="1"/>
          </rPr>
          <t xml:space="preserve">03/30/2008
Subject To Inspection --&gt; Active
</t>
        </r>
      </text>
    </comment>
    <comment ref="F426" authorId="0">
      <text>
        <r>
          <rPr>
            <sz val="8"/>
            <color indexed="81"/>
            <rFont val="Tahoma"/>
            <charset val="1"/>
          </rPr>
          <t xml:space="preserve">03/30/2008
398000 --&gt; 385000
</t>
        </r>
      </text>
    </comment>
    <comment ref="F436" authorId="0">
      <text>
        <r>
          <rPr>
            <sz val="8"/>
            <color indexed="81"/>
            <rFont val="Tahoma"/>
            <charset val="1"/>
          </rPr>
          <t xml:space="preserve">03/28/2008
329000 --&gt; 319998
</t>
        </r>
      </text>
    </comment>
    <comment ref="F443" authorId="0">
      <text>
        <r>
          <rPr>
            <sz val="8"/>
            <color indexed="81"/>
            <rFont val="Tahoma"/>
            <charset val="1"/>
          </rPr>
          <t xml:space="preserve">03/26/2008
575000 --&gt; 550000
</t>
        </r>
      </text>
    </comment>
    <comment ref="B444" authorId="0">
      <text>
        <r>
          <rPr>
            <sz val="8"/>
            <color indexed="81"/>
            <rFont val="Tahoma"/>
            <charset val="1"/>
          </rPr>
          <t xml:space="preserve">03/28/2008
Active --&gt; Subject To Inspection
</t>
        </r>
      </text>
    </comment>
    <comment ref="B445" authorId="0">
      <text>
        <r>
          <rPr>
            <sz val="8"/>
            <color indexed="81"/>
            <rFont val="Tahoma"/>
            <charset val="1"/>
          </rPr>
          <t xml:space="preserve">03/20/2008
Active --&gt; Subject To Inspection
</t>
        </r>
      </text>
    </comment>
    <comment ref="B447" authorId="0">
      <text>
        <r>
          <rPr>
            <sz val="8"/>
            <color indexed="81"/>
            <rFont val="Tahoma"/>
            <charset val="1"/>
          </rPr>
          <t xml:space="preserve">03/20/2008
Active --&gt; Subject To Inspection
</t>
        </r>
      </text>
    </comment>
    <comment ref="F449" authorId="0">
      <text>
        <r>
          <rPr>
            <sz val="8"/>
            <color indexed="81"/>
            <rFont val="Tahoma"/>
            <charset val="1"/>
          </rPr>
          <t xml:space="preserve">03/26/2008
434900 --&gt; 424900
</t>
        </r>
      </text>
    </comment>
    <comment ref="CL449" authorId="0">
      <text>
        <r>
          <rPr>
            <sz val="8"/>
            <color indexed="81"/>
            <rFont val="Tahoma"/>
            <charset val="1"/>
          </rPr>
          <t xml:space="preserve">03/22/2008
Sat, Mar 22 1 - 4 PM --&gt; Sun, Mar 23 1 - 4 PM
</t>
        </r>
      </text>
    </comment>
    <comment ref="B461" authorId="0">
      <text>
        <r>
          <rPr>
            <sz val="8"/>
            <color indexed="81"/>
            <rFont val="Tahoma"/>
            <charset val="1"/>
          </rPr>
          <t xml:space="preserve">04/06/2008
Active --&gt; Subject To Inspection
</t>
        </r>
      </text>
    </comment>
    <comment ref="F464" authorId="0">
      <text>
        <r>
          <rPr>
            <sz val="8"/>
            <color indexed="81"/>
            <rFont val="Tahoma"/>
            <charset val="1"/>
          </rPr>
          <t xml:space="preserve">03/31/2008
1495000 --&gt; 1450000
</t>
        </r>
      </text>
    </comment>
    <comment ref="F468" authorId="0">
      <text>
        <r>
          <rPr>
            <sz val="8"/>
            <color indexed="81"/>
            <rFont val="Tahoma"/>
            <charset val="1"/>
          </rPr>
          <t xml:space="preserve">04/06/2008
424950 --&gt; 399999
</t>
        </r>
      </text>
    </comment>
    <comment ref="F470" authorId="0">
      <text>
        <r>
          <rPr>
            <sz val="8"/>
            <color indexed="81"/>
            <rFont val="Tahoma"/>
            <charset val="1"/>
          </rPr>
          <t xml:space="preserve">04/08/2008
344888 --&gt; 339888
</t>
        </r>
      </text>
    </comment>
    <comment ref="F475" authorId="0">
      <text>
        <r>
          <rPr>
            <sz val="8"/>
            <color indexed="81"/>
            <rFont val="Tahoma"/>
            <charset val="1"/>
          </rPr>
          <t xml:space="preserve">04/03/2008
1500000 --&gt; 1388000
</t>
        </r>
      </text>
    </comment>
    <comment ref="F476" authorId="0">
      <text>
        <r>
          <rPr>
            <sz val="8"/>
            <color indexed="81"/>
            <rFont val="Tahoma"/>
            <charset val="1"/>
          </rPr>
          <t xml:space="preserve">03/26/2008
505000 --&gt; 490000
</t>
        </r>
      </text>
    </comment>
    <comment ref="F479" authorId="0">
      <text>
        <r>
          <rPr>
            <sz val="8"/>
            <color indexed="81"/>
            <rFont val="Tahoma"/>
            <charset val="1"/>
          </rPr>
          <t xml:space="preserve">03/27/2008
385000 --&gt; 379000
</t>
        </r>
      </text>
    </comment>
    <comment ref="B480" authorId="0">
      <text>
        <r>
          <rPr>
            <sz val="8"/>
            <color indexed="81"/>
            <rFont val="Tahoma"/>
            <charset val="1"/>
          </rPr>
          <t xml:space="preserve">03/26/2008
Active --&gt; Subject To Inspection
</t>
        </r>
      </text>
    </comment>
    <comment ref="B482" authorId="0">
      <text>
        <r>
          <rPr>
            <sz val="8"/>
            <color indexed="81"/>
            <rFont val="Tahoma"/>
            <charset val="1"/>
          </rPr>
          <t xml:space="preserve">04/05/2008
Active --&gt; Contingent
04/02/2008
Subject To Inspection --&gt; Active
</t>
        </r>
      </text>
    </comment>
    <comment ref="BC488" authorId="0">
      <text>
        <r>
          <rPr>
            <sz val="8"/>
            <color indexed="81"/>
            <rFont val="Tahoma"/>
            <charset val="1"/>
          </rPr>
          <t xml:space="preserve">03/07/2008
10/31/2007 5:32:30 PM --&gt; 10/31/2007 4:32:30 PM
</t>
        </r>
      </text>
    </comment>
    <comment ref="F495" authorId="0">
      <text>
        <r>
          <rPr>
            <sz val="8"/>
            <color indexed="81"/>
            <rFont val="Tahoma"/>
            <charset val="1"/>
          </rPr>
          <t xml:space="preserve">03/25/2008
354950 --&gt; 359950
</t>
        </r>
      </text>
    </comment>
    <comment ref="F496" authorId="0">
      <text>
        <r>
          <rPr>
            <sz val="8"/>
            <color indexed="81"/>
            <rFont val="Tahoma"/>
            <charset val="1"/>
          </rPr>
          <t xml:space="preserve">03/25/2008
354950 --&gt; 359950
</t>
        </r>
      </text>
    </comment>
    <comment ref="F498" authorId="0">
      <text>
        <r>
          <rPr>
            <sz val="8"/>
            <color indexed="81"/>
            <rFont val="Tahoma"/>
            <charset val="1"/>
          </rPr>
          <t xml:space="preserve">03/25/2008
354950 --&gt; 359950
</t>
        </r>
      </text>
    </comment>
    <comment ref="F499" authorId="0">
      <text>
        <r>
          <rPr>
            <sz val="8"/>
            <color indexed="81"/>
            <rFont val="Tahoma"/>
            <charset val="1"/>
          </rPr>
          <t xml:space="preserve">03/25/2008
354950 --&gt; 359950
</t>
        </r>
      </text>
    </comment>
    <comment ref="F500" authorId="0">
      <text>
        <r>
          <rPr>
            <sz val="8"/>
            <color indexed="81"/>
            <rFont val="Tahoma"/>
            <charset val="1"/>
          </rPr>
          <t xml:space="preserve">03/25/2008
354950 --&gt; 359950
</t>
        </r>
      </text>
    </comment>
    <comment ref="F502" authorId="0">
      <text>
        <r>
          <rPr>
            <sz val="8"/>
            <color indexed="81"/>
            <rFont val="Tahoma"/>
            <charset val="1"/>
          </rPr>
          <t xml:space="preserve">04/01/2008
750000 --&gt; 699000
</t>
        </r>
      </text>
    </comment>
    <comment ref="F503" authorId="0">
      <text>
        <r>
          <rPr>
            <sz val="8"/>
            <color indexed="81"/>
            <rFont val="Tahoma"/>
            <charset val="1"/>
          </rPr>
          <t xml:space="preserve">03/25/2008
749950 --&gt; 719000
</t>
        </r>
      </text>
    </comment>
    <comment ref="F505" authorId="0">
      <text>
        <r>
          <rPr>
            <sz val="8"/>
            <color indexed="81"/>
            <rFont val="Tahoma"/>
            <charset val="1"/>
          </rPr>
          <t xml:space="preserve">03/27/2008
779000 --&gt; 775000
</t>
        </r>
      </text>
    </comment>
    <comment ref="B507" authorId="0">
      <text>
        <r>
          <rPr>
            <sz val="8"/>
            <color indexed="81"/>
            <rFont val="Tahoma"/>
            <charset val="1"/>
          </rPr>
          <t xml:space="preserve">04/04/2008
Active --&gt; Subject To Inspection
</t>
        </r>
      </text>
    </comment>
    <comment ref="F524" authorId="0">
      <text>
        <r>
          <rPr>
            <sz val="8"/>
            <color indexed="81"/>
            <rFont val="Tahoma"/>
            <charset val="1"/>
          </rPr>
          <t xml:space="preserve">04/08/2008
2195000 --&gt; 1995000
</t>
        </r>
      </text>
    </comment>
    <comment ref="CL525" authorId="0">
      <text>
        <r>
          <rPr>
            <sz val="8"/>
            <color indexed="81"/>
            <rFont val="Tahoma"/>
            <charset val="1"/>
          </rPr>
          <t xml:space="preserve">03/30/2008
Sat, Mar 29 12 - 3 PM --&gt; Sun, Mar 30 12 - 3 PM
</t>
        </r>
      </text>
    </comment>
    <comment ref="F526" authorId="0">
      <text>
        <r>
          <rPr>
            <sz val="8"/>
            <color indexed="81"/>
            <rFont val="Tahoma"/>
            <charset val="1"/>
          </rPr>
          <t xml:space="preserve">03/28/2008
465000 --&gt; 445000
</t>
        </r>
      </text>
    </comment>
    <comment ref="F531" authorId="0">
      <text>
        <r>
          <rPr>
            <sz val="8"/>
            <color indexed="81"/>
            <rFont val="Tahoma"/>
            <charset val="1"/>
          </rPr>
          <t xml:space="preserve">04/01/2008
649000 --&gt; 624900
</t>
        </r>
      </text>
    </comment>
    <comment ref="D532" authorId="0">
      <text>
        <r>
          <rPr>
            <sz val="8"/>
            <color indexed="81"/>
            <rFont val="Tahoma"/>
            <charset val="1"/>
          </rPr>
          <t xml:space="preserve">04/01/2008
Seattle --&gt; Hawthorne Hills
</t>
        </r>
      </text>
    </comment>
    <comment ref="F532" authorId="0">
      <text>
        <r>
          <rPr>
            <sz val="8"/>
            <color indexed="81"/>
            <rFont val="Tahoma"/>
            <charset val="1"/>
          </rPr>
          <t xml:space="preserve">03/28/2008
499000 --&gt; 485000
</t>
        </r>
      </text>
    </comment>
    <comment ref="F534" authorId="0">
      <text>
        <r>
          <rPr>
            <sz val="8"/>
            <color indexed="81"/>
            <rFont val="Tahoma"/>
            <charset val="1"/>
          </rPr>
          <t xml:space="preserve">03/31/2008
790000 --&gt; 769950
</t>
        </r>
      </text>
    </comment>
    <comment ref="B537" authorId="0">
      <text>
        <r>
          <rPr>
            <sz val="8"/>
            <color indexed="81"/>
            <rFont val="Tahoma"/>
            <charset val="1"/>
          </rPr>
          <t xml:space="preserve">03/20/2008
Active --&gt; Subject To Inspection
</t>
        </r>
      </text>
    </comment>
    <comment ref="B541" authorId="0">
      <text>
        <r>
          <rPr>
            <sz val="8"/>
            <color indexed="81"/>
            <rFont val="Tahoma"/>
            <charset val="1"/>
          </rPr>
          <t xml:space="preserve">04/01/2008
Active --&gt; Subject To Inspection
</t>
        </r>
      </text>
    </comment>
    <comment ref="F542" authorId="0">
      <text>
        <r>
          <rPr>
            <sz val="8"/>
            <color indexed="81"/>
            <rFont val="Tahoma"/>
            <charset val="1"/>
          </rPr>
          <t xml:space="preserve">03/25/2008
989950 --&gt; 999950
</t>
        </r>
      </text>
    </comment>
    <comment ref="B546" authorId="0">
      <text>
        <r>
          <rPr>
            <sz val="8"/>
            <color indexed="81"/>
            <rFont val="Tahoma"/>
            <charset val="1"/>
          </rPr>
          <t xml:space="preserve">04/07/2008
Contingent --&gt; Active
</t>
        </r>
      </text>
    </comment>
    <comment ref="F553" authorId="0">
      <text>
        <r>
          <rPr>
            <sz val="8"/>
            <color indexed="81"/>
            <rFont val="Tahoma"/>
            <charset val="1"/>
          </rPr>
          <t xml:space="preserve">04/04/2008
765000 --&gt; 749950
</t>
        </r>
      </text>
    </comment>
    <comment ref="F556" authorId="0">
      <text>
        <r>
          <rPr>
            <sz val="8"/>
            <color indexed="81"/>
            <rFont val="Tahoma"/>
            <charset val="1"/>
          </rPr>
          <t xml:space="preserve">03/27/2008
645000 --&gt; 625000
</t>
        </r>
      </text>
    </comment>
    <comment ref="D562" authorId="0">
      <text>
        <r>
          <rPr>
            <sz val="8"/>
            <color indexed="81"/>
            <rFont val="Tahoma"/>
            <charset val="1"/>
          </rPr>
          <t xml:space="preserve">03/28/2008
Everest Park --&gt; Kirkland
</t>
        </r>
      </text>
    </comment>
    <comment ref="B568" authorId="0">
      <text>
        <r>
          <rPr>
            <sz val="8"/>
            <color indexed="81"/>
            <rFont val="Tahoma"/>
            <charset val="1"/>
          </rPr>
          <t xml:space="preserve">04/07/2008
Active --&gt; Subject To Inspection
</t>
        </r>
      </text>
    </comment>
    <comment ref="F569" authorId="0">
      <text>
        <r>
          <rPr>
            <sz val="8"/>
            <color indexed="81"/>
            <rFont val="Tahoma"/>
            <charset val="1"/>
          </rPr>
          <t xml:space="preserve">03/30/2008
498000 --&gt; 474950
</t>
        </r>
      </text>
    </comment>
    <comment ref="B578" authorId="0">
      <text>
        <r>
          <rPr>
            <sz val="8"/>
            <color indexed="81"/>
            <rFont val="Tahoma"/>
            <charset val="1"/>
          </rPr>
          <t xml:space="preserve">03/31/2008
Active --&gt; Subject To Inspection
</t>
        </r>
      </text>
    </comment>
    <comment ref="F581" authorId="0">
      <text>
        <r>
          <rPr>
            <sz val="8"/>
            <color indexed="81"/>
            <rFont val="Tahoma"/>
            <charset val="1"/>
          </rPr>
          <t xml:space="preserve">03/25/2008
499000 --&gt; 485000
</t>
        </r>
      </text>
    </comment>
    <comment ref="B597" authorId="0">
      <text>
        <r>
          <rPr>
            <sz val="8"/>
            <color indexed="81"/>
            <rFont val="Tahoma"/>
            <charset val="1"/>
          </rPr>
          <t xml:space="preserve">03/27/2008
Active --&gt; Subject To Inspection
</t>
        </r>
      </text>
    </comment>
    <comment ref="F602" authorId="0">
      <text>
        <r>
          <rPr>
            <sz val="8"/>
            <color indexed="81"/>
            <rFont val="Tahoma"/>
            <charset val="1"/>
          </rPr>
          <t xml:space="preserve">03/31/2008
479950 --&gt; 459950
</t>
        </r>
      </text>
    </comment>
    <comment ref="F604" authorId="0">
      <text>
        <r>
          <rPr>
            <sz val="8"/>
            <color indexed="81"/>
            <rFont val="Tahoma"/>
            <charset val="1"/>
          </rPr>
          <t xml:space="preserve">04/07/2008
459900 --&gt; 439000
</t>
        </r>
      </text>
    </comment>
    <comment ref="B609" authorId="0">
      <text>
        <r>
          <rPr>
            <sz val="8"/>
            <color indexed="81"/>
            <rFont val="Tahoma"/>
            <charset val="1"/>
          </rPr>
          <t xml:space="preserve">03/28/2008
Active --&gt; Subject To Inspection
</t>
        </r>
      </text>
    </comment>
    <comment ref="B610" authorId="0">
      <text>
        <r>
          <rPr>
            <sz val="8"/>
            <color indexed="81"/>
            <rFont val="Tahoma"/>
            <charset val="1"/>
          </rPr>
          <t xml:space="preserve">04/07/2008
Active --&gt; Subject To Inspection
</t>
        </r>
      </text>
    </comment>
    <comment ref="F615" authorId="0">
      <text>
        <r>
          <rPr>
            <sz val="8"/>
            <color indexed="81"/>
            <rFont val="Tahoma"/>
            <charset val="1"/>
          </rPr>
          <t xml:space="preserve">04/09/2008
849950 --&gt; 825000
</t>
        </r>
      </text>
    </comment>
    <comment ref="B617" authorId="0">
      <text>
        <r>
          <rPr>
            <sz val="8"/>
            <color indexed="81"/>
            <rFont val="Tahoma"/>
            <charset val="1"/>
          </rPr>
          <t xml:space="preserve">03/26/2008
Active --&gt; Subject To Inspection
</t>
        </r>
      </text>
    </comment>
    <comment ref="F618" authorId="0">
      <text>
        <r>
          <rPr>
            <sz val="8"/>
            <color indexed="81"/>
            <rFont val="Tahoma"/>
            <charset val="1"/>
          </rPr>
          <t xml:space="preserve">04/08/2008
539950 --&gt; 529950
03/26/2008
565000 --&gt; 539950
</t>
        </r>
      </text>
    </comment>
    <comment ref="B621" authorId="0">
      <text>
        <r>
          <rPr>
            <sz val="8"/>
            <color indexed="81"/>
            <rFont val="Tahoma"/>
            <charset val="1"/>
          </rPr>
          <t xml:space="preserve">03/26/2008
Active --&gt; Subject To Inspection
</t>
        </r>
      </text>
    </comment>
    <comment ref="B624" authorId="0">
      <text>
        <r>
          <rPr>
            <sz val="8"/>
            <color indexed="81"/>
            <rFont val="Tahoma"/>
            <charset val="1"/>
          </rPr>
          <t xml:space="preserve">03/27/2008
Active --&gt; Subject To Inspection
</t>
        </r>
      </text>
    </comment>
    <comment ref="F626" authorId="0">
      <text>
        <r>
          <rPr>
            <sz val="8"/>
            <color indexed="81"/>
            <rFont val="Tahoma"/>
            <charset val="1"/>
          </rPr>
          <t xml:space="preserve">04/07/2008
1450000 --&gt; 1350000
</t>
        </r>
      </text>
    </comment>
    <comment ref="B627" authorId="0">
      <text>
        <r>
          <rPr>
            <sz val="8"/>
            <color indexed="81"/>
            <rFont val="Tahoma"/>
            <charset val="1"/>
          </rPr>
          <t xml:space="preserve">03/27/2008
Active --&gt; Subject To Inspection
</t>
        </r>
      </text>
    </comment>
    <comment ref="F629" authorId="0">
      <text>
        <r>
          <rPr>
            <sz val="8"/>
            <color indexed="81"/>
            <rFont val="Tahoma"/>
            <charset val="1"/>
          </rPr>
          <t xml:space="preserve">03/27/2008
425950 --&gt; 416950
</t>
        </r>
      </text>
    </comment>
    <comment ref="F634" authorId="0">
      <text>
        <r>
          <rPr>
            <sz val="8"/>
            <color indexed="81"/>
            <rFont val="Tahoma"/>
            <charset val="1"/>
          </rPr>
          <t xml:space="preserve">04/03/2008
479000 --&gt; 459500
</t>
        </r>
      </text>
    </comment>
    <comment ref="F637" authorId="0">
      <text>
        <r>
          <rPr>
            <sz val="8"/>
            <color indexed="81"/>
            <rFont val="Tahoma"/>
            <charset val="1"/>
          </rPr>
          <t xml:space="preserve">03/26/2008
312000 --&gt; 289000
</t>
        </r>
      </text>
    </comment>
    <comment ref="B662" authorId="0">
      <text>
        <r>
          <rPr>
            <sz val="8"/>
            <color indexed="81"/>
            <rFont val="Tahoma"/>
            <charset val="1"/>
          </rPr>
          <t xml:space="preserve">03/27/2008
Active --&gt; Subject To Inspection
</t>
        </r>
      </text>
    </comment>
    <comment ref="F664" authorId="0">
      <text>
        <r>
          <rPr>
            <sz val="8"/>
            <color indexed="81"/>
            <rFont val="Tahoma"/>
            <charset val="1"/>
          </rPr>
          <t xml:space="preserve">04/09/2008
429000 --&gt; 415000
03/27/2008
449990 --&gt; 429000
</t>
        </r>
      </text>
    </comment>
    <comment ref="F668" authorId="0">
      <text>
        <r>
          <rPr>
            <sz val="8"/>
            <color indexed="81"/>
            <rFont val="Tahoma"/>
            <charset val="1"/>
          </rPr>
          <t xml:space="preserve">03/28/2008
355000 --&gt; 339950
</t>
        </r>
      </text>
    </comment>
    <comment ref="F670" authorId="0">
      <text>
        <r>
          <rPr>
            <sz val="8"/>
            <color indexed="81"/>
            <rFont val="Tahoma"/>
            <charset val="1"/>
          </rPr>
          <t xml:space="preserve">04/01/2008
549000 --&gt; 529000
</t>
        </r>
      </text>
    </comment>
    <comment ref="B678" authorId="0">
      <text>
        <r>
          <rPr>
            <sz val="8"/>
            <color indexed="81"/>
            <rFont val="Tahoma"/>
            <charset val="1"/>
          </rPr>
          <t xml:space="preserve">03/25/2008
Subject To Inspection --&gt; Active
</t>
        </r>
      </text>
    </comment>
    <comment ref="F679" authorId="0">
      <text>
        <r>
          <rPr>
            <sz val="8"/>
            <color indexed="81"/>
            <rFont val="Tahoma"/>
            <charset val="1"/>
          </rPr>
          <t xml:space="preserve">03/16/2008
1575000 --&gt; 1500000
</t>
        </r>
      </text>
    </comment>
    <comment ref="F681" authorId="0">
      <text>
        <r>
          <rPr>
            <sz val="8"/>
            <color indexed="81"/>
            <rFont val="Tahoma"/>
            <charset val="1"/>
          </rPr>
          <t xml:space="preserve">04/08/2008
455000 --&gt; 435000
</t>
        </r>
      </text>
    </comment>
    <comment ref="B695" authorId="0">
      <text>
        <r>
          <rPr>
            <sz val="8"/>
            <color indexed="81"/>
            <rFont val="Tahoma"/>
            <charset val="1"/>
          </rPr>
          <t xml:space="preserve">04/04/2008
Active --&gt; Subject To Inspection
</t>
        </r>
      </text>
    </comment>
    <comment ref="F701" authorId="0">
      <text>
        <r>
          <rPr>
            <sz val="8"/>
            <color indexed="81"/>
            <rFont val="Tahoma"/>
            <charset val="1"/>
          </rPr>
          <t xml:space="preserve">03/27/2008
675000 --&gt; 575000
</t>
        </r>
      </text>
    </comment>
    <comment ref="B702" authorId="0">
      <text>
        <r>
          <rPr>
            <sz val="8"/>
            <color indexed="81"/>
            <rFont val="Tahoma"/>
            <charset val="1"/>
          </rPr>
          <t xml:space="preserve">03/26/2008
Active --&gt; Subject To Inspection
</t>
        </r>
      </text>
    </comment>
    <comment ref="B710" authorId="0">
      <text>
        <r>
          <rPr>
            <sz val="8"/>
            <color indexed="81"/>
            <rFont val="Tahoma"/>
            <charset val="1"/>
          </rPr>
          <t xml:space="preserve">04/08/2008
Active --&gt; Subject To Inspection
</t>
        </r>
      </text>
    </comment>
    <comment ref="B712" authorId="0">
      <text>
        <r>
          <rPr>
            <sz val="8"/>
            <color indexed="81"/>
            <rFont val="Tahoma"/>
            <charset val="1"/>
          </rPr>
          <t xml:space="preserve">04/04/2008
Active --&gt; Subject To Inspection
</t>
        </r>
      </text>
    </comment>
    <comment ref="F712" authorId="0">
      <text>
        <r>
          <rPr>
            <sz val="8"/>
            <color indexed="81"/>
            <rFont val="Tahoma"/>
            <charset val="1"/>
          </rPr>
          <t xml:space="preserve">03/31/2008
399950 --&gt; 379950
</t>
        </r>
      </text>
    </comment>
    <comment ref="B717" authorId="0">
      <text>
        <r>
          <rPr>
            <sz val="8"/>
            <color indexed="81"/>
            <rFont val="Tahoma"/>
            <charset val="1"/>
          </rPr>
          <t xml:space="preserve">03/31/2008
Active --&gt; Subject To Inspection
</t>
        </r>
      </text>
    </comment>
    <comment ref="B718" authorId="0">
      <text>
        <r>
          <rPr>
            <sz val="8"/>
            <color indexed="81"/>
            <rFont val="Tahoma"/>
            <charset val="1"/>
          </rPr>
          <t xml:space="preserve">03/30/2008
Active --&gt; Subject To Inspection
</t>
        </r>
      </text>
    </comment>
    <comment ref="F720" authorId="0">
      <text>
        <r>
          <rPr>
            <sz val="8"/>
            <color indexed="81"/>
            <rFont val="Tahoma"/>
            <charset val="1"/>
          </rPr>
          <t xml:space="preserve">04/01/2008
669000 --&gt; 649000
</t>
        </r>
      </text>
    </comment>
    <comment ref="B725" authorId="0">
      <text>
        <r>
          <rPr>
            <sz val="8"/>
            <color indexed="81"/>
            <rFont val="Tahoma"/>
            <charset val="1"/>
          </rPr>
          <t xml:space="preserve">04/01/2008
Active --&gt; Contingent
</t>
        </r>
      </text>
    </comment>
    <comment ref="F727" authorId="0">
      <text>
        <r>
          <rPr>
            <sz val="8"/>
            <color indexed="81"/>
            <rFont val="Tahoma"/>
            <charset val="1"/>
          </rPr>
          <t xml:space="preserve">03/25/2008
757900 --&gt; 699950
</t>
        </r>
      </text>
    </comment>
    <comment ref="F730" authorId="0">
      <text>
        <r>
          <rPr>
            <sz val="8"/>
            <color indexed="81"/>
            <rFont val="Tahoma"/>
            <charset val="1"/>
          </rPr>
          <t xml:space="preserve">03/25/2008
899000 --&gt; 799000
</t>
        </r>
      </text>
    </comment>
    <comment ref="F732" authorId="0">
      <text>
        <r>
          <rPr>
            <sz val="8"/>
            <color indexed="81"/>
            <rFont val="Tahoma"/>
            <charset val="1"/>
          </rPr>
          <t xml:space="preserve">03/25/2008
930950 --&gt; 934950
</t>
        </r>
      </text>
    </comment>
    <comment ref="CL732" authorId="0">
      <text>
        <r>
          <rPr>
            <sz val="8"/>
            <color indexed="81"/>
            <rFont val="Tahoma"/>
            <charset val="1"/>
          </rPr>
          <t xml:space="preserve">04/09/2008
Wed, Apr 9 10 AM - 1 PM --&gt; Sat, Apr 12 12 - 5 PM
04/06/2008
Sun, Apr 6 12 - 5 PM --&gt; Wed, Apr 9 10 AM - 1 PM
04/05/2008
Sat, Apr 5 12 - 5 PM --&gt; Sun, Apr 6 12 - 5 PM
04/02/2008
Wed, Apr 2 10 AM - 1 PM --&gt; Sat, Apr 5 12 - 5 PM
03/31/2008
Sun, Mar 30 12 - 5 PM --&gt; Wed, Apr 2 10 AM - 1 PM
03/30/2008
Sat, Mar 29 12 - 5 PM --&gt; Sun, Mar 30 12 - 5 PM
03/26/2008
Wed, Mar 26 10 AM - 1 PM --&gt; Sat, Mar 29 12 - 5 PM
</t>
        </r>
      </text>
    </comment>
    <comment ref="B734" authorId="0">
      <text>
        <r>
          <rPr>
            <sz val="8"/>
            <color indexed="81"/>
            <rFont val="Tahoma"/>
            <charset val="1"/>
          </rPr>
          <t xml:space="preserve">03/26/2008
Active --&gt; Subject To Inspection
</t>
        </r>
      </text>
    </comment>
    <comment ref="B736" authorId="0">
      <text>
        <r>
          <rPr>
            <sz val="8"/>
            <color indexed="81"/>
            <rFont val="Tahoma"/>
            <charset val="1"/>
          </rPr>
          <t xml:space="preserve">04/07/2008
Active --&gt; Contingent
</t>
        </r>
      </text>
    </comment>
    <comment ref="B737" authorId="0">
      <text>
        <r>
          <rPr>
            <sz val="8"/>
            <color indexed="81"/>
            <rFont val="Tahoma"/>
            <charset val="1"/>
          </rPr>
          <t xml:space="preserve">03/31/2008
Active --&gt; Subject To Inspection
</t>
        </r>
      </text>
    </comment>
    <comment ref="B740" authorId="0">
      <text>
        <r>
          <rPr>
            <sz val="8"/>
            <color indexed="81"/>
            <rFont val="Tahoma"/>
            <charset val="1"/>
          </rPr>
          <t xml:space="preserve">03/30/2008
Subject To Inspection --&gt; Active
</t>
        </r>
      </text>
    </comment>
    <comment ref="B743" authorId="0">
      <text>
        <r>
          <rPr>
            <sz val="8"/>
            <color indexed="81"/>
            <rFont val="Tahoma"/>
            <charset val="1"/>
          </rPr>
          <t xml:space="preserve">03/31/2008
Active --&gt; Subject To Inspection
</t>
        </r>
      </text>
    </comment>
    <comment ref="F744" authorId="0">
      <text>
        <r>
          <rPr>
            <sz val="8"/>
            <color indexed="81"/>
            <rFont val="Tahoma"/>
            <charset val="1"/>
          </rPr>
          <t xml:space="preserve">03/27/2008
879000 --&gt; 839000
</t>
        </r>
      </text>
    </comment>
    <comment ref="F747" authorId="0">
      <text>
        <r>
          <rPr>
            <sz val="8"/>
            <color indexed="81"/>
            <rFont val="Tahoma"/>
            <charset val="1"/>
          </rPr>
          <t xml:space="preserve">04/07/2008
1195000 --&gt; 1174900
</t>
        </r>
      </text>
    </comment>
    <comment ref="F752" authorId="0">
      <text>
        <r>
          <rPr>
            <sz val="8"/>
            <color indexed="81"/>
            <rFont val="Tahoma"/>
            <charset val="1"/>
          </rPr>
          <t xml:space="preserve">04/02/2008
399950 --&gt; 394950
</t>
        </r>
      </text>
    </comment>
    <comment ref="B756" authorId="0">
      <text>
        <r>
          <rPr>
            <sz val="8"/>
            <color indexed="81"/>
            <rFont val="Tahoma"/>
            <charset val="1"/>
          </rPr>
          <t xml:space="preserve">04/01/2008
Active --&gt; Subject To Inspection
</t>
        </r>
      </text>
    </comment>
    <comment ref="B760" authorId="0">
      <text>
        <r>
          <rPr>
            <sz val="8"/>
            <color indexed="81"/>
            <rFont val="Tahoma"/>
            <charset val="1"/>
          </rPr>
          <t xml:space="preserve">03/31/2008
Active --&gt; Subject To Inspection
</t>
        </r>
      </text>
    </comment>
    <comment ref="F762" authorId="0">
      <text>
        <r>
          <rPr>
            <sz val="8"/>
            <color indexed="81"/>
            <rFont val="Tahoma"/>
            <charset val="1"/>
          </rPr>
          <t xml:space="preserve">03/25/2008
354950 --&gt; 359950
</t>
        </r>
      </text>
    </comment>
    <comment ref="F763" authorId="0">
      <text>
        <r>
          <rPr>
            <sz val="8"/>
            <color indexed="81"/>
            <rFont val="Tahoma"/>
            <charset val="1"/>
          </rPr>
          <t xml:space="preserve">03/24/2008
749950 --&gt; 719950
</t>
        </r>
      </text>
    </comment>
    <comment ref="F764" authorId="0">
      <text>
        <r>
          <rPr>
            <sz val="8"/>
            <color indexed="81"/>
            <rFont val="Tahoma"/>
            <charset val="1"/>
          </rPr>
          <t xml:space="preserve">03/26/2008
399000 --&gt; 396000
</t>
        </r>
      </text>
    </comment>
    <comment ref="F766" authorId="0">
      <text>
        <r>
          <rPr>
            <sz val="8"/>
            <color indexed="81"/>
            <rFont val="Tahoma"/>
            <charset val="1"/>
          </rPr>
          <t xml:space="preserve">04/03/2008
409500 --&gt; 399999
</t>
        </r>
      </text>
    </comment>
    <comment ref="B769" authorId="0">
      <text>
        <r>
          <rPr>
            <sz val="8"/>
            <color indexed="81"/>
            <rFont val="Tahoma"/>
            <charset val="1"/>
          </rPr>
          <t xml:space="preserve">04/07/2008
Active --&gt; Subject To Inspection
</t>
        </r>
      </text>
    </comment>
    <comment ref="B770" authorId="0">
      <text>
        <r>
          <rPr>
            <sz val="8"/>
            <color indexed="81"/>
            <rFont val="Tahoma"/>
            <charset val="1"/>
          </rPr>
          <t xml:space="preserve">03/31/2008
Active --&gt; Subject To Inspection
</t>
        </r>
      </text>
    </comment>
    <comment ref="F770" authorId="0">
      <text>
        <r>
          <rPr>
            <sz val="8"/>
            <color indexed="81"/>
            <rFont val="Tahoma"/>
            <charset val="1"/>
          </rPr>
          <t xml:space="preserve">03/28/2008
574950 --&gt; 549950
</t>
        </r>
      </text>
    </comment>
    <comment ref="F776" authorId="0">
      <text>
        <r>
          <rPr>
            <sz val="8"/>
            <color indexed="81"/>
            <rFont val="Tahoma"/>
            <charset val="1"/>
          </rPr>
          <t xml:space="preserve">04/04/2008
715000 --&gt; 695000
</t>
        </r>
      </text>
    </comment>
    <comment ref="F779" authorId="0">
      <text>
        <r>
          <rPr>
            <sz val="8"/>
            <color indexed="81"/>
            <rFont val="Tahoma"/>
            <charset val="1"/>
          </rPr>
          <t xml:space="preserve">03/30/2008
715000 --&gt; 699000
</t>
        </r>
      </text>
    </comment>
    <comment ref="F793" authorId="0">
      <text>
        <r>
          <rPr>
            <sz val="8"/>
            <color indexed="81"/>
            <rFont val="Tahoma"/>
            <charset val="1"/>
          </rPr>
          <t xml:space="preserve">03/27/2008
549950 --&gt; 535000
</t>
        </r>
      </text>
    </comment>
    <comment ref="B799" authorId="0">
      <text>
        <r>
          <rPr>
            <sz val="8"/>
            <color indexed="81"/>
            <rFont val="Tahoma"/>
            <charset val="1"/>
          </rPr>
          <t xml:space="preserve">03/20/2008
Active --&gt; Subject To Inspection
</t>
        </r>
      </text>
    </comment>
    <comment ref="B800" authorId="0">
      <text>
        <r>
          <rPr>
            <sz val="8"/>
            <color indexed="81"/>
            <rFont val="Tahoma"/>
            <charset val="1"/>
          </rPr>
          <t xml:space="preserve">04/09/2008
Active --&gt; Subject To Inspection
</t>
        </r>
      </text>
    </comment>
    <comment ref="F801" authorId="0">
      <text>
        <r>
          <rPr>
            <sz val="8"/>
            <color indexed="81"/>
            <rFont val="Tahoma"/>
            <charset val="1"/>
          </rPr>
          <t xml:space="preserve">04/04/2008
829950 --&gt; 799950
</t>
        </r>
      </text>
    </comment>
    <comment ref="F804" authorId="0">
      <text>
        <r>
          <rPr>
            <sz val="8"/>
            <color indexed="81"/>
            <rFont val="Tahoma"/>
            <charset val="1"/>
          </rPr>
          <t xml:space="preserve">03/27/2008
549888 --&gt; 545888
</t>
        </r>
      </text>
    </comment>
    <comment ref="CL804" authorId="0">
      <text>
        <r>
          <rPr>
            <sz val="8"/>
            <color indexed="81"/>
            <rFont val="Tahoma"/>
            <charset val="1"/>
          </rPr>
          <t xml:space="preserve">03/30/2008
Sat, Mar 29 12 - 3 PM --&gt; Sun, Mar 30 12 - 3 PM
</t>
        </r>
      </text>
    </comment>
    <comment ref="F805" authorId="0">
      <text>
        <r>
          <rPr>
            <sz val="8"/>
            <color indexed="81"/>
            <rFont val="Tahoma"/>
            <charset val="1"/>
          </rPr>
          <t xml:space="preserve">03/19/2008
575000 --&gt; 550000
</t>
        </r>
      </text>
    </comment>
    <comment ref="F809" authorId="0">
      <text>
        <r>
          <rPr>
            <sz val="8"/>
            <color indexed="81"/>
            <rFont val="Tahoma"/>
            <charset val="1"/>
          </rPr>
          <t xml:space="preserve">04/08/2008
1250000 --&gt; 1150000
</t>
        </r>
      </text>
    </comment>
    <comment ref="B810" authorId="0">
      <text>
        <r>
          <rPr>
            <sz val="8"/>
            <color indexed="81"/>
            <rFont val="Tahoma"/>
            <charset val="1"/>
          </rPr>
          <t xml:space="preserve">03/31/2008
Active --&gt; Subject To Inspection
</t>
        </r>
      </text>
    </comment>
    <comment ref="F813" authorId="0">
      <text>
        <r>
          <rPr>
            <sz val="8"/>
            <color indexed="81"/>
            <rFont val="Tahoma"/>
            <charset val="1"/>
          </rPr>
          <t xml:space="preserve">03/27/2008
315888 --&gt; 305888
</t>
        </r>
      </text>
    </comment>
    <comment ref="F815" authorId="0">
      <text>
        <r>
          <rPr>
            <sz val="8"/>
            <color indexed="81"/>
            <rFont val="Tahoma"/>
            <charset val="1"/>
          </rPr>
          <t xml:space="preserve">03/26/2008
409950 --&gt; 399000
</t>
        </r>
      </text>
    </comment>
    <comment ref="F817" authorId="0">
      <text>
        <r>
          <rPr>
            <sz val="8"/>
            <color indexed="81"/>
            <rFont val="Tahoma"/>
            <charset val="1"/>
          </rPr>
          <t xml:space="preserve">04/01/2008
989950 --&gt; 999950
</t>
        </r>
      </text>
    </comment>
    <comment ref="F818" authorId="0">
      <text>
        <r>
          <rPr>
            <sz val="8"/>
            <color indexed="81"/>
            <rFont val="Tahoma"/>
            <charset val="1"/>
          </rPr>
          <t xml:space="preserve">03/25/2008
609990 --&gt; 599990
</t>
        </r>
      </text>
    </comment>
    <comment ref="F820" authorId="0">
      <text>
        <r>
          <rPr>
            <sz val="8"/>
            <color indexed="81"/>
            <rFont val="Tahoma"/>
            <charset val="1"/>
          </rPr>
          <t xml:space="preserve">03/26/2008
674500 --&gt; 649500
</t>
        </r>
      </text>
    </comment>
    <comment ref="B821" authorId="0">
      <text>
        <r>
          <rPr>
            <sz val="8"/>
            <color indexed="81"/>
            <rFont val="Tahoma"/>
            <charset val="1"/>
          </rPr>
          <t xml:space="preserve">03/26/2008
Active --&gt; Contingent
</t>
        </r>
      </text>
    </comment>
    <comment ref="B826" authorId="0">
      <text>
        <r>
          <rPr>
            <sz val="8"/>
            <color indexed="81"/>
            <rFont val="Tahoma"/>
            <charset val="1"/>
          </rPr>
          <t xml:space="preserve">04/02/2008
Subject To Inspection --&gt; Active
03/26/2008
Active --&gt; Subject To Inspection
</t>
        </r>
      </text>
    </comment>
    <comment ref="F829" authorId="0">
      <text>
        <r>
          <rPr>
            <sz val="8"/>
            <color indexed="81"/>
            <rFont val="Tahoma"/>
            <charset val="1"/>
          </rPr>
          <t xml:space="preserve">03/26/2008
670000 --&gt; 660000
</t>
        </r>
      </text>
    </comment>
    <comment ref="D830" authorId="0">
      <text>
        <r>
          <rPr>
            <sz val="8"/>
            <color indexed="81"/>
            <rFont val="Tahoma"/>
            <charset val="1"/>
          </rPr>
          <t xml:space="preserve">03/25/2008
Kirkland --&gt; Highlands
</t>
        </r>
      </text>
    </comment>
    <comment ref="B833" authorId="0">
      <text>
        <r>
          <rPr>
            <sz val="8"/>
            <color indexed="81"/>
            <rFont val="Tahoma"/>
            <charset val="1"/>
          </rPr>
          <t xml:space="preserve">04/07/2008
Active --&gt; Subject To Inspection
</t>
        </r>
      </text>
    </comment>
    <comment ref="B837" authorId="0">
      <text>
        <r>
          <rPr>
            <sz val="8"/>
            <color indexed="81"/>
            <rFont val="Tahoma"/>
            <charset val="1"/>
          </rPr>
          <t xml:space="preserve">03/30/2008
Active --&gt; Subject To Inspection
</t>
        </r>
      </text>
    </comment>
    <comment ref="B841" authorId="0">
      <text>
        <r>
          <rPr>
            <sz val="8"/>
            <color indexed="81"/>
            <rFont val="Tahoma"/>
            <charset val="1"/>
          </rPr>
          <t xml:space="preserve">04/03/2008
Active --&gt; Contingent
</t>
        </r>
      </text>
    </comment>
    <comment ref="F843" authorId="0">
      <text>
        <r>
          <rPr>
            <sz val="8"/>
            <color indexed="81"/>
            <rFont val="Tahoma"/>
            <charset val="1"/>
          </rPr>
          <t xml:space="preserve">03/21/2008
488888 --&gt; 478900
</t>
        </r>
      </text>
    </comment>
    <comment ref="B845" authorId="0">
      <text>
        <r>
          <rPr>
            <sz val="8"/>
            <color indexed="81"/>
            <rFont val="Tahoma"/>
            <charset val="1"/>
          </rPr>
          <t xml:space="preserve">03/31/2008
Active --&gt; Subject To Inspection
</t>
        </r>
      </text>
    </comment>
    <comment ref="B847" authorId="0">
      <text>
        <r>
          <rPr>
            <sz val="8"/>
            <color indexed="81"/>
            <rFont val="Tahoma"/>
            <charset val="1"/>
          </rPr>
          <t xml:space="preserve">04/04/2008
Active --&gt; Subject To Inspection
</t>
        </r>
      </text>
    </comment>
    <comment ref="F854" authorId="0">
      <text>
        <r>
          <rPr>
            <sz val="8"/>
            <color indexed="81"/>
            <rFont val="Tahoma"/>
            <charset val="1"/>
          </rPr>
          <t xml:space="preserve">03/31/2008
949000 --&gt; 949900
</t>
        </r>
      </text>
    </comment>
    <comment ref="AG854" authorId="0">
      <text>
        <r>
          <rPr>
            <sz val="8"/>
            <color indexed="81"/>
            <rFont val="Tahoma"/>
            <charset val="1"/>
          </rPr>
          <t xml:space="preserve">03/31/2008
47.593943 --&gt; 47.594103
</t>
        </r>
      </text>
    </comment>
    <comment ref="AH854" authorId="0">
      <text>
        <r>
          <rPr>
            <sz val="8"/>
            <color indexed="81"/>
            <rFont val="Tahoma"/>
            <charset val="1"/>
          </rPr>
          <t xml:space="preserve">03/31/2008
-122.147579 --&gt; -122.148419
</t>
        </r>
      </text>
    </comment>
    <comment ref="B860" authorId="0">
      <text>
        <r>
          <rPr>
            <sz val="8"/>
            <color indexed="81"/>
            <rFont val="Tahoma"/>
            <charset val="1"/>
          </rPr>
          <t xml:space="preserve">04/04/2008
Active --&gt; Subject To Inspection
</t>
        </r>
      </text>
    </comment>
    <comment ref="F866" authorId="0">
      <text>
        <r>
          <rPr>
            <sz val="8"/>
            <color indexed="81"/>
            <rFont val="Tahoma"/>
            <charset val="1"/>
          </rPr>
          <t xml:space="preserve">04/07/2008
734950 --&gt; 719950
</t>
        </r>
      </text>
    </comment>
    <comment ref="F867" authorId="0">
      <text>
        <r>
          <rPr>
            <sz val="8"/>
            <color indexed="81"/>
            <rFont val="Tahoma"/>
            <charset val="1"/>
          </rPr>
          <t xml:space="preserve">04/07/2008
719950 --&gt; 699000
</t>
        </r>
      </text>
    </comment>
    <comment ref="F874" authorId="0">
      <text>
        <r>
          <rPr>
            <sz val="8"/>
            <color indexed="81"/>
            <rFont val="Tahoma"/>
            <charset val="1"/>
          </rPr>
          <t xml:space="preserve">04/04/2008
1470500 --&gt; 1376000
</t>
        </r>
      </text>
    </comment>
    <comment ref="D880" authorId="0">
      <text>
        <r>
          <rPr>
            <sz val="8"/>
            <color indexed="81"/>
            <rFont val="Tahoma"/>
            <charset val="1"/>
          </rPr>
          <t xml:space="preserve">04/02/2008
Whispering Heights --&gt; Bellevue
</t>
        </r>
      </text>
    </comment>
    <comment ref="F880" authorId="0">
      <text>
        <r>
          <rPr>
            <sz val="8"/>
            <color indexed="81"/>
            <rFont val="Tahoma"/>
            <charset val="1"/>
          </rPr>
          <t xml:space="preserve">04/02/2008
575000 --&gt; 559950
</t>
        </r>
      </text>
    </comment>
    <comment ref="B889" authorId="0">
      <text>
        <r>
          <rPr>
            <sz val="8"/>
            <color indexed="81"/>
            <rFont val="Tahoma"/>
            <charset val="1"/>
          </rPr>
          <t xml:space="preserve">03/24/2008
Active --&gt; Subject To Inspection
</t>
        </r>
      </text>
    </comment>
    <comment ref="F892" authorId="0">
      <text>
        <r>
          <rPr>
            <sz val="8"/>
            <color indexed="81"/>
            <rFont val="Tahoma"/>
            <charset val="1"/>
          </rPr>
          <t xml:space="preserve">04/09/2008
429950 --&gt; 423950
</t>
        </r>
      </text>
    </comment>
    <comment ref="B894" authorId="0">
      <text>
        <r>
          <rPr>
            <sz val="8"/>
            <color indexed="81"/>
            <rFont val="Tahoma"/>
            <charset val="1"/>
          </rPr>
          <t xml:space="preserve">03/25/2008
Active --&gt; Subject To Inspection
</t>
        </r>
      </text>
    </comment>
    <comment ref="B895" authorId="0">
      <text>
        <r>
          <rPr>
            <sz val="8"/>
            <color indexed="81"/>
            <rFont val="Tahoma"/>
            <charset val="1"/>
          </rPr>
          <t xml:space="preserve">04/03/2008
Active --&gt; Subject To Inspection
</t>
        </r>
      </text>
    </comment>
    <comment ref="F907" authorId="0">
      <text>
        <r>
          <rPr>
            <sz val="8"/>
            <color indexed="81"/>
            <rFont val="Tahoma"/>
            <charset val="1"/>
          </rPr>
          <t xml:space="preserve">04/02/2008
595000 --&gt; 550000
</t>
        </r>
      </text>
    </comment>
    <comment ref="F913" authorId="0">
      <text>
        <r>
          <rPr>
            <sz val="8"/>
            <color indexed="81"/>
            <rFont val="Tahoma"/>
            <charset val="1"/>
          </rPr>
          <t xml:space="preserve">03/26/2008
749950 --&gt; 719950
</t>
        </r>
      </text>
    </comment>
    <comment ref="B916" authorId="0">
      <text>
        <r>
          <rPr>
            <sz val="8"/>
            <color indexed="81"/>
            <rFont val="Tahoma"/>
            <charset val="1"/>
          </rPr>
          <t xml:space="preserve">04/09/2008
Subject To Inspection --&gt; Active
03/27/2008
Active --&gt; Subject To Inspection
</t>
        </r>
      </text>
    </comment>
    <comment ref="F921" authorId="0">
      <text>
        <r>
          <rPr>
            <sz val="8"/>
            <color indexed="81"/>
            <rFont val="Tahoma"/>
            <charset val="1"/>
          </rPr>
          <t xml:space="preserve">03/06/2008
799000 --&gt; 789000
</t>
        </r>
      </text>
    </comment>
    <comment ref="F924" authorId="0">
      <text>
        <r>
          <rPr>
            <sz val="8"/>
            <color indexed="81"/>
            <rFont val="Tahoma"/>
            <charset val="1"/>
          </rPr>
          <t xml:space="preserve">04/02/2008
999950 --&gt; 989000
</t>
        </r>
      </text>
    </comment>
    <comment ref="B931" authorId="0">
      <text>
        <r>
          <rPr>
            <sz val="8"/>
            <color indexed="81"/>
            <rFont val="Tahoma"/>
            <charset val="1"/>
          </rPr>
          <t xml:space="preserve">04/08/2008
Active --&gt; Subject To Inspection
</t>
        </r>
      </text>
    </comment>
    <comment ref="F931" authorId="0">
      <text>
        <r>
          <rPr>
            <sz val="8"/>
            <color indexed="81"/>
            <rFont val="Tahoma"/>
            <charset val="1"/>
          </rPr>
          <t xml:space="preserve">03/27/2008
434999 --&gt; 429999
</t>
        </r>
      </text>
    </comment>
    <comment ref="F934" authorId="0">
      <text>
        <r>
          <rPr>
            <sz val="8"/>
            <color indexed="81"/>
            <rFont val="Tahoma"/>
            <charset val="1"/>
          </rPr>
          <t xml:space="preserve">04/02/2008
475000 --&gt; 460000
</t>
        </r>
      </text>
    </comment>
    <comment ref="B936" authorId="0">
      <text>
        <r>
          <rPr>
            <sz val="8"/>
            <color indexed="81"/>
            <rFont val="Tahoma"/>
            <charset val="1"/>
          </rPr>
          <t xml:space="preserve">03/25/2008
Active --&gt; Subject To Inspection
</t>
        </r>
      </text>
    </comment>
    <comment ref="B939" authorId="0">
      <text>
        <r>
          <rPr>
            <sz val="8"/>
            <color indexed="81"/>
            <rFont val="Tahoma"/>
            <charset val="1"/>
          </rPr>
          <t xml:space="preserve">04/05/2008
Active --&gt; Subject To Inspection
</t>
        </r>
      </text>
    </comment>
    <comment ref="B942" authorId="0">
      <text>
        <r>
          <rPr>
            <sz val="8"/>
            <color indexed="81"/>
            <rFont val="Tahoma"/>
            <charset val="1"/>
          </rPr>
          <t xml:space="preserve">03/26/2008
Active --&gt; Contingent
</t>
        </r>
      </text>
    </comment>
    <comment ref="B946" authorId="0">
      <text>
        <r>
          <rPr>
            <sz val="8"/>
            <color indexed="81"/>
            <rFont val="Tahoma"/>
            <charset val="1"/>
          </rPr>
          <t xml:space="preserve">04/07/2008
Active --&gt; Subject To Inspection
</t>
        </r>
      </text>
    </comment>
    <comment ref="F948" authorId="0">
      <text>
        <r>
          <rPr>
            <sz val="8"/>
            <color indexed="81"/>
            <rFont val="Tahoma"/>
            <charset val="1"/>
          </rPr>
          <t xml:space="preserve">04/03/2008
498880 --&gt; 494950
</t>
        </r>
      </text>
    </comment>
    <comment ref="F956" authorId="0">
      <text>
        <r>
          <rPr>
            <sz val="8"/>
            <color indexed="81"/>
            <rFont val="Tahoma"/>
            <charset val="1"/>
          </rPr>
          <t xml:space="preserve">03/31/2008
699000 --&gt; 649950
</t>
        </r>
      </text>
    </comment>
    <comment ref="F958" authorId="0">
      <text>
        <r>
          <rPr>
            <sz val="8"/>
            <color indexed="81"/>
            <rFont val="Tahoma"/>
            <charset val="1"/>
          </rPr>
          <t xml:space="preserve">03/28/2008
639950 --&gt; 629950
</t>
        </r>
      </text>
    </comment>
    <comment ref="B959" authorId="0">
      <text>
        <r>
          <rPr>
            <sz val="8"/>
            <color indexed="81"/>
            <rFont val="Tahoma"/>
            <charset val="1"/>
          </rPr>
          <t xml:space="preserve">04/02/2008
Active --&gt; Subject To Inspection
</t>
        </r>
      </text>
    </comment>
    <comment ref="F959" authorId="0">
      <text>
        <r>
          <rPr>
            <sz val="8"/>
            <color indexed="81"/>
            <rFont val="Tahoma"/>
            <charset val="1"/>
          </rPr>
          <t xml:space="preserve">04/01/2008
999000 --&gt; 899000
</t>
        </r>
      </text>
    </comment>
    <comment ref="F960" authorId="0">
      <text>
        <r>
          <rPr>
            <sz val="8"/>
            <color indexed="81"/>
            <rFont val="Tahoma"/>
            <charset val="1"/>
          </rPr>
          <t xml:space="preserve">04/08/2008
797000 --&gt; 788000
03/31/2008
824500 --&gt; 797000
</t>
        </r>
      </text>
    </comment>
    <comment ref="F967" authorId="0">
      <text>
        <r>
          <rPr>
            <sz val="8"/>
            <color indexed="81"/>
            <rFont val="Tahoma"/>
            <charset val="1"/>
          </rPr>
          <t xml:space="preserve">04/03/2008
749950 --&gt; 699950
</t>
        </r>
      </text>
    </comment>
    <comment ref="B968" authorId="0">
      <text>
        <r>
          <rPr>
            <sz val="8"/>
            <color indexed="81"/>
            <rFont val="Tahoma"/>
            <charset val="1"/>
          </rPr>
          <t xml:space="preserve">04/02/2008
Active --&gt; Contingent
</t>
        </r>
      </text>
    </comment>
    <comment ref="F973" authorId="0">
      <text>
        <r>
          <rPr>
            <sz val="8"/>
            <color indexed="81"/>
            <rFont val="Tahoma"/>
            <charset val="1"/>
          </rPr>
          <t xml:space="preserve">03/26/2008
475000 --&gt; 450000
</t>
        </r>
      </text>
    </comment>
    <comment ref="F981" authorId="0">
      <text>
        <r>
          <rPr>
            <sz val="8"/>
            <color indexed="81"/>
            <rFont val="Tahoma"/>
            <charset val="1"/>
          </rPr>
          <t xml:space="preserve">04/03/2008
899950 --&gt; 884950
</t>
        </r>
      </text>
    </comment>
    <comment ref="F983" authorId="0">
      <text>
        <r>
          <rPr>
            <sz val="8"/>
            <color indexed="81"/>
            <rFont val="Tahoma"/>
            <charset val="1"/>
          </rPr>
          <t xml:space="preserve">03/06/2008
385000 --&gt; 375000
</t>
        </r>
      </text>
    </comment>
    <comment ref="B985" authorId="0">
      <text>
        <r>
          <rPr>
            <sz val="8"/>
            <color indexed="81"/>
            <rFont val="Tahoma"/>
            <charset val="1"/>
          </rPr>
          <t xml:space="preserve">03/27/2008
Active --&gt; Subject To Inspection
</t>
        </r>
      </text>
    </comment>
    <comment ref="F988" authorId="0">
      <text>
        <r>
          <rPr>
            <sz val="8"/>
            <color indexed="81"/>
            <rFont val="Tahoma"/>
            <charset val="1"/>
          </rPr>
          <t xml:space="preserve">04/08/2008
949950 --&gt; 939950
</t>
        </r>
      </text>
    </comment>
    <comment ref="B991" authorId="0">
      <text>
        <r>
          <rPr>
            <sz val="8"/>
            <color indexed="81"/>
            <rFont val="Tahoma"/>
            <charset val="1"/>
          </rPr>
          <t xml:space="preserve">03/28/2008
Active --&gt; Subject To Inspection
</t>
        </r>
      </text>
    </comment>
    <comment ref="F995" authorId="0">
      <text>
        <r>
          <rPr>
            <sz val="8"/>
            <color indexed="81"/>
            <rFont val="Tahoma"/>
            <charset val="1"/>
          </rPr>
          <t xml:space="preserve">03/25/2008
939950 --&gt; 949950
</t>
        </r>
      </text>
    </comment>
    <comment ref="B997" authorId="0">
      <text>
        <r>
          <rPr>
            <sz val="8"/>
            <color indexed="81"/>
            <rFont val="Tahoma"/>
            <charset val="1"/>
          </rPr>
          <t xml:space="preserve">04/06/2008
Active --&gt; Subject To Inspection
</t>
        </r>
      </text>
    </comment>
    <comment ref="F998" authorId="0">
      <text>
        <r>
          <rPr>
            <sz val="8"/>
            <color indexed="81"/>
            <rFont val="Tahoma"/>
            <charset val="1"/>
          </rPr>
          <t xml:space="preserve">03/27/2008
535000 --&gt; 529950
</t>
        </r>
      </text>
    </comment>
    <comment ref="F999" authorId="0">
      <text>
        <r>
          <rPr>
            <sz val="8"/>
            <color indexed="81"/>
            <rFont val="Tahoma"/>
            <charset val="1"/>
          </rPr>
          <t xml:space="preserve">04/08/2008
699000 --&gt; 675000
</t>
        </r>
      </text>
    </comment>
    <comment ref="B1000" authorId="0">
      <text>
        <r>
          <rPr>
            <sz val="8"/>
            <color indexed="81"/>
            <rFont val="Tahoma"/>
            <charset val="1"/>
          </rPr>
          <t xml:space="preserve">04/08/2008
Active --&gt; Subject To Inspection
</t>
        </r>
      </text>
    </comment>
    <comment ref="F1000" authorId="0">
      <text>
        <r>
          <rPr>
            <sz val="8"/>
            <color indexed="81"/>
            <rFont val="Tahoma"/>
            <charset val="1"/>
          </rPr>
          <t xml:space="preserve">03/31/2008
379900 --&gt; 350000
</t>
        </r>
      </text>
    </comment>
    <comment ref="F1003" authorId="0">
      <text>
        <r>
          <rPr>
            <sz val="8"/>
            <color indexed="81"/>
            <rFont val="Tahoma"/>
            <charset val="1"/>
          </rPr>
          <t xml:space="preserve">03/27/2008
499950 --&gt; 500000
</t>
        </r>
      </text>
    </comment>
    <comment ref="B1006" authorId="0">
      <text>
        <r>
          <rPr>
            <sz val="8"/>
            <color indexed="81"/>
            <rFont val="Tahoma"/>
            <charset val="1"/>
          </rPr>
          <t xml:space="preserve">04/02/2008
Active --&gt; Subject To Inspection
</t>
        </r>
      </text>
    </comment>
    <comment ref="F1008" authorId="0">
      <text>
        <r>
          <rPr>
            <sz val="8"/>
            <color indexed="81"/>
            <rFont val="Tahoma"/>
            <charset val="1"/>
          </rPr>
          <t xml:space="preserve">04/06/2008
509950 --&gt; 524950
04/06/2008
524950 --&gt; 509950
</t>
        </r>
      </text>
    </comment>
    <comment ref="F1009" authorId="0">
      <text>
        <r>
          <rPr>
            <sz val="8"/>
            <color indexed="81"/>
            <rFont val="Tahoma"/>
            <charset val="1"/>
          </rPr>
          <t xml:space="preserve">04/03/2008
499950 --&gt; 474950
</t>
        </r>
      </text>
    </comment>
    <comment ref="F1016" authorId="0">
      <text>
        <r>
          <rPr>
            <sz val="8"/>
            <color indexed="81"/>
            <rFont val="Tahoma"/>
            <charset val="1"/>
          </rPr>
          <t xml:space="preserve">04/04/2008
725900 --&gt; 710000
</t>
        </r>
      </text>
    </comment>
    <comment ref="F1019" authorId="0">
      <text>
        <r>
          <rPr>
            <sz val="8"/>
            <color indexed="81"/>
            <rFont val="Tahoma"/>
            <charset val="1"/>
          </rPr>
          <t xml:space="preserve">03/28/2008
505000 --&gt; 479000
</t>
        </r>
      </text>
    </comment>
    <comment ref="F1021" authorId="0">
      <text>
        <r>
          <rPr>
            <sz val="8"/>
            <color indexed="81"/>
            <rFont val="Tahoma"/>
            <charset val="1"/>
          </rPr>
          <t xml:space="preserve">03/28/2008
529000 --&gt; 519000
</t>
        </r>
      </text>
    </comment>
    <comment ref="F1024" authorId="0">
      <text>
        <r>
          <rPr>
            <sz val="8"/>
            <color indexed="81"/>
            <rFont val="Tahoma"/>
            <charset val="1"/>
          </rPr>
          <t xml:space="preserve">03/26/2008
849000 --&gt; 795000
</t>
        </r>
      </text>
    </comment>
    <comment ref="F1027" authorId="0">
      <text>
        <r>
          <rPr>
            <sz val="8"/>
            <color indexed="81"/>
            <rFont val="Tahoma"/>
            <charset val="1"/>
          </rPr>
          <t xml:space="preserve">04/03/2008
799000 --&gt; 769000
</t>
        </r>
      </text>
    </comment>
    <comment ref="F1028" authorId="0">
      <text>
        <r>
          <rPr>
            <sz val="8"/>
            <color indexed="81"/>
            <rFont val="Tahoma"/>
            <charset val="1"/>
          </rPr>
          <t xml:space="preserve">04/04/2008
505000 --&gt; 489000
</t>
        </r>
      </text>
    </comment>
    <comment ref="F1030" authorId="0">
      <text>
        <r>
          <rPr>
            <sz val="8"/>
            <color indexed="81"/>
            <rFont val="Tahoma"/>
            <charset val="1"/>
          </rPr>
          <t xml:space="preserve">03/26/2008
379000 --&gt; 365000
</t>
        </r>
      </text>
    </comment>
    <comment ref="F1032" authorId="0">
      <text>
        <r>
          <rPr>
            <sz val="8"/>
            <color indexed="81"/>
            <rFont val="Tahoma"/>
            <charset val="1"/>
          </rPr>
          <t xml:space="preserve">03/28/2008
619000 --&gt; 599000
</t>
        </r>
      </text>
    </comment>
    <comment ref="F1033" authorId="0">
      <text>
        <r>
          <rPr>
            <sz val="8"/>
            <color indexed="81"/>
            <rFont val="Tahoma"/>
            <charset val="1"/>
          </rPr>
          <t xml:space="preserve">03/28/2008
635000 --&gt; 589000
</t>
        </r>
      </text>
    </comment>
    <comment ref="F1038" authorId="0">
      <text>
        <r>
          <rPr>
            <sz val="8"/>
            <color indexed="81"/>
            <rFont val="Tahoma"/>
            <charset val="1"/>
          </rPr>
          <t xml:space="preserve">04/04/2008
499950 --&gt; 500000
03/26/2008
519950 --&gt; 499950
</t>
        </r>
      </text>
    </comment>
    <comment ref="B1043" authorId="0">
      <text>
        <r>
          <rPr>
            <sz val="8"/>
            <color indexed="81"/>
            <rFont val="Tahoma"/>
            <charset val="1"/>
          </rPr>
          <t xml:space="preserve">04/07/2008
Active --&gt; Subject To Inspection
</t>
        </r>
      </text>
    </comment>
    <comment ref="B1046" authorId="0">
      <text>
        <r>
          <rPr>
            <sz val="8"/>
            <color indexed="81"/>
            <rFont val="Tahoma"/>
            <charset val="1"/>
          </rPr>
          <t xml:space="preserve">03/28/2008
Active --&gt; Contingent
</t>
        </r>
      </text>
    </comment>
    <comment ref="B1051" authorId="0">
      <text>
        <r>
          <rPr>
            <sz val="8"/>
            <color indexed="81"/>
            <rFont val="Tahoma"/>
            <charset val="1"/>
          </rPr>
          <t xml:space="preserve">04/03/2008
Active --&gt; Subject To Inspection
</t>
        </r>
      </text>
    </comment>
    <comment ref="F1060" authorId="0">
      <text>
        <r>
          <rPr>
            <sz val="8"/>
            <color indexed="81"/>
            <rFont val="Tahoma"/>
            <charset val="1"/>
          </rPr>
          <t xml:space="preserve">04/09/2008
525000 --&gt; 499900
</t>
        </r>
      </text>
    </comment>
    <comment ref="B1061" authorId="0">
      <text>
        <r>
          <rPr>
            <sz val="8"/>
            <color indexed="81"/>
            <rFont val="Tahoma"/>
            <charset val="1"/>
          </rPr>
          <t xml:space="preserve">04/07/2008
Active --&gt; Subject To Inspection
</t>
        </r>
      </text>
    </comment>
    <comment ref="B1067" authorId="0">
      <text>
        <r>
          <rPr>
            <sz val="8"/>
            <color indexed="81"/>
            <rFont val="Tahoma"/>
            <charset val="1"/>
          </rPr>
          <t xml:space="preserve">04/04/2008
Active --&gt; Subject To Inspection
</t>
        </r>
      </text>
    </comment>
    <comment ref="F1069" authorId="0">
      <text>
        <r>
          <rPr>
            <sz val="8"/>
            <color indexed="81"/>
            <rFont val="Tahoma"/>
            <charset val="1"/>
          </rPr>
          <t xml:space="preserve">04/08/2008
899400 --&gt; 849000
03/25/2008
929400 --&gt; 899400
</t>
        </r>
      </text>
    </comment>
    <comment ref="F1072" authorId="0">
      <text>
        <r>
          <rPr>
            <sz val="8"/>
            <color indexed="81"/>
            <rFont val="Tahoma"/>
            <charset val="1"/>
          </rPr>
          <t xml:space="preserve">03/11/2008
585000 --&gt; 575000
</t>
        </r>
      </text>
    </comment>
    <comment ref="F1076" authorId="0">
      <text>
        <r>
          <rPr>
            <sz val="8"/>
            <color indexed="81"/>
            <rFont val="Tahoma"/>
            <charset val="1"/>
          </rPr>
          <t xml:space="preserve">04/02/2008
329950 --&gt; 319950
</t>
        </r>
      </text>
    </comment>
    <comment ref="B1078" authorId="0">
      <text>
        <r>
          <rPr>
            <sz val="8"/>
            <color indexed="81"/>
            <rFont val="Tahoma"/>
            <charset val="1"/>
          </rPr>
          <t xml:space="preserve">03/30/2008
Active --&gt; Subject To Inspection
</t>
        </r>
      </text>
    </comment>
    <comment ref="F1082" authorId="0">
      <text>
        <r>
          <rPr>
            <sz val="8"/>
            <color indexed="81"/>
            <rFont val="Tahoma"/>
            <charset val="1"/>
          </rPr>
          <t xml:space="preserve">04/07/2008
309950 --&gt; 299950
</t>
        </r>
      </text>
    </comment>
    <comment ref="B1083" authorId="0">
      <text>
        <r>
          <rPr>
            <sz val="8"/>
            <color indexed="81"/>
            <rFont val="Tahoma"/>
            <charset val="1"/>
          </rPr>
          <t xml:space="preserve">03/26/2008
Active --&gt; Subject To Inspection
</t>
        </r>
      </text>
    </comment>
    <comment ref="B1084" authorId="0">
      <text>
        <r>
          <rPr>
            <sz val="8"/>
            <color indexed="81"/>
            <rFont val="Tahoma"/>
            <charset val="1"/>
          </rPr>
          <t xml:space="preserve">04/02/2008
Active --&gt; Subject To Inspection
</t>
        </r>
      </text>
    </comment>
    <comment ref="B1087" authorId="0">
      <text>
        <r>
          <rPr>
            <sz val="8"/>
            <color indexed="81"/>
            <rFont val="Tahoma"/>
            <charset val="1"/>
          </rPr>
          <t xml:space="preserve">04/07/2008
Active --&gt; Subject To Inspection
</t>
        </r>
      </text>
    </comment>
    <comment ref="B1089" authorId="0">
      <text>
        <r>
          <rPr>
            <sz val="8"/>
            <color indexed="81"/>
            <rFont val="Tahoma"/>
            <charset val="1"/>
          </rPr>
          <t xml:space="preserve">04/08/2008
Active --&gt; Contingent
</t>
        </r>
      </text>
    </comment>
    <comment ref="F1089" authorId="0">
      <text>
        <r>
          <rPr>
            <sz val="8"/>
            <color indexed="81"/>
            <rFont val="Tahoma"/>
            <charset val="1"/>
          </rPr>
          <t xml:space="preserve">04/04/2008
489950 --&gt; 449000
</t>
        </r>
      </text>
    </comment>
    <comment ref="B1096" authorId="0">
      <text>
        <r>
          <rPr>
            <sz val="8"/>
            <color indexed="81"/>
            <rFont val="Tahoma"/>
            <charset val="1"/>
          </rPr>
          <t xml:space="preserve">03/26/2008
Active --&gt; Subject To Inspection
</t>
        </r>
      </text>
    </comment>
    <comment ref="F1096" authorId="0">
      <text>
        <r>
          <rPr>
            <sz val="8"/>
            <color indexed="81"/>
            <rFont val="Tahoma"/>
            <charset val="1"/>
          </rPr>
          <t xml:space="preserve">03/26/2008
389000 --&gt; 396000
</t>
        </r>
      </text>
    </comment>
    <comment ref="F1097" authorId="0">
      <text>
        <r>
          <rPr>
            <sz val="8"/>
            <color indexed="81"/>
            <rFont val="Tahoma"/>
            <charset val="1"/>
          </rPr>
          <t xml:space="preserve">03/26/2008
519950 --&gt; 499950
</t>
        </r>
      </text>
    </comment>
    <comment ref="F1105" authorId="0">
      <text>
        <r>
          <rPr>
            <sz val="8"/>
            <color indexed="81"/>
            <rFont val="Tahoma"/>
            <charset val="1"/>
          </rPr>
          <t xml:space="preserve">03/11/2008
500000 --&gt; 495000
</t>
        </r>
      </text>
    </comment>
    <comment ref="B1112" authorId="0">
      <text>
        <r>
          <rPr>
            <sz val="8"/>
            <color indexed="81"/>
            <rFont val="Tahoma"/>
            <charset val="1"/>
          </rPr>
          <t xml:space="preserve">03/26/2008
Active --&gt; Subject To Inspection
</t>
        </r>
      </text>
    </comment>
    <comment ref="F1114" authorId="0">
      <text>
        <r>
          <rPr>
            <sz val="8"/>
            <color indexed="81"/>
            <rFont val="Tahoma"/>
            <charset val="1"/>
          </rPr>
          <t xml:space="preserve">04/01/2008
599950 --&gt; 585000
</t>
        </r>
      </text>
    </comment>
    <comment ref="B1121" authorId="0">
      <text>
        <r>
          <rPr>
            <sz val="8"/>
            <color indexed="81"/>
            <rFont val="Tahoma"/>
            <charset val="1"/>
          </rPr>
          <t xml:space="preserve">03/26/2008
Active --&gt; Contingent
</t>
        </r>
      </text>
    </comment>
    <comment ref="F1122" authorId="0">
      <text>
        <r>
          <rPr>
            <sz val="8"/>
            <color indexed="81"/>
            <rFont val="Tahoma"/>
            <charset val="1"/>
          </rPr>
          <t xml:space="preserve">03/28/2008
1105000 --&gt; 999950
</t>
        </r>
      </text>
    </comment>
    <comment ref="B1137" authorId="0">
      <text>
        <r>
          <rPr>
            <sz val="8"/>
            <color indexed="81"/>
            <rFont val="Tahoma"/>
            <charset val="1"/>
          </rPr>
          <t xml:space="preserve">03/25/2008
Active --&gt; Subject To Inspection
</t>
        </r>
      </text>
    </comment>
    <comment ref="F1138" authorId="0">
      <text>
        <r>
          <rPr>
            <sz val="8"/>
            <color indexed="81"/>
            <rFont val="Tahoma"/>
            <charset val="1"/>
          </rPr>
          <t xml:space="preserve">04/03/2008
515000 --&gt; 510000
</t>
        </r>
      </text>
    </comment>
    <comment ref="B1143" authorId="0">
      <text>
        <r>
          <rPr>
            <sz val="8"/>
            <color indexed="81"/>
            <rFont val="Tahoma"/>
            <charset val="1"/>
          </rPr>
          <t xml:space="preserve">04/08/2008
Subject To Inspection --&gt; Contingent
03/30/2008
Active --&gt; Subject To Inspection
</t>
        </r>
      </text>
    </comment>
    <comment ref="F1144" authorId="0">
      <text>
        <r>
          <rPr>
            <sz val="8"/>
            <color indexed="81"/>
            <rFont val="Tahoma"/>
            <charset val="1"/>
          </rPr>
          <t xml:space="preserve">03/28/2008
575000 --&gt; 559950
</t>
        </r>
      </text>
    </comment>
    <comment ref="F1147" authorId="0">
      <text>
        <r>
          <rPr>
            <sz val="8"/>
            <color indexed="81"/>
            <rFont val="Tahoma"/>
            <charset val="1"/>
          </rPr>
          <t xml:space="preserve">03/12/2008
440000 --&gt; 415000
</t>
        </r>
      </text>
    </comment>
    <comment ref="F1148" authorId="0">
      <text>
        <r>
          <rPr>
            <sz val="8"/>
            <color indexed="81"/>
            <rFont val="Tahoma"/>
            <charset val="1"/>
          </rPr>
          <t xml:space="preserve">04/07/2008
549950 --&gt; 539950
03/28/2008
559950 --&gt; 549950
</t>
        </r>
      </text>
    </comment>
    <comment ref="F1150" authorId="0">
      <text>
        <r>
          <rPr>
            <sz val="8"/>
            <color indexed="81"/>
            <rFont val="Tahoma"/>
            <charset val="1"/>
          </rPr>
          <t xml:space="preserve">04/08/2008
799500 --&gt; 875500
</t>
        </r>
      </text>
    </comment>
    <comment ref="B1153" authorId="0">
      <text>
        <r>
          <rPr>
            <sz val="8"/>
            <color indexed="81"/>
            <rFont val="Tahoma"/>
            <charset val="1"/>
          </rPr>
          <t xml:space="preserve">03/25/2008
Active --&gt; Subject To Inspection
</t>
        </r>
      </text>
    </comment>
    <comment ref="CL1156" authorId="0">
      <text>
        <r>
          <rPr>
            <sz val="8"/>
            <color indexed="81"/>
            <rFont val="Tahoma"/>
            <charset val="1"/>
          </rPr>
          <t xml:space="preserve">04/06/2008
Sat, Mar 29 1 - 4 PM --&gt; Sun, Apr 6 1 - 4 PM
03/25/2008
Sun, Mar 23 1 - 4 PM --&gt; Sat, Mar 29 1 - 4 PM
</t>
        </r>
      </text>
    </comment>
    <comment ref="F1161" authorId="0">
      <text>
        <r>
          <rPr>
            <sz val="8"/>
            <color indexed="81"/>
            <rFont val="Tahoma"/>
            <charset val="1"/>
          </rPr>
          <t xml:space="preserve">03/26/2008
659900 --&gt; 649900
</t>
        </r>
      </text>
    </comment>
    <comment ref="F1173" authorId="0">
      <text>
        <r>
          <rPr>
            <sz val="8"/>
            <color indexed="81"/>
            <rFont val="Tahoma"/>
            <charset val="1"/>
          </rPr>
          <t xml:space="preserve">03/27/2008
919500 --&gt; 849500
</t>
        </r>
      </text>
    </comment>
    <comment ref="F1174" authorId="0">
      <text>
        <r>
          <rPr>
            <sz val="8"/>
            <color indexed="81"/>
            <rFont val="Tahoma"/>
            <charset val="1"/>
          </rPr>
          <t xml:space="preserve">04/09/2008
849950 --&gt; 775000
</t>
        </r>
      </text>
    </comment>
    <comment ref="F1179" authorId="0">
      <text>
        <r>
          <rPr>
            <sz val="8"/>
            <color indexed="81"/>
            <rFont val="Tahoma"/>
            <charset val="1"/>
          </rPr>
          <t xml:space="preserve">03/27/2008
879000 --&gt; 849500
</t>
        </r>
      </text>
    </comment>
    <comment ref="F1180" authorId="0">
      <text>
        <r>
          <rPr>
            <sz val="8"/>
            <color indexed="81"/>
            <rFont val="Tahoma"/>
            <charset val="1"/>
          </rPr>
          <t xml:space="preserve">04/04/2008
495000 --&gt; 435000
</t>
        </r>
      </text>
    </comment>
    <comment ref="F1183" authorId="0">
      <text>
        <r>
          <rPr>
            <sz val="8"/>
            <color indexed="81"/>
            <rFont val="Tahoma"/>
            <charset val="1"/>
          </rPr>
          <t xml:space="preserve">04/01/2008
915000 --&gt; 899990
</t>
        </r>
      </text>
    </comment>
    <comment ref="F1187" authorId="0">
      <text>
        <r>
          <rPr>
            <sz val="8"/>
            <color indexed="81"/>
            <rFont val="Tahoma"/>
            <charset val="1"/>
          </rPr>
          <t xml:space="preserve">03/26/2008
565000 --&gt; 545000
</t>
        </r>
      </text>
    </comment>
    <comment ref="F1191" authorId="0">
      <text>
        <r>
          <rPr>
            <sz val="8"/>
            <color indexed="81"/>
            <rFont val="Tahoma"/>
            <charset val="1"/>
          </rPr>
          <t xml:space="preserve">04/01/2008
400000 --&gt; 389000
</t>
        </r>
      </text>
    </comment>
    <comment ref="F1192" authorId="0">
      <text>
        <r>
          <rPr>
            <sz val="8"/>
            <color indexed="81"/>
            <rFont val="Tahoma"/>
            <charset val="1"/>
          </rPr>
          <t xml:space="preserve">04/04/2008
874950 --&gt; 859000
</t>
        </r>
      </text>
    </comment>
    <comment ref="F1195" authorId="0">
      <text>
        <r>
          <rPr>
            <sz val="8"/>
            <color indexed="81"/>
            <rFont val="Tahoma"/>
            <charset val="1"/>
          </rPr>
          <t xml:space="preserve">04/06/2008
554500 --&gt; 549800
03/26/2008
565000 --&gt; 554500
</t>
        </r>
      </text>
    </comment>
    <comment ref="B1197" authorId="0">
      <text>
        <r>
          <rPr>
            <sz val="8"/>
            <color indexed="81"/>
            <rFont val="Tahoma"/>
            <charset val="1"/>
          </rPr>
          <t xml:space="preserve">03/26/2008
Subject To Inspection --&gt; Active
03/24/2008
Active --&gt; Subject To Inspection
</t>
        </r>
      </text>
    </comment>
    <comment ref="F1199" authorId="0">
      <text>
        <r>
          <rPr>
            <sz val="8"/>
            <color indexed="81"/>
            <rFont val="Tahoma"/>
            <charset val="1"/>
          </rPr>
          <t xml:space="preserve">04/07/2008
549900 --&gt; 529000
</t>
        </r>
      </text>
    </comment>
    <comment ref="B1203" authorId="0">
      <text>
        <r>
          <rPr>
            <sz val="8"/>
            <color indexed="81"/>
            <rFont val="Tahoma"/>
            <charset val="1"/>
          </rPr>
          <t xml:space="preserve">04/02/2008
Active --&gt; Subject To Inspection
</t>
        </r>
      </text>
    </comment>
    <comment ref="F1203" authorId="0">
      <text>
        <r>
          <rPr>
            <sz val="8"/>
            <color indexed="81"/>
            <rFont val="Tahoma"/>
            <charset val="1"/>
          </rPr>
          <t xml:space="preserve">03/30/2008
669900 --&gt; 648000
</t>
        </r>
      </text>
    </comment>
    <comment ref="F1216" authorId="0">
      <text>
        <r>
          <rPr>
            <sz val="8"/>
            <color indexed="81"/>
            <rFont val="Tahoma"/>
            <charset val="1"/>
          </rPr>
          <t xml:space="preserve">03/31/2008
619950 --&gt; 599950
</t>
        </r>
      </text>
    </comment>
    <comment ref="F1221" authorId="0">
      <text>
        <r>
          <rPr>
            <sz val="8"/>
            <color indexed="81"/>
            <rFont val="Tahoma"/>
            <charset val="1"/>
          </rPr>
          <t xml:space="preserve">03/31/2008
795000 --&gt; 749950
</t>
        </r>
      </text>
    </comment>
    <comment ref="F1223" authorId="0">
      <text>
        <r>
          <rPr>
            <sz val="8"/>
            <color indexed="81"/>
            <rFont val="Tahoma"/>
            <charset val="1"/>
          </rPr>
          <t xml:space="preserve">03/31/2008
548000 --&gt; 528900
</t>
        </r>
      </text>
    </comment>
    <comment ref="B1224" authorId="0">
      <text>
        <r>
          <rPr>
            <sz val="8"/>
            <color indexed="81"/>
            <rFont val="Tahoma"/>
            <charset val="1"/>
          </rPr>
          <t xml:space="preserve">03/20/2008
Active --&gt; Subject To Inspection
</t>
        </r>
      </text>
    </comment>
    <comment ref="F1227" authorId="0">
      <text>
        <r>
          <rPr>
            <sz val="8"/>
            <color indexed="81"/>
            <rFont val="Tahoma"/>
            <charset val="1"/>
          </rPr>
          <t xml:space="preserve">03/10/2008
997000 --&gt; 969500
</t>
        </r>
      </text>
    </comment>
    <comment ref="F1236" authorId="0">
      <text>
        <r>
          <rPr>
            <sz val="8"/>
            <color indexed="81"/>
            <rFont val="Tahoma"/>
            <charset val="1"/>
          </rPr>
          <t xml:space="preserve">03/26/2008
637500 --&gt; 625000
</t>
        </r>
      </text>
    </comment>
    <comment ref="F1238" authorId="0">
      <text>
        <r>
          <rPr>
            <sz val="8"/>
            <color indexed="81"/>
            <rFont val="Tahoma"/>
            <charset val="1"/>
          </rPr>
          <t xml:space="preserve">04/08/2008
1248000 --&gt; 1150000
</t>
        </r>
      </text>
    </comment>
    <comment ref="F1252" authorId="0">
      <text>
        <r>
          <rPr>
            <sz val="8"/>
            <color indexed="81"/>
            <rFont val="Tahoma"/>
            <charset val="1"/>
          </rPr>
          <t xml:space="preserve">03/28/2008
948950 --&gt; 917500
</t>
        </r>
      </text>
    </comment>
    <comment ref="B1262" authorId="0">
      <text>
        <r>
          <rPr>
            <sz val="8"/>
            <color indexed="81"/>
            <rFont val="Tahoma"/>
            <charset val="1"/>
          </rPr>
          <t xml:space="preserve">04/09/2008
Active --&gt; Subject To Inspection
</t>
        </r>
      </text>
    </comment>
    <comment ref="F1262" authorId="0">
      <text>
        <r>
          <rPr>
            <sz val="8"/>
            <color indexed="81"/>
            <rFont val="Tahoma"/>
            <charset val="1"/>
          </rPr>
          <t xml:space="preserve">04/02/2008
674950 --&gt; 664950
</t>
        </r>
      </text>
    </comment>
    <comment ref="B1268" authorId="0">
      <text>
        <r>
          <rPr>
            <sz val="8"/>
            <color indexed="81"/>
            <rFont val="Tahoma"/>
            <charset val="1"/>
          </rPr>
          <t xml:space="preserve">04/05/2008
Subject To Inspection --&gt; Active
03/31/2008
Active --&gt; Subject To Inspection
</t>
        </r>
      </text>
    </comment>
    <comment ref="F1268" authorId="0">
      <text>
        <r>
          <rPr>
            <sz val="8"/>
            <color indexed="81"/>
            <rFont val="Tahoma"/>
            <charset val="1"/>
          </rPr>
          <t xml:space="preserve">03/22/2008
269950 --&gt; 259950
</t>
        </r>
      </text>
    </comment>
    <comment ref="B1273" authorId="0">
      <text>
        <r>
          <rPr>
            <sz val="8"/>
            <color indexed="81"/>
            <rFont val="Tahoma"/>
            <charset val="1"/>
          </rPr>
          <t xml:space="preserve">03/26/2008
Active --&gt; Subject To Inspection
</t>
        </r>
      </text>
    </comment>
    <comment ref="F1276" authorId="0">
      <text>
        <r>
          <rPr>
            <sz val="8"/>
            <color indexed="81"/>
            <rFont val="Tahoma"/>
            <charset val="1"/>
          </rPr>
          <t xml:space="preserve">03/30/2008
347500 --&gt; 345500
</t>
        </r>
      </text>
    </comment>
    <comment ref="F1280" authorId="0">
      <text>
        <r>
          <rPr>
            <sz val="8"/>
            <color indexed="81"/>
            <rFont val="Tahoma"/>
            <charset val="1"/>
          </rPr>
          <t xml:space="preserve">03/07/2008
524924 --&gt; 509000
</t>
        </r>
      </text>
    </comment>
    <comment ref="B1282" authorId="0">
      <text>
        <r>
          <rPr>
            <sz val="8"/>
            <color indexed="81"/>
            <rFont val="Tahoma"/>
            <charset val="1"/>
          </rPr>
          <t xml:space="preserve">04/06/2008
Active --&gt; Subject To Inspection
</t>
        </r>
      </text>
    </comment>
    <comment ref="F1282" authorId="0">
      <text>
        <r>
          <rPr>
            <sz val="8"/>
            <color indexed="81"/>
            <rFont val="Tahoma"/>
            <charset val="1"/>
          </rPr>
          <t xml:space="preserve">04/02/2008
605500 --&gt; 595000
</t>
        </r>
      </text>
    </comment>
    <comment ref="F1283" authorId="0">
      <text>
        <r>
          <rPr>
            <sz val="8"/>
            <color indexed="81"/>
            <rFont val="Tahoma"/>
            <charset val="1"/>
          </rPr>
          <t xml:space="preserve">04/04/2008
1795000 --&gt; 1670000
</t>
        </r>
      </text>
    </comment>
    <comment ref="CL1283" authorId="0">
      <text>
        <r>
          <rPr>
            <sz val="8"/>
            <color indexed="81"/>
            <rFont val="Tahoma"/>
            <charset val="1"/>
          </rPr>
          <t xml:space="preserve">04/04/2008
Sun, Mar 30 2 - 4 PM --&gt; Sat, Apr 5 2 - 4 PM
</t>
        </r>
      </text>
    </comment>
    <comment ref="B1286" authorId="0">
      <text>
        <r>
          <rPr>
            <sz val="8"/>
            <color indexed="81"/>
            <rFont val="Tahoma"/>
            <charset val="1"/>
          </rPr>
          <t xml:space="preserve">03/26/2008
Active --&gt; Subject To Inspection
03/21/2008
Subject To Inspection --&gt; Active
03/20/2008
Active --&gt; Subject To Inspection
</t>
        </r>
      </text>
    </comment>
    <comment ref="F1286" authorId="0">
      <text>
        <r>
          <rPr>
            <sz val="8"/>
            <color indexed="81"/>
            <rFont val="Tahoma"/>
            <charset val="1"/>
          </rPr>
          <t xml:space="preserve">03/21/2008
539950 --&gt; 524950
03/06/2008
554950 --&gt; 539950
</t>
        </r>
      </text>
    </comment>
    <comment ref="F1288" authorId="0">
      <text>
        <r>
          <rPr>
            <sz val="8"/>
            <color indexed="81"/>
            <rFont val="Tahoma"/>
            <charset val="1"/>
          </rPr>
          <t xml:space="preserve">04/02/2008
677900 --&gt; 669900
</t>
        </r>
      </text>
    </comment>
    <comment ref="B1292" authorId="0">
      <text>
        <r>
          <rPr>
            <sz val="8"/>
            <color indexed="81"/>
            <rFont val="Tahoma"/>
            <charset val="1"/>
          </rPr>
          <t xml:space="preserve">04/08/2008
Active --&gt; Subject To Inspection
04/07/2008
Subject To Inspection --&gt; Active
04/06/2008
Active --&gt; Subject To Inspection
</t>
        </r>
      </text>
    </comment>
    <comment ref="F1299" authorId="0">
      <text>
        <r>
          <rPr>
            <sz val="8"/>
            <color indexed="81"/>
            <rFont val="Tahoma"/>
            <charset val="1"/>
          </rPr>
          <t xml:space="preserve">03/25/2008
675000 --&gt; 650000
</t>
        </r>
      </text>
    </comment>
    <comment ref="B1302" authorId="0">
      <text>
        <r>
          <rPr>
            <sz val="8"/>
            <color indexed="81"/>
            <rFont val="Tahoma"/>
            <charset val="1"/>
          </rPr>
          <t xml:space="preserve">04/01/2008
Active --&gt; Subject To Inspection
</t>
        </r>
      </text>
    </comment>
    <comment ref="F1302" authorId="0">
      <text>
        <r>
          <rPr>
            <sz val="8"/>
            <color indexed="81"/>
            <rFont val="Tahoma"/>
            <charset val="1"/>
          </rPr>
          <t xml:space="preserve">03/28/2008
454950 --&gt; 439950
</t>
        </r>
      </text>
    </comment>
    <comment ref="F1304" authorId="0">
      <text>
        <r>
          <rPr>
            <sz val="8"/>
            <color indexed="81"/>
            <rFont val="Tahoma"/>
            <charset val="1"/>
          </rPr>
          <t xml:space="preserve">03/26/2008
449950 --&gt; 424950
</t>
        </r>
      </text>
    </comment>
    <comment ref="B1306" authorId="0">
      <text>
        <r>
          <rPr>
            <sz val="8"/>
            <color indexed="81"/>
            <rFont val="Tahoma"/>
            <charset val="1"/>
          </rPr>
          <t xml:space="preserve">04/09/2008
Active --&gt; Subject To Inspection
</t>
        </r>
      </text>
    </comment>
    <comment ref="F1307" authorId="0">
      <text>
        <r>
          <rPr>
            <sz val="8"/>
            <color indexed="81"/>
            <rFont val="Tahoma"/>
            <charset val="1"/>
          </rPr>
          <t xml:space="preserve">04/03/2008
725000 --&gt; 689000
03/26/2008
729900 --&gt; 725000
</t>
        </r>
      </text>
    </comment>
    <comment ref="B1311" authorId="0">
      <text>
        <r>
          <rPr>
            <sz val="8"/>
            <color indexed="81"/>
            <rFont val="Tahoma"/>
            <charset val="1"/>
          </rPr>
          <t xml:space="preserve">04/08/2008
Active --&gt; Subject To Inspection
</t>
        </r>
      </text>
    </comment>
    <comment ref="B1317" authorId="0">
      <text>
        <r>
          <rPr>
            <sz val="8"/>
            <color indexed="81"/>
            <rFont val="Tahoma"/>
            <charset val="1"/>
          </rPr>
          <t xml:space="preserve">03/26/2008
Active --&gt; Subject To Inspection
</t>
        </r>
      </text>
    </comment>
    <comment ref="F1320" authorId="0">
      <text>
        <r>
          <rPr>
            <sz val="8"/>
            <color indexed="81"/>
            <rFont val="Tahoma"/>
            <charset val="1"/>
          </rPr>
          <t xml:space="preserve">04/01/2008
569950 --&gt; 569000
</t>
        </r>
      </text>
    </comment>
    <comment ref="F1324" authorId="0">
      <text>
        <r>
          <rPr>
            <sz val="8"/>
            <color indexed="81"/>
            <rFont val="Tahoma"/>
            <charset val="1"/>
          </rPr>
          <t xml:space="preserve">04/03/2008
675000 --&gt; 659999
</t>
        </r>
      </text>
    </comment>
    <comment ref="F1329" authorId="0">
      <text>
        <r>
          <rPr>
            <sz val="8"/>
            <color indexed="81"/>
            <rFont val="Tahoma"/>
            <charset val="1"/>
          </rPr>
          <t xml:space="preserve">03/27/2008
869950 --&gt; 849950
03/25/2008
879950 --&gt; 869950
</t>
        </r>
      </text>
    </comment>
    <comment ref="F1332" authorId="0">
      <text>
        <r>
          <rPr>
            <sz val="8"/>
            <color indexed="81"/>
            <rFont val="Tahoma"/>
            <charset val="1"/>
          </rPr>
          <t xml:space="preserve">03/26/2008
789000 --&gt; 779000
</t>
        </r>
      </text>
    </comment>
    <comment ref="CL1332" authorId="0">
      <text>
        <r>
          <rPr>
            <sz val="8"/>
            <color indexed="81"/>
            <rFont val="Tahoma"/>
            <charset val="1"/>
          </rPr>
          <t xml:space="preserve">03/27/2008
Thu, Mar 27 11 AM - 2 PM --&gt; Sat, Mar 29 1 - 4 PM
</t>
        </r>
      </text>
    </comment>
    <comment ref="F1334" authorId="0">
      <text>
        <r>
          <rPr>
            <sz val="8"/>
            <color indexed="81"/>
            <rFont val="Tahoma"/>
            <charset val="1"/>
          </rPr>
          <t xml:space="preserve">03/28/2008
739500 --&gt; 699000
</t>
        </r>
      </text>
    </comment>
    <comment ref="F1335" authorId="0">
      <text>
        <r>
          <rPr>
            <sz val="8"/>
            <color indexed="81"/>
            <rFont val="Tahoma"/>
            <charset val="1"/>
          </rPr>
          <t xml:space="preserve">03/26/2008
877000 --&gt; 839900
</t>
        </r>
      </text>
    </comment>
    <comment ref="F1339" authorId="0">
      <text>
        <r>
          <rPr>
            <sz val="8"/>
            <color indexed="81"/>
            <rFont val="Tahoma"/>
            <charset val="1"/>
          </rPr>
          <t xml:space="preserve">03/28/2008
1149900 --&gt; 1099900
</t>
        </r>
      </text>
    </comment>
    <comment ref="B1342" authorId="0">
      <text>
        <r>
          <rPr>
            <sz val="8"/>
            <color indexed="81"/>
            <rFont val="Tahoma"/>
            <charset val="1"/>
          </rPr>
          <t xml:space="preserve">04/06/2008
Active --&gt; Subject To Inspection
</t>
        </r>
      </text>
    </comment>
    <comment ref="B1343" authorId="0">
      <text>
        <r>
          <rPr>
            <sz val="8"/>
            <color indexed="81"/>
            <rFont val="Tahoma"/>
            <charset val="1"/>
          </rPr>
          <t xml:space="preserve">04/02/2008
Active --&gt; Subject To Inspection
</t>
        </r>
      </text>
    </comment>
    <comment ref="F1343" authorId="0">
      <text>
        <r>
          <rPr>
            <sz val="8"/>
            <color indexed="81"/>
            <rFont val="Tahoma"/>
            <charset val="1"/>
          </rPr>
          <t xml:space="preserve">03/31/2008
339000 --&gt; 349000
03/27/2008
359000 --&gt; 339000
</t>
        </r>
      </text>
    </comment>
    <comment ref="F1344" authorId="0">
      <text>
        <r>
          <rPr>
            <sz val="8"/>
            <color indexed="81"/>
            <rFont val="Tahoma"/>
            <charset val="1"/>
          </rPr>
          <t xml:space="preserve">03/26/2008
795000 --&gt; 779500
</t>
        </r>
      </text>
    </comment>
    <comment ref="F1345" authorId="0">
      <text>
        <r>
          <rPr>
            <sz val="8"/>
            <color indexed="81"/>
            <rFont val="Tahoma"/>
            <charset val="1"/>
          </rPr>
          <t xml:space="preserve">04/08/2008
539000 --&gt; 529000
</t>
        </r>
      </text>
    </comment>
    <comment ref="F1351" authorId="0">
      <text>
        <r>
          <rPr>
            <sz val="8"/>
            <color indexed="81"/>
            <rFont val="Tahoma"/>
            <charset val="1"/>
          </rPr>
          <t xml:space="preserve">04/05/2008
649950 --&gt; 644950
</t>
        </r>
      </text>
    </comment>
    <comment ref="F1352" authorId="0">
      <text>
        <r>
          <rPr>
            <sz val="8"/>
            <color indexed="81"/>
            <rFont val="Tahoma"/>
            <charset val="1"/>
          </rPr>
          <t xml:space="preserve">04/04/2008
835000 --&gt; 810000
</t>
        </r>
      </text>
    </comment>
    <comment ref="B1353" authorId="0">
      <text>
        <r>
          <rPr>
            <sz val="8"/>
            <color indexed="81"/>
            <rFont val="Tahoma"/>
            <charset val="1"/>
          </rPr>
          <t xml:space="preserve">04/07/2008
Active --&gt; Subject To Inspection
</t>
        </r>
      </text>
    </comment>
    <comment ref="F1354" authorId="0">
      <text>
        <r>
          <rPr>
            <sz val="8"/>
            <color indexed="81"/>
            <rFont val="Tahoma"/>
            <charset val="1"/>
          </rPr>
          <t xml:space="preserve">04/04/2008
735000 --&gt; 725000
</t>
        </r>
      </text>
    </comment>
    <comment ref="F1357" authorId="0">
      <text>
        <r>
          <rPr>
            <sz val="8"/>
            <color indexed="81"/>
            <rFont val="Tahoma"/>
            <charset val="1"/>
          </rPr>
          <t xml:space="preserve">03/06/2008
1089000 --&gt; 1049000
</t>
        </r>
      </text>
    </comment>
    <comment ref="F1358" authorId="0">
      <text>
        <r>
          <rPr>
            <sz val="8"/>
            <color indexed="81"/>
            <rFont val="Tahoma"/>
            <charset val="1"/>
          </rPr>
          <t xml:space="preserve">04/02/2008
625000 --&gt; 599000
</t>
        </r>
      </text>
    </comment>
    <comment ref="F1366" authorId="0">
      <text>
        <r>
          <rPr>
            <sz val="8"/>
            <color indexed="81"/>
            <rFont val="Tahoma"/>
            <charset val="1"/>
          </rPr>
          <t xml:space="preserve">03/31/2008
799000 --&gt; 749000
</t>
        </r>
      </text>
    </comment>
    <comment ref="F1370" authorId="0">
      <text>
        <r>
          <rPr>
            <sz val="8"/>
            <color indexed="81"/>
            <rFont val="Tahoma"/>
            <charset val="1"/>
          </rPr>
          <t xml:space="preserve">03/25/2008
469000 --&gt; 449000
</t>
        </r>
      </text>
    </comment>
    <comment ref="F1373" authorId="0">
      <text>
        <r>
          <rPr>
            <sz val="8"/>
            <color indexed="81"/>
            <rFont val="Tahoma"/>
            <charset val="1"/>
          </rPr>
          <t xml:space="preserve">04/04/2008
489888 --&gt; 464999
</t>
        </r>
      </text>
    </comment>
    <comment ref="F1376" authorId="0">
      <text>
        <r>
          <rPr>
            <sz val="8"/>
            <color indexed="81"/>
            <rFont val="Tahoma"/>
            <charset val="1"/>
          </rPr>
          <t xml:space="preserve">03/26/2008
667900 --&gt; 659900
</t>
        </r>
      </text>
    </comment>
    <comment ref="B1379" authorId="0">
      <text>
        <r>
          <rPr>
            <sz val="8"/>
            <color indexed="81"/>
            <rFont val="Tahoma"/>
            <charset val="1"/>
          </rPr>
          <t xml:space="preserve">03/25/2008
Active --&gt; Subject To Inspection
</t>
        </r>
      </text>
    </comment>
    <comment ref="F1382" authorId="0">
      <text>
        <r>
          <rPr>
            <sz val="8"/>
            <color indexed="81"/>
            <rFont val="Tahoma"/>
            <charset val="1"/>
          </rPr>
          <t xml:space="preserve">04/04/2008
1395000 --&gt; 1295000
</t>
        </r>
      </text>
    </comment>
    <comment ref="F1386" authorId="0">
      <text>
        <r>
          <rPr>
            <sz val="8"/>
            <color indexed="81"/>
            <rFont val="Tahoma"/>
            <charset val="1"/>
          </rPr>
          <t xml:space="preserve">03/27/2008
751800 --&gt; 729980
</t>
        </r>
      </text>
    </comment>
    <comment ref="F1388" authorId="0">
      <text>
        <r>
          <rPr>
            <sz val="8"/>
            <color indexed="81"/>
            <rFont val="Tahoma"/>
            <charset val="1"/>
          </rPr>
          <t xml:space="preserve">04/09/2008
579000 --&gt; 569000
</t>
        </r>
      </text>
    </comment>
    <comment ref="F1389" authorId="0">
      <text>
        <r>
          <rPr>
            <sz val="8"/>
            <color indexed="81"/>
            <rFont val="Tahoma"/>
            <charset val="1"/>
          </rPr>
          <t xml:space="preserve">03/28/2008
1499900 --&gt; 1449900
</t>
        </r>
      </text>
    </comment>
    <comment ref="F1393" authorId="0">
      <text>
        <r>
          <rPr>
            <sz val="8"/>
            <color indexed="81"/>
            <rFont val="Tahoma"/>
            <charset val="1"/>
          </rPr>
          <t xml:space="preserve">04/07/2008
655000 --&gt; 639950
</t>
        </r>
      </text>
    </comment>
    <comment ref="F1400" authorId="0">
      <text>
        <r>
          <rPr>
            <sz val="8"/>
            <color indexed="81"/>
            <rFont val="Tahoma"/>
            <charset val="1"/>
          </rPr>
          <t xml:space="preserve">04/09/2008
699950 --&gt; 678300
</t>
        </r>
      </text>
    </comment>
    <comment ref="F1408" authorId="0">
      <text>
        <r>
          <rPr>
            <sz val="8"/>
            <color indexed="81"/>
            <rFont val="Tahoma"/>
            <charset val="1"/>
          </rPr>
          <t xml:space="preserve">04/07/2008
850000 --&gt; 847950
</t>
        </r>
      </text>
    </comment>
    <comment ref="F1409" authorId="0">
      <text>
        <r>
          <rPr>
            <sz val="8"/>
            <color indexed="81"/>
            <rFont val="Tahoma"/>
            <charset val="1"/>
          </rPr>
          <t xml:space="preserve">03/30/2008
899000 --&gt; 885000
</t>
        </r>
      </text>
    </comment>
    <comment ref="B1418" authorId="0">
      <text>
        <r>
          <rPr>
            <sz val="8"/>
            <color indexed="81"/>
            <rFont val="Tahoma"/>
            <charset val="1"/>
          </rPr>
          <t xml:space="preserve">04/08/2008
Active --&gt; Contingent
</t>
        </r>
      </text>
    </comment>
    <comment ref="F1418" authorId="0">
      <text>
        <r>
          <rPr>
            <sz val="8"/>
            <color indexed="81"/>
            <rFont val="Tahoma"/>
            <charset val="1"/>
          </rPr>
          <t xml:space="preserve">03/28/2008
549950 --&gt; 554950
03/27/2008
574950 --&gt; 549950
</t>
        </r>
      </text>
    </comment>
    <comment ref="F1421" authorId="0">
      <text>
        <r>
          <rPr>
            <sz val="8"/>
            <color indexed="81"/>
            <rFont val="Tahoma"/>
            <charset val="1"/>
          </rPr>
          <t xml:space="preserve">03/26/2008
699950 --&gt; 669950
</t>
        </r>
      </text>
    </comment>
    <comment ref="B1428" authorId="0">
      <text>
        <r>
          <rPr>
            <sz val="8"/>
            <color indexed="81"/>
            <rFont val="Tahoma"/>
            <charset val="1"/>
          </rPr>
          <t xml:space="preserve">04/03/2008
Active --&gt; Subject To Inspection
</t>
        </r>
      </text>
    </comment>
    <comment ref="F1428" authorId="0">
      <text>
        <r>
          <rPr>
            <sz val="8"/>
            <color indexed="81"/>
            <rFont val="Tahoma"/>
            <charset val="1"/>
          </rPr>
          <t xml:space="preserve">03/31/2008
550000 --&gt; 525000
</t>
        </r>
      </text>
    </comment>
    <comment ref="B1429" authorId="0">
      <text>
        <r>
          <rPr>
            <sz val="8"/>
            <color indexed="81"/>
            <rFont val="Tahoma"/>
            <charset val="1"/>
          </rPr>
          <t xml:space="preserve">04/02/2008
Active --&gt; Subject To Inspection
</t>
        </r>
      </text>
    </comment>
    <comment ref="F1433" authorId="0">
      <text>
        <r>
          <rPr>
            <sz val="8"/>
            <color indexed="81"/>
            <rFont val="Tahoma"/>
            <charset val="1"/>
          </rPr>
          <t xml:space="preserve">03/25/2008
898000 --&gt; 849000
</t>
        </r>
      </text>
    </comment>
    <comment ref="F1436" authorId="0">
      <text>
        <r>
          <rPr>
            <sz val="8"/>
            <color indexed="81"/>
            <rFont val="Tahoma"/>
            <charset val="1"/>
          </rPr>
          <t xml:space="preserve">03/25/2008
998000 --&gt; 895000
</t>
        </r>
      </text>
    </comment>
    <comment ref="F1437" authorId="0">
      <text>
        <r>
          <rPr>
            <sz val="8"/>
            <color indexed="81"/>
            <rFont val="Tahoma"/>
            <charset val="1"/>
          </rPr>
          <t xml:space="preserve">04/08/2008
1525000 --&gt; 1425000
</t>
        </r>
      </text>
    </comment>
    <comment ref="B1438" authorId="0">
      <text>
        <r>
          <rPr>
            <sz val="8"/>
            <color indexed="81"/>
            <rFont val="Tahoma"/>
            <charset val="1"/>
          </rPr>
          <t xml:space="preserve">04/01/2008
Active --&gt; Subject To Inspection
</t>
        </r>
      </text>
    </comment>
    <comment ref="F1441" authorId="0">
      <text>
        <r>
          <rPr>
            <sz val="8"/>
            <color indexed="81"/>
            <rFont val="Tahoma"/>
            <charset val="1"/>
          </rPr>
          <t xml:space="preserve">04/02/2008
399000 --&gt; 369000
</t>
        </r>
      </text>
    </comment>
    <comment ref="F1445" authorId="0">
      <text>
        <r>
          <rPr>
            <sz val="8"/>
            <color indexed="81"/>
            <rFont val="Tahoma"/>
            <charset val="1"/>
          </rPr>
          <t xml:space="preserve">04/03/2008
1979000 --&gt; 1850000
</t>
        </r>
      </text>
    </comment>
    <comment ref="F1447" authorId="0">
      <text>
        <r>
          <rPr>
            <sz val="8"/>
            <color indexed="81"/>
            <rFont val="Tahoma"/>
            <charset val="1"/>
          </rPr>
          <t xml:space="preserve">03/27/2008
749000 --&gt; 719000
</t>
        </r>
      </text>
    </comment>
    <comment ref="F1451" authorId="0">
      <text>
        <r>
          <rPr>
            <sz val="8"/>
            <color indexed="81"/>
            <rFont val="Tahoma"/>
            <charset val="1"/>
          </rPr>
          <t xml:space="preserve">03/30/2008
548800 --&gt; 538800
</t>
        </r>
      </text>
    </comment>
    <comment ref="F1465" authorId="0">
      <text>
        <r>
          <rPr>
            <sz val="8"/>
            <color indexed="81"/>
            <rFont val="Tahoma"/>
            <charset val="1"/>
          </rPr>
          <t xml:space="preserve">03/27/2008
748000 --&gt; 729000
</t>
        </r>
      </text>
    </comment>
    <comment ref="F1472" authorId="0">
      <text>
        <r>
          <rPr>
            <sz val="8"/>
            <color indexed="81"/>
            <rFont val="Tahoma"/>
            <charset val="1"/>
          </rPr>
          <t xml:space="preserve">03/25/2008
849950 --&gt; 799950
</t>
        </r>
      </text>
    </comment>
    <comment ref="AG1473" authorId="0">
      <text>
        <r>
          <rPr>
            <sz val="8"/>
            <color indexed="81"/>
            <rFont val="Tahoma"/>
            <charset val="1"/>
          </rPr>
          <t xml:space="preserve">04/07/2008
47.681383 --&gt; 47.681373
</t>
        </r>
      </text>
    </comment>
    <comment ref="B1484" authorId="0">
      <text>
        <r>
          <rPr>
            <sz val="8"/>
            <color indexed="81"/>
            <rFont val="Tahoma"/>
            <charset val="1"/>
          </rPr>
          <t xml:space="preserve">04/01/2008
Contingent --&gt; Active
</t>
        </r>
      </text>
    </comment>
    <comment ref="F1484" authorId="0">
      <text>
        <r>
          <rPr>
            <sz val="8"/>
            <color indexed="81"/>
            <rFont val="Tahoma"/>
            <charset val="1"/>
          </rPr>
          <t xml:space="preserve">04/01/2008
879000 --&gt; 819000
</t>
        </r>
      </text>
    </comment>
    <comment ref="F1485" authorId="0">
      <text>
        <r>
          <rPr>
            <sz val="8"/>
            <color indexed="81"/>
            <rFont val="Tahoma"/>
            <charset val="1"/>
          </rPr>
          <t xml:space="preserve">03/31/2008
914950 --&gt; 899950
</t>
        </r>
      </text>
    </comment>
    <comment ref="F1491" authorId="0">
      <text>
        <r>
          <rPr>
            <sz val="8"/>
            <color indexed="81"/>
            <rFont val="Tahoma"/>
            <charset val="1"/>
          </rPr>
          <t xml:space="preserve">04/01/2008
775000 --&gt; 750000
03/27/2008
795000 --&gt; 775000
</t>
        </r>
      </text>
    </comment>
    <comment ref="F1496" authorId="0">
      <text>
        <r>
          <rPr>
            <sz val="8"/>
            <color indexed="81"/>
            <rFont val="Tahoma"/>
            <charset val="1"/>
          </rPr>
          <t xml:space="preserve">04/04/2008
479888 --&gt; 454999
</t>
        </r>
      </text>
    </comment>
    <comment ref="F1497" authorId="0">
      <text>
        <r>
          <rPr>
            <sz val="8"/>
            <color indexed="81"/>
            <rFont val="Tahoma"/>
            <charset val="1"/>
          </rPr>
          <t xml:space="preserve">03/26/2008
399950 --&gt; 387500
</t>
        </r>
      </text>
    </comment>
    <comment ref="F1499" authorId="0">
      <text>
        <r>
          <rPr>
            <sz val="8"/>
            <color indexed="81"/>
            <rFont val="Tahoma"/>
            <charset val="1"/>
          </rPr>
          <t xml:space="preserve">03/26/2008
837700 --&gt; 799500
</t>
        </r>
      </text>
    </comment>
    <comment ref="B1500" authorId="0">
      <text>
        <r>
          <rPr>
            <sz val="8"/>
            <color indexed="81"/>
            <rFont val="Tahoma"/>
            <charset val="1"/>
          </rPr>
          <t xml:space="preserve">04/06/2008
Active --&gt; Subject To Inspection
</t>
        </r>
      </text>
    </comment>
    <comment ref="F1509" authorId="0">
      <text>
        <r>
          <rPr>
            <sz val="8"/>
            <color indexed="81"/>
            <rFont val="Tahoma"/>
            <charset val="1"/>
          </rPr>
          <t xml:space="preserve">03/27/2008
379000 --&gt; 374900
</t>
        </r>
      </text>
    </comment>
    <comment ref="F1510" authorId="0">
      <text>
        <r>
          <rPr>
            <sz val="8"/>
            <color indexed="81"/>
            <rFont val="Tahoma"/>
            <charset val="1"/>
          </rPr>
          <t xml:space="preserve">03/31/2008
874950 --&gt; 850000
</t>
        </r>
      </text>
    </comment>
    <comment ref="F1511" authorId="0">
      <text>
        <r>
          <rPr>
            <sz val="8"/>
            <color indexed="81"/>
            <rFont val="Tahoma"/>
            <charset val="1"/>
          </rPr>
          <t xml:space="preserve">03/27/2008
779000 --&gt; 765000
</t>
        </r>
      </text>
    </comment>
    <comment ref="F1513" authorId="0">
      <text>
        <r>
          <rPr>
            <sz val="8"/>
            <color indexed="81"/>
            <rFont val="Tahoma"/>
            <charset val="1"/>
          </rPr>
          <t xml:space="preserve">03/28/2008
699750 --&gt; 689750
</t>
        </r>
      </text>
    </comment>
    <comment ref="CL1514" authorId="0">
      <text>
        <r>
          <rPr>
            <sz val="8"/>
            <color indexed="81"/>
            <rFont val="Tahoma"/>
            <charset val="1"/>
          </rPr>
          <t xml:space="preserve">04/05/2008
Sat, Apr 5 1 - 4 PM --&gt; Sun, Apr 6 1 - 4 PM
03/31/2008
Sun, Mar 30 1 - 4 PM --&gt; Sat, Apr 5 1 - 4 PM
03/30/2008
Sat, Mar 29 1 - 4 PM --&gt; Sun, Mar 30 1 - 4 PM
</t>
        </r>
      </text>
    </comment>
    <comment ref="F1515" authorId="0">
      <text>
        <r>
          <rPr>
            <sz val="8"/>
            <color indexed="81"/>
            <rFont val="Tahoma"/>
            <charset val="1"/>
          </rPr>
          <t xml:space="preserve">03/26/2008
655000 --&gt; 649950
</t>
        </r>
      </text>
    </comment>
    <comment ref="F1517" authorId="0">
      <text>
        <r>
          <rPr>
            <sz val="8"/>
            <color indexed="81"/>
            <rFont val="Tahoma"/>
            <charset val="1"/>
          </rPr>
          <t xml:space="preserve">03/26/2008
395000 --&gt; 389950
</t>
        </r>
      </text>
    </comment>
    <comment ref="F1521" authorId="0">
      <text>
        <r>
          <rPr>
            <sz val="8"/>
            <color indexed="81"/>
            <rFont val="Tahoma"/>
            <charset val="1"/>
          </rPr>
          <t xml:space="preserve">04/05/2008
344888 --&gt; 334888
</t>
        </r>
      </text>
    </comment>
    <comment ref="F1523" authorId="0">
      <text>
        <r>
          <rPr>
            <sz val="8"/>
            <color indexed="81"/>
            <rFont val="Tahoma"/>
            <charset val="1"/>
          </rPr>
          <t xml:space="preserve">04/08/2008
899000 --&gt; 849800
</t>
        </r>
      </text>
    </comment>
    <comment ref="F1526" authorId="0">
      <text>
        <r>
          <rPr>
            <sz val="8"/>
            <color indexed="81"/>
            <rFont val="Tahoma"/>
            <charset val="1"/>
          </rPr>
          <t xml:space="preserve">03/21/2008
599950 --&gt; 550000
03/07/2008
618000 --&gt; 599950
</t>
        </r>
      </text>
    </comment>
    <comment ref="B1530" authorId="0">
      <text>
        <r>
          <rPr>
            <sz val="8"/>
            <color indexed="81"/>
            <rFont val="Tahoma"/>
            <charset val="1"/>
          </rPr>
          <t xml:space="preserve">03/26/2008
Subject To Inspection --&gt; Active
</t>
        </r>
      </text>
    </comment>
    <comment ref="F1530" authorId="0">
      <text>
        <r>
          <rPr>
            <sz val="8"/>
            <color indexed="81"/>
            <rFont val="Tahoma"/>
            <charset val="1"/>
          </rPr>
          <t xml:space="preserve">04/03/2008
349999 --&gt; 339999
</t>
        </r>
      </text>
    </comment>
    <comment ref="F1531" authorId="0">
      <text>
        <r>
          <rPr>
            <sz val="8"/>
            <color indexed="81"/>
            <rFont val="Tahoma"/>
            <charset val="1"/>
          </rPr>
          <t xml:space="preserve">04/08/2008
404500 --&gt; 394500
03/30/2008
414500 --&gt; 404500
</t>
        </r>
      </text>
    </comment>
    <comment ref="F1533" authorId="0">
      <text>
        <r>
          <rPr>
            <sz val="8"/>
            <color indexed="81"/>
            <rFont val="Tahoma"/>
            <charset val="1"/>
          </rPr>
          <t xml:space="preserve">03/31/2008
724990 --&gt; 699850
</t>
        </r>
      </text>
    </comment>
    <comment ref="F1536" authorId="0">
      <text>
        <r>
          <rPr>
            <sz val="8"/>
            <color indexed="81"/>
            <rFont val="Tahoma"/>
            <charset val="1"/>
          </rPr>
          <t xml:space="preserve">03/26/2008
419500 --&gt; 414500
</t>
        </r>
      </text>
    </comment>
    <comment ref="F1538" authorId="0">
      <text>
        <r>
          <rPr>
            <sz val="8"/>
            <color indexed="81"/>
            <rFont val="Tahoma"/>
            <charset val="1"/>
          </rPr>
          <t xml:space="preserve">04/08/2008
539500 --&gt; 524500
</t>
        </r>
      </text>
    </comment>
    <comment ref="F1542" authorId="0">
      <text>
        <r>
          <rPr>
            <sz val="8"/>
            <color indexed="81"/>
            <rFont val="Tahoma"/>
            <charset val="1"/>
          </rPr>
          <t xml:space="preserve">04/04/2008
540000 --&gt; 519950
</t>
        </r>
      </text>
    </comment>
    <comment ref="B1549" authorId="0">
      <text>
        <r>
          <rPr>
            <sz val="8"/>
            <color indexed="81"/>
            <rFont val="Tahoma"/>
            <charset val="1"/>
          </rPr>
          <t xml:space="preserve">04/07/2008
Active --&gt; Subject To Inspection
</t>
        </r>
      </text>
    </comment>
    <comment ref="CL1551" authorId="0">
      <text>
        <r>
          <rPr>
            <sz val="8"/>
            <color indexed="81"/>
            <rFont val="Tahoma"/>
            <charset val="1"/>
          </rPr>
          <t xml:space="preserve">03/30/2008
Sat, Mar 29 12 - 3 PM --&gt; Sun, Mar 30 12 - 3 PM
</t>
        </r>
      </text>
    </comment>
    <comment ref="F1553" authorId="0">
      <text>
        <r>
          <rPr>
            <sz val="8"/>
            <color indexed="81"/>
            <rFont val="Tahoma"/>
            <charset val="1"/>
          </rPr>
          <t xml:space="preserve">03/27/2008
610000 --&gt; 599000
</t>
        </r>
      </text>
    </comment>
    <comment ref="CL1553" authorId="0">
      <text>
        <r>
          <rPr>
            <sz val="8"/>
            <color indexed="81"/>
            <rFont val="Tahoma"/>
            <charset val="1"/>
          </rPr>
          <t xml:space="preserve">04/05/2008
Sun, Mar 30 1 - 4 PM --&gt; Sun, Apr 6 1 - 4 PM
</t>
        </r>
      </text>
    </comment>
    <comment ref="F1555" authorId="0">
      <text>
        <r>
          <rPr>
            <sz val="8"/>
            <color indexed="81"/>
            <rFont val="Tahoma"/>
            <charset val="1"/>
          </rPr>
          <t xml:space="preserve">04/04/2008
599950 --&gt; 592000
</t>
        </r>
      </text>
    </comment>
    <comment ref="F1558" authorId="0">
      <text>
        <r>
          <rPr>
            <sz val="8"/>
            <color indexed="81"/>
            <rFont val="Tahoma"/>
            <charset val="1"/>
          </rPr>
          <t xml:space="preserve">03/25/2008
595000 --&gt; 581950
</t>
        </r>
      </text>
    </comment>
    <comment ref="F1559" authorId="0">
      <text>
        <r>
          <rPr>
            <sz val="8"/>
            <color indexed="81"/>
            <rFont val="Tahoma"/>
            <charset val="1"/>
          </rPr>
          <t xml:space="preserve">03/27/2008
799000 --&gt; 785000
</t>
        </r>
      </text>
    </comment>
    <comment ref="B1561" authorId="0">
      <text>
        <r>
          <rPr>
            <sz val="8"/>
            <color indexed="81"/>
            <rFont val="Tahoma"/>
            <charset val="1"/>
          </rPr>
          <t xml:space="preserve">03/20/2008
Active --&gt; Subject To Inspection
</t>
        </r>
      </text>
    </comment>
    <comment ref="F1561" authorId="0">
      <text>
        <r>
          <rPr>
            <sz val="8"/>
            <color indexed="81"/>
            <rFont val="Tahoma"/>
            <charset val="1"/>
          </rPr>
          <t xml:space="preserve">03/10/2008
469950 --&gt; 459000
</t>
        </r>
      </text>
    </comment>
    <comment ref="F1564" authorId="0">
      <text>
        <r>
          <rPr>
            <sz val="8"/>
            <color indexed="81"/>
            <rFont val="Tahoma"/>
            <charset val="1"/>
          </rPr>
          <t xml:space="preserve">04/01/2008
1029000 --&gt; 979000
</t>
        </r>
      </text>
    </comment>
    <comment ref="B1566" authorId="0">
      <text>
        <r>
          <rPr>
            <sz val="8"/>
            <color indexed="81"/>
            <rFont val="Tahoma"/>
            <charset val="1"/>
          </rPr>
          <t xml:space="preserve">04/04/2008
Active --&gt; Subject To Inspection
</t>
        </r>
      </text>
    </comment>
    <comment ref="F1569" authorId="0">
      <text>
        <r>
          <rPr>
            <sz val="8"/>
            <color indexed="81"/>
            <rFont val="Tahoma"/>
            <charset val="1"/>
          </rPr>
          <t xml:space="preserve">03/31/2008
1179990 --&gt; 1129000
</t>
        </r>
      </text>
    </comment>
    <comment ref="F1570" authorId="0">
      <text>
        <r>
          <rPr>
            <sz val="8"/>
            <color indexed="81"/>
            <rFont val="Tahoma"/>
            <charset val="1"/>
          </rPr>
          <t xml:space="preserve">04/08/2008
417900 --&gt; 399900
</t>
        </r>
      </text>
    </comment>
    <comment ref="F1571" authorId="0">
      <text>
        <r>
          <rPr>
            <sz val="8"/>
            <color indexed="81"/>
            <rFont val="Tahoma"/>
            <charset val="1"/>
          </rPr>
          <t xml:space="preserve">03/25/2008
624950 --&gt; 599950
</t>
        </r>
      </text>
    </comment>
    <comment ref="B1574" authorId="0">
      <text>
        <r>
          <rPr>
            <sz val="8"/>
            <color indexed="81"/>
            <rFont val="Tahoma"/>
            <charset val="1"/>
          </rPr>
          <t xml:space="preserve">04/09/2008
Active --&gt; Subject To Inspection
</t>
        </r>
      </text>
    </comment>
    <comment ref="F1574" authorId="0">
      <text>
        <r>
          <rPr>
            <sz val="8"/>
            <color indexed="81"/>
            <rFont val="Tahoma"/>
            <charset val="1"/>
          </rPr>
          <t xml:space="preserve">03/27/2008
1325000 --&gt; 1225000
</t>
        </r>
      </text>
    </comment>
    <comment ref="F1577" authorId="0">
      <text>
        <r>
          <rPr>
            <sz val="8"/>
            <color indexed="81"/>
            <rFont val="Tahoma"/>
            <charset val="1"/>
          </rPr>
          <t xml:space="preserve">04/05/2008
600000 --&gt; 575000
03/20/2008
612500 --&gt; 600000
03/15/2008
625000 --&gt; 612500
</t>
        </r>
      </text>
    </comment>
    <comment ref="F1578" authorId="0">
      <text>
        <r>
          <rPr>
            <sz val="8"/>
            <color indexed="81"/>
            <rFont val="Tahoma"/>
            <charset val="1"/>
          </rPr>
          <t xml:space="preserve">03/06/2008
475000 --&gt; 464950
</t>
        </r>
      </text>
    </comment>
    <comment ref="F1582" authorId="0">
      <text>
        <r>
          <rPr>
            <sz val="8"/>
            <color indexed="81"/>
            <rFont val="Tahoma"/>
            <charset val="1"/>
          </rPr>
          <t xml:space="preserve">03/25/2008
625000 --&gt; 599000
</t>
        </r>
      </text>
    </comment>
    <comment ref="F1591" authorId="0">
      <text>
        <r>
          <rPr>
            <sz val="8"/>
            <color indexed="81"/>
            <rFont val="Tahoma"/>
            <charset val="1"/>
          </rPr>
          <t xml:space="preserve">04/07/2008
649000 --&gt; 631000
</t>
        </r>
      </text>
    </comment>
    <comment ref="F1593" authorId="0">
      <text>
        <r>
          <rPr>
            <sz val="8"/>
            <color indexed="81"/>
            <rFont val="Tahoma"/>
            <charset val="1"/>
          </rPr>
          <t xml:space="preserve">03/27/2008
750000 --&gt; 700000
</t>
        </r>
      </text>
    </comment>
    <comment ref="B1596" authorId="0">
      <text>
        <r>
          <rPr>
            <sz val="8"/>
            <color indexed="81"/>
            <rFont val="Tahoma"/>
            <charset val="1"/>
          </rPr>
          <t xml:space="preserve">04/07/2008
Active --&gt; Subject To Inspection
</t>
        </r>
      </text>
    </comment>
    <comment ref="F1602" authorId="0">
      <text>
        <r>
          <rPr>
            <sz val="8"/>
            <color indexed="81"/>
            <rFont val="Tahoma"/>
            <charset val="1"/>
          </rPr>
          <t xml:space="preserve">03/28/2008
398500 --&gt; 389500
</t>
        </r>
      </text>
    </comment>
    <comment ref="F1609" authorId="0">
      <text>
        <r>
          <rPr>
            <sz val="8"/>
            <color indexed="81"/>
            <rFont val="Tahoma"/>
            <charset val="1"/>
          </rPr>
          <t xml:space="preserve">04/03/2008
1149000 --&gt; 1080800
</t>
        </r>
      </text>
    </comment>
    <comment ref="F1610" authorId="0">
      <text>
        <r>
          <rPr>
            <sz val="8"/>
            <color indexed="81"/>
            <rFont val="Tahoma"/>
            <charset val="1"/>
          </rPr>
          <t xml:space="preserve">03/26/2008
849000 --&gt; 819000
</t>
        </r>
      </text>
    </comment>
    <comment ref="F1614" authorId="0">
      <text>
        <r>
          <rPr>
            <sz val="8"/>
            <color indexed="81"/>
            <rFont val="Tahoma"/>
            <charset val="1"/>
          </rPr>
          <t xml:space="preserve">04/07/2008
439000 --&gt; 419950
</t>
        </r>
      </text>
    </comment>
    <comment ref="F1624" authorId="0">
      <text>
        <r>
          <rPr>
            <sz val="8"/>
            <color indexed="81"/>
            <rFont val="Tahoma"/>
            <charset val="1"/>
          </rPr>
          <t xml:space="preserve">03/27/2008
849900 --&gt; 839900
</t>
        </r>
      </text>
    </comment>
    <comment ref="F1629" authorId="0">
      <text>
        <r>
          <rPr>
            <sz val="8"/>
            <color indexed="81"/>
            <rFont val="Tahoma"/>
            <charset val="1"/>
          </rPr>
          <t xml:space="preserve">04/07/2008
519950 --&gt; 499950
</t>
        </r>
      </text>
    </comment>
    <comment ref="F1630" authorId="0">
      <text>
        <r>
          <rPr>
            <sz val="8"/>
            <color indexed="81"/>
            <rFont val="Tahoma"/>
            <charset val="1"/>
          </rPr>
          <t xml:space="preserve">04/03/2008
687500 --&gt; 656000
</t>
        </r>
      </text>
    </comment>
    <comment ref="B1636" authorId="0">
      <text>
        <r>
          <rPr>
            <sz val="8"/>
            <color indexed="81"/>
            <rFont val="Tahoma"/>
            <charset val="1"/>
          </rPr>
          <t xml:space="preserve">04/08/2008
Active --&gt; Subject To Inspection
</t>
        </r>
      </text>
    </comment>
    <comment ref="F1636" authorId="0">
      <text>
        <r>
          <rPr>
            <sz val="8"/>
            <color indexed="81"/>
            <rFont val="Tahoma"/>
            <charset val="1"/>
          </rPr>
          <t xml:space="preserve">03/31/2008
409950 --&gt; 399950
</t>
        </r>
      </text>
    </comment>
    <comment ref="B1637" authorId="0">
      <text>
        <r>
          <rPr>
            <sz val="8"/>
            <color indexed="81"/>
            <rFont val="Tahoma"/>
            <charset val="1"/>
          </rPr>
          <t xml:space="preserve">03/26/2008
Active --&gt; Subject To Inspection
</t>
        </r>
      </text>
    </comment>
    <comment ref="F1644" authorId="0">
      <text>
        <r>
          <rPr>
            <sz val="8"/>
            <color indexed="81"/>
            <rFont val="Tahoma"/>
            <charset val="1"/>
          </rPr>
          <t xml:space="preserve">04/08/2008
850000 --&gt; 829950
</t>
        </r>
      </text>
    </comment>
    <comment ref="F1648" authorId="0">
      <text>
        <r>
          <rPr>
            <sz val="8"/>
            <color indexed="81"/>
            <rFont val="Tahoma"/>
            <charset val="1"/>
          </rPr>
          <t xml:space="preserve">03/26/2008
619000 --&gt; 599999
03/25/2008
624000 --&gt; 619000
</t>
        </r>
      </text>
    </comment>
    <comment ref="F1649" authorId="0">
      <text>
        <r>
          <rPr>
            <sz val="8"/>
            <color indexed="81"/>
            <rFont val="Tahoma"/>
            <charset val="1"/>
          </rPr>
          <t xml:space="preserve">03/31/2008
649750 --&gt; 625750
</t>
        </r>
      </text>
    </comment>
    <comment ref="B1655" authorId="0">
      <text>
        <r>
          <rPr>
            <sz val="8"/>
            <color indexed="81"/>
            <rFont val="Tahoma"/>
            <charset val="1"/>
          </rPr>
          <t xml:space="preserve">04/09/2008
Active --&gt; Subject To Inspection
</t>
        </r>
      </text>
    </comment>
    <comment ref="F1676" authorId="0">
      <text>
        <r>
          <rPr>
            <sz val="8"/>
            <color indexed="81"/>
            <rFont val="Tahoma"/>
            <charset val="1"/>
          </rPr>
          <t xml:space="preserve">03/15/2008
599900 --&gt; 585000
</t>
        </r>
      </text>
    </comment>
    <comment ref="F1677" authorId="0">
      <text>
        <r>
          <rPr>
            <sz val="8"/>
            <color indexed="81"/>
            <rFont val="Tahoma"/>
            <charset val="1"/>
          </rPr>
          <t xml:space="preserve">03/28/2008
535500 --&gt; 499950
</t>
        </r>
      </text>
    </comment>
    <comment ref="F1680" authorId="0">
      <text>
        <r>
          <rPr>
            <sz val="8"/>
            <color indexed="81"/>
            <rFont val="Tahoma"/>
            <charset val="1"/>
          </rPr>
          <t xml:space="preserve">04/07/2008
348888 --&gt; 339950
</t>
        </r>
      </text>
    </comment>
    <comment ref="B1685" authorId="0">
      <text>
        <r>
          <rPr>
            <sz val="8"/>
            <color indexed="81"/>
            <rFont val="Tahoma"/>
            <charset val="1"/>
          </rPr>
          <t xml:space="preserve">04/07/2008
Active --&gt; Subject To Inspection
</t>
        </r>
      </text>
    </comment>
    <comment ref="F1686" authorId="0">
      <text>
        <r>
          <rPr>
            <sz val="8"/>
            <color indexed="81"/>
            <rFont val="Tahoma"/>
            <charset val="1"/>
          </rPr>
          <t xml:space="preserve">03/30/2008
750000 --&gt; 725000
</t>
        </r>
      </text>
    </comment>
    <comment ref="B1689" authorId="0">
      <text>
        <r>
          <rPr>
            <sz val="8"/>
            <color indexed="81"/>
            <rFont val="Tahoma"/>
            <charset val="1"/>
          </rPr>
          <t xml:space="preserve">04/09/2008
Contingent --&gt; Active
03/24/2008
Active --&gt; Contingent
</t>
        </r>
      </text>
    </comment>
    <comment ref="F1689" authorId="0">
      <text>
        <r>
          <rPr>
            <sz val="8"/>
            <color indexed="81"/>
            <rFont val="Tahoma"/>
            <charset val="1"/>
          </rPr>
          <t xml:space="preserve">04/09/2008
780000 --&gt; 777800
04/01/2008
788800 --&gt; 780000
</t>
        </r>
      </text>
    </comment>
    <comment ref="F1693" authorId="0">
      <text>
        <r>
          <rPr>
            <sz val="8"/>
            <color indexed="81"/>
            <rFont val="Tahoma"/>
            <charset val="1"/>
          </rPr>
          <t xml:space="preserve">04/07/2008
519950 --&gt; 504995
</t>
        </r>
      </text>
    </comment>
    <comment ref="F1696" authorId="0">
      <text>
        <r>
          <rPr>
            <sz val="8"/>
            <color indexed="81"/>
            <rFont val="Tahoma"/>
            <charset val="1"/>
          </rPr>
          <t xml:space="preserve">04/01/2008
449950 --&gt; 437500
</t>
        </r>
      </text>
    </comment>
    <comment ref="F1699" authorId="0">
      <text>
        <r>
          <rPr>
            <sz val="8"/>
            <color indexed="81"/>
            <rFont val="Tahoma"/>
            <charset val="1"/>
          </rPr>
          <t xml:space="preserve">03/26/2008
749000 --&gt; 720000
</t>
        </r>
      </text>
    </comment>
    <comment ref="F1703" authorId="0">
      <text>
        <r>
          <rPr>
            <sz val="8"/>
            <color indexed="81"/>
            <rFont val="Tahoma"/>
            <charset val="1"/>
          </rPr>
          <t xml:space="preserve">03/31/2008
659740 --&gt; 619880
</t>
        </r>
      </text>
    </comment>
    <comment ref="F1704" authorId="0">
      <text>
        <r>
          <rPr>
            <sz val="8"/>
            <color indexed="81"/>
            <rFont val="Tahoma"/>
            <charset val="1"/>
          </rPr>
          <t xml:space="preserve">03/25/2008
649000 --&gt; 635000
</t>
        </r>
      </text>
    </comment>
    <comment ref="F1705" authorId="0">
      <text>
        <r>
          <rPr>
            <sz val="8"/>
            <color indexed="81"/>
            <rFont val="Tahoma"/>
            <charset val="1"/>
          </rPr>
          <t xml:space="preserve">03/28/2008
1069000 --&gt; 1039000
</t>
        </r>
      </text>
    </comment>
    <comment ref="F1707" authorId="0">
      <text>
        <r>
          <rPr>
            <sz val="8"/>
            <color indexed="81"/>
            <rFont val="Tahoma"/>
            <charset val="1"/>
          </rPr>
          <t xml:space="preserve">03/28/2008
499950 --&gt; 489987
</t>
        </r>
      </text>
    </comment>
    <comment ref="F1708" authorId="0">
      <text>
        <r>
          <rPr>
            <sz val="8"/>
            <color indexed="81"/>
            <rFont val="Tahoma"/>
            <charset val="1"/>
          </rPr>
          <t xml:space="preserve">04/04/2008
850000 --&gt; 840000
</t>
        </r>
      </text>
    </comment>
    <comment ref="F1716" authorId="0">
      <text>
        <r>
          <rPr>
            <sz val="8"/>
            <color indexed="81"/>
            <rFont val="Tahoma"/>
            <charset val="1"/>
          </rPr>
          <t xml:space="preserve">04/07/2008
299000 --&gt; 290000
</t>
        </r>
      </text>
    </comment>
    <comment ref="B1717" authorId="0">
      <text>
        <r>
          <rPr>
            <sz val="8"/>
            <color indexed="81"/>
            <rFont val="Tahoma"/>
            <charset val="1"/>
          </rPr>
          <t xml:space="preserve">04/01/2008
Contingent --&gt; Active
</t>
        </r>
      </text>
    </comment>
    <comment ref="F1717" authorId="0">
      <text>
        <r>
          <rPr>
            <sz val="8"/>
            <color indexed="81"/>
            <rFont val="Tahoma"/>
            <charset val="1"/>
          </rPr>
          <t xml:space="preserve">04/01/2008
499000 --&gt; 489000
</t>
        </r>
      </text>
    </comment>
    <comment ref="F1718" authorId="0">
      <text>
        <r>
          <rPr>
            <sz val="8"/>
            <color indexed="81"/>
            <rFont val="Tahoma"/>
            <charset val="1"/>
          </rPr>
          <t xml:space="preserve">04/02/2008
517000 --&gt; 499000
</t>
        </r>
      </text>
    </comment>
    <comment ref="B1721" authorId="0">
      <text>
        <r>
          <rPr>
            <sz val="8"/>
            <color indexed="81"/>
            <rFont val="Tahoma"/>
            <charset val="1"/>
          </rPr>
          <t xml:space="preserve">04/06/2008
Active --&gt; Subject To Inspection
</t>
        </r>
      </text>
    </comment>
    <comment ref="CL1726" authorId="0">
      <text>
        <r>
          <rPr>
            <sz val="8"/>
            <color indexed="81"/>
            <rFont val="Tahoma"/>
            <charset val="1"/>
          </rPr>
          <t xml:space="preserve">04/06/2008
Sun, Mar 30 1 - 4 PM --&gt; Sun, Apr 6 1 - 4 PM
03/30/2008
Sat, Mar 29 1 - 4 PM --&gt; Sun, Mar 30 1 - 4 PM
</t>
        </r>
      </text>
    </comment>
    <comment ref="CL1728" authorId="0">
      <text>
        <r>
          <rPr>
            <sz val="8"/>
            <color indexed="81"/>
            <rFont val="Tahoma"/>
            <charset val="1"/>
          </rPr>
          <t xml:space="preserve">04/06/2008
Sun, Mar 30 1 - 4 PM --&gt; Sun, Apr 6 1 - 4 PM
03/30/2008
Sat, Mar 29 1 - 4 PM --&gt; Sun, Mar 30 1 - 4 PM
</t>
        </r>
      </text>
    </comment>
    <comment ref="F1729" authorId="0">
      <text>
        <r>
          <rPr>
            <sz val="8"/>
            <color indexed="81"/>
            <rFont val="Tahoma"/>
            <charset val="1"/>
          </rPr>
          <t xml:space="preserve">03/26/2008
764999 --&gt; 749999
</t>
        </r>
      </text>
    </comment>
    <comment ref="CL1729" authorId="0">
      <text>
        <r>
          <rPr>
            <sz val="8"/>
            <color indexed="81"/>
            <rFont val="Tahoma"/>
            <charset val="1"/>
          </rPr>
          <t xml:space="preserve">04/06/2008
Sun, Mar 30 1 - 4 PM --&gt; Sun, Apr 6 1 - 4 PM
03/30/2008
Sat, Mar 29 1 - 4 PM --&gt; Sun, Mar 30 1 - 4 PM
</t>
        </r>
      </text>
    </comment>
    <comment ref="B1731" authorId="0">
      <text>
        <r>
          <rPr>
            <sz val="8"/>
            <color indexed="81"/>
            <rFont val="Tahoma"/>
            <charset val="1"/>
          </rPr>
          <t xml:space="preserve">03/25/2008
Active --&gt; Subject To Inspection
</t>
        </r>
      </text>
    </comment>
    <comment ref="B1733" authorId="0">
      <text>
        <r>
          <rPr>
            <sz val="8"/>
            <color indexed="81"/>
            <rFont val="Tahoma"/>
            <charset val="1"/>
          </rPr>
          <t xml:space="preserve">04/08/2008
Active --&gt; Subject To Inspection
</t>
        </r>
      </text>
    </comment>
    <comment ref="F1734" authorId="0">
      <text>
        <r>
          <rPr>
            <sz val="8"/>
            <color indexed="81"/>
            <rFont val="Tahoma"/>
            <charset val="1"/>
          </rPr>
          <t xml:space="preserve">03/30/2008
3485000 --&gt; 3280000
</t>
        </r>
      </text>
    </comment>
    <comment ref="B1736" authorId="0">
      <text>
        <r>
          <rPr>
            <sz val="8"/>
            <color indexed="81"/>
            <rFont val="Tahoma"/>
            <charset val="1"/>
          </rPr>
          <t xml:space="preserve">04/08/2008
Active --&gt; Subject To Inspection
</t>
        </r>
      </text>
    </comment>
    <comment ref="F1736" authorId="0">
      <text>
        <r>
          <rPr>
            <sz val="8"/>
            <color indexed="81"/>
            <rFont val="Tahoma"/>
            <charset val="1"/>
          </rPr>
          <t xml:space="preserve">03/25/2008
974900 --&gt; 948000
</t>
        </r>
      </text>
    </comment>
    <comment ref="F1742" authorId="0">
      <text>
        <r>
          <rPr>
            <sz val="8"/>
            <color indexed="81"/>
            <rFont val="Tahoma"/>
            <charset val="1"/>
          </rPr>
          <t xml:space="preserve">03/27/2008
979950 --&gt; 969950
</t>
        </r>
      </text>
    </comment>
    <comment ref="B1743" authorId="0">
      <text>
        <r>
          <rPr>
            <sz val="8"/>
            <color indexed="81"/>
            <rFont val="Tahoma"/>
            <charset val="1"/>
          </rPr>
          <t xml:space="preserve">03/27/2008
Active --&gt; Subject To Inspection
</t>
        </r>
      </text>
    </comment>
    <comment ref="CL1748" authorId="0">
      <text>
        <r>
          <rPr>
            <sz val="8"/>
            <color indexed="81"/>
            <rFont val="Tahoma"/>
            <charset val="1"/>
          </rPr>
          <t xml:space="preserve">04/06/2008
Sun, Mar 30 1 - 4 PM --&gt; Sun, Apr 6 1 - 4 PM
03/30/2008
Sat, Mar 29 1 - 4 PM --&gt; Sun, Mar 30 1 - 4 PM
</t>
        </r>
      </text>
    </comment>
    <comment ref="B1750" authorId="0">
      <text>
        <r>
          <rPr>
            <sz val="8"/>
            <color indexed="81"/>
            <rFont val="Tahoma"/>
            <charset val="1"/>
          </rPr>
          <t xml:space="preserve">03/20/2008
Active --&gt; Subject To Inspection
</t>
        </r>
      </text>
    </comment>
    <comment ref="F1751" authorId="0">
      <text>
        <r>
          <rPr>
            <sz val="8"/>
            <color indexed="81"/>
            <rFont val="Tahoma"/>
            <charset val="1"/>
          </rPr>
          <t xml:space="preserve">04/09/2008
424950 --&gt; 419950
</t>
        </r>
      </text>
    </comment>
    <comment ref="F1753" authorId="0">
      <text>
        <r>
          <rPr>
            <sz val="8"/>
            <color indexed="81"/>
            <rFont val="Tahoma"/>
            <charset val="1"/>
          </rPr>
          <t xml:space="preserve">03/26/2008
565000 --&gt; 549750
</t>
        </r>
      </text>
    </comment>
    <comment ref="B1757" authorId="0">
      <text>
        <r>
          <rPr>
            <sz val="8"/>
            <color indexed="81"/>
            <rFont val="Tahoma"/>
            <charset val="1"/>
          </rPr>
          <t xml:space="preserve">03/26/2008
Active --&gt; Contingent
</t>
        </r>
      </text>
    </comment>
    <comment ref="B1758" authorId="0">
      <text>
        <r>
          <rPr>
            <sz val="8"/>
            <color indexed="81"/>
            <rFont val="Tahoma"/>
            <charset val="1"/>
          </rPr>
          <t xml:space="preserve">03/25/2008
Active --&gt; Subject To Inspection
</t>
        </r>
      </text>
    </comment>
    <comment ref="F1762" authorId="0">
      <text>
        <r>
          <rPr>
            <sz val="8"/>
            <color indexed="81"/>
            <rFont val="Tahoma"/>
            <charset val="1"/>
          </rPr>
          <t xml:space="preserve">04/04/2008
389000 --&gt; 369000
</t>
        </r>
      </text>
    </comment>
    <comment ref="F1767" authorId="0">
      <text>
        <r>
          <rPr>
            <sz val="8"/>
            <color indexed="81"/>
            <rFont val="Tahoma"/>
            <charset val="1"/>
          </rPr>
          <t xml:space="preserve">03/31/2008
349000 --&gt; 339000
</t>
        </r>
      </text>
    </comment>
    <comment ref="F1770" authorId="0">
      <text>
        <r>
          <rPr>
            <sz val="8"/>
            <color indexed="81"/>
            <rFont val="Tahoma"/>
            <charset val="1"/>
          </rPr>
          <t xml:space="preserve">04/08/2008
574950 --&gt; 560000
</t>
        </r>
      </text>
    </comment>
    <comment ref="F1782" authorId="0">
      <text>
        <r>
          <rPr>
            <sz val="8"/>
            <color indexed="81"/>
            <rFont val="Tahoma"/>
            <charset val="1"/>
          </rPr>
          <t xml:space="preserve">04/09/2008
1195000 --&gt; 995000
</t>
        </r>
      </text>
    </comment>
    <comment ref="F1788" authorId="0">
      <text>
        <r>
          <rPr>
            <sz val="8"/>
            <color indexed="81"/>
            <rFont val="Tahoma"/>
            <charset val="1"/>
          </rPr>
          <t xml:space="preserve">04/08/2008
439950 --&gt; 409950
03/31/2008
465000 --&gt; 439950
</t>
        </r>
      </text>
    </comment>
    <comment ref="B1793" authorId="0">
      <text>
        <r>
          <rPr>
            <sz val="8"/>
            <color indexed="81"/>
            <rFont val="Tahoma"/>
            <charset val="1"/>
          </rPr>
          <t xml:space="preserve">04/03/2008
Contingent --&gt; Active
03/28/2008
Active --&gt; Contingent
</t>
        </r>
      </text>
    </comment>
    <comment ref="B1799" authorId="0">
      <text>
        <r>
          <rPr>
            <sz val="8"/>
            <color indexed="81"/>
            <rFont val="Tahoma"/>
            <charset val="1"/>
          </rPr>
          <t xml:space="preserve">03/25/2008
Active --&gt; Subject To Inspection
</t>
        </r>
      </text>
    </comment>
    <comment ref="F1801" authorId="0">
      <text>
        <r>
          <rPr>
            <sz val="8"/>
            <color indexed="81"/>
            <rFont val="Tahoma"/>
            <charset val="1"/>
          </rPr>
          <t xml:space="preserve">03/26/2008
1350000 --&gt; 1288000
</t>
        </r>
      </text>
    </comment>
    <comment ref="F1802" authorId="0">
      <text>
        <r>
          <rPr>
            <sz val="8"/>
            <color indexed="81"/>
            <rFont val="Tahoma"/>
            <charset val="1"/>
          </rPr>
          <t xml:space="preserve">03/26/2008
674950 --&gt; 650000
</t>
        </r>
      </text>
    </comment>
    <comment ref="B1803" authorId="0">
      <text>
        <r>
          <rPr>
            <sz val="8"/>
            <color indexed="81"/>
            <rFont val="Tahoma"/>
            <charset val="1"/>
          </rPr>
          <t xml:space="preserve">03/21/2008
Subject To Inspection --&gt; Active
03/20/2008
Active --&gt; Subject To Inspection
</t>
        </r>
      </text>
    </comment>
    <comment ref="F1803" authorId="0">
      <text>
        <r>
          <rPr>
            <sz val="8"/>
            <color indexed="81"/>
            <rFont val="Tahoma"/>
            <charset val="1"/>
          </rPr>
          <t xml:space="preserve">04/01/2008
475500 --&gt; 459950
03/07/2008
482800 --&gt; 475500
</t>
        </r>
      </text>
    </comment>
    <comment ref="F1804" authorId="0">
      <text>
        <r>
          <rPr>
            <sz val="8"/>
            <color indexed="81"/>
            <rFont val="Tahoma"/>
            <charset val="1"/>
          </rPr>
          <t xml:space="preserve">03/26/2008
315000 --&gt; 299950
</t>
        </r>
      </text>
    </comment>
    <comment ref="B1807" authorId="0">
      <text>
        <r>
          <rPr>
            <sz val="8"/>
            <color indexed="81"/>
            <rFont val="Tahoma"/>
            <charset val="1"/>
          </rPr>
          <t xml:space="preserve">03/26/2008
Active --&gt; Subject To Inspection
</t>
        </r>
      </text>
    </comment>
    <comment ref="F1810" authorId="0">
      <text>
        <r>
          <rPr>
            <sz val="8"/>
            <color indexed="81"/>
            <rFont val="Tahoma"/>
            <charset val="1"/>
          </rPr>
          <t xml:space="preserve">03/30/2008
775000 --&gt; 734950
</t>
        </r>
      </text>
    </comment>
    <comment ref="F1811" authorId="0">
      <text>
        <r>
          <rPr>
            <sz val="8"/>
            <color indexed="81"/>
            <rFont val="Tahoma"/>
            <charset val="1"/>
          </rPr>
          <t xml:space="preserve">03/25/2008
1025000 --&gt; 949000
</t>
        </r>
      </text>
    </comment>
    <comment ref="F1817" authorId="0">
      <text>
        <r>
          <rPr>
            <sz val="8"/>
            <color indexed="81"/>
            <rFont val="Tahoma"/>
            <charset val="1"/>
          </rPr>
          <t xml:space="preserve">03/16/2008
714950 --&gt; 699950
</t>
        </r>
      </text>
    </comment>
    <comment ref="F1819" authorId="0">
      <text>
        <r>
          <rPr>
            <sz val="8"/>
            <color indexed="81"/>
            <rFont val="Tahoma"/>
            <charset val="1"/>
          </rPr>
          <t xml:space="preserve">03/25/2008
769000 --&gt; 735000
</t>
        </r>
      </text>
    </comment>
    <comment ref="F1820" authorId="0">
      <text>
        <r>
          <rPr>
            <sz val="8"/>
            <color indexed="81"/>
            <rFont val="Tahoma"/>
            <charset val="1"/>
          </rPr>
          <t xml:space="preserve">04/07/2008
698950 --&gt; 678000
03/19/2008
725000 --&gt; 698950
</t>
        </r>
      </text>
    </comment>
    <comment ref="F1823" authorId="0">
      <text>
        <r>
          <rPr>
            <sz val="8"/>
            <color indexed="81"/>
            <rFont val="Tahoma"/>
            <charset val="1"/>
          </rPr>
          <t xml:space="preserve">03/26/2008
449950 --&gt; 444950
</t>
        </r>
      </text>
    </comment>
    <comment ref="F1825" authorId="0">
      <text>
        <r>
          <rPr>
            <sz val="8"/>
            <color indexed="81"/>
            <rFont val="Tahoma"/>
            <charset val="1"/>
          </rPr>
          <t xml:space="preserve">04/02/2008
539950 --&gt; 525000
</t>
        </r>
      </text>
    </comment>
    <comment ref="F1830" authorId="0">
      <text>
        <r>
          <rPr>
            <sz val="8"/>
            <color indexed="81"/>
            <rFont val="Tahoma"/>
            <charset val="1"/>
          </rPr>
          <t xml:space="preserve">04/01/2008
698500 --&gt; 648500
</t>
        </r>
      </text>
    </comment>
    <comment ref="F1838" authorId="0">
      <text>
        <r>
          <rPr>
            <sz val="8"/>
            <color indexed="81"/>
            <rFont val="Tahoma"/>
            <charset val="1"/>
          </rPr>
          <t xml:space="preserve">03/25/2008
614500 --&gt; 589950
</t>
        </r>
      </text>
    </comment>
    <comment ref="B1839" authorId="0">
      <text>
        <r>
          <rPr>
            <sz val="8"/>
            <color indexed="81"/>
            <rFont val="Tahoma"/>
            <charset val="1"/>
          </rPr>
          <t xml:space="preserve">04/07/2008
Active --&gt; Subject To Inspection
</t>
        </r>
      </text>
    </comment>
    <comment ref="F1839" authorId="0">
      <text>
        <r>
          <rPr>
            <sz val="8"/>
            <color indexed="81"/>
            <rFont val="Tahoma"/>
            <charset val="1"/>
          </rPr>
          <t xml:space="preserve">03/30/2008
497500 --&gt; 487500
</t>
        </r>
      </text>
    </comment>
    <comment ref="B1842" authorId="0">
      <text>
        <r>
          <rPr>
            <sz val="8"/>
            <color indexed="81"/>
            <rFont val="Tahoma"/>
            <charset val="1"/>
          </rPr>
          <t xml:space="preserve">03/31/2008
Active --&gt; Subject To Inspection
</t>
        </r>
      </text>
    </comment>
    <comment ref="F1844" authorId="0">
      <text>
        <r>
          <rPr>
            <sz val="8"/>
            <color indexed="81"/>
            <rFont val="Tahoma"/>
            <charset val="1"/>
          </rPr>
          <t xml:space="preserve">03/26/2008
649950 --&gt; 629950
</t>
        </r>
      </text>
    </comment>
    <comment ref="F1846" authorId="0">
      <text>
        <r>
          <rPr>
            <sz val="8"/>
            <color indexed="81"/>
            <rFont val="Tahoma"/>
            <charset val="1"/>
          </rPr>
          <t xml:space="preserve">03/26/2008
665000 --&gt; 649950
</t>
        </r>
      </text>
    </comment>
    <comment ref="F1848" authorId="0">
      <text>
        <r>
          <rPr>
            <sz val="8"/>
            <color indexed="81"/>
            <rFont val="Tahoma"/>
            <charset val="1"/>
          </rPr>
          <t xml:space="preserve">03/26/2008
549500 --&gt; 525000
</t>
        </r>
      </text>
    </comment>
    <comment ref="F1858" authorId="0">
      <text>
        <r>
          <rPr>
            <sz val="8"/>
            <color indexed="81"/>
            <rFont val="Tahoma"/>
            <charset val="1"/>
          </rPr>
          <t xml:space="preserve">03/26/2008
600000 --&gt; 575000
</t>
        </r>
      </text>
    </comment>
    <comment ref="B1860" authorId="0">
      <text>
        <r>
          <rPr>
            <sz val="8"/>
            <color indexed="81"/>
            <rFont val="Tahoma"/>
            <charset val="1"/>
          </rPr>
          <t xml:space="preserve">04/04/2008
Subject To Inspection --&gt; Active
03/28/2008
Active --&gt; Subject To Inspection
</t>
        </r>
      </text>
    </comment>
    <comment ref="F1865" authorId="0">
      <text>
        <r>
          <rPr>
            <sz val="8"/>
            <color indexed="81"/>
            <rFont val="Tahoma"/>
            <charset val="1"/>
          </rPr>
          <t xml:space="preserve">03/26/2008
739950 --&gt; 699950
</t>
        </r>
      </text>
    </comment>
    <comment ref="F1879" authorId="0">
      <text>
        <r>
          <rPr>
            <sz val="8"/>
            <color indexed="81"/>
            <rFont val="Tahoma"/>
            <charset val="1"/>
          </rPr>
          <t xml:space="preserve">03/25/2008
625000 --&gt; 599000
</t>
        </r>
      </text>
    </comment>
    <comment ref="F1883" authorId="0">
      <text>
        <r>
          <rPr>
            <sz val="8"/>
            <color indexed="81"/>
            <rFont val="Tahoma"/>
            <charset val="1"/>
          </rPr>
          <t xml:space="preserve">03/27/2008
689000 --&gt; 674500
</t>
        </r>
      </text>
    </comment>
    <comment ref="F1888" authorId="0">
      <text>
        <r>
          <rPr>
            <sz val="8"/>
            <color indexed="81"/>
            <rFont val="Tahoma"/>
            <charset val="1"/>
          </rPr>
          <t xml:space="preserve">03/11/2008
360000 --&gt; 350000
</t>
        </r>
      </text>
    </comment>
    <comment ref="F1889" authorId="0">
      <text>
        <r>
          <rPr>
            <sz val="8"/>
            <color indexed="81"/>
            <rFont val="Tahoma"/>
            <charset val="1"/>
          </rPr>
          <t xml:space="preserve">03/26/2008
419500 --&gt; 409500
</t>
        </r>
      </text>
    </comment>
    <comment ref="F1893" authorId="0">
      <text>
        <r>
          <rPr>
            <sz val="8"/>
            <color indexed="81"/>
            <rFont val="Tahoma"/>
            <charset val="1"/>
          </rPr>
          <t xml:space="preserve">04/04/2008
624000 --&gt; 619000
</t>
        </r>
      </text>
    </comment>
    <comment ref="B1894" authorId="0">
      <text>
        <r>
          <rPr>
            <sz val="8"/>
            <color indexed="81"/>
            <rFont val="Tahoma"/>
            <charset val="1"/>
          </rPr>
          <t xml:space="preserve">03/25/2008
Subject To Inspection --&gt; Active
</t>
        </r>
      </text>
    </comment>
    <comment ref="B1900" authorId="0">
      <text>
        <r>
          <rPr>
            <sz val="8"/>
            <color indexed="81"/>
            <rFont val="Tahoma"/>
            <charset val="1"/>
          </rPr>
          <t xml:space="preserve">04/09/2008
Active --&gt; Subject To Inspection
</t>
        </r>
      </text>
    </comment>
    <comment ref="F1900" authorId="0">
      <text>
        <r>
          <rPr>
            <sz val="8"/>
            <color indexed="81"/>
            <rFont val="Tahoma"/>
            <charset val="1"/>
          </rPr>
          <t xml:space="preserve">03/26/2008
649000 --&gt; 624000
</t>
        </r>
      </text>
    </comment>
    <comment ref="F1901" authorId="0">
      <text>
        <r>
          <rPr>
            <sz val="8"/>
            <color indexed="81"/>
            <rFont val="Tahoma"/>
            <charset val="1"/>
          </rPr>
          <t xml:space="preserve">03/27/2008
469950 --&gt; 449950
</t>
        </r>
      </text>
    </comment>
    <comment ref="F1903" authorId="0">
      <text>
        <r>
          <rPr>
            <sz val="8"/>
            <color indexed="81"/>
            <rFont val="Tahoma"/>
            <charset val="1"/>
          </rPr>
          <t xml:space="preserve">03/25/2008
514950 --&gt; 499950
</t>
        </r>
      </text>
    </comment>
    <comment ref="F1904" authorId="0">
      <text>
        <r>
          <rPr>
            <sz val="8"/>
            <color indexed="81"/>
            <rFont val="Tahoma"/>
            <charset val="1"/>
          </rPr>
          <t xml:space="preserve">03/25/2008
979000 --&gt; 959950
</t>
        </r>
      </text>
    </comment>
    <comment ref="F1905" authorId="0">
      <text>
        <r>
          <rPr>
            <sz val="8"/>
            <color indexed="81"/>
            <rFont val="Tahoma"/>
            <charset val="1"/>
          </rPr>
          <t xml:space="preserve">03/28/2008
649990 --&gt; 599990
</t>
        </r>
      </text>
    </comment>
    <comment ref="F1913" authorId="0">
      <text>
        <r>
          <rPr>
            <sz val="8"/>
            <color indexed="81"/>
            <rFont val="Tahoma"/>
            <charset val="1"/>
          </rPr>
          <t xml:space="preserve">04/07/2008
364950 --&gt; 349950
</t>
        </r>
      </text>
    </comment>
    <comment ref="B1920" authorId="0">
      <text>
        <r>
          <rPr>
            <sz val="8"/>
            <color indexed="81"/>
            <rFont val="Tahoma"/>
            <charset val="1"/>
          </rPr>
          <t xml:space="preserve">04/07/2008
Active --&gt; Subject To Inspection
</t>
        </r>
      </text>
    </comment>
    <comment ref="F1920" authorId="0">
      <text>
        <r>
          <rPr>
            <sz val="8"/>
            <color indexed="81"/>
            <rFont val="Tahoma"/>
            <charset val="1"/>
          </rPr>
          <t xml:space="preserve">04/01/2008
655000 --&gt; 644900
</t>
        </r>
      </text>
    </comment>
    <comment ref="F1922" authorId="0">
      <text>
        <r>
          <rPr>
            <sz val="8"/>
            <color indexed="81"/>
            <rFont val="Tahoma"/>
            <charset val="1"/>
          </rPr>
          <t xml:space="preserve">04/03/2008
1570000 --&gt; 1470000
</t>
        </r>
      </text>
    </comment>
    <comment ref="F1923" authorId="0">
      <text>
        <r>
          <rPr>
            <sz val="8"/>
            <color indexed="81"/>
            <rFont val="Tahoma"/>
            <charset val="1"/>
          </rPr>
          <t xml:space="preserve">04/08/2008
649900 --&gt; 599900
</t>
        </r>
      </text>
    </comment>
    <comment ref="B1934" authorId="0">
      <text>
        <r>
          <rPr>
            <sz val="8"/>
            <color indexed="81"/>
            <rFont val="Tahoma"/>
            <charset val="1"/>
          </rPr>
          <t xml:space="preserve">03/25/2008
Active --&gt; Subject To Inspection
</t>
        </r>
      </text>
    </comment>
    <comment ref="F1937" authorId="0">
      <text>
        <r>
          <rPr>
            <sz val="8"/>
            <color indexed="81"/>
            <rFont val="Tahoma"/>
            <charset val="1"/>
          </rPr>
          <t xml:space="preserve">04/04/2008
929000 --&gt; 1019000
</t>
        </r>
      </text>
    </comment>
    <comment ref="F1938" authorId="0">
      <text>
        <r>
          <rPr>
            <sz val="8"/>
            <color indexed="81"/>
            <rFont val="Tahoma"/>
            <charset val="1"/>
          </rPr>
          <t xml:space="preserve">04/03/2008
859950 --&gt; 849900
</t>
        </r>
      </text>
    </comment>
    <comment ref="F1940" authorId="0">
      <text>
        <r>
          <rPr>
            <sz val="8"/>
            <color indexed="81"/>
            <rFont val="Tahoma"/>
            <charset val="1"/>
          </rPr>
          <t xml:space="preserve">04/04/2008
1375000 --&gt; 1325000
</t>
        </r>
      </text>
    </comment>
    <comment ref="F1942" authorId="0">
      <text>
        <r>
          <rPr>
            <sz val="8"/>
            <color indexed="81"/>
            <rFont val="Tahoma"/>
            <charset val="1"/>
          </rPr>
          <t xml:space="preserve">04/04/2008
429950 --&gt; 424950
</t>
        </r>
      </text>
    </comment>
    <comment ref="F1946" authorId="0">
      <text>
        <r>
          <rPr>
            <sz val="8"/>
            <color indexed="81"/>
            <rFont val="Tahoma"/>
            <charset val="1"/>
          </rPr>
          <t xml:space="preserve">03/25/2008
684900 --&gt; 650000
</t>
        </r>
      </text>
    </comment>
    <comment ref="F1947" authorId="0">
      <text>
        <r>
          <rPr>
            <sz val="8"/>
            <color indexed="81"/>
            <rFont val="Tahoma"/>
            <charset val="1"/>
          </rPr>
          <t xml:space="preserve">03/27/2008
685000 --&gt; 669950
</t>
        </r>
      </text>
    </comment>
    <comment ref="F1949" authorId="0">
      <text>
        <r>
          <rPr>
            <sz val="8"/>
            <color indexed="81"/>
            <rFont val="Tahoma"/>
            <charset val="1"/>
          </rPr>
          <t xml:space="preserve">04/08/2008
925000 --&gt; 875000
</t>
        </r>
      </text>
    </comment>
    <comment ref="F1959" authorId="0">
      <text>
        <r>
          <rPr>
            <sz val="8"/>
            <color indexed="81"/>
            <rFont val="Tahoma"/>
            <charset val="1"/>
          </rPr>
          <t xml:space="preserve">03/25/2008
629000 --&gt; 619000
</t>
        </r>
      </text>
    </comment>
    <comment ref="F1963" authorId="0">
      <text>
        <r>
          <rPr>
            <sz val="8"/>
            <color indexed="81"/>
            <rFont val="Tahoma"/>
            <charset val="1"/>
          </rPr>
          <t xml:space="preserve">03/30/2008
659000 --&gt; 639000
</t>
        </r>
      </text>
    </comment>
    <comment ref="F1964" authorId="0">
      <text>
        <r>
          <rPr>
            <sz val="8"/>
            <color indexed="81"/>
            <rFont val="Tahoma"/>
            <charset val="1"/>
          </rPr>
          <t xml:space="preserve">04/02/2008
510000 --&gt; 435000
03/27/2008
550000 --&gt; 510000
</t>
        </r>
      </text>
    </comment>
    <comment ref="B1968" authorId="0">
      <text>
        <r>
          <rPr>
            <sz val="8"/>
            <color indexed="81"/>
            <rFont val="Tahoma"/>
            <charset val="1"/>
          </rPr>
          <t xml:space="preserve">04/07/2008
Active --&gt; Subject To Inspection
</t>
        </r>
      </text>
    </comment>
    <comment ref="F1968" authorId="0">
      <text>
        <r>
          <rPr>
            <sz val="8"/>
            <color indexed="81"/>
            <rFont val="Tahoma"/>
            <charset val="1"/>
          </rPr>
          <t xml:space="preserve">04/01/2008
364950 --&gt; 359950
</t>
        </r>
      </text>
    </comment>
    <comment ref="F1972" authorId="0">
      <text>
        <r>
          <rPr>
            <sz val="8"/>
            <color indexed="81"/>
            <rFont val="Tahoma"/>
            <charset val="1"/>
          </rPr>
          <t xml:space="preserve">03/26/2008
559950 --&gt; 539950
</t>
        </r>
      </text>
    </comment>
    <comment ref="B1973" authorId="0">
      <text>
        <r>
          <rPr>
            <sz val="8"/>
            <color indexed="81"/>
            <rFont val="Tahoma"/>
            <charset val="1"/>
          </rPr>
          <t xml:space="preserve">04/05/2008
Subject To Inspection --&gt; Active
03/31/2008
Active --&gt; Subject To Inspection
</t>
        </r>
      </text>
    </comment>
    <comment ref="B1974" authorId="0">
      <text>
        <r>
          <rPr>
            <sz val="8"/>
            <color indexed="81"/>
            <rFont val="Tahoma"/>
            <charset val="1"/>
          </rPr>
          <t xml:space="preserve">04/01/2008
Active --&gt; Subject To Inspection
</t>
        </r>
      </text>
    </comment>
    <comment ref="F1979" authorId="0">
      <text>
        <r>
          <rPr>
            <sz val="8"/>
            <color indexed="81"/>
            <rFont val="Tahoma"/>
            <charset val="1"/>
          </rPr>
          <t xml:space="preserve">04/04/2008
800000 --&gt; 774883
</t>
        </r>
      </text>
    </comment>
    <comment ref="B1982" authorId="0">
      <text>
        <r>
          <rPr>
            <sz val="8"/>
            <color indexed="81"/>
            <rFont val="Tahoma"/>
            <charset val="1"/>
          </rPr>
          <t xml:space="preserve">03/20/2008
Active --&gt; Subject To Inspection
</t>
        </r>
      </text>
    </comment>
    <comment ref="F1992" authorId="0">
      <text>
        <r>
          <rPr>
            <sz val="8"/>
            <color indexed="81"/>
            <rFont val="Tahoma"/>
            <charset val="1"/>
          </rPr>
          <t xml:space="preserve">04/03/2008
799000 --&gt; 750000
</t>
        </r>
      </text>
    </comment>
    <comment ref="F1995" authorId="0">
      <text>
        <r>
          <rPr>
            <sz val="8"/>
            <color indexed="81"/>
            <rFont val="Tahoma"/>
            <charset val="1"/>
          </rPr>
          <t xml:space="preserve">04/04/2008
429000 --&gt; 399500
</t>
        </r>
      </text>
    </comment>
    <comment ref="F1999" authorId="0">
      <text>
        <r>
          <rPr>
            <sz val="8"/>
            <color indexed="81"/>
            <rFont val="Tahoma"/>
            <charset val="1"/>
          </rPr>
          <t xml:space="preserve">04/05/2008
349888 --&gt; 339888
</t>
        </r>
      </text>
    </comment>
    <comment ref="F2001" authorId="0">
      <text>
        <r>
          <rPr>
            <sz val="8"/>
            <color indexed="81"/>
            <rFont val="Tahoma"/>
            <charset val="1"/>
          </rPr>
          <t xml:space="preserve">03/28/2008
928500 --&gt; 899500
</t>
        </r>
      </text>
    </comment>
    <comment ref="F2002" authorId="0">
      <text>
        <r>
          <rPr>
            <sz val="8"/>
            <color indexed="81"/>
            <rFont val="Tahoma"/>
            <charset val="1"/>
          </rPr>
          <t xml:space="preserve">03/28/2008
589950 --&gt; 579950
</t>
        </r>
      </text>
    </comment>
    <comment ref="F2005" authorId="0">
      <text>
        <r>
          <rPr>
            <sz val="8"/>
            <color indexed="81"/>
            <rFont val="Tahoma"/>
            <charset val="1"/>
          </rPr>
          <t xml:space="preserve">03/28/2008
925000 --&gt; 825000
</t>
        </r>
      </text>
    </comment>
    <comment ref="F2007" authorId="0">
      <text>
        <r>
          <rPr>
            <sz val="8"/>
            <color indexed="81"/>
            <rFont val="Tahoma"/>
            <charset val="1"/>
          </rPr>
          <t xml:space="preserve">03/26/2008
436900 --&gt; 421900
</t>
        </r>
      </text>
    </comment>
    <comment ref="B2010" authorId="0">
      <text>
        <r>
          <rPr>
            <sz val="8"/>
            <color indexed="81"/>
            <rFont val="Tahoma"/>
            <charset val="1"/>
          </rPr>
          <t xml:space="preserve">03/26/2008
Active --&gt; Subject To Inspection
</t>
        </r>
      </text>
    </comment>
    <comment ref="B2013" authorId="0">
      <text>
        <r>
          <rPr>
            <sz val="8"/>
            <color indexed="81"/>
            <rFont val="Tahoma"/>
            <charset val="1"/>
          </rPr>
          <t xml:space="preserve">04/03/2008
Active --&gt; Subject To Inspection
</t>
        </r>
      </text>
    </comment>
    <comment ref="F2017" authorId="0">
      <text>
        <r>
          <rPr>
            <sz val="8"/>
            <color indexed="81"/>
            <rFont val="Tahoma"/>
            <charset val="1"/>
          </rPr>
          <t xml:space="preserve">04/09/2008
799800 --&gt; 794800
</t>
        </r>
      </text>
    </comment>
    <comment ref="B2018" authorId="0">
      <text>
        <r>
          <rPr>
            <sz val="8"/>
            <color indexed="81"/>
            <rFont val="Tahoma"/>
            <charset val="1"/>
          </rPr>
          <t xml:space="preserve">03/26/2008
Active --&gt; Subject To Inspection
</t>
        </r>
      </text>
    </comment>
    <comment ref="F2019" authorId="0">
      <text>
        <r>
          <rPr>
            <sz val="8"/>
            <color indexed="81"/>
            <rFont val="Tahoma"/>
            <charset val="1"/>
          </rPr>
          <t xml:space="preserve">04/04/2008
489000 --&gt; 477000
</t>
        </r>
      </text>
    </comment>
    <comment ref="B2024" authorId="0">
      <text>
        <r>
          <rPr>
            <sz val="8"/>
            <color indexed="81"/>
            <rFont val="Tahoma"/>
            <charset val="1"/>
          </rPr>
          <t xml:space="preserve">04/02/2008
Subject To Inspection --&gt; Active
</t>
        </r>
      </text>
    </comment>
    <comment ref="F2026" authorId="0">
      <text>
        <r>
          <rPr>
            <sz val="8"/>
            <color indexed="81"/>
            <rFont val="Tahoma"/>
            <charset val="1"/>
          </rPr>
          <t xml:space="preserve">03/26/2008
718888 --&gt; 665000
</t>
        </r>
      </text>
    </comment>
    <comment ref="B2027" authorId="0">
      <text>
        <r>
          <rPr>
            <sz val="8"/>
            <color indexed="81"/>
            <rFont val="Tahoma"/>
            <charset val="1"/>
          </rPr>
          <t xml:space="preserve">03/27/2008
Active --&gt; Subject To Inspection
</t>
        </r>
      </text>
    </comment>
    <comment ref="B2029" authorId="0">
      <text>
        <r>
          <rPr>
            <sz val="8"/>
            <color indexed="81"/>
            <rFont val="Tahoma"/>
            <charset val="1"/>
          </rPr>
          <t xml:space="preserve">04/01/2008
Subject To Inspection --&gt; Active
</t>
        </r>
      </text>
    </comment>
    <comment ref="F2031" authorId="0">
      <text>
        <r>
          <rPr>
            <sz val="8"/>
            <color indexed="81"/>
            <rFont val="Tahoma"/>
            <charset val="1"/>
          </rPr>
          <t xml:space="preserve">04/07/2008
2100000 --&gt; 1999999
</t>
        </r>
      </text>
    </comment>
    <comment ref="F2033" authorId="0">
      <text>
        <r>
          <rPr>
            <sz val="8"/>
            <color indexed="81"/>
            <rFont val="Tahoma"/>
            <charset val="1"/>
          </rPr>
          <t xml:space="preserve">04/04/2008
434990 --&gt; 414990
</t>
        </r>
      </text>
    </comment>
    <comment ref="F2034" authorId="0">
      <text>
        <r>
          <rPr>
            <sz val="8"/>
            <color indexed="81"/>
            <rFont val="Tahoma"/>
            <charset val="1"/>
          </rPr>
          <t xml:space="preserve">04/01/2008
1350000 --&gt; 1298000
</t>
        </r>
      </text>
    </comment>
    <comment ref="B2035" authorId="0">
      <text>
        <r>
          <rPr>
            <sz val="8"/>
            <color indexed="81"/>
            <rFont val="Tahoma"/>
            <charset val="1"/>
          </rPr>
          <t xml:space="preserve">04/03/2008
Contingent --&gt; Active
</t>
        </r>
      </text>
    </comment>
    <comment ref="F2037" authorId="0">
      <text>
        <r>
          <rPr>
            <sz val="8"/>
            <color indexed="81"/>
            <rFont val="Tahoma"/>
            <charset val="1"/>
          </rPr>
          <t xml:space="preserve">04/06/2008
549000 --&gt; 499000
</t>
        </r>
      </text>
    </comment>
    <comment ref="F2038" authorId="0">
      <text>
        <r>
          <rPr>
            <sz val="8"/>
            <color indexed="81"/>
            <rFont val="Tahoma"/>
            <charset val="1"/>
          </rPr>
          <t xml:space="preserve">03/25/2008
1250000 --&gt; 1150000
</t>
        </r>
      </text>
    </comment>
    <comment ref="F2040" authorId="0">
      <text>
        <r>
          <rPr>
            <sz val="8"/>
            <color indexed="81"/>
            <rFont val="Tahoma"/>
            <charset val="1"/>
          </rPr>
          <t xml:space="preserve">04/02/2008
454950 --&gt; 449950
03/25/2008
459950 --&gt; 454950
</t>
        </r>
      </text>
    </comment>
    <comment ref="B2045" authorId="0">
      <text>
        <r>
          <rPr>
            <sz val="8"/>
            <color indexed="81"/>
            <rFont val="Tahoma"/>
            <charset val="1"/>
          </rPr>
          <t xml:space="preserve">03/24/2008
Active --&gt; Subject To Inspection
</t>
        </r>
      </text>
    </comment>
    <comment ref="F2047" authorId="0">
      <text>
        <r>
          <rPr>
            <sz val="8"/>
            <color indexed="81"/>
            <rFont val="Tahoma"/>
            <charset val="1"/>
          </rPr>
          <t xml:space="preserve">03/27/2008
695000 --&gt; 679000
</t>
        </r>
      </text>
    </comment>
    <comment ref="F2053" authorId="0">
      <text>
        <r>
          <rPr>
            <sz val="8"/>
            <color indexed="81"/>
            <rFont val="Tahoma"/>
            <charset val="1"/>
          </rPr>
          <t xml:space="preserve">04/07/2008
620000 --&gt; 600000
</t>
        </r>
      </text>
    </comment>
    <comment ref="F2056" authorId="0">
      <text>
        <r>
          <rPr>
            <sz val="8"/>
            <color indexed="81"/>
            <rFont val="Tahoma"/>
            <charset val="1"/>
          </rPr>
          <t xml:space="preserve">04/08/2008
1200000 --&gt; 1150000
</t>
        </r>
      </text>
    </comment>
    <comment ref="B2059" authorId="0">
      <text>
        <r>
          <rPr>
            <sz val="8"/>
            <color indexed="81"/>
            <rFont val="Tahoma"/>
            <charset val="1"/>
          </rPr>
          <t xml:space="preserve">03/23/2008
Active --&gt; Subject To Inspection
</t>
        </r>
      </text>
    </comment>
    <comment ref="F2060" authorId="0">
      <text>
        <r>
          <rPr>
            <sz val="8"/>
            <color indexed="81"/>
            <rFont val="Tahoma"/>
            <charset val="1"/>
          </rPr>
          <t xml:space="preserve">04/03/2008
575000 --&gt; 564900
</t>
        </r>
      </text>
    </comment>
    <comment ref="B2061" authorId="0">
      <text>
        <r>
          <rPr>
            <sz val="8"/>
            <color indexed="81"/>
            <rFont val="Tahoma"/>
            <charset val="1"/>
          </rPr>
          <t xml:space="preserve">04/04/2008
Active --&gt; Subject To Inspection
</t>
        </r>
      </text>
    </comment>
    <comment ref="F2061" authorId="0">
      <text>
        <r>
          <rPr>
            <sz val="8"/>
            <color indexed="81"/>
            <rFont val="Tahoma"/>
            <charset val="1"/>
          </rPr>
          <t xml:space="preserve">04/01/2008
349000 --&gt; 334000
03/27/2008
359000 --&gt; 349000
</t>
        </r>
      </text>
    </comment>
    <comment ref="B2062" authorId="0">
      <text>
        <r>
          <rPr>
            <sz val="8"/>
            <color indexed="81"/>
            <rFont val="Tahoma"/>
            <charset val="1"/>
          </rPr>
          <t xml:space="preserve">04/04/2008
Active --&gt; Subject To Inspection
</t>
        </r>
      </text>
    </comment>
    <comment ref="F2063" authorId="0">
      <text>
        <r>
          <rPr>
            <sz val="8"/>
            <color indexed="81"/>
            <rFont val="Tahoma"/>
            <charset val="1"/>
          </rPr>
          <t xml:space="preserve">03/26/2008
795000 --&gt; 749000
</t>
        </r>
      </text>
    </comment>
    <comment ref="B2065" authorId="0">
      <text>
        <r>
          <rPr>
            <sz val="8"/>
            <color indexed="81"/>
            <rFont val="Tahoma"/>
            <charset val="1"/>
          </rPr>
          <t xml:space="preserve">03/26/2008
Subject To Inspection --&gt; Active
03/25/2008
Active --&gt; Subject To Inspection
</t>
        </r>
      </text>
    </comment>
    <comment ref="F2067" authorId="0">
      <text>
        <r>
          <rPr>
            <sz val="8"/>
            <color indexed="81"/>
            <rFont val="Tahoma"/>
            <charset val="1"/>
          </rPr>
          <t xml:space="preserve">04/08/2008
1899000 --&gt; 1799000
</t>
        </r>
      </text>
    </comment>
    <comment ref="F2068" authorId="0">
      <text>
        <r>
          <rPr>
            <sz val="8"/>
            <color indexed="81"/>
            <rFont val="Tahoma"/>
            <charset val="1"/>
          </rPr>
          <t xml:space="preserve">03/28/2008
434755 --&gt; 429888
</t>
        </r>
      </text>
    </comment>
    <comment ref="F2072" authorId="0">
      <text>
        <r>
          <rPr>
            <sz val="8"/>
            <color indexed="81"/>
            <rFont val="Tahoma"/>
            <charset val="1"/>
          </rPr>
          <t xml:space="preserve">03/27/2008
505000 --&gt; 495000
</t>
        </r>
      </text>
    </comment>
    <comment ref="F2078" authorId="0">
      <text>
        <r>
          <rPr>
            <sz val="8"/>
            <color indexed="81"/>
            <rFont val="Tahoma"/>
            <charset val="1"/>
          </rPr>
          <t xml:space="preserve">04/05/2008
529950 --&gt; 499000
</t>
        </r>
      </text>
    </comment>
    <comment ref="B2080" authorId="0">
      <text>
        <r>
          <rPr>
            <sz val="8"/>
            <color indexed="81"/>
            <rFont val="Tahoma"/>
            <charset val="1"/>
          </rPr>
          <t xml:space="preserve">03/27/2008
Active --&gt; Subject To Inspection
</t>
        </r>
      </text>
    </comment>
    <comment ref="F2086" authorId="0">
      <text>
        <r>
          <rPr>
            <sz val="8"/>
            <color indexed="81"/>
            <rFont val="Tahoma"/>
            <charset val="1"/>
          </rPr>
          <t xml:space="preserve">03/25/2008
415000 --&gt; 399000
</t>
        </r>
      </text>
    </comment>
    <comment ref="F2087" authorId="0">
      <text>
        <r>
          <rPr>
            <sz val="8"/>
            <color indexed="81"/>
            <rFont val="Tahoma"/>
            <charset val="1"/>
          </rPr>
          <t xml:space="preserve">04/02/2008
525000 --&gt; 519950
03/26/2008
539500 --&gt; 525000
</t>
        </r>
      </text>
    </comment>
    <comment ref="F2092" authorId="0">
      <text>
        <r>
          <rPr>
            <sz val="8"/>
            <color indexed="81"/>
            <rFont val="Tahoma"/>
            <charset val="1"/>
          </rPr>
          <t xml:space="preserve">04/07/2008
425000 --&gt; 410000
</t>
        </r>
      </text>
    </comment>
    <comment ref="F2100" authorId="0">
      <text>
        <r>
          <rPr>
            <sz val="8"/>
            <color indexed="81"/>
            <rFont val="Tahoma"/>
            <charset val="1"/>
          </rPr>
          <t xml:space="preserve">04/02/2008
849950 --&gt; 799950
</t>
        </r>
      </text>
    </comment>
    <comment ref="F2103" authorId="0">
      <text>
        <r>
          <rPr>
            <sz val="8"/>
            <color indexed="81"/>
            <rFont val="Tahoma"/>
            <charset val="1"/>
          </rPr>
          <t xml:space="preserve">04/08/2008
1059950 --&gt; 1039950
</t>
        </r>
      </text>
    </comment>
    <comment ref="F2107" authorId="0">
      <text>
        <r>
          <rPr>
            <sz val="8"/>
            <color indexed="81"/>
            <rFont val="Tahoma"/>
            <charset val="1"/>
          </rPr>
          <t xml:space="preserve">04/09/2008
678950 --&gt; 668950
03/27/2008
698950 --&gt; 678950
</t>
        </r>
      </text>
    </comment>
    <comment ref="F2108" authorId="0">
      <text>
        <r>
          <rPr>
            <sz val="8"/>
            <color indexed="81"/>
            <rFont val="Tahoma"/>
            <charset val="1"/>
          </rPr>
          <t xml:space="preserve">03/26/2008
315000 --&gt; 299950
</t>
        </r>
      </text>
    </comment>
    <comment ref="B2113" authorId="0">
      <text>
        <r>
          <rPr>
            <sz val="8"/>
            <color indexed="81"/>
            <rFont val="Tahoma"/>
            <charset val="1"/>
          </rPr>
          <t xml:space="preserve">03/31/2008
Active --&gt; Subject To Inspection
</t>
        </r>
      </text>
    </comment>
    <comment ref="AG2113" authorId="0">
      <text>
        <r>
          <rPr>
            <sz val="8"/>
            <color indexed="81"/>
            <rFont val="Tahoma"/>
            <charset val="1"/>
          </rPr>
          <t xml:space="preserve">03/31/2008
47.650778 --&gt; 47.650739
</t>
        </r>
      </text>
    </comment>
    <comment ref="AH2113" authorId="0">
      <text>
        <r>
          <rPr>
            <sz val="8"/>
            <color indexed="81"/>
            <rFont val="Tahoma"/>
            <charset val="1"/>
          </rPr>
          <t xml:space="preserve">03/31/2008
-122.34159 --&gt; -122.341592
</t>
        </r>
      </text>
    </comment>
    <comment ref="B2116" authorId="0">
      <text>
        <r>
          <rPr>
            <sz val="8"/>
            <color indexed="81"/>
            <rFont val="Tahoma"/>
            <charset val="1"/>
          </rPr>
          <t xml:space="preserve">04/01/2008
Active --&gt; Subject To Inspection
</t>
        </r>
      </text>
    </comment>
    <comment ref="F2116" authorId="0">
      <text>
        <r>
          <rPr>
            <sz val="8"/>
            <color indexed="81"/>
            <rFont val="Tahoma"/>
            <charset val="1"/>
          </rPr>
          <t xml:space="preserve">04/01/2008
459950 --&gt; 449950
</t>
        </r>
      </text>
    </comment>
    <comment ref="F2119" authorId="0">
      <text>
        <r>
          <rPr>
            <sz val="8"/>
            <color indexed="81"/>
            <rFont val="Tahoma"/>
            <charset val="1"/>
          </rPr>
          <t xml:space="preserve">04/02/2008
524950 --&gt; 514950
</t>
        </r>
      </text>
    </comment>
    <comment ref="AG2121" authorId="0">
      <text>
        <r>
          <rPr>
            <sz val="8"/>
            <color indexed="81"/>
            <rFont val="Tahoma"/>
            <charset val="1"/>
          </rPr>
          <t xml:space="preserve">03/26/2008
47.682963 --&gt; 47.682981
</t>
        </r>
      </text>
    </comment>
    <comment ref="AH2121" authorId="0">
      <text>
        <r>
          <rPr>
            <sz val="8"/>
            <color indexed="81"/>
            <rFont val="Tahoma"/>
            <charset val="1"/>
          </rPr>
          <t xml:space="preserve">03/26/2008
-122.301533 --&gt; -122.328493
</t>
        </r>
      </text>
    </comment>
    <comment ref="AG2124" authorId="0">
      <text>
        <r>
          <rPr>
            <sz val="8"/>
            <color indexed="81"/>
            <rFont val="Tahoma"/>
            <charset val="1"/>
          </rPr>
          <t xml:space="preserve">03/26/2008
47.682963 --&gt; 47.683129
</t>
        </r>
      </text>
    </comment>
    <comment ref="AH2124" authorId="0">
      <text>
        <r>
          <rPr>
            <sz val="8"/>
            <color indexed="81"/>
            <rFont val="Tahoma"/>
            <charset val="1"/>
          </rPr>
          <t xml:space="preserve">03/26/2008
-122.301503 --&gt; -122.329046
</t>
        </r>
      </text>
    </comment>
    <comment ref="F2137" authorId="0">
      <text>
        <r>
          <rPr>
            <sz val="8"/>
            <color indexed="81"/>
            <rFont val="Tahoma"/>
            <charset val="1"/>
          </rPr>
          <t xml:space="preserve">04/09/2008
524950 --&gt; 499950
</t>
        </r>
      </text>
    </comment>
    <comment ref="B2138" authorId="0">
      <text>
        <r>
          <rPr>
            <sz val="8"/>
            <color indexed="81"/>
            <rFont val="Tahoma"/>
            <charset val="1"/>
          </rPr>
          <t xml:space="preserve">04/04/2008
Active --&gt; Subject To Inspection
</t>
        </r>
      </text>
    </comment>
    <comment ref="F2139" authorId="0">
      <text>
        <r>
          <rPr>
            <sz val="8"/>
            <color indexed="81"/>
            <rFont val="Tahoma"/>
            <charset val="1"/>
          </rPr>
          <t xml:space="preserve">04/04/2008
379950 --&gt; 374950
</t>
        </r>
      </text>
    </comment>
    <comment ref="B2142" authorId="0">
      <text>
        <r>
          <rPr>
            <sz val="8"/>
            <color indexed="81"/>
            <rFont val="Tahoma"/>
            <charset val="1"/>
          </rPr>
          <t xml:space="preserve">04/09/2008
Active --&gt; Subject To Inspection
</t>
        </r>
      </text>
    </comment>
    <comment ref="F2142" authorId="0">
      <text>
        <r>
          <rPr>
            <sz val="8"/>
            <color indexed="81"/>
            <rFont val="Tahoma"/>
            <charset val="1"/>
          </rPr>
          <t xml:space="preserve">03/25/2008
519900 --&gt; 509900
</t>
        </r>
      </text>
    </comment>
    <comment ref="F2143" authorId="0">
      <text>
        <r>
          <rPr>
            <sz val="8"/>
            <color indexed="81"/>
            <rFont val="Tahoma"/>
            <charset val="1"/>
          </rPr>
          <t xml:space="preserve">03/25/2008
514900 --&gt; 504900
</t>
        </r>
      </text>
    </comment>
    <comment ref="F2146" authorId="0">
      <text>
        <r>
          <rPr>
            <sz val="8"/>
            <color indexed="81"/>
            <rFont val="Tahoma"/>
            <charset val="1"/>
          </rPr>
          <t xml:space="preserve">03/25/2008
509900 --&gt; 499900
</t>
        </r>
      </text>
    </comment>
    <comment ref="B2152" authorId="0">
      <text>
        <r>
          <rPr>
            <sz val="8"/>
            <color indexed="81"/>
            <rFont val="Tahoma"/>
            <charset val="1"/>
          </rPr>
          <t xml:space="preserve">03/26/2008
Active --&gt; Subject To Inspection
</t>
        </r>
      </text>
    </comment>
    <comment ref="CL2153" authorId="0">
      <text>
        <r>
          <rPr>
            <sz val="8"/>
            <color indexed="81"/>
            <rFont val="Tahoma"/>
            <charset val="1"/>
          </rPr>
          <t xml:space="preserve">03/30/2008
Sat, Mar 29 12 - 3 PM --&gt; Sun, Mar 30 12 - 3 PM
</t>
        </r>
      </text>
    </comment>
    <comment ref="F2157" authorId="0">
      <text>
        <r>
          <rPr>
            <sz val="8"/>
            <color indexed="81"/>
            <rFont val="Tahoma"/>
            <charset val="1"/>
          </rPr>
          <t xml:space="preserve">03/27/2008
1025900 --&gt; 989950
</t>
        </r>
      </text>
    </comment>
    <comment ref="B2162" authorId="0">
      <text>
        <r>
          <rPr>
            <sz val="8"/>
            <color indexed="81"/>
            <rFont val="Tahoma"/>
            <charset val="1"/>
          </rPr>
          <t xml:space="preserve">03/26/2008
Active --&gt; Subject To Inspection
</t>
        </r>
      </text>
    </comment>
    <comment ref="B2164" authorId="0">
      <text>
        <r>
          <rPr>
            <sz val="8"/>
            <color indexed="81"/>
            <rFont val="Tahoma"/>
            <charset val="1"/>
          </rPr>
          <t xml:space="preserve">03/31/2008
Active --&gt; Subject To Inspection
</t>
        </r>
      </text>
    </comment>
    <comment ref="AG2165" authorId="0">
      <text>
        <r>
          <rPr>
            <sz val="8"/>
            <color indexed="81"/>
            <rFont val="Tahoma"/>
            <charset val="1"/>
          </rPr>
          <t xml:space="preserve">03/19/2008
47.672586 --&gt; 47.672583
</t>
        </r>
      </text>
    </comment>
    <comment ref="AH2165" authorId="0">
      <text>
        <r>
          <rPr>
            <sz val="8"/>
            <color indexed="81"/>
            <rFont val="Tahoma"/>
            <charset val="1"/>
          </rPr>
          <t xml:space="preserve">03/19/2008
-122.406027 --&gt; -122.406021
</t>
        </r>
      </text>
    </comment>
    <comment ref="F2168" authorId="0">
      <text>
        <r>
          <rPr>
            <sz val="8"/>
            <color indexed="81"/>
            <rFont val="Tahoma"/>
            <charset val="1"/>
          </rPr>
          <t xml:space="preserve">03/26/2008
479900 --&gt; 465900
</t>
        </r>
      </text>
    </comment>
    <comment ref="F2169" authorId="0">
      <text>
        <r>
          <rPr>
            <sz val="8"/>
            <color indexed="81"/>
            <rFont val="Tahoma"/>
            <charset val="1"/>
          </rPr>
          <t xml:space="preserve">04/05/2008
522000 --&gt; 504000
</t>
        </r>
      </text>
    </comment>
    <comment ref="B2174" authorId="0">
      <text>
        <r>
          <rPr>
            <sz val="8"/>
            <color indexed="81"/>
            <rFont val="Tahoma"/>
            <charset val="1"/>
          </rPr>
          <t xml:space="preserve">03/30/2008
Subject To Inspection --&gt; Active
03/25/2008
Active --&gt; Subject To Inspection
</t>
        </r>
      </text>
    </comment>
    <comment ref="F2176" authorId="0">
      <text>
        <r>
          <rPr>
            <sz val="8"/>
            <color indexed="81"/>
            <rFont val="Tahoma"/>
            <charset val="1"/>
          </rPr>
          <t xml:space="preserve">03/27/2008
710000 --&gt; 699950
</t>
        </r>
      </text>
    </comment>
    <comment ref="F2181" authorId="0">
      <text>
        <r>
          <rPr>
            <sz val="8"/>
            <color indexed="81"/>
            <rFont val="Tahoma"/>
            <charset val="1"/>
          </rPr>
          <t xml:space="preserve">03/31/2008
689000 --&gt; 669000
</t>
        </r>
      </text>
    </comment>
    <comment ref="F2196" authorId="0">
      <text>
        <r>
          <rPr>
            <sz val="8"/>
            <color indexed="81"/>
            <rFont val="Tahoma"/>
            <charset val="1"/>
          </rPr>
          <t xml:space="preserve">03/28/2008
1199000 --&gt; 1049500
</t>
        </r>
      </text>
    </comment>
    <comment ref="F2197" authorId="0">
      <text>
        <r>
          <rPr>
            <sz val="8"/>
            <color indexed="81"/>
            <rFont val="Tahoma"/>
            <charset val="1"/>
          </rPr>
          <t xml:space="preserve">03/30/2008
490000 --&gt; 430000
</t>
        </r>
      </text>
    </comment>
    <comment ref="B2204" authorId="0">
      <text>
        <r>
          <rPr>
            <sz val="8"/>
            <color indexed="81"/>
            <rFont val="Tahoma"/>
            <charset val="1"/>
          </rPr>
          <t xml:space="preserve">03/26/2008
Active --&gt; Subject To Inspection
</t>
        </r>
      </text>
    </comment>
    <comment ref="F2205" authorId="0">
      <text>
        <r>
          <rPr>
            <sz val="8"/>
            <color indexed="81"/>
            <rFont val="Tahoma"/>
            <charset val="1"/>
          </rPr>
          <t xml:space="preserve">03/27/2008
549950 --&gt; 525000
</t>
        </r>
      </text>
    </comment>
    <comment ref="B2207" authorId="0">
      <text>
        <r>
          <rPr>
            <sz val="8"/>
            <color indexed="81"/>
            <rFont val="Tahoma"/>
            <charset val="1"/>
          </rPr>
          <t xml:space="preserve">03/26/2008
Active --&gt; Subject To Inspection
</t>
        </r>
      </text>
    </comment>
    <comment ref="B2211" authorId="0">
      <text>
        <r>
          <rPr>
            <sz val="8"/>
            <color indexed="81"/>
            <rFont val="Tahoma"/>
            <charset val="1"/>
          </rPr>
          <t xml:space="preserve">03/26/2008
Active --&gt; Subject To Inspection
</t>
        </r>
      </text>
    </comment>
    <comment ref="F2214" authorId="0">
      <text>
        <r>
          <rPr>
            <sz val="8"/>
            <color indexed="81"/>
            <rFont val="Tahoma"/>
            <charset val="1"/>
          </rPr>
          <t xml:space="preserve">03/28/2008
635000 --&gt; 619000
</t>
        </r>
      </text>
    </comment>
    <comment ref="F2216" authorId="0">
      <text>
        <r>
          <rPr>
            <sz val="8"/>
            <color indexed="81"/>
            <rFont val="Tahoma"/>
            <charset val="1"/>
          </rPr>
          <t xml:space="preserve">03/26/2008
499900 --&gt; 479900
</t>
        </r>
      </text>
    </comment>
    <comment ref="D2219" authorId="0">
      <text>
        <r>
          <rPr>
            <sz val="8"/>
            <color indexed="81"/>
            <rFont val="Tahoma"/>
            <charset val="1"/>
          </rPr>
          <t xml:space="preserve">03/26/2008
North Rose Hill --&gt; Rose Hill
</t>
        </r>
      </text>
    </comment>
    <comment ref="F2220" authorId="0">
      <text>
        <r>
          <rPr>
            <sz val="8"/>
            <color indexed="81"/>
            <rFont val="Tahoma"/>
            <charset val="1"/>
          </rPr>
          <t xml:space="preserve">04/01/2008
599000 --&gt; 574950
</t>
        </r>
      </text>
    </comment>
    <comment ref="F2226" authorId="0">
      <text>
        <r>
          <rPr>
            <sz val="8"/>
            <color indexed="81"/>
            <rFont val="Tahoma"/>
            <charset val="1"/>
          </rPr>
          <t xml:space="preserve">03/27/2008
1025900 --&gt; 985950
</t>
        </r>
      </text>
    </comment>
    <comment ref="F2232" authorId="0">
      <text>
        <r>
          <rPr>
            <sz val="8"/>
            <color indexed="81"/>
            <rFont val="Tahoma"/>
            <charset val="1"/>
          </rPr>
          <t xml:space="preserve">03/26/2008
729000 --&gt; 699500
</t>
        </r>
      </text>
    </comment>
    <comment ref="F2234" authorId="0">
      <text>
        <r>
          <rPr>
            <sz val="8"/>
            <color indexed="81"/>
            <rFont val="Tahoma"/>
            <charset val="1"/>
          </rPr>
          <t xml:space="preserve">04/03/2008
549000 --&gt; 519000
</t>
        </r>
      </text>
    </comment>
    <comment ref="F2235" authorId="0">
      <text>
        <r>
          <rPr>
            <sz val="8"/>
            <color indexed="81"/>
            <rFont val="Tahoma"/>
            <charset val="1"/>
          </rPr>
          <t xml:space="preserve">03/25/2008
619950 --&gt; 598500
</t>
        </r>
      </text>
    </comment>
    <comment ref="F2236" authorId="0">
      <text>
        <r>
          <rPr>
            <sz val="8"/>
            <color indexed="81"/>
            <rFont val="Tahoma"/>
            <charset val="1"/>
          </rPr>
          <t xml:space="preserve">04/02/2008
578000 --&gt; 549500
</t>
        </r>
      </text>
    </comment>
    <comment ref="F2237" authorId="0">
      <text>
        <r>
          <rPr>
            <sz val="8"/>
            <color indexed="81"/>
            <rFont val="Tahoma"/>
            <charset val="1"/>
          </rPr>
          <t xml:space="preserve">04/09/2008
398950 --&gt; 379000
</t>
        </r>
      </text>
    </comment>
    <comment ref="AG2237" authorId="0">
      <text>
        <r>
          <rPr>
            <sz val="8"/>
            <color indexed="81"/>
            <rFont val="Tahoma"/>
            <charset val="1"/>
          </rPr>
          <t xml:space="preserve">03/28/2008
47.505293 --&gt; 47.5050533160062
</t>
        </r>
      </text>
    </comment>
    <comment ref="AH2237" authorId="0">
      <text>
        <r>
          <rPr>
            <sz val="8"/>
            <color indexed="81"/>
            <rFont val="Tahoma"/>
            <charset val="1"/>
          </rPr>
          <t xml:space="preserve">03/28/2008
-122.164902 --&gt; -122.164916396141
</t>
        </r>
      </text>
    </comment>
    <comment ref="B2238" authorId="0">
      <text>
        <r>
          <rPr>
            <sz val="8"/>
            <color indexed="81"/>
            <rFont val="Tahoma"/>
            <charset val="1"/>
          </rPr>
          <t xml:space="preserve">04/07/2008
Active --&gt; Subject To Inspection
</t>
        </r>
      </text>
    </comment>
    <comment ref="F2238" authorId="0">
      <text>
        <r>
          <rPr>
            <sz val="8"/>
            <color indexed="81"/>
            <rFont val="Tahoma"/>
            <charset val="1"/>
          </rPr>
          <t xml:space="preserve">04/03/2008
519950 --&gt; 499950
</t>
        </r>
      </text>
    </comment>
    <comment ref="F2241" authorId="0">
      <text>
        <r>
          <rPr>
            <sz val="8"/>
            <color indexed="81"/>
            <rFont val="Tahoma"/>
            <charset val="1"/>
          </rPr>
          <t xml:space="preserve">04/01/2008
2750000 --&gt; 2495000
</t>
        </r>
      </text>
    </comment>
    <comment ref="F2242" authorId="0">
      <text>
        <r>
          <rPr>
            <sz val="8"/>
            <color indexed="81"/>
            <rFont val="Tahoma"/>
            <charset val="1"/>
          </rPr>
          <t xml:space="preserve">04/08/2008
500000 --&gt; 485000
</t>
        </r>
      </text>
    </comment>
    <comment ref="B2244" authorId="0">
      <text>
        <r>
          <rPr>
            <sz val="8"/>
            <color indexed="81"/>
            <rFont val="Tahoma"/>
            <charset val="1"/>
          </rPr>
          <t xml:space="preserve">04/05/2008
Active --&gt; Subject To Inspection
</t>
        </r>
      </text>
    </comment>
    <comment ref="AG2244" authorId="0">
      <text>
        <r>
          <rPr>
            <sz val="8"/>
            <color indexed="81"/>
            <rFont val="Tahoma"/>
            <charset val="1"/>
          </rPr>
          <t xml:space="preserve">03/26/2008
47.653723 --&gt; 47.653241
</t>
        </r>
      </text>
    </comment>
    <comment ref="AH2244" authorId="0">
      <text>
        <r>
          <rPr>
            <sz val="8"/>
            <color indexed="81"/>
            <rFont val="Tahoma"/>
            <charset val="1"/>
          </rPr>
          <t xml:space="preserve">03/26/2008
-122.356268 --&gt; -122.356395
</t>
        </r>
      </text>
    </comment>
    <comment ref="F2247" authorId="0">
      <text>
        <r>
          <rPr>
            <sz val="8"/>
            <color indexed="81"/>
            <rFont val="Tahoma"/>
            <charset val="1"/>
          </rPr>
          <t xml:space="preserve">03/23/2008
775000 --&gt; 749950
</t>
        </r>
      </text>
    </comment>
    <comment ref="B2249" authorId="0">
      <text>
        <r>
          <rPr>
            <sz val="8"/>
            <color indexed="81"/>
            <rFont val="Tahoma"/>
            <charset val="1"/>
          </rPr>
          <t xml:space="preserve">04/07/2008
Active --&gt; Subject To Inspection
</t>
        </r>
      </text>
    </comment>
    <comment ref="F2249" authorId="0">
      <text>
        <r>
          <rPr>
            <sz val="8"/>
            <color indexed="81"/>
            <rFont val="Tahoma"/>
            <charset val="1"/>
          </rPr>
          <t xml:space="preserve">03/25/2008
998000 --&gt; 879000
</t>
        </r>
      </text>
    </comment>
    <comment ref="F2250" authorId="0">
      <text>
        <r>
          <rPr>
            <sz val="8"/>
            <color indexed="81"/>
            <rFont val="Tahoma"/>
            <charset val="1"/>
          </rPr>
          <t xml:space="preserve">03/25/2008
449000 --&gt; 429000
</t>
        </r>
      </text>
    </comment>
    <comment ref="B2253" authorId="0">
      <text>
        <r>
          <rPr>
            <sz val="8"/>
            <color indexed="81"/>
            <rFont val="Tahoma"/>
            <charset val="1"/>
          </rPr>
          <t xml:space="preserve">03/25/2008
Active --&gt; Subject To Inspection
</t>
        </r>
      </text>
    </comment>
    <comment ref="F2254" authorId="0">
      <text>
        <r>
          <rPr>
            <sz val="8"/>
            <color indexed="81"/>
            <rFont val="Tahoma"/>
            <charset val="1"/>
          </rPr>
          <t xml:space="preserve">04/09/2008
700000 --&gt; 678000
</t>
        </r>
      </text>
    </comment>
    <comment ref="F2259" authorId="0">
      <text>
        <r>
          <rPr>
            <sz val="8"/>
            <color indexed="81"/>
            <rFont val="Tahoma"/>
            <charset val="1"/>
          </rPr>
          <t xml:space="preserve">04/07/2008
586000 --&gt; 550000
03/26/2008
600000 --&gt; 586000
03/19/2008
625000 --&gt; 600000
</t>
        </r>
      </text>
    </comment>
    <comment ref="F2261" authorId="0">
      <text>
        <r>
          <rPr>
            <sz val="8"/>
            <color indexed="81"/>
            <rFont val="Tahoma"/>
            <charset val="1"/>
          </rPr>
          <t xml:space="preserve">04/07/2008
588900 --&gt; 568900
</t>
        </r>
      </text>
    </comment>
    <comment ref="B2265" authorId="0">
      <text>
        <r>
          <rPr>
            <sz val="8"/>
            <color indexed="81"/>
            <rFont val="Tahoma"/>
            <charset val="1"/>
          </rPr>
          <t xml:space="preserve">04/03/2008
Active --&gt; Subject To Inspection
</t>
        </r>
      </text>
    </comment>
    <comment ref="B2267" authorId="0">
      <text>
        <r>
          <rPr>
            <sz val="8"/>
            <color indexed="81"/>
            <rFont val="Tahoma"/>
            <charset val="1"/>
          </rPr>
          <t xml:space="preserve">04/03/2008
Active --&gt; Subject To Inspection
</t>
        </r>
      </text>
    </comment>
    <comment ref="F2267" authorId="0">
      <text>
        <r>
          <rPr>
            <sz val="8"/>
            <color indexed="81"/>
            <rFont val="Tahoma"/>
            <charset val="1"/>
          </rPr>
          <t xml:space="preserve">03/26/2008
519000 --&gt; 508000
</t>
        </r>
      </text>
    </comment>
    <comment ref="B2268" authorId="0">
      <text>
        <r>
          <rPr>
            <sz val="8"/>
            <color indexed="81"/>
            <rFont val="Tahoma"/>
            <charset val="1"/>
          </rPr>
          <t xml:space="preserve">03/25/2008
Active --&gt; Subject To Inspection
</t>
        </r>
      </text>
    </comment>
    <comment ref="B2270" authorId="0">
      <text>
        <r>
          <rPr>
            <sz val="8"/>
            <color indexed="81"/>
            <rFont val="Tahoma"/>
            <charset val="1"/>
          </rPr>
          <t xml:space="preserve">03/31/2008
Active --&gt; Subject To Inspection
</t>
        </r>
      </text>
    </comment>
    <comment ref="F2271" authorId="0">
      <text>
        <r>
          <rPr>
            <sz val="8"/>
            <color indexed="81"/>
            <rFont val="Tahoma"/>
            <charset val="1"/>
          </rPr>
          <t xml:space="preserve">03/27/2008
549900 --&gt; 529900
</t>
        </r>
      </text>
    </comment>
    <comment ref="F2279" authorId="0">
      <text>
        <r>
          <rPr>
            <sz val="8"/>
            <color indexed="81"/>
            <rFont val="Tahoma"/>
            <charset val="1"/>
          </rPr>
          <t xml:space="preserve">04/03/2008
449000 --&gt; 439000
03/26/2008
469000 --&gt; 449000
</t>
        </r>
      </text>
    </comment>
    <comment ref="F2282" authorId="0">
      <text>
        <r>
          <rPr>
            <sz val="8"/>
            <color indexed="81"/>
            <rFont val="Tahoma"/>
            <charset val="1"/>
          </rPr>
          <t xml:space="preserve">04/04/2008
859000 --&gt; 839000
</t>
        </r>
      </text>
    </comment>
    <comment ref="F2283" authorId="0">
      <text>
        <r>
          <rPr>
            <sz val="8"/>
            <color indexed="81"/>
            <rFont val="Tahoma"/>
            <charset val="1"/>
          </rPr>
          <t xml:space="preserve">04/04/2008
519000 --&gt; 499950
</t>
        </r>
      </text>
    </comment>
    <comment ref="F2285" authorId="0">
      <text>
        <r>
          <rPr>
            <sz val="8"/>
            <color indexed="81"/>
            <rFont val="Tahoma"/>
            <charset val="1"/>
          </rPr>
          <t xml:space="preserve">03/26/2008
378950 --&gt; 374950
</t>
        </r>
      </text>
    </comment>
    <comment ref="F2289" authorId="0">
      <text>
        <r>
          <rPr>
            <sz val="8"/>
            <color indexed="81"/>
            <rFont val="Tahoma"/>
            <charset val="1"/>
          </rPr>
          <t xml:space="preserve">04/05/2008
665000 --&gt; 655000
</t>
        </r>
      </text>
    </comment>
    <comment ref="F2290" authorId="0">
      <text>
        <r>
          <rPr>
            <sz val="8"/>
            <color indexed="81"/>
            <rFont val="Tahoma"/>
            <charset val="1"/>
          </rPr>
          <t xml:space="preserve">04/03/2008
559900 --&gt; 524000
</t>
        </r>
      </text>
    </comment>
    <comment ref="B2292" authorId="0">
      <text>
        <r>
          <rPr>
            <sz val="8"/>
            <color indexed="81"/>
            <rFont val="Tahoma"/>
            <charset val="1"/>
          </rPr>
          <t xml:space="preserve">04/02/2008
Active --&gt; Subject To Inspection
</t>
        </r>
      </text>
    </comment>
    <comment ref="F2292" authorId="0">
      <text>
        <r>
          <rPr>
            <sz val="8"/>
            <color indexed="81"/>
            <rFont val="Tahoma"/>
            <charset val="1"/>
          </rPr>
          <t xml:space="preserve">03/25/2008
595950 --&gt; 589950
</t>
        </r>
      </text>
    </comment>
    <comment ref="B2294" authorId="0">
      <text>
        <r>
          <rPr>
            <sz val="8"/>
            <color indexed="81"/>
            <rFont val="Tahoma"/>
            <charset val="1"/>
          </rPr>
          <t xml:space="preserve">04/03/2008
Active --&gt; Subject To Inspection
</t>
        </r>
      </text>
    </comment>
    <comment ref="F2301" authorId="0">
      <text>
        <r>
          <rPr>
            <sz val="8"/>
            <color indexed="81"/>
            <rFont val="Tahoma"/>
            <charset val="1"/>
          </rPr>
          <t xml:space="preserve">04/01/2008
624900 --&gt; 599000
03/24/2008
639900 --&gt; 624900
</t>
        </r>
      </text>
    </comment>
    <comment ref="F2310" authorId="0">
      <text>
        <r>
          <rPr>
            <sz val="8"/>
            <color indexed="81"/>
            <rFont val="Tahoma"/>
            <charset val="1"/>
          </rPr>
          <t xml:space="preserve">03/19/2008
249500 --&gt; 250000
</t>
        </r>
      </text>
    </comment>
    <comment ref="F2311" authorId="0">
      <text>
        <r>
          <rPr>
            <sz val="8"/>
            <color indexed="81"/>
            <rFont val="Tahoma"/>
            <charset val="1"/>
          </rPr>
          <t xml:space="preserve">03/27/2008
459000 --&gt; 448000
</t>
        </r>
      </text>
    </comment>
    <comment ref="F2314" authorId="0">
      <text>
        <r>
          <rPr>
            <sz val="8"/>
            <color indexed="81"/>
            <rFont val="Tahoma"/>
            <charset val="1"/>
          </rPr>
          <t xml:space="preserve">04/07/2008
725000 --&gt; 699000
</t>
        </r>
      </text>
    </comment>
    <comment ref="F2315" authorId="0">
      <text>
        <r>
          <rPr>
            <sz val="8"/>
            <color indexed="81"/>
            <rFont val="Tahoma"/>
            <charset val="1"/>
          </rPr>
          <t xml:space="preserve">04/02/2008
469950 --&gt; 459950
</t>
        </r>
      </text>
    </comment>
    <comment ref="F2321" authorId="0">
      <text>
        <r>
          <rPr>
            <sz val="8"/>
            <color indexed="81"/>
            <rFont val="Tahoma"/>
            <charset val="1"/>
          </rPr>
          <t xml:space="preserve">04/08/2008
469000 --&gt; 450000
</t>
        </r>
      </text>
    </comment>
    <comment ref="B2324" authorId="0">
      <text>
        <r>
          <rPr>
            <sz val="8"/>
            <color indexed="81"/>
            <rFont val="Tahoma"/>
            <charset val="1"/>
          </rPr>
          <t xml:space="preserve">04/06/2008
Active --&gt; Subject To Inspection
</t>
        </r>
      </text>
    </comment>
    <comment ref="F2326" authorId="0">
      <text>
        <r>
          <rPr>
            <sz val="8"/>
            <color indexed="81"/>
            <rFont val="Tahoma"/>
            <charset val="1"/>
          </rPr>
          <t xml:space="preserve">04/09/2008
849000 --&gt; 799000
</t>
        </r>
      </text>
    </comment>
    <comment ref="F2330" authorId="0">
      <text>
        <r>
          <rPr>
            <sz val="8"/>
            <color indexed="81"/>
            <rFont val="Tahoma"/>
            <charset val="1"/>
          </rPr>
          <t xml:space="preserve">03/26/2008
409950 --&gt; 399950
</t>
        </r>
      </text>
    </comment>
    <comment ref="F2331" authorId="0">
      <text>
        <r>
          <rPr>
            <sz val="8"/>
            <color indexed="81"/>
            <rFont val="Tahoma"/>
            <charset val="1"/>
          </rPr>
          <t xml:space="preserve">04/08/2008
549950 --&gt; 499900
03/26/2008
575000 --&gt; 549950
</t>
        </r>
      </text>
    </comment>
    <comment ref="B2334" authorId="0">
      <text>
        <r>
          <rPr>
            <sz val="8"/>
            <color indexed="81"/>
            <rFont val="Tahoma"/>
            <charset val="1"/>
          </rPr>
          <t xml:space="preserve">03/31/2008
Active --&gt; Subject To Inspection
</t>
        </r>
      </text>
    </comment>
    <comment ref="B2336" authorId="0">
      <text>
        <r>
          <rPr>
            <sz val="8"/>
            <color indexed="81"/>
            <rFont val="Tahoma"/>
            <charset val="1"/>
          </rPr>
          <t xml:space="preserve">03/20/2008
Active --&gt; Subject To Inspection
</t>
        </r>
      </text>
    </comment>
    <comment ref="F2338" authorId="0">
      <text>
        <r>
          <rPr>
            <sz val="8"/>
            <color indexed="81"/>
            <rFont val="Tahoma"/>
            <charset val="1"/>
          </rPr>
          <t xml:space="preserve">04/02/2008
1675000 --&gt; 1575000
</t>
        </r>
      </text>
    </comment>
    <comment ref="F2342" authorId="0">
      <text>
        <r>
          <rPr>
            <sz val="8"/>
            <color indexed="81"/>
            <rFont val="Tahoma"/>
            <charset val="1"/>
          </rPr>
          <t xml:space="preserve">03/26/2008
649950 --&gt; 598000
</t>
        </r>
      </text>
    </comment>
    <comment ref="B2346" authorId="0">
      <text>
        <r>
          <rPr>
            <sz val="8"/>
            <color indexed="81"/>
            <rFont val="Tahoma"/>
            <charset val="1"/>
          </rPr>
          <t xml:space="preserve">03/24/2008
Active --&gt; Subject To Inspection
</t>
        </r>
      </text>
    </comment>
    <comment ref="F2353" authorId="0">
      <text>
        <r>
          <rPr>
            <sz val="8"/>
            <color indexed="81"/>
            <rFont val="Tahoma"/>
            <charset val="1"/>
          </rPr>
          <t xml:space="preserve">04/02/2008
508000 --&gt; 498950
</t>
        </r>
      </text>
    </comment>
    <comment ref="F2358" authorId="0">
      <text>
        <r>
          <rPr>
            <sz val="8"/>
            <color indexed="81"/>
            <rFont val="Tahoma"/>
            <charset val="1"/>
          </rPr>
          <t xml:space="preserve">03/28/2008
529950 --&gt; 499950
</t>
        </r>
      </text>
    </comment>
    <comment ref="B2359" authorId="0">
      <text>
        <r>
          <rPr>
            <sz val="8"/>
            <color indexed="81"/>
            <rFont val="Tahoma"/>
            <charset val="1"/>
          </rPr>
          <t xml:space="preserve">04/09/2008
Active --&gt; Subject To Inspection
</t>
        </r>
      </text>
    </comment>
    <comment ref="F2359" authorId="0">
      <text>
        <r>
          <rPr>
            <sz val="8"/>
            <color indexed="81"/>
            <rFont val="Tahoma"/>
            <charset val="1"/>
          </rPr>
          <t xml:space="preserve">04/01/2008
409950 --&gt; 399950
</t>
        </r>
      </text>
    </comment>
    <comment ref="F2362" authorId="0">
      <text>
        <r>
          <rPr>
            <sz val="8"/>
            <color indexed="81"/>
            <rFont val="Tahoma"/>
            <charset val="1"/>
          </rPr>
          <t xml:space="preserve">03/26/2008
1249000 --&gt; 1195000
</t>
        </r>
      </text>
    </comment>
    <comment ref="F2364" authorId="0">
      <text>
        <r>
          <rPr>
            <sz val="8"/>
            <color indexed="81"/>
            <rFont val="Tahoma"/>
            <charset val="1"/>
          </rPr>
          <t xml:space="preserve">04/08/2008
630000 --&gt; 594500
</t>
        </r>
      </text>
    </comment>
    <comment ref="F2367" authorId="0">
      <text>
        <r>
          <rPr>
            <sz val="8"/>
            <color indexed="81"/>
            <rFont val="Tahoma"/>
            <charset val="1"/>
          </rPr>
          <t xml:space="preserve">03/31/2008
1995000 --&gt; 1850000
</t>
        </r>
      </text>
    </comment>
    <comment ref="F2370" authorId="0">
      <text>
        <r>
          <rPr>
            <sz val="8"/>
            <color indexed="81"/>
            <rFont val="Tahoma"/>
            <charset val="1"/>
          </rPr>
          <t xml:space="preserve">03/26/2008
348800 --&gt; 343800
</t>
        </r>
      </text>
    </comment>
    <comment ref="F2371" authorId="0">
      <text>
        <r>
          <rPr>
            <sz val="8"/>
            <color indexed="81"/>
            <rFont val="Tahoma"/>
            <charset val="1"/>
          </rPr>
          <t xml:space="preserve">03/31/2008
509000 --&gt; 499950
</t>
        </r>
      </text>
    </comment>
    <comment ref="F2374" authorId="0">
      <text>
        <r>
          <rPr>
            <sz val="8"/>
            <color indexed="81"/>
            <rFont val="Tahoma"/>
            <charset val="1"/>
          </rPr>
          <t xml:space="preserve">04/02/2008
475900 --&gt; 450000
</t>
        </r>
      </text>
    </comment>
    <comment ref="B2375" authorId="0">
      <text>
        <r>
          <rPr>
            <sz val="8"/>
            <color indexed="81"/>
            <rFont val="Tahoma"/>
            <charset val="1"/>
          </rPr>
          <t xml:space="preserve">04/01/2008
Contingent --&gt; Active
</t>
        </r>
      </text>
    </comment>
    <comment ref="F2375" authorId="0">
      <text>
        <r>
          <rPr>
            <sz val="8"/>
            <color indexed="81"/>
            <rFont val="Tahoma"/>
            <charset val="1"/>
          </rPr>
          <t xml:space="preserve">04/01/2008
710000 --&gt; 697500
</t>
        </r>
      </text>
    </comment>
    <comment ref="D2376" authorId="0">
      <text>
        <r>
          <rPr>
            <sz val="8"/>
            <color indexed="81"/>
            <rFont val="Tahoma"/>
            <charset val="1"/>
          </rPr>
          <t xml:space="preserve">04/07/2008
Broadview --&gt; Crown Hill
</t>
        </r>
      </text>
    </comment>
    <comment ref="F2377" authorId="0">
      <text>
        <r>
          <rPr>
            <sz val="8"/>
            <color indexed="81"/>
            <rFont val="Tahoma"/>
            <charset val="1"/>
          </rPr>
          <t xml:space="preserve">04/02/2008
435000 --&gt; 429000
</t>
        </r>
      </text>
    </comment>
    <comment ref="B2378" authorId="0">
      <text>
        <r>
          <rPr>
            <sz val="8"/>
            <color indexed="81"/>
            <rFont val="Tahoma"/>
            <charset val="1"/>
          </rPr>
          <t xml:space="preserve">03/23/2008
Active --&gt; Subject To Inspection
</t>
        </r>
      </text>
    </comment>
    <comment ref="D2379" authorId="0">
      <text>
        <r>
          <rPr>
            <sz val="8"/>
            <color indexed="81"/>
            <rFont val="Tahoma"/>
            <charset val="1"/>
          </rPr>
          <t xml:space="preserve">03/26/2008
Kirkland --&gt; Rose Hill
</t>
        </r>
      </text>
    </comment>
    <comment ref="B2380" authorId="0">
      <text>
        <r>
          <rPr>
            <sz val="8"/>
            <color indexed="81"/>
            <rFont val="Tahoma"/>
            <charset val="1"/>
          </rPr>
          <t xml:space="preserve">04/03/2008
Active --&gt; Subject To Inspection
</t>
        </r>
      </text>
    </comment>
    <comment ref="B2387" authorId="0">
      <text>
        <r>
          <rPr>
            <sz val="8"/>
            <color indexed="81"/>
            <rFont val="Tahoma"/>
            <charset val="1"/>
          </rPr>
          <t xml:space="preserve">03/20/2008
Active --&gt; Subject To Inspection
</t>
        </r>
      </text>
    </comment>
    <comment ref="F2388" authorId="0">
      <text>
        <r>
          <rPr>
            <sz val="8"/>
            <color indexed="81"/>
            <rFont val="Tahoma"/>
            <charset val="1"/>
          </rPr>
          <t xml:space="preserve">04/06/2008
344888 --&gt; 339999
</t>
        </r>
      </text>
    </comment>
    <comment ref="CL2390" authorId="0">
      <text>
        <r>
          <rPr>
            <sz val="8"/>
            <color indexed="81"/>
            <rFont val="Tahoma"/>
            <charset val="1"/>
          </rPr>
          <t xml:space="preserve">04/01/2008
Sun, Mar 23 2 - 5 PM --&gt; Sun, Apr 13 2 - 5 PM
</t>
        </r>
      </text>
    </comment>
    <comment ref="B2391" authorId="0">
      <text>
        <r>
          <rPr>
            <sz val="8"/>
            <color indexed="81"/>
            <rFont val="Tahoma"/>
            <charset val="1"/>
          </rPr>
          <t xml:space="preserve">03/21/2008
Active --&gt; Subject To Inspection
</t>
        </r>
      </text>
    </comment>
    <comment ref="F2393" authorId="0">
      <text>
        <r>
          <rPr>
            <sz val="8"/>
            <color indexed="81"/>
            <rFont val="Tahoma"/>
            <charset val="1"/>
          </rPr>
          <t xml:space="preserve">03/27/2008
769000 --&gt; 729500
</t>
        </r>
      </text>
    </comment>
    <comment ref="B2394" authorId="0">
      <text>
        <r>
          <rPr>
            <sz val="8"/>
            <color indexed="81"/>
            <rFont val="Tahoma"/>
            <charset val="1"/>
          </rPr>
          <t xml:space="preserve">04/08/2008
Active --&gt; Subject To Inspection
</t>
        </r>
      </text>
    </comment>
    <comment ref="B2399" authorId="0">
      <text>
        <r>
          <rPr>
            <sz val="8"/>
            <color indexed="81"/>
            <rFont val="Tahoma"/>
            <charset val="1"/>
          </rPr>
          <t xml:space="preserve">03/20/2008
Active --&gt; Subject To Inspection
</t>
        </r>
      </text>
    </comment>
    <comment ref="F2403" authorId="0">
      <text>
        <r>
          <rPr>
            <sz val="8"/>
            <color indexed="81"/>
            <rFont val="Tahoma"/>
            <charset val="1"/>
          </rPr>
          <t xml:space="preserve">03/31/2008
613950 --&gt; 599950
</t>
        </r>
      </text>
    </comment>
    <comment ref="B2408" authorId="0">
      <text>
        <r>
          <rPr>
            <sz val="8"/>
            <color indexed="81"/>
            <rFont val="Tahoma"/>
            <charset val="1"/>
          </rPr>
          <t xml:space="preserve">03/26/2008
Active --&gt; Subject To Inspection
</t>
        </r>
      </text>
    </comment>
    <comment ref="B2409" authorId="0">
      <text>
        <r>
          <rPr>
            <sz val="8"/>
            <color indexed="81"/>
            <rFont val="Tahoma"/>
            <charset val="1"/>
          </rPr>
          <t xml:space="preserve">04/02/2008
Active --&gt; Subject To Inspection
</t>
        </r>
      </text>
    </comment>
    <comment ref="F2409" authorId="0">
      <text>
        <r>
          <rPr>
            <sz val="8"/>
            <color indexed="81"/>
            <rFont val="Tahoma"/>
            <charset val="1"/>
          </rPr>
          <t xml:space="preserve">03/26/2008
839950 --&gt; 814950
</t>
        </r>
      </text>
    </comment>
    <comment ref="B2415" authorId="0">
      <text>
        <r>
          <rPr>
            <sz val="8"/>
            <color indexed="81"/>
            <rFont val="Tahoma"/>
            <charset val="1"/>
          </rPr>
          <t xml:space="preserve">03/30/2008
Active --&gt; Subject To Inspection
</t>
        </r>
      </text>
    </comment>
    <comment ref="B2417" authorId="0">
      <text>
        <r>
          <rPr>
            <sz val="8"/>
            <color indexed="81"/>
            <rFont val="Tahoma"/>
            <charset val="1"/>
          </rPr>
          <t xml:space="preserve">03/30/2008
Active --&gt; Subject To Inspection
</t>
        </r>
      </text>
    </comment>
    <comment ref="F2420" authorId="0">
      <text>
        <r>
          <rPr>
            <sz val="8"/>
            <color indexed="81"/>
            <rFont val="Tahoma"/>
            <charset val="1"/>
          </rPr>
          <t xml:space="preserve">04/03/2008
489960 --&gt; 475920
</t>
        </r>
      </text>
    </comment>
    <comment ref="F2421" authorId="0">
      <text>
        <r>
          <rPr>
            <sz val="8"/>
            <color indexed="81"/>
            <rFont val="Tahoma"/>
            <charset val="1"/>
          </rPr>
          <t xml:space="preserve">03/21/2008
418000 --&gt; 405000
</t>
        </r>
      </text>
    </comment>
    <comment ref="B2432" authorId="0">
      <text>
        <r>
          <rPr>
            <sz val="8"/>
            <color indexed="81"/>
            <rFont val="Tahoma"/>
            <charset val="1"/>
          </rPr>
          <t xml:space="preserve">03/26/2008
Active --&gt; Subject To Inspection
</t>
        </r>
      </text>
    </comment>
    <comment ref="B2434" authorId="0">
      <text>
        <r>
          <rPr>
            <sz val="8"/>
            <color indexed="81"/>
            <rFont val="Tahoma"/>
            <charset val="1"/>
          </rPr>
          <t xml:space="preserve">03/26/2008
Active --&gt; Subject To Inspection
</t>
        </r>
      </text>
    </comment>
    <comment ref="F2439" authorId="0">
      <text>
        <r>
          <rPr>
            <sz val="8"/>
            <color indexed="81"/>
            <rFont val="Tahoma"/>
            <charset val="1"/>
          </rPr>
          <t xml:space="preserve">03/31/2008
529950 --&gt; 525950
</t>
        </r>
      </text>
    </comment>
    <comment ref="B2440" authorId="0">
      <text>
        <r>
          <rPr>
            <sz val="8"/>
            <color indexed="81"/>
            <rFont val="Tahoma"/>
            <charset val="1"/>
          </rPr>
          <t xml:space="preserve">04/04/2008
Active --&gt; Subject To Inspection
</t>
        </r>
      </text>
    </comment>
    <comment ref="F2447" authorId="0">
      <text>
        <r>
          <rPr>
            <sz val="8"/>
            <color indexed="81"/>
            <rFont val="Tahoma"/>
            <charset val="1"/>
          </rPr>
          <t xml:space="preserve">03/31/2008
370000 --&gt; 359000
</t>
        </r>
      </text>
    </comment>
    <comment ref="F2448" authorId="0">
      <text>
        <r>
          <rPr>
            <sz val="8"/>
            <color indexed="81"/>
            <rFont val="Tahoma"/>
            <charset val="1"/>
          </rPr>
          <t xml:space="preserve">04/04/2008
495000 --&gt; 479000
</t>
        </r>
      </text>
    </comment>
    <comment ref="CL2451" authorId="0">
      <text>
        <r>
          <rPr>
            <sz val="8"/>
            <color indexed="81"/>
            <rFont val="Tahoma"/>
            <charset val="1"/>
          </rPr>
          <t xml:space="preserve">03/27/2008
Sun, Mar 23 1 - 4 PM --&gt; Sat, Mar 29 1 - 3 PM
</t>
        </r>
      </text>
    </comment>
    <comment ref="F2453" authorId="0">
      <text>
        <r>
          <rPr>
            <sz val="8"/>
            <color indexed="81"/>
            <rFont val="Tahoma"/>
            <charset val="1"/>
          </rPr>
          <t xml:space="preserve">04/09/2008
399950 --&gt; 389950
</t>
        </r>
      </text>
    </comment>
    <comment ref="B2456" authorId="0">
      <text>
        <r>
          <rPr>
            <sz val="8"/>
            <color indexed="81"/>
            <rFont val="Tahoma"/>
            <charset val="1"/>
          </rPr>
          <t xml:space="preserve">04/04/2008
Subject To Inspection --&gt; Active
03/26/2008
Active --&gt; Subject To Inspection
</t>
        </r>
      </text>
    </comment>
    <comment ref="B2457" authorId="0">
      <text>
        <r>
          <rPr>
            <sz val="8"/>
            <color indexed="81"/>
            <rFont val="Tahoma"/>
            <charset val="1"/>
          </rPr>
          <t xml:space="preserve">04/03/2008
Active --&gt; Subject To Inspection
</t>
        </r>
      </text>
    </comment>
    <comment ref="CL2464" authorId="0">
      <text>
        <r>
          <rPr>
            <sz val="8"/>
            <color indexed="81"/>
            <rFont val="Tahoma"/>
            <charset val="1"/>
          </rPr>
          <t xml:space="preserve">04/05/2008
Sat, Apr 5 12 - 5 PM --&gt; Sun, Apr 6 12 - 5 PM
03/31/2008
Sun, Mar 30 12 - 5 PM --&gt; Sat, Apr 5 12 - 5 PM
03/30/2008
Sat, Mar 29 12 - 5 PM --&gt; Sun, Mar 30 12 - 5 PM
</t>
        </r>
      </text>
    </comment>
    <comment ref="B2467" authorId="0">
      <text>
        <r>
          <rPr>
            <sz val="8"/>
            <color indexed="81"/>
            <rFont val="Tahoma"/>
            <charset val="1"/>
          </rPr>
          <t xml:space="preserve">04/01/2008
Active --&gt; Subject To Inspection
</t>
        </r>
      </text>
    </comment>
    <comment ref="F2467" authorId="0">
      <text>
        <r>
          <rPr>
            <sz val="8"/>
            <color indexed="81"/>
            <rFont val="Tahoma"/>
            <charset val="1"/>
          </rPr>
          <t xml:space="preserve">03/28/2008
938500 --&gt; 898800
</t>
        </r>
      </text>
    </comment>
    <comment ref="F2474" authorId="0">
      <text>
        <r>
          <rPr>
            <sz val="8"/>
            <color indexed="81"/>
            <rFont val="Tahoma"/>
            <charset val="1"/>
          </rPr>
          <t xml:space="preserve">03/27/2008
900000 --&gt; 850000
</t>
        </r>
      </text>
    </comment>
    <comment ref="B2475" authorId="0">
      <text>
        <r>
          <rPr>
            <sz val="8"/>
            <color indexed="81"/>
            <rFont val="Tahoma"/>
            <charset val="1"/>
          </rPr>
          <t xml:space="preserve">04/01/2008
Active --&gt; Subject To Inspection
</t>
        </r>
      </text>
    </comment>
    <comment ref="B2477" authorId="0">
      <text>
        <r>
          <rPr>
            <sz val="8"/>
            <color indexed="81"/>
            <rFont val="Tahoma"/>
            <charset val="1"/>
          </rPr>
          <t xml:space="preserve">03/31/2008
Active --&gt; Subject To Inspection
</t>
        </r>
      </text>
    </comment>
    <comment ref="B2478" authorId="0">
      <text>
        <r>
          <rPr>
            <sz val="8"/>
            <color indexed="81"/>
            <rFont val="Tahoma"/>
            <charset val="1"/>
          </rPr>
          <t xml:space="preserve">03/28/2008
Active --&gt; Subject To Inspection
</t>
        </r>
      </text>
    </comment>
    <comment ref="F2479" authorId="0">
      <text>
        <r>
          <rPr>
            <sz val="8"/>
            <color indexed="81"/>
            <rFont val="Tahoma"/>
            <charset val="1"/>
          </rPr>
          <t xml:space="preserve">03/31/2008
550000 --&gt; 530000
</t>
        </r>
      </text>
    </comment>
    <comment ref="D2481" authorId="0">
      <text>
        <r>
          <rPr>
            <sz val="8"/>
            <color indexed="81"/>
            <rFont val="Tahoma"/>
            <charset val="1"/>
          </rPr>
          <t xml:space="preserve">03/19/2008
Ballard --&gt; Phinney Ridge
</t>
        </r>
      </text>
    </comment>
    <comment ref="F2483" authorId="0">
      <text>
        <r>
          <rPr>
            <sz val="8"/>
            <color indexed="81"/>
            <rFont val="Tahoma"/>
            <charset val="1"/>
          </rPr>
          <t xml:space="preserve">03/26/2008
437500 --&gt; 424950
</t>
        </r>
      </text>
    </comment>
    <comment ref="CL2484" authorId="0">
      <text>
        <r>
          <rPr>
            <sz val="8"/>
            <color indexed="81"/>
            <rFont val="Tahoma"/>
            <charset val="1"/>
          </rPr>
          <t xml:space="preserve">03/30/2008
Sat, Mar 29 1 - 4 PM --&gt; Sun, Mar 30 1 - 4 PM
</t>
        </r>
      </text>
    </comment>
    <comment ref="D2488" authorId="0">
      <text>
        <r>
          <rPr>
            <sz val="8"/>
            <color indexed="81"/>
            <rFont val="Tahoma"/>
            <charset val="1"/>
          </rPr>
          <t xml:space="preserve">04/03/2008
North Capitol Hill --&gt; Capitol Hill
</t>
        </r>
      </text>
    </comment>
    <comment ref="F2489" authorId="0">
      <text>
        <r>
          <rPr>
            <sz val="8"/>
            <color indexed="81"/>
            <rFont val="Tahoma"/>
            <charset val="1"/>
          </rPr>
          <t xml:space="preserve">04/09/2008
629000 --&gt; 599000
</t>
        </r>
      </text>
    </comment>
    <comment ref="CL2492" authorId="0">
      <text>
        <r>
          <rPr>
            <sz val="8"/>
            <color indexed="81"/>
            <rFont val="Tahoma"/>
            <charset val="1"/>
          </rPr>
          <t xml:space="preserve">03/30/2008
Sun, Mar 30 1 - 4 PM --&gt; Sun, Mar 30 1 - 3 PM
</t>
        </r>
      </text>
    </comment>
    <comment ref="B2494" authorId="0">
      <text>
        <r>
          <rPr>
            <sz val="8"/>
            <color indexed="81"/>
            <rFont val="Tahoma"/>
            <charset val="1"/>
          </rPr>
          <t xml:space="preserve">03/25/2008
Active --&gt; Subject To Inspection
</t>
        </r>
      </text>
    </comment>
    <comment ref="F2496" authorId="0">
      <text>
        <r>
          <rPr>
            <sz val="8"/>
            <color indexed="81"/>
            <rFont val="Tahoma"/>
            <charset val="1"/>
          </rPr>
          <t xml:space="preserve">03/27/2008
519900 --&gt; 499900
</t>
        </r>
      </text>
    </comment>
    <comment ref="F2503" authorId="0">
      <text>
        <r>
          <rPr>
            <sz val="8"/>
            <color indexed="81"/>
            <rFont val="Tahoma"/>
            <charset val="1"/>
          </rPr>
          <t xml:space="preserve">04/04/2008
389450 --&gt; 375000
</t>
        </r>
      </text>
    </comment>
    <comment ref="B2505" authorId="0">
      <text>
        <r>
          <rPr>
            <sz val="8"/>
            <color indexed="81"/>
            <rFont val="Tahoma"/>
            <charset val="1"/>
          </rPr>
          <t xml:space="preserve">03/23/2008
Active --&gt; Subject To Inspection
</t>
        </r>
      </text>
    </comment>
    <comment ref="B2507" authorId="0">
      <text>
        <r>
          <rPr>
            <sz val="8"/>
            <color indexed="81"/>
            <rFont val="Tahoma"/>
            <charset val="1"/>
          </rPr>
          <t xml:space="preserve">03/26/2008
Active --&gt; Subject To Inspection
</t>
        </r>
      </text>
    </comment>
    <comment ref="F2513" authorId="0">
      <text>
        <r>
          <rPr>
            <sz val="8"/>
            <color indexed="81"/>
            <rFont val="Tahoma"/>
            <charset val="1"/>
          </rPr>
          <t xml:space="preserve">04/02/2008
729000 --&gt; 699000
</t>
        </r>
      </text>
    </comment>
    <comment ref="F2517" authorId="0">
      <text>
        <r>
          <rPr>
            <sz val="8"/>
            <color indexed="81"/>
            <rFont val="Tahoma"/>
            <charset val="1"/>
          </rPr>
          <t xml:space="preserve">04/01/2008
509950 --&gt; 475000
</t>
        </r>
      </text>
    </comment>
    <comment ref="B2518" authorId="0">
      <text>
        <r>
          <rPr>
            <sz val="8"/>
            <color indexed="81"/>
            <rFont val="Tahoma"/>
            <charset val="1"/>
          </rPr>
          <t xml:space="preserve">03/31/2008
Active --&gt; Subject To Inspection
</t>
        </r>
      </text>
    </comment>
    <comment ref="F2518" authorId="0">
      <text>
        <r>
          <rPr>
            <sz val="8"/>
            <color indexed="81"/>
            <rFont val="Tahoma"/>
            <charset val="1"/>
          </rPr>
          <t xml:space="preserve">04/02/2008
379950 --&gt; 399000
</t>
        </r>
      </text>
    </comment>
    <comment ref="B2520" authorId="0">
      <text>
        <r>
          <rPr>
            <sz val="8"/>
            <color indexed="81"/>
            <rFont val="Tahoma"/>
            <charset val="1"/>
          </rPr>
          <t xml:space="preserve">03/26/2008
Active --&gt; Subject To Inspection
</t>
        </r>
      </text>
    </comment>
    <comment ref="F2521" authorId="0">
      <text>
        <r>
          <rPr>
            <sz val="8"/>
            <color indexed="81"/>
            <rFont val="Tahoma"/>
            <charset val="1"/>
          </rPr>
          <t xml:space="preserve">04/07/2008
649750 --&gt; 639750
03/28/2008
659750 --&gt; 649750
</t>
        </r>
      </text>
    </comment>
    <comment ref="B2525" authorId="0">
      <text>
        <r>
          <rPr>
            <sz val="8"/>
            <color indexed="81"/>
            <rFont val="Tahoma"/>
            <charset val="1"/>
          </rPr>
          <t xml:space="preserve">04/02/2008
Active --&gt; Subject To Inspection
</t>
        </r>
      </text>
    </comment>
    <comment ref="B2526" authorId="0">
      <text>
        <r>
          <rPr>
            <sz val="8"/>
            <color indexed="81"/>
            <rFont val="Tahoma"/>
            <charset val="1"/>
          </rPr>
          <t xml:space="preserve">04/08/2008
Active --&gt; Subject To Inspection
</t>
        </r>
      </text>
    </comment>
    <comment ref="F2530" authorId="0">
      <text>
        <r>
          <rPr>
            <sz val="8"/>
            <color indexed="81"/>
            <rFont val="Tahoma"/>
            <charset val="1"/>
          </rPr>
          <t xml:space="preserve">04/09/2008
524750 --&gt; 518750
</t>
        </r>
      </text>
    </comment>
    <comment ref="F2535" authorId="0">
      <text>
        <r>
          <rPr>
            <sz val="8"/>
            <color indexed="81"/>
            <rFont val="Tahoma"/>
            <charset val="1"/>
          </rPr>
          <t xml:space="preserve">04/01/2008
1295000 --&gt; 1195000
</t>
        </r>
      </text>
    </comment>
    <comment ref="B2538" authorId="0">
      <text>
        <r>
          <rPr>
            <sz val="8"/>
            <color indexed="81"/>
            <rFont val="Tahoma"/>
            <charset val="1"/>
          </rPr>
          <t xml:space="preserve">04/04/2008
Active --&gt; Subject To Inspection
</t>
        </r>
      </text>
    </comment>
    <comment ref="CL2540" authorId="0">
      <text>
        <r>
          <rPr>
            <sz val="8"/>
            <color indexed="81"/>
            <rFont val="Tahoma"/>
            <charset val="1"/>
          </rPr>
          <t xml:space="preserve">03/30/2008
Sat, Mar 29 1 - 4 PM --&gt; Sun, Mar 30 2 - 5 PM
</t>
        </r>
      </text>
    </comment>
    <comment ref="B2542" authorId="0">
      <text>
        <r>
          <rPr>
            <sz val="8"/>
            <color indexed="81"/>
            <rFont val="Tahoma"/>
            <charset val="1"/>
          </rPr>
          <t xml:space="preserve">03/27/2008
Active --&gt; Subject To Inspection
</t>
        </r>
      </text>
    </comment>
    <comment ref="B2543" authorId="0">
      <text>
        <r>
          <rPr>
            <sz val="8"/>
            <color indexed="81"/>
            <rFont val="Tahoma"/>
            <charset val="1"/>
          </rPr>
          <t xml:space="preserve">04/09/2008
Active --&gt; Subject To Inspection
</t>
        </r>
      </text>
    </comment>
    <comment ref="B2544" authorId="0">
      <text>
        <r>
          <rPr>
            <sz val="8"/>
            <color indexed="81"/>
            <rFont val="Tahoma"/>
            <charset val="1"/>
          </rPr>
          <t xml:space="preserve">04/09/2008
Active --&gt; Subject To Inspection
</t>
        </r>
      </text>
    </comment>
    <comment ref="F2545" authorId="0">
      <text>
        <r>
          <rPr>
            <sz val="8"/>
            <color indexed="81"/>
            <rFont val="Tahoma"/>
            <charset val="1"/>
          </rPr>
          <t xml:space="preserve">04/05/2008
479950 --&gt; 469950
</t>
        </r>
      </text>
    </comment>
    <comment ref="B2546" authorId="0">
      <text>
        <r>
          <rPr>
            <sz val="8"/>
            <color indexed="81"/>
            <rFont val="Tahoma"/>
            <charset val="1"/>
          </rPr>
          <t xml:space="preserve">04/06/2008
Active --&gt; Subject To Inspection
</t>
        </r>
      </text>
    </comment>
    <comment ref="F2547" authorId="0">
      <text>
        <r>
          <rPr>
            <sz val="8"/>
            <color indexed="81"/>
            <rFont val="Tahoma"/>
            <charset val="1"/>
          </rPr>
          <t xml:space="preserve">04/01/2008
557850 --&gt; 528850
</t>
        </r>
      </text>
    </comment>
    <comment ref="B2549" authorId="0">
      <text>
        <r>
          <rPr>
            <sz val="8"/>
            <color indexed="81"/>
            <rFont val="Tahoma"/>
            <charset val="1"/>
          </rPr>
          <t xml:space="preserve">03/25/2008
Active --&gt; Subject To Inspection
</t>
        </r>
      </text>
    </comment>
    <comment ref="B2551" authorId="0">
      <text>
        <r>
          <rPr>
            <sz val="8"/>
            <color indexed="81"/>
            <rFont val="Tahoma"/>
            <charset val="1"/>
          </rPr>
          <t xml:space="preserve">04/05/2008
Active --&gt; Subject To Inspection
</t>
        </r>
      </text>
    </comment>
    <comment ref="B2556" authorId="0">
      <text>
        <r>
          <rPr>
            <sz val="8"/>
            <color indexed="81"/>
            <rFont val="Tahoma"/>
            <charset val="1"/>
          </rPr>
          <t xml:space="preserve">03/30/2008
Active --&gt; Subject To Inspection
</t>
        </r>
      </text>
    </comment>
    <comment ref="F2558" authorId="0">
      <text>
        <r>
          <rPr>
            <sz val="8"/>
            <color indexed="81"/>
            <rFont val="Tahoma"/>
            <charset val="1"/>
          </rPr>
          <t xml:space="preserve">04/05/2008
959000 --&gt; 899000
</t>
        </r>
      </text>
    </comment>
    <comment ref="F2559" authorId="0">
      <text>
        <r>
          <rPr>
            <sz val="8"/>
            <color indexed="81"/>
            <rFont val="Tahoma"/>
            <charset val="1"/>
          </rPr>
          <t xml:space="preserve">03/30/2008
607500 --&gt; 597500
</t>
        </r>
      </text>
    </comment>
    <comment ref="B2562" authorId="0">
      <text>
        <r>
          <rPr>
            <sz val="8"/>
            <color indexed="81"/>
            <rFont val="Tahoma"/>
            <charset val="1"/>
          </rPr>
          <t xml:space="preserve">03/26/2008
Active --&gt; Subject To Inspection
</t>
        </r>
      </text>
    </comment>
    <comment ref="CL2562" authorId="0">
      <text>
        <r>
          <rPr>
            <sz val="8"/>
            <color indexed="81"/>
            <rFont val="Tahoma"/>
            <charset val="1"/>
          </rPr>
          <t xml:space="preserve">03/30/2008
Sat, Mar 29 1 - 4 PM --&gt; Sun, Mar 30 1 - 4 PM
</t>
        </r>
      </text>
    </comment>
    <comment ref="B2564" authorId="0">
      <text>
        <r>
          <rPr>
            <sz val="8"/>
            <color indexed="81"/>
            <rFont val="Tahoma"/>
            <charset val="1"/>
          </rPr>
          <t xml:space="preserve">03/25/2008
Active --&gt; Subject To Inspection
</t>
        </r>
      </text>
    </comment>
    <comment ref="B2567" authorId="0">
      <text>
        <r>
          <rPr>
            <sz val="8"/>
            <color indexed="81"/>
            <rFont val="Tahoma"/>
            <charset val="1"/>
          </rPr>
          <t xml:space="preserve">03/21/2008
Active --&gt; Subject To Inspection
</t>
        </r>
      </text>
    </comment>
    <comment ref="CL2567" authorId="0">
      <text>
        <r>
          <rPr>
            <sz val="8"/>
            <color indexed="81"/>
            <rFont val="Tahoma"/>
            <charset val="1"/>
          </rPr>
          <t xml:space="preserve">03/21/2008
Sun, Mar 23 2:30 - 4:30 PM --&gt; Sun, Mar 23 2 - 4 PM
</t>
        </r>
      </text>
    </comment>
    <comment ref="F2571" authorId="0">
      <text>
        <r>
          <rPr>
            <sz val="8"/>
            <color indexed="81"/>
            <rFont val="Tahoma"/>
            <charset val="1"/>
          </rPr>
          <t xml:space="preserve">04/09/2008
1217000 --&gt; 1117000
03/26/2008
1317000 --&gt; 1217000
</t>
        </r>
      </text>
    </comment>
    <comment ref="B2574" authorId="0">
      <text>
        <r>
          <rPr>
            <sz val="8"/>
            <color indexed="81"/>
            <rFont val="Tahoma"/>
            <charset val="1"/>
          </rPr>
          <t xml:space="preserve">03/26/2008
Active --&gt; Subject To Inspection
</t>
        </r>
      </text>
    </comment>
    <comment ref="B2575" authorId="0">
      <text>
        <r>
          <rPr>
            <sz val="8"/>
            <color indexed="81"/>
            <rFont val="Tahoma"/>
            <charset val="1"/>
          </rPr>
          <t xml:space="preserve">03/25/2008
Active --&gt; Subject To Inspection
</t>
        </r>
      </text>
    </comment>
    <comment ref="B2584" authorId="0">
      <text>
        <r>
          <rPr>
            <sz val="8"/>
            <color indexed="81"/>
            <rFont val="Tahoma"/>
            <charset val="1"/>
          </rPr>
          <t xml:space="preserve">03/26/2008
Active --&gt; Subject To Inspection
</t>
        </r>
      </text>
    </comment>
    <comment ref="D2587" authorId="0">
      <text>
        <r>
          <rPr>
            <sz val="8"/>
            <color indexed="81"/>
            <rFont val="Tahoma"/>
            <charset val="1"/>
          </rPr>
          <t xml:space="preserve">03/25/2008
Wallingford --&gt; Fremont
</t>
        </r>
      </text>
    </comment>
    <comment ref="F2590" authorId="0">
      <text>
        <r>
          <rPr>
            <sz val="8"/>
            <color indexed="81"/>
            <rFont val="Tahoma"/>
            <charset val="1"/>
          </rPr>
          <t xml:space="preserve">04/02/2008
479990 --&gt; 449999
03/28/2008
499000 --&gt; 479990
</t>
        </r>
      </text>
    </comment>
    <comment ref="F2591" authorId="0">
      <text>
        <r>
          <rPr>
            <sz val="8"/>
            <color indexed="81"/>
            <rFont val="Tahoma"/>
            <charset val="1"/>
          </rPr>
          <t xml:space="preserve">04/08/2008
789950 --&gt; 765000
</t>
        </r>
      </text>
    </comment>
    <comment ref="F2594" authorId="0">
      <text>
        <r>
          <rPr>
            <sz val="8"/>
            <color indexed="81"/>
            <rFont val="Tahoma"/>
            <charset val="1"/>
          </rPr>
          <t xml:space="preserve">04/09/2008
519000 --&gt; 509000
</t>
        </r>
      </text>
    </comment>
    <comment ref="F2595" authorId="0">
      <text>
        <r>
          <rPr>
            <sz val="8"/>
            <color indexed="81"/>
            <rFont val="Tahoma"/>
            <charset val="1"/>
          </rPr>
          <t xml:space="preserve">04/07/2008
925000 --&gt; 895000
</t>
        </r>
      </text>
    </comment>
    <comment ref="F2597" authorId="0">
      <text>
        <r>
          <rPr>
            <sz val="8"/>
            <color indexed="81"/>
            <rFont val="Tahoma"/>
            <charset val="1"/>
          </rPr>
          <t xml:space="preserve">03/25/2008
724900 --&gt; 699999
</t>
        </r>
      </text>
    </comment>
    <comment ref="F2598" authorId="0">
      <text>
        <r>
          <rPr>
            <sz val="8"/>
            <color indexed="81"/>
            <rFont val="Tahoma"/>
            <charset val="1"/>
          </rPr>
          <t xml:space="preserve">04/08/2008
599000 --&gt; 569000
</t>
        </r>
      </text>
    </comment>
    <comment ref="B2604" authorId="0">
      <text>
        <r>
          <rPr>
            <sz val="8"/>
            <color indexed="81"/>
            <rFont val="Tahoma"/>
            <charset val="1"/>
          </rPr>
          <t xml:space="preserve">04/04/2008
Subject To Inspection --&gt; Active
03/31/2008
Active --&gt; Subject To Inspection
</t>
        </r>
      </text>
    </comment>
    <comment ref="F2610" authorId="0">
      <text>
        <r>
          <rPr>
            <sz val="8"/>
            <color indexed="81"/>
            <rFont val="Tahoma"/>
            <charset val="1"/>
          </rPr>
          <t xml:space="preserve">03/27/2008
1495000 --&gt; 1375000
</t>
        </r>
      </text>
    </comment>
    <comment ref="B2616" authorId="0">
      <text>
        <r>
          <rPr>
            <sz val="8"/>
            <color indexed="81"/>
            <rFont val="Tahoma"/>
            <charset val="1"/>
          </rPr>
          <t xml:space="preserve">04/02/2008
Active --&gt; Subject To Inspection
</t>
        </r>
      </text>
    </comment>
    <comment ref="B2617" authorId="0">
      <text>
        <r>
          <rPr>
            <sz val="8"/>
            <color indexed="81"/>
            <rFont val="Tahoma"/>
            <charset val="1"/>
          </rPr>
          <t xml:space="preserve">03/25/2008
Active --&gt; Subject To Inspection
</t>
        </r>
      </text>
    </comment>
    <comment ref="B2621" authorId="0">
      <text>
        <r>
          <rPr>
            <sz val="8"/>
            <color indexed="81"/>
            <rFont val="Tahoma"/>
            <charset val="1"/>
          </rPr>
          <t xml:space="preserve">03/24/2008
Active --&gt; Subject To Inspection
</t>
        </r>
      </text>
    </comment>
    <comment ref="B2622" authorId="0">
      <text>
        <r>
          <rPr>
            <sz val="8"/>
            <color indexed="81"/>
            <rFont val="Tahoma"/>
            <charset val="1"/>
          </rPr>
          <t xml:space="preserve">04/09/2008
Active --&gt; Subject To Inspection
</t>
        </r>
      </text>
    </comment>
    <comment ref="F2630" authorId="0">
      <text>
        <r>
          <rPr>
            <sz val="8"/>
            <color indexed="81"/>
            <rFont val="Tahoma"/>
            <charset val="1"/>
          </rPr>
          <t xml:space="preserve">04/09/2008
689950 --&gt; 659000
</t>
        </r>
      </text>
    </comment>
    <comment ref="D2631" authorId="0">
      <text>
        <r>
          <rPr>
            <sz val="8"/>
            <color indexed="81"/>
            <rFont val="Tahoma"/>
            <charset val="1"/>
          </rPr>
          <t xml:space="preserve">03/26/2008
Ballard --&gt; Phinney Ridge
</t>
        </r>
      </text>
    </comment>
    <comment ref="F2632" authorId="0">
      <text>
        <r>
          <rPr>
            <sz val="8"/>
            <color indexed="81"/>
            <rFont val="Tahoma"/>
            <charset val="1"/>
          </rPr>
          <t xml:space="preserve">04/03/2008
349000 --&gt; 329950
</t>
        </r>
      </text>
    </comment>
    <comment ref="B2633" authorId="0">
      <text>
        <r>
          <rPr>
            <sz val="8"/>
            <color indexed="81"/>
            <rFont val="Tahoma"/>
            <charset val="1"/>
          </rPr>
          <t xml:space="preserve">03/31/2008
Active --&gt; Contingent
</t>
        </r>
      </text>
    </comment>
    <comment ref="F2633" authorId="0">
      <text>
        <r>
          <rPr>
            <sz val="8"/>
            <color indexed="81"/>
            <rFont val="Tahoma"/>
            <charset val="1"/>
          </rPr>
          <t xml:space="preserve">04/06/2008
518900 --&gt; 528900
</t>
        </r>
      </text>
    </comment>
    <comment ref="F2634" authorId="0">
      <text>
        <r>
          <rPr>
            <sz val="8"/>
            <color indexed="81"/>
            <rFont val="Tahoma"/>
            <charset val="1"/>
          </rPr>
          <t xml:space="preserve">04/06/2008
524900 --&gt; 534900
</t>
        </r>
      </text>
    </comment>
    <comment ref="F2636" authorId="0">
      <text>
        <r>
          <rPr>
            <sz val="8"/>
            <color indexed="81"/>
            <rFont val="Tahoma"/>
            <charset val="1"/>
          </rPr>
          <t xml:space="preserve">04/06/2008
524900 --&gt; 538900
</t>
        </r>
      </text>
    </comment>
    <comment ref="F2637" authorId="0">
      <text>
        <r>
          <rPr>
            <sz val="8"/>
            <color indexed="81"/>
            <rFont val="Tahoma"/>
            <charset val="1"/>
          </rPr>
          <t xml:space="preserve">04/06/2008
512900 --&gt; 522900
</t>
        </r>
      </text>
    </comment>
    <comment ref="F2638" authorId="0">
      <text>
        <r>
          <rPr>
            <sz val="8"/>
            <color indexed="81"/>
            <rFont val="Tahoma"/>
            <charset val="1"/>
          </rPr>
          <t xml:space="preserve">04/06/2008
510900 --&gt; 520900
</t>
        </r>
      </text>
    </comment>
    <comment ref="B2639" authorId="0">
      <text>
        <r>
          <rPr>
            <sz val="8"/>
            <color indexed="81"/>
            <rFont val="Tahoma"/>
            <charset val="1"/>
          </rPr>
          <t xml:space="preserve">03/31/2008
Active --&gt; Subject To Inspection
</t>
        </r>
      </text>
    </comment>
    <comment ref="B2645" authorId="0">
      <text>
        <r>
          <rPr>
            <sz val="8"/>
            <color indexed="81"/>
            <rFont val="Tahoma"/>
            <charset val="1"/>
          </rPr>
          <t xml:space="preserve">04/07/2008
Active --&gt; Subject To Inspection
</t>
        </r>
      </text>
    </comment>
    <comment ref="B2649" authorId="0">
      <text>
        <r>
          <rPr>
            <sz val="8"/>
            <color indexed="81"/>
            <rFont val="Tahoma"/>
            <charset val="1"/>
          </rPr>
          <t xml:space="preserve">04/04/2008
Active --&gt; Subject To Inspection
</t>
        </r>
      </text>
    </comment>
    <comment ref="B2651" authorId="0">
      <text>
        <r>
          <rPr>
            <sz val="8"/>
            <color indexed="81"/>
            <rFont val="Tahoma"/>
            <charset val="1"/>
          </rPr>
          <t xml:space="preserve">03/31/2008
Active --&gt; Subject To Inspection
</t>
        </r>
      </text>
    </comment>
    <comment ref="B2656" authorId="0">
      <text>
        <r>
          <rPr>
            <sz val="8"/>
            <color indexed="81"/>
            <rFont val="Tahoma"/>
            <charset val="1"/>
          </rPr>
          <t xml:space="preserve">04/02/2008
Active --&gt; Subject To Inspection
</t>
        </r>
      </text>
    </comment>
    <comment ref="B2659" authorId="0">
      <text>
        <r>
          <rPr>
            <sz val="8"/>
            <color indexed="81"/>
            <rFont val="Tahoma"/>
            <charset val="1"/>
          </rPr>
          <t xml:space="preserve">04/03/2008
Active --&gt; Subject To Inspection
</t>
        </r>
      </text>
    </comment>
    <comment ref="B2661" authorId="0">
      <text>
        <r>
          <rPr>
            <sz val="8"/>
            <color indexed="81"/>
            <rFont val="Tahoma"/>
            <charset val="1"/>
          </rPr>
          <t xml:space="preserve">04/02/2008
Active --&gt; Subject To Inspection
</t>
        </r>
      </text>
    </comment>
    <comment ref="B2666" authorId="0">
      <text>
        <r>
          <rPr>
            <sz val="8"/>
            <color indexed="81"/>
            <rFont val="Tahoma"/>
            <charset val="1"/>
          </rPr>
          <t xml:space="preserve">03/26/2008
Subject To Inspection --&gt; Active
</t>
        </r>
      </text>
    </comment>
    <comment ref="B2672" authorId="0">
      <text>
        <r>
          <rPr>
            <sz val="8"/>
            <color indexed="81"/>
            <rFont val="Tahoma"/>
            <charset val="1"/>
          </rPr>
          <t xml:space="preserve">03/23/2008
Active --&gt; Subject To Inspection
</t>
        </r>
      </text>
    </comment>
    <comment ref="B2673" authorId="0">
      <text>
        <r>
          <rPr>
            <sz val="8"/>
            <color indexed="81"/>
            <rFont val="Tahoma"/>
            <charset val="1"/>
          </rPr>
          <t xml:space="preserve">04/01/2008
Active --&gt; Subject To Inspection
</t>
        </r>
      </text>
    </comment>
    <comment ref="F2675" authorId="0">
      <text>
        <r>
          <rPr>
            <sz val="8"/>
            <color indexed="81"/>
            <rFont val="Tahoma"/>
            <charset val="1"/>
          </rPr>
          <t xml:space="preserve">04/03/2008
439500 --&gt; 429500
</t>
        </r>
      </text>
    </comment>
    <comment ref="F2677" authorId="0">
      <text>
        <r>
          <rPr>
            <sz val="8"/>
            <color indexed="81"/>
            <rFont val="Tahoma"/>
            <charset val="1"/>
          </rPr>
          <t xml:space="preserve">04/02/2008
929000 --&gt; 899000
</t>
        </r>
      </text>
    </comment>
    <comment ref="B2679" authorId="0">
      <text>
        <r>
          <rPr>
            <sz val="8"/>
            <color indexed="81"/>
            <rFont val="Tahoma"/>
            <charset val="1"/>
          </rPr>
          <t xml:space="preserve">04/03/2008
Active --&gt; Subject To Inspection
</t>
        </r>
      </text>
    </comment>
    <comment ref="F2682" authorId="0">
      <text>
        <r>
          <rPr>
            <sz val="8"/>
            <color indexed="81"/>
            <rFont val="Tahoma"/>
            <charset val="1"/>
          </rPr>
          <t xml:space="preserve">04/08/2008
624500 --&gt; 598500
</t>
        </r>
      </text>
    </comment>
    <comment ref="D2683" authorId="0">
      <text>
        <r>
          <rPr>
            <sz val="8"/>
            <color indexed="81"/>
            <rFont val="Tahoma"/>
            <charset val="1"/>
          </rPr>
          <t xml:space="preserve">03/30/2008
Eastlake --&gt; Portage Bay
</t>
        </r>
      </text>
    </comment>
    <comment ref="F2684" authorId="0">
      <text>
        <r>
          <rPr>
            <sz val="8"/>
            <color indexed="81"/>
            <rFont val="Tahoma"/>
            <charset val="1"/>
          </rPr>
          <t xml:space="preserve">04/08/2008
659000 --&gt; 629000
</t>
        </r>
      </text>
    </comment>
    <comment ref="F2686" authorId="0">
      <text>
        <r>
          <rPr>
            <sz val="8"/>
            <color indexed="81"/>
            <rFont val="Tahoma"/>
            <charset val="1"/>
          </rPr>
          <t xml:space="preserve">03/28/2008
479950 --&gt; 474950
</t>
        </r>
      </text>
    </comment>
    <comment ref="B2690" authorId="0">
      <text>
        <r>
          <rPr>
            <sz val="8"/>
            <color indexed="81"/>
            <rFont val="Tahoma"/>
            <charset val="1"/>
          </rPr>
          <t xml:space="preserve">04/03/2008
Active --&gt; Subject To Inspection
</t>
        </r>
      </text>
    </comment>
    <comment ref="F2694" authorId="0">
      <text>
        <r>
          <rPr>
            <sz val="8"/>
            <color indexed="81"/>
            <rFont val="Tahoma"/>
            <charset val="1"/>
          </rPr>
          <t xml:space="preserve">04/04/2008
1575000 --&gt; 1475000
</t>
        </r>
      </text>
    </comment>
    <comment ref="B2697" authorId="0">
      <text>
        <r>
          <rPr>
            <sz val="8"/>
            <color indexed="81"/>
            <rFont val="Tahoma"/>
            <charset val="1"/>
          </rPr>
          <t xml:space="preserve">03/27/2008
Active --&gt; Subject To Inspection
</t>
        </r>
      </text>
    </comment>
    <comment ref="B2702" authorId="0">
      <text>
        <r>
          <rPr>
            <sz val="8"/>
            <color indexed="81"/>
            <rFont val="Tahoma"/>
            <charset val="1"/>
          </rPr>
          <t xml:space="preserve">03/27/2008
Active --&gt; Subject To Inspection
</t>
        </r>
      </text>
    </comment>
    <comment ref="CL2704" authorId="0">
      <text>
        <r>
          <rPr>
            <sz val="8"/>
            <color indexed="81"/>
            <rFont val="Tahoma"/>
            <charset val="1"/>
          </rPr>
          <t xml:space="preserve">04/05/2008
Sat, Apr 5 12 - 4 PM --&gt; Sun, Apr 6 12 - 4 PM
03/31/2008
Sun, Mar 30 12 - 4 PM --&gt; Sat, Apr 5 12 - 4 PM
03/30/2008
Sat, Mar 29 12 - 4 PM --&gt; Sun, Mar 30 12 - 4 PM
</t>
        </r>
      </text>
    </comment>
    <comment ref="F2715" authorId="0">
      <text>
        <r>
          <rPr>
            <sz val="8"/>
            <color indexed="81"/>
            <rFont val="Tahoma"/>
            <charset val="1"/>
          </rPr>
          <t xml:space="preserve">04/03/2008
449000 --&gt; 434950
03/26/2008
465000 --&gt; 449000
</t>
        </r>
      </text>
    </comment>
    <comment ref="F2717" authorId="0">
      <text>
        <r>
          <rPr>
            <sz val="8"/>
            <color indexed="81"/>
            <rFont val="Tahoma"/>
            <charset val="1"/>
          </rPr>
          <t xml:space="preserve">04/03/2008
459000 --&gt; 445550
03/26/2008
479000 --&gt; 459000
</t>
        </r>
      </text>
    </comment>
    <comment ref="B2718" authorId="0">
      <text>
        <r>
          <rPr>
            <sz val="8"/>
            <color indexed="81"/>
            <rFont val="Tahoma"/>
            <charset val="1"/>
          </rPr>
          <t xml:space="preserve">03/27/2008
Active --&gt; Subject To Inspection
</t>
        </r>
      </text>
    </comment>
    <comment ref="F2721" authorId="0">
      <text>
        <r>
          <rPr>
            <sz val="8"/>
            <color indexed="81"/>
            <rFont val="Tahoma"/>
            <charset val="1"/>
          </rPr>
          <t xml:space="preserve">03/25/2008
821950 --&gt; 829950
</t>
        </r>
      </text>
    </comment>
    <comment ref="B2723" authorId="0">
      <text>
        <r>
          <rPr>
            <sz val="8"/>
            <color indexed="81"/>
            <rFont val="Tahoma"/>
            <charset val="1"/>
          </rPr>
          <t xml:space="preserve">03/27/2008
Active --&gt; Subject To Inspection
</t>
        </r>
      </text>
    </comment>
    <comment ref="F2725" authorId="0">
      <text>
        <r>
          <rPr>
            <sz val="8"/>
            <color indexed="81"/>
            <rFont val="Tahoma"/>
            <charset val="1"/>
          </rPr>
          <t xml:space="preserve">03/25/2008
1099950 --&gt; 1099988
</t>
        </r>
      </text>
    </comment>
    <comment ref="F2728" authorId="0">
      <text>
        <r>
          <rPr>
            <sz val="8"/>
            <color indexed="81"/>
            <rFont val="Tahoma"/>
            <charset val="1"/>
          </rPr>
          <t xml:space="preserve">03/31/2008
269000 --&gt; 249000
</t>
        </r>
      </text>
    </comment>
    <comment ref="B2731" authorId="0">
      <text>
        <r>
          <rPr>
            <sz val="8"/>
            <color indexed="81"/>
            <rFont val="Tahoma"/>
            <charset val="1"/>
          </rPr>
          <t xml:space="preserve">03/28/2008
Active --&gt; Subject To Inspection
</t>
        </r>
      </text>
    </comment>
    <comment ref="B2733" authorId="0">
      <text>
        <r>
          <rPr>
            <sz val="8"/>
            <color indexed="81"/>
            <rFont val="Tahoma"/>
            <charset val="1"/>
          </rPr>
          <t xml:space="preserve">03/31/2008
Active --&gt; Subject To Inspection
</t>
        </r>
      </text>
    </comment>
    <comment ref="B2737" authorId="0">
      <text>
        <r>
          <rPr>
            <sz val="8"/>
            <color indexed="81"/>
            <rFont val="Tahoma"/>
            <charset val="1"/>
          </rPr>
          <t xml:space="preserve">04/07/2008
Active --&gt; Subject To Inspection
</t>
        </r>
      </text>
    </comment>
    <comment ref="F2741" authorId="0">
      <text>
        <r>
          <rPr>
            <sz val="8"/>
            <color indexed="81"/>
            <rFont val="Tahoma"/>
            <charset val="1"/>
          </rPr>
          <t xml:space="preserve">04/03/2008
500000 --&gt; 450000
</t>
        </r>
      </text>
    </comment>
    <comment ref="B2745" authorId="0">
      <text>
        <r>
          <rPr>
            <sz val="8"/>
            <color indexed="81"/>
            <rFont val="Tahoma"/>
            <charset val="1"/>
          </rPr>
          <t xml:space="preserve">04/05/2008
Active --&gt; Subject To Inspection
</t>
        </r>
      </text>
    </comment>
    <comment ref="B2746" authorId="0">
      <text>
        <r>
          <rPr>
            <sz val="8"/>
            <color indexed="81"/>
            <rFont val="Tahoma"/>
            <charset val="1"/>
          </rPr>
          <t xml:space="preserve">03/28/2008
Active --&gt; Subject To Inspection
</t>
        </r>
      </text>
    </comment>
    <comment ref="B2753" authorId="0">
      <text>
        <r>
          <rPr>
            <sz val="8"/>
            <color indexed="81"/>
            <rFont val="Tahoma"/>
            <charset val="1"/>
          </rPr>
          <t xml:space="preserve">04/03/2008
Active --&gt; Subject To Inspection
</t>
        </r>
      </text>
    </comment>
    <comment ref="B2755" authorId="0">
      <text>
        <r>
          <rPr>
            <sz val="8"/>
            <color indexed="81"/>
            <rFont val="Tahoma"/>
            <charset val="1"/>
          </rPr>
          <t xml:space="preserve">04/05/2008
Active --&gt; Subject To Inspection
</t>
        </r>
      </text>
    </comment>
    <comment ref="B2756" authorId="0">
      <text>
        <r>
          <rPr>
            <sz val="8"/>
            <color indexed="81"/>
            <rFont val="Tahoma"/>
            <charset val="1"/>
          </rPr>
          <t xml:space="preserve">03/26/2008
Active --&gt; Subject To Inspection
</t>
        </r>
      </text>
    </comment>
    <comment ref="CL2760" authorId="0">
      <text>
        <r>
          <rPr>
            <sz val="8"/>
            <color indexed="81"/>
            <rFont val="Tahoma"/>
            <charset val="1"/>
          </rPr>
          <t xml:space="preserve">04/06/2008
Sun, Apr 6 1 - 4 PM --&gt; Sun, May 4 1 - 4 PM
04/02/2008
Sun, Mar 30 1 - 4 PM --&gt; Sun, Apr 6 1 - 4 PM
</t>
        </r>
      </text>
    </comment>
    <comment ref="B2761" authorId="0">
      <text>
        <r>
          <rPr>
            <sz val="8"/>
            <color indexed="81"/>
            <rFont val="Tahoma"/>
            <charset val="1"/>
          </rPr>
          <t xml:space="preserve">04/09/2008
Active --&gt; Subject To Inspection
</t>
        </r>
      </text>
    </comment>
    <comment ref="F2763" authorId="0">
      <text>
        <r>
          <rPr>
            <sz val="8"/>
            <color indexed="81"/>
            <rFont val="Tahoma"/>
            <charset val="1"/>
          </rPr>
          <t xml:space="preserve">04/05/2008
342000 --&gt; 332000
</t>
        </r>
      </text>
    </comment>
    <comment ref="B2765" authorId="0">
      <text>
        <r>
          <rPr>
            <sz val="8"/>
            <color indexed="81"/>
            <rFont val="Tahoma"/>
            <charset val="1"/>
          </rPr>
          <t xml:space="preserve">03/31/2008
Subject To Inspection --&gt; Active
03/28/2008
Active --&gt; Subject To Inspection
</t>
        </r>
      </text>
    </comment>
    <comment ref="F2766" authorId="0">
      <text>
        <r>
          <rPr>
            <sz val="8"/>
            <color indexed="81"/>
            <rFont val="Tahoma"/>
            <charset val="1"/>
          </rPr>
          <t xml:space="preserve">04/04/2008
509950 --&gt; 499950
</t>
        </r>
      </text>
    </comment>
    <comment ref="F2769" authorId="0">
      <text>
        <r>
          <rPr>
            <sz val="8"/>
            <color indexed="81"/>
            <rFont val="Tahoma"/>
            <charset val="1"/>
          </rPr>
          <t xml:space="preserve">04/02/2008
1098000 --&gt; 1049000
</t>
        </r>
      </text>
    </comment>
    <comment ref="B2778" authorId="0">
      <text>
        <r>
          <rPr>
            <sz val="8"/>
            <color indexed="81"/>
            <rFont val="Tahoma"/>
            <charset val="1"/>
          </rPr>
          <t xml:space="preserve">03/31/2008
Active --&gt; Subject To Inspection
</t>
        </r>
      </text>
    </comment>
    <comment ref="B2782" authorId="0">
      <text>
        <r>
          <rPr>
            <sz val="8"/>
            <color indexed="81"/>
            <rFont val="Tahoma"/>
            <charset val="1"/>
          </rPr>
          <t xml:space="preserve">03/28/2008
Active --&gt; Subject To Inspection
</t>
        </r>
      </text>
    </comment>
    <comment ref="B2786" authorId="0">
      <text>
        <r>
          <rPr>
            <sz val="8"/>
            <color indexed="81"/>
            <rFont val="Tahoma"/>
            <charset val="1"/>
          </rPr>
          <t xml:space="preserve">04/09/2008
Active --&gt; Subject To Inspection
</t>
        </r>
      </text>
    </comment>
    <comment ref="B2791" authorId="0">
      <text>
        <r>
          <rPr>
            <sz val="8"/>
            <color indexed="81"/>
            <rFont val="Tahoma"/>
            <charset val="1"/>
          </rPr>
          <t xml:space="preserve">04/03/2008
Active --&gt; Subject To Inspection
</t>
        </r>
      </text>
    </comment>
    <comment ref="B2794" authorId="0">
      <text>
        <r>
          <rPr>
            <sz val="8"/>
            <color indexed="81"/>
            <rFont val="Tahoma"/>
            <charset val="1"/>
          </rPr>
          <t xml:space="preserve">03/27/2008
Active --&gt; Subject To Inspection
</t>
        </r>
      </text>
    </comment>
    <comment ref="B2795" authorId="0">
      <text>
        <r>
          <rPr>
            <sz val="8"/>
            <color indexed="81"/>
            <rFont val="Tahoma"/>
            <charset val="1"/>
          </rPr>
          <t xml:space="preserve">04/04/2008
Active --&gt; Subject To Inspection
</t>
        </r>
      </text>
    </comment>
    <comment ref="B2796" authorId="0">
      <text>
        <r>
          <rPr>
            <sz val="8"/>
            <color indexed="81"/>
            <rFont val="Tahoma"/>
            <charset val="1"/>
          </rPr>
          <t xml:space="preserve">04/01/2008
Active --&gt; Subject To Inspection
</t>
        </r>
      </text>
    </comment>
    <comment ref="B2798" authorId="0">
      <text>
        <r>
          <rPr>
            <sz val="8"/>
            <color indexed="81"/>
            <rFont val="Tahoma"/>
            <charset val="1"/>
          </rPr>
          <t xml:space="preserve">04/02/2008
Active --&gt; Subject To Inspection
</t>
        </r>
      </text>
    </comment>
    <comment ref="B2799" authorId="0">
      <text>
        <r>
          <rPr>
            <sz val="8"/>
            <color indexed="81"/>
            <rFont val="Tahoma"/>
            <charset val="1"/>
          </rPr>
          <t xml:space="preserve">04/02/2008
Active --&gt; Subject To Inspection
</t>
        </r>
      </text>
    </comment>
    <comment ref="B2803" authorId="0">
      <text>
        <r>
          <rPr>
            <sz val="8"/>
            <color indexed="81"/>
            <rFont val="Tahoma"/>
            <charset val="1"/>
          </rPr>
          <t xml:space="preserve">04/04/2008
Active --&gt; Subject To Inspection
</t>
        </r>
      </text>
    </comment>
    <comment ref="B2804" authorId="0">
      <text>
        <r>
          <rPr>
            <sz val="8"/>
            <color indexed="81"/>
            <rFont val="Tahoma"/>
            <charset val="1"/>
          </rPr>
          <t xml:space="preserve">04/03/2008
Active --&gt; Subject To Inspection
</t>
        </r>
      </text>
    </comment>
    <comment ref="B2806" authorId="0">
      <text>
        <r>
          <rPr>
            <sz val="8"/>
            <color indexed="81"/>
            <rFont val="Tahoma"/>
            <charset val="1"/>
          </rPr>
          <t xml:space="preserve">03/31/2008
Active --&gt; Subject To Inspection
</t>
        </r>
      </text>
    </comment>
    <comment ref="B2812" authorId="0">
      <text>
        <r>
          <rPr>
            <sz val="8"/>
            <color indexed="81"/>
            <rFont val="Tahoma"/>
            <charset val="1"/>
          </rPr>
          <t xml:space="preserve">03/30/2008
Active --&gt; Subject To Inspection
</t>
        </r>
      </text>
    </comment>
    <comment ref="F2813" authorId="0">
      <text>
        <r>
          <rPr>
            <sz val="8"/>
            <color indexed="81"/>
            <rFont val="Tahoma"/>
            <charset val="1"/>
          </rPr>
          <t xml:space="preserve">04/03/2008
877335 --&gt; 877050
</t>
        </r>
      </text>
    </comment>
    <comment ref="B2815" authorId="0">
      <text>
        <r>
          <rPr>
            <sz val="8"/>
            <color indexed="81"/>
            <rFont val="Tahoma"/>
            <charset val="1"/>
          </rPr>
          <t xml:space="preserve">04/03/2008
Active --&gt; Subject To Inspection
</t>
        </r>
      </text>
    </comment>
    <comment ref="F2816" authorId="0">
      <text>
        <r>
          <rPr>
            <sz val="8"/>
            <color indexed="81"/>
            <rFont val="Tahoma"/>
            <charset val="1"/>
          </rPr>
          <t xml:space="preserve">04/03/2008
881180 --&gt; 880935
</t>
        </r>
      </text>
    </comment>
    <comment ref="F2818" authorId="0">
      <text>
        <r>
          <rPr>
            <sz val="8"/>
            <color indexed="81"/>
            <rFont val="Tahoma"/>
            <charset val="1"/>
          </rPr>
          <t xml:space="preserve">04/03/2008
868550 --&gt; 884205
</t>
        </r>
      </text>
    </comment>
    <comment ref="F2819" authorId="0">
      <text>
        <r>
          <rPr>
            <sz val="8"/>
            <color indexed="81"/>
            <rFont val="Tahoma"/>
            <charset val="1"/>
          </rPr>
          <t xml:space="preserve">04/09/2008
559000 --&gt; 525000
</t>
        </r>
      </text>
    </comment>
    <comment ref="F2823" authorId="0">
      <text>
        <r>
          <rPr>
            <sz val="8"/>
            <color indexed="81"/>
            <rFont val="Tahoma"/>
            <charset val="1"/>
          </rPr>
          <t xml:space="preserve">04/01/2008
348000 --&gt; 329500
</t>
        </r>
      </text>
    </comment>
    <comment ref="AG2830" authorId="0">
      <text>
        <r>
          <rPr>
            <sz val="8"/>
            <color indexed="81"/>
            <rFont val="Tahoma"/>
            <charset val="1"/>
          </rPr>
          <t xml:space="preserve">04/01/2008
47.663434 --&gt; 47.6638
03/31/2008
47.663443 --&gt; 47.663434
</t>
        </r>
      </text>
    </comment>
    <comment ref="AH2830" authorId="0">
      <text>
        <r>
          <rPr>
            <sz val="8"/>
            <color indexed="81"/>
            <rFont val="Tahoma"/>
            <charset val="1"/>
          </rPr>
          <t xml:space="preserve">04/01/2008
-122.342303 --&gt; -122.341214
</t>
        </r>
      </text>
    </comment>
    <comment ref="B2837" authorId="0">
      <text>
        <r>
          <rPr>
            <sz val="8"/>
            <color indexed="81"/>
            <rFont val="Tahoma"/>
            <charset val="1"/>
          </rPr>
          <t xml:space="preserve">03/30/2008
Active --&gt; Subject To Inspection
</t>
        </r>
      </text>
    </comment>
    <comment ref="B2842" authorId="0">
      <text>
        <r>
          <rPr>
            <sz val="8"/>
            <color indexed="81"/>
            <rFont val="Tahoma"/>
            <charset val="1"/>
          </rPr>
          <t xml:space="preserve">04/04/2008
Active --&gt; Subject To Inspection
</t>
        </r>
      </text>
    </comment>
    <comment ref="B2843" authorId="0">
      <text>
        <r>
          <rPr>
            <sz val="8"/>
            <color indexed="81"/>
            <rFont val="Tahoma"/>
            <charset val="1"/>
          </rPr>
          <t xml:space="preserve">04/05/2008
Active --&gt; Subject To Inspection
</t>
        </r>
      </text>
    </comment>
    <comment ref="B2845" authorId="0">
      <text>
        <r>
          <rPr>
            <sz val="8"/>
            <color indexed="81"/>
            <rFont val="Tahoma"/>
            <charset val="1"/>
          </rPr>
          <t xml:space="preserve">04/07/2008
Active --&gt; Subject To Inspection
</t>
        </r>
      </text>
    </comment>
    <comment ref="B2846" authorId="0">
      <text>
        <r>
          <rPr>
            <sz val="8"/>
            <color indexed="81"/>
            <rFont val="Tahoma"/>
            <charset val="1"/>
          </rPr>
          <t xml:space="preserve">04/05/2008
Active --&gt; Subject To Inspection
</t>
        </r>
      </text>
    </comment>
    <comment ref="B2851" authorId="0">
      <text>
        <r>
          <rPr>
            <sz val="8"/>
            <color indexed="81"/>
            <rFont val="Tahoma"/>
            <charset val="1"/>
          </rPr>
          <t xml:space="preserve">04/08/2008
Active --&gt; Subject To Inspection
</t>
        </r>
      </text>
    </comment>
    <comment ref="B2862" authorId="0">
      <text>
        <r>
          <rPr>
            <sz val="8"/>
            <color indexed="81"/>
            <rFont val="Tahoma"/>
            <charset val="1"/>
          </rPr>
          <t xml:space="preserve">03/30/2008
Active --&gt; Subject To Inspection
</t>
        </r>
      </text>
    </comment>
    <comment ref="B2863" authorId="0">
      <text>
        <r>
          <rPr>
            <sz val="8"/>
            <color indexed="81"/>
            <rFont val="Tahoma"/>
            <charset val="1"/>
          </rPr>
          <t xml:space="preserve">04/09/2008
Active --&gt; Subject To Inspection
</t>
        </r>
      </text>
    </comment>
    <comment ref="F2868" authorId="0">
      <text>
        <r>
          <rPr>
            <sz val="8"/>
            <color indexed="81"/>
            <rFont val="Tahoma"/>
            <charset val="1"/>
          </rPr>
          <t xml:space="preserve">03/27/2008
598500 --&gt; 575000
</t>
        </r>
      </text>
    </comment>
    <comment ref="B2870" authorId="0">
      <text>
        <r>
          <rPr>
            <sz val="8"/>
            <color indexed="81"/>
            <rFont val="Tahoma"/>
            <charset val="1"/>
          </rPr>
          <t xml:space="preserve">03/27/2008
Active --&gt; Subject To Inspection
</t>
        </r>
      </text>
    </comment>
    <comment ref="F2873" authorId="0">
      <text>
        <r>
          <rPr>
            <sz val="8"/>
            <color indexed="81"/>
            <rFont val="Tahoma"/>
            <charset val="1"/>
          </rPr>
          <t xml:space="preserve">04/04/2008
859000 --&gt; 839900
</t>
        </r>
      </text>
    </comment>
    <comment ref="D2876" authorId="0">
      <text>
        <r>
          <rPr>
            <sz val="8"/>
            <color indexed="81"/>
            <rFont val="Tahoma"/>
            <charset val="1"/>
          </rPr>
          <t xml:space="preserve">04/02/2008
Northgate --&gt; Ballard
</t>
        </r>
      </text>
    </comment>
    <comment ref="B2879" authorId="0">
      <text>
        <r>
          <rPr>
            <sz val="8"/>
            <color indexed="81"/>
            <rFont val="Tahoma"/>
            <charset val="1"/>
          </rPr>
          <t xml:space="preserve">04/02/2008
Active --&gt; Subject To Inspection
</t>
        </r>
      </text>
    </comment>
    <comment ref="B2880" authorId="0">
      <text>
        <r>
          <rPr>
            <sz val="8"/>
            <color indexed="81"/>
            <rFont val="Tahoma"/>
            <charset val="1"/>
          </rPr>
          <t xml:space="preserve">04/08/2008
Subject To Inspection --&gt; Active
04/03/2008
Active --&gt; Subject To Inspection
</t>
        </r>
      </text>
    </comment>
    <comment ref="F2883" authorId="0">
      <text>
        <r>
          <rPr>
            <sz val="8"/>
            <color indexed="81"/>
            <rFont val="Tahoma"/>
            <charset val="1"/>
          </rPr>
          <t xml:space="preserve">03/30/2008
489000 --&gt; 475000
</t>
        </r>
      </text>
    </comment>
    <comment ref="F2887" authorId="0">
      <text>
        <r>
          <rPr>
            <sz val="8"/>
            <color indexed="81"/>
            <rFont val="Tahoma"/>
            <charset val="1"/>
          </rPr>
          <t xml:space="preserve">04/01/2008
969500 --&gt; 939900
</t>
        </r>
      </text>
    </comment>
    <comment ref="B2889" authorId="0">
      <text>
        <r>
          <rPr>
            <sz val="8"/>
            <color indexed="81"/>
            <rFont val="Tahoma"/>
            <charset val="1"/>
          </rPr>
          <t xml:space="preserve">04/07/2008
Active --&gt; Subject To Inspection
</t>
        </r>
      </text>
    </comment>
    <comment ref="F2892" authorId="0">
      <text>
        <r>
          <rPr>
            <sz val="8"/>
            <color indexed="81"/>
            <rFont val="Tahoma"/>
            <charset val="1"/>
          </rPr>
          <t xml:space="preserve">03/27/2008
825950 --&gt; 824950
</t>
        </r>
      </text>
    </comment>
    <comment ref="B2901" authorId="0">
      <text>
        <r>
          <rPr>
            <sz val="8"/>
            <color indexed="81"/>
            <rFont val="Tahoma"/>
            <charset val="1"/>
          </rPr>
          <t xml:space="preserve">04/02/2008
Subject To Inspection --&gt; Active
04/01/2008
Active --&gt; Subject To Inspection
</t>
        </r>
      </text>
    </comment>
    <comment ref="B2904" authorId="0">
      <text>
        <r>
          <rPr>
            <sz val="8"/>
            <color indexed="81"/>
            <rFont val="Tahoma"/>
            <charset val="1"/>
          </rPr>
          <t xml:space="preserve">04/09/2008
Subject To Inspection --&gt; Active
04/05/2008
Active --&gt; Subject To Inspection
</t>
        </r>
      </text>
    </comment>
    <comment ref="D2906" authorId="0">
      <text>
        <r>
          <rPr>
            <sz val="8"/>
            <color indexed="81"/>
            <rFont val="Tahoma"/>
            <charset val="1"/>
          </rPr>
          <t xml:space="preserve">03/27/2008
Lake City --&gt; Matthews Beach
</t>
        </r>
      </text>
    </comment>
    <comment ref="F2909" authorId="0">
      <text>
        <r>
          <rPr>
            <sz val="8"/>
            <color indexed="81"/>
            <rFont val="Tahoma"/>
            <charset val="1"/>
          </rPr>
          <t xml:space="preserve">04/04/2008
329888 --&gt; 319999
</t>
        </r>
      </text>
    </comment>
    <comment ref="B2910" authorId="0">
      <text>
        <r>
          <rPr>
            <sz val="8"/>
            <color indexed="81"/>
            <rFont val="Tahoma"/>
            <charset val="1"/>
          </rPr>
          <t xml:space="preserve">04/03/2008
Active --&gt; Subject To Inspection
</t>
        </r>
      </text>
    </comment>
    <comment ref="F2915" authorId="0">
      <text>
        <r>
          <rPr>
            <sz val="8"/>
            <color indexed="81"/>
            <rFont val="Tahoma"/>
            <charset val="1"/>
          </rPr>
          <t xml:space="preserve">04/07/2008
839000 --&gt; 825000
03/27/2008
899000 --&gt; 839000
</t>
        </r>
      </text>
    </comment>
    <comment ref="B2916" authorId="0">
      <text>
        <r>
          <rPr>
            <sz val="8"/>
            <color indexed="81"/>
            <rFont val="Tahoma"/>
            <charset val="1"/>
          </rPr>
          <t xml:space="preserve">03/30/2008
Active --&gt; Subject To Inspection
</t>
        </r>
      </text>
    </comment>
    <comment ref="B2919" authorId="0">
      <text>
        <r>
          <rPr>
            <sz val="8"/>
            <color indexed="81"/>
            <rFont val="Tahoma"/>
            <charset val="1"/>
          </rPr>
          <t xml:space="preserve">03/27/2008
Active --&gt; Subject To Inspection
</t>
        </r>
      </text>
    </comment>
    <comment ref="F2922" authorId="0">
      <text>
        <r>
          <rPr>
            <sz val="8"/>
            <color indexed="81"/>
            <rFont val="Tahoma"/>
            <charset val="1"/>
          </rPr>
          <t xml:space="preserve">04/03/2008
519950 --&gt; 499950
</t>
        </r>
      </text>
    </comment>
    <comment ref="B2925" authorId="0">
      <text>
        <r>
          <rPr>
            <sz val="8"/>
            <color indexed="81"/>
            <rFont val="Tahoma"/>
            <charset val="1"/>
          </rPr>
          <t xml:space="preserve">04/07/2008
Active --&gt; Subject To Inspection
</t>
        </r>
      </text>
    </comment>
    <comment ref="CL2925" authorId="0">
      <text>
        <r>
          <rPr>
            <sz val="8"/>
            <color indexed="81"/>
            <rFont val="Tahoma"/>
            <charset val="1"/>
          </rPr>
          <t xml:space="preserve">04/05/2008
Sat, Apr 5 12 - 2 PM --&gt; Sun, Apr 6 1 - 4 PM
04/03/2008
Thu, Apr 3 2 - 4 PM --&gt; Sat, Apr 5 12 - 2 PM
</t>
        </r>
      </text>
    </comment>
    <comment ref="F2934" authorId="0">
      <text>
        <r>
          <rPr>
            <sz val="8"/>
            <color indexed="81"/>
            <rFont val="Tahoma"/>
            <charset val="1"/>
          </rPr>
          <t xml:space="preserve">04/03/2008
829000 --&gt; 810000
</t>
        </r>
      </text>
    </comment>
    <comment ref="B2939" authorId="0">
      <text>
        <r>
          <rPr>
            <sz val="8"/>
            <color indexed="81"/>
            <rFont val="Tahoma"/>
            <charset val="1"/>
          </rPr>
          <t xml:space="preserve">04/02/2008
Active --&gt; Subject To Inspection
</t>
        </r>
      </text>
    </comment>
    <comment ref="AG2949" authorId="0">
      <text>
        <r>
          <rPr>
            <sz val="8"/>
            <color indexed="81"/>
            <rFont val="Tahoma"/>
            <charset val="1"/>
          </rPr>
          <t xml:space="preserve">04/02/2008
47.718837 --&gt; 47.719653
</t>
        </r>
      </text>
    </comment>
    <comment ref="AH2949" authorId="0">
      <text>
        <r>
          <rPr>
            <sz val="8"/>
            <color indexed="81"/>
            <rFont val="Tahoma"/>
            <charset val="1"/>
          </rPr>
          <t xml:space="preserve">04/02/2008
-122.226149 --&gt; -122.226129
</t>
        </r>
      </text>
    </comment>
    <comment ref="B2964" authorId="0">
      <text>
        <r>
          <rPr>
            <sz val="8"/>
            <color indexed="81"/>
            <rFont val="Tahoma"/>
            <charset val="1"/>
          </rPr>
          <t xml:space="preserve">03/31/2008
Active --&gt; Subject To Inspection
</t>
        </r>
      </text>
    </comment>
    <comment ref="F2967" authorId="0">
      <text>
        <r>
          <rPr>
            <sz val="8"/>
            <color indexed="81"/>
            <rFont val="Tahoma"/>
            <charset val="1"/>
          </rPr>
          <t xml:space="preserve">04/07/2008
1149000 --&gt; 1135000
</t>
        </r>
      </text>
    </comment>
    <comment ref="F2973" authorId="0">
      <text>
        <r>
          <rPr>
            <sz val="8"/>
            <color indexed="81"/>
            <rFont val="Tahoma"/>
            <charset val="1"/>
          </rPr>
          <t xml:space="preserve">04/01/2008
899950 --&gt; 899500
</t>
        </r>
      </text>
    </comment>
    <comment ref="CL2974" authorId="0">
      <text>
        <r>
          <rPr>
            <sz val="8"/>
            <color indexed="81"/>
            <rFont val="Tahoma"/>
            <charset val="1"/>
          </rPr>
          <t xml:space="preserve">04/06/2008
Sun, Mar 30 1 - 4 PM --&gt; Sun, Apr 6 1 - 4 PM
</t>
        </r>
      </text>
    </comment>
    <comment ref="F2975" authorId="0">
      <text>
        <r>
          <rPr>
            <sz val="8"/>
            <color indexed="81"/>
            <rFont val="Tahoma"/>
            <charset val="1"/>
          </rPr>
          <t xml:space="preserve">04/03/2008
889950 --&gt; 899950
</t>
        </r>
      </text>
    </comment>
    <comment ref="B2978" authorId="0">
      <text>
        <r>
          <rPr>
            <sz val="8"/>
            <color indexed="81"/>
            <rFont val="Tahoma"/>
            <charset val="1"/>
          </rPr>
          <t xml:space="preserve">04/08/2008
Active --&gt; Subject To Inspection
</t>
        </r>
      </text>
    </comment>
    <comment ref="B2979" authorId="0">
      <text>
        <r>
          <rPr>
            <sz val="8"/>
            <color indexed="81"/>
            <rFont val="Tahoma"/>
            <charset val="1"/>
          </rPr>
          <t xml:space="preserve">04/03/2008
Active --&gt; Subject To Inspection
</t>
        </r>
      </text>
    </comment>
    <comment ref="B2987" authorId="0">
      <text>
        <r>
          <rPr>
            <sz val="8"/>
            <color indexed="81"/>
            <rFont val="Tahoma"/>
            <charset val="1"/>
          </rPr>
          <t xml:space="preserve">03/31/2008
Active --&gt; Subject To Inspection
</t>
        </r>
      </text>
    </comment>
    <comment ref="B2989" authorId="0">
      <text>
        <r>
          <rPr>
            <sz val="8"/>
            <color indexed="81"/>
            <rFont val="Tahoma"/>
            <charset val="1"/>
          </rPr>
          <t xml:space="preserve">04/02/2008
Active --&gt; Subject To Inspection
</t>
        </r>
      </text>
    </comment>
    <comment ref="D2993" authorId="0">
      <text>
        <r>
          <rPr>
            <sz val="8"/>
            <color indexed="81"/>
            <rFont val="Tahoma"/>
            <charset val="1"/>
          </rPr>
          <t xml:space="preserve">04/04/2008
Bryant --&gt; View Ridge
</t>
        </r>
      </text>
    </comment>
    <comment ref="B2995" authorId="0">
      <text>
        <r>
          <rPr>
            <sz val="8"/>
            <color indexed="81"/>
            <rFont val="Tahoma"/>
            <charset val="1"/>
          </rPr>
          <t xml:space="preserve">04/03/2008
Active --&gt; Subject To Inspection
</t>
        </r>
      </text>
    </comment>
    <comment ref="B2997" authorId="0">
      <text>
        <r>
          <rPr>
            <sz val="8"/>
            <color indexed="81"/>
            <rFont val="Tahoma"/>
            <charset val="1"/>
          </rPr>
          <t xml:space="preserve">04/02/2008
Active --&gt; Subject To Inspection
</t>
        </r>
      </text>
    </comment>
    <comment ref="F2999" authorId="0">
      <text>
        <r>
          <rPr>
            <sz val="8"/>
            <color indexed="81"/>
            <rFont val="Tahoma"/>
            <charset val="1"/>
          </rPr>
          <t xml:space="preserve">04/03/2008
299950 --&gt; 315950
</t>
        </r>
      </text>
    </comment>
    <comment ref="B3002" authorId="0">
      <text>
        <r>
          <rPr>
            <sz val="8"/>
            <color indexed="81"/>
            <rFont val="Tahoma"/>
            <charset val="1"/>
          </rPr>
          <t xml:space="preserve">04/04/2008
Active --&gt; Subject To Inspection
</t>
        </r>
      </text>
    </comment>
    <comment ref="F3005" authorId="0">
      <text>
        <r>
          <rPr>
            <sz val="8"/>
            <color indexed="81"/>
            <rFont val="Tahoma"/>
            <charset val="1"/>
          </rPr>
          <t xml:space="preserve">03/30/2008
575500 --&gt; 557500
</t>
        </r>
      </text>
    </comment>
    <comment ref="B3006" authorId="0">
      <text>
        <r>
          <rPr>
            <sz val="8"/>
            <color indexed="81"/>
            <rFont val="Tahoma"/>
            <charset val="1"/>
          </rPr>
          <t xml:space="preserve">04/08/2008
Active --&gt; Subject To Inspection
</t>
        </r>
      </text>
    </comment>
    <comment ref="B3011" authorId="0">
      <text>
        <r>
          <rPr>
            <sz val="8"/>
            <color indexed="81"/>
            <rFont val="Tahoma"/>
            <charset val="1"/>
          </rPr>
          <t xml:space="preserve">04/09/2008
Active --&gt; Subject To Inspection
</t>
        </r>
      </text>
    </comment>
    <comment ref="B3012" authorId="0">
      <text>
        <r>
          <rPr>
            <sz val="8"/>
            <color indexed="81"/>
            <rFont val="Tahoma"/>
            <charset val="1"/>
          </rPr>
          <t xml:space="preserve">04/05/2008
Active --&gt; Subject To Inspection
</t>
        </r>
      </text>
    </comment>
    <comment ref="F3014" authorId="0">
      <text>
        <r>
          <rPr>
            <sz val="8"/>
            <color indexed="81"/>
            <rFont val="Tahoma"/>
            <charset val="1"/>
          </rPr>
          <t xml:space="preserve">04/04/2008
599000 --&gt; 588000
</t>
        </r>
      </text>
    </comment>
    <comment ref="B3015" authorId="0">
      <text>
        <r>
          <rPr>
            <sz val="8"/>
            <color indexed="81"/>
            <rFont val="Tahoma"/>
            <charset val="1"/>
          </rPr>
          <t xml:space="preserve">04/02/2008
Active --&gt; Subject To Inspection
</t>
        </r>
      </text>
    </comment>
    <comment ref="B3017" authorId="0">
      <text>
        <r>
          <rPr>
            <sz val="8"/>
            <color indexed="81"/>
            <rFont val="Tahoma"/>
            <charset val="1"/>
          </rPr>
          <t xml:space="preserve">04/09/2008
Active --&gt; Contingent
</t>
        </r>
      </text>
    </comment>
    <comment ref="B3029" authorId="0">
      <text>
        <r>
          <rPr>
            <sz val="8"/>
            <color indexed="81"/>
            <rFont val="Tahoma"/>
            <charset val="1"/>
          </rPr>
          <t xml:space="preserve">04/04/2008
Active --&gt; Subject To Inspection
</t>
        </r>
      </text>
    </comment>
    <comment ref="F3032" authorId="0">
      <text>
        <r>
          <rPr>
            <sz val="8"/>
            <color indexed="81"/>
            <rFont val="Tahoma"/>
            <charset val="1"/>
          </rPr>
          <t xml:space="preserve">04/08/2008
419950 --&gt; 409950
</t>
        </r>
      </text>
    </comment>
    <comment ref="B3035" authorId="0">
      <text>
        <r>
          <rPr>
            <sz val="8"/>
            <color indexed="81"/>
            <rFont val="Tahoma"/>
            <charset val="1"/>
          </rPr>
          <t xml:space="preserve">04/06/2008
Active --&gt; Subject To Inspection
</t>
        </r>
      </text>
    </comment>
    <comment ref="B3043" authorId="0">
      <text>
        <r>
          <rPr>
            <sz val="8"/>
            <color indexed="81"/>
            <rFont val="Tahoma"/>
            <charset val="1"/>
          </rPr>
          <t xml:space="preserve">04/08/2008
Active --&gt; Subject To Inspection
</t>
        </r>
      </text>
    </comment>
    <comment ref="B3049" authorId="0">
      <text>
        <r>
          <rPr>
            <sz val="8"/>
            <color indexed="81"/>
            <rFont val="Tahoma"/>
            <charset val="1"/>
          </rPr>
          <t xml:space="preserve">04/09/2008
Active --&gt; Contingent
</t>
        </r>
      </text>
    </comment>
    <comment ref="B3053" authorId="0">
      <text>
        <r>
          <rPr>
            <sz val="8"/>
            <color indexed="81"/>
            <rFont val="Tahoma"/>
            <charset val="1"/>
          </rPr>
          <t xml:space="preserve">04/04/2008
Active --&gt; Subject To Inspection
</t>
        </r>
      </text>
    </comment>
    <comment ref="B3054" authorId="0">
      <text>
        <r>
          <rPr>
            <sz val="8"/>
            <color indexed="81"/>
            <rFont val="Tahoma"/>
            <charset val="1"/>
          </rPr>
          <t xml:space="preserve">04/07/2008
Active --&gt; Subject To Inspection
</t>
        </r>
      </text>
    </comment>
    <comment ref="B3068" authorId="0">
      <text>
        <r>
          <rPr>
            <sz val="8"/>
            <color indexed="81"/>
            <rFont val="Tahoma"/>
            <charset val="1"/>
          </rPr>
          <t xml:space="preserve">04/08/2008
Active --&gt; Subject To Inspection
</t>
        </r>
      </text>
    </comment>
    <comment ref="B3077" authorId="0">
      <text>
        <r>
          <rPr>
            <sz val="8"/>
            <color indexed="81"/>
            <rFont val="Tahoma"/>
            <charset val="1"/>
          </rPr>
          <t xml:space="preserve">04/01/2008
Active --&gt; Subject To Inspection
</t>
        </r>
      </text>
    </comment>
    <comment ref="B3079" authorId="0">
      <text>
        <r>
          <rPr>
            <sz val="8"/>
            <color indexed="81"/>
            <rFont val="Tahoma"/>
            <charset val="1"/>
          </rPr>
          <t xml:space="preserve">04/06/2008
Active --&gt; Subject To Inspection
</t>
        </r>
      </text>
    </comment>
    <comment ref="B3105" authorId="0">
      <text>
        <r>
          <rPr>
            <sz val="8"/>
            <color indexed="81"/>
            <rFont val="Tahoma"/>
            <charset val="1"/>
          </rPr>
          <t xml:space="preserve">04/09/2008
Active --&gt; Contingent
</t>
        </r>
      </text>
    </comment>
    <comment ref="B3111" authorId="0">
      <text>
        <r>
          <rPr>
            <sz val="8"/>
            <color indexed="81"/>
            <rFont val="Tahoma"/>
            <charset val="1"/>
          </rPr>
          <t xml:space="preserve">04/02/2008
Active --&gt; Subject To Inspection
</t>
        </r>
      </text>
    </comment>
    <comment ref="F3112" authorId="0">
      <text>
        <r>
          <rPr>
            <sz val="8"/>
            <color indexed="81"/>
            <rFont val="Tahoma"/>
            <charset val="1"/>
          </rPr>
          <t xml:space="preserve">04/03/2008
909000 --&gt; 869900
</t>
        </r>
      </text>
    </comment>
    <comment ref="F3114" authorId="0">
      <text>
        <r>
          <rPr>
            <sz val="8"/>
            <color indexed="81"/>
            <rFont val="Tahoma"/>
            <charset val="1"/>
          </rPr>
          <t xml:space="preserve">04/07/2008
949000 --&gt; 909000
</t>
        </r>
      </text>
    </comment>
    <comment ref="CL3117" authorId="0">
      <text>
        <r>
          <rPr>
            <sz val="8"/>
            <color indexed="81"/>
            <rFont val="Tahoma"/>
            <charset val="1"/>
          </rPr>
          <t xml:space="preserve">04/08/2008
Sun, Apr 6 1 - 4 PM --&gt; Sun, Apr 13 1 - 4 PM
</t>
        </r>
      </text>
    </comment>
    <comment ref="D3119" authorId="0">
      <text>
        <r>
          <rPr>
            <sz val="8"/>
            <color indexed="81"/>
            <rFont val="Tahoma"/>
            <charset val="1"/>
          </rPr>
          <t xml:space="preserve">04/07/2008
Phinney Ridge --&gt; Fremont
</t>
        </r>
      </text>
    </comment>
    <comment ref="B3130" authorId="0">
      <text>
        <r>
          <rPr>
            <sz val="8"/>
            <color indexed="81"/>
            <rFont val="Tahoma"/>
            <charset val="1"/>
          </rPr>
          <t xml:space="preserve">04/05/2008
Active --&gt; Subject To Inspection
</t>
        </r>
      </text>
    </comment>
    <comment ref="B3137" authorId="0">
      <text>
        <r>
          <rPr>
            <sz val="8"/>
            <color indexed="81"/>
            <rFont val="Tahoma"/>
            <charset val="1"/>
          </rPr>
          <t xml:space="preserve">04/04/2008
Active --&gt; Subject To Inspection
</t>
        </r>
      </text>
    </comment>
    <comment ref="F3148" authorId="0">
      <text>
        <r>
          <rPr>
            <sz val="8"/>
            <color indexed="81"/>
            <rFont val="Tahoma"/>
            <charset val="1"/>
          </rPr>
          <t xml:space="preserve">04/02/2008
795950 --&gt; 739950
</t>
        </r>
      </text>
    </comment>
    <comment ref="B3162" authorId="0">
      <text>
        <r>
          <rPr>
            <sz val="8"/>
            <color indexed="81"/>
            <rFont val="Tahoma"/>
            <charset val="1"/>
          </rPr>
          <t xml:space="preserve">04/06/2008
Active --&gt; Subject To Inspection
</t>
        </r>
      </text>
    </comment>
    <comment ref="B3163" authorId="0">
      <text>
        <r>
          <rPr>
            <sz val="8"/>
            <color indexed="81"/>
            <rFont val="Tahoma"/>
            <charset val="1"/>
          </rPr>
          <t xml:space="preserve">04/06/2008
Active --&gt; Subject To Inspection
</t>
        </r>
      </text>
    </comment>
    <comment ref="B3166" authorId="0">
      <text>
        <r>
          <rPr>
            <sz val="8"/>
            <color indexed="81"/>
            <rFont val="Tahoma"/>
            <charset val="1"/>
          </rPr>
          <t xml:space="preserve">04/07/2008
Active --&gt; Subject To Inspection
</t>
        </r>
      </text>
    </comment>
    <comment ref="B3184" authorId="0">
      <text>
        <r>
          <rPr>
            <sz val="8"/>
            <color indexed="81"/>
            <rFont val="Tahoma"/>
            <charset val="1"/>
          </rPr>
          <t xml:space="preserve">04/07/2008
Active --&gt; Subject To Inspection
</t>
        </r>
      </text>
    </comment>
    <comment ref="CL3210" authorId="0">
      <text>
        <r>
          <rPr>
            <sz val="8"/>
            <color indexed="81"/>
            <rFont val="Tahoma"/>
            <charset val="1"/>
          </rPr>
          <t xml:space="preserve">04/05/2008
Sat, Apr 5 1 - 4 PM --&gt; Sun, Apr 6 1 - 4 PM
</t>
        </r>
      </text>
    </comment>
    <comment ref="D3222" authorId="0">
      <text>
        <r>
          <rPr>
            <sz val="8"/>
            <color indexed="81"/>
            <rFont val="Tahoma"/>
            <charset val="1"/>
          </rPr>
          <t xml:space="preserve">04/09/2008
Seattle --&gt; Maple Leaf
</t>
        </r>
      </text>
    </comment>
    <comment ref="F3224" authorId="0">
      <text>
        <r>
          <rPr>
            <sz val="8"/>
            <color indexed="81"/>
            <rFont val="Tahoma"/>
            <charset val="1"/>
          </rPr>
          <t xml:space="preserve">04/09/2008
549950 --&gt; 529950
</t>
        </r>
      </text>
    </comment>
    <comment ref="B3229" authorId="0">
      <text>
        <r>
          <rPr>
            <sz val="8"/>
            <color indexed="81"/>
            <rFont val="Tahoma"/>
            <charset val="1"/>
          </rPr>
          <t xml:space="preserve">04/08/2008
Active --&gt; Subject To Inspection
</t>
        </r>
      </text>
    </comment>
    <comment ref="B3247" authorId="0">
      <text>
        <r>
          <rPr>
            <sz val="8"/>
            <color indexed="81"/>
            <rFont val="Tahoma"/>
            <charset val="1"/>
          </rPr>
          <t xml:space="preserve">04/09/2008
Active --&gt; Subject To Inspection
</t>
        </r>
      </text>
    </comment>
    <comment ref="CL3248" authorId="0">
      <text>
        <r>
          <rPr>
            <sz val="8"/>
            <color indexed="81"/>
            <rFont val="Tahoma"/>
            <charset val="1"/>
          </rPr>
          <t xml:space="preserve">04/05/2008
Sat, Apr 5 1 - 4:30 PM --&gt; Sun, Apr 6 1 - 4:30 PM
</t>
        </r>
      </text>
    </comment>
    <comment ref="CL3252" authorId="0">
      <text>
        <r>
          <rPr>
            <sz val="8"/>
            <color indexed="81"/>
            <rFont val="Tahoma"/>
            <charset val="1"/>
          </rPr>
          <t xml:space="preserve">04/07/2008
Sun, Apr 6 1 - 4 PM --&gt; Sat, Apr 12 1 - 4 PM
</t>
        </r>
      </text>
    </comment>
    <comment ref="F3255" authorId="0">
      <text>
        <r>
          <rPr>
            <sz val="8"/>
            <color indexed="81"/>
            <rFont val="Tahoma"/>
            <charset val="1"/>
          </rPr>
          <t xml:space="preserve">04/09/2008
465000 --&gt; 618000
</t>
        </r>
      </text>
    </comment>
    <comment ref="D3258" authorId="0">
      <text>
        <r>
          <rPr>
            <sz val="8"/>
            <color indexed="81"/>
            <rFont val="Tahoma"/>
            <charset val="1"/>
          </rPr>
          <t xml:space="preserve">04/07/2008
Madison Valley --&gt; Madison Park
</t>
        </r>
      </text>
    </comment>
    <comment ref="B3263" authorId="0">
      <text>
        <r>
          <rPr>
            <sz val="8"/>
            <color indexed="81"/>
            <rFont val="Tahoma"/>
            <charset val="1"/>
          </rPr>
          <t xml:space="preserve">04/08/2008
Active --&gt; Subject To Inspection
</t>
        </r>
      </text>
    </comment>
    <comment ref="CL3264" authorId="0">
      <text>
        <r>
          <rPr>
            <sz val="8"/>
            <color indexed="81"/>
            <rFont val="Tahoma"/>
            <charset val="1"/>
          </rPr>
          <t xml:space="preserve">04/08/2008
Sun, Apr 6 12 - 4 PM --&gt; Sat, Apr 12 12 - 2 PM
</t>
        </r>
      </text>
    </comment>
    <comment ref="B3281" authorId="0">
      <text>
        <r>
          <rPr>
            <sz val="8"/>
            <color indexed="81"/>
            <rFont val="Tahoma"/>
            <charset val="1"/>
          </rPr>
          <t xml:space="preserve">04/08/2008
Active --&gt; Subject To Inspection
</t>
        </r>
      </text>
    </comment>
  </commentList>
</comments>
</file>

<file path=xl/comments2.xml><?xml version="1.0" encoding="utf-8"?>
<comments xmlns="http://schemas.openxmlformats.org/spreadsheetml/2006/main">
  <authors>
    <author>davsmith</author>
  </authors>
  <commentList>
    <comment ref="F2" authorId="0">
      <text>
        <r>
          <rPr>
            <sz val="9"/>
            <color indexed="81"/>
            <rFont val="Tahoma"/>
            <charset val="1"/>
          </rPr>
          <t xml:space="preserve">02/21/2008
289950 --&gt; 269950
</t>
        </r>
      </text>
    </comment>
    <comment ref="B6" authorId="0">
      <text>
        <r>
          <rPr>
            <sz val="9"/>
            <color indexed="81"/>
            <rFont val="Tahoma"/>
            <charset val="1"/>
          </rPr>
          <t xml:space="preserve">02/20/2008
Active --&gt; Subject To Inspection
</t>
        </r>
      </text>
    </comment>
    <comment ref="B7" authorId="0">
      <text>
        <r>
          <rPr>
            <sz val="9"/>
            <color indexed="81"/>
            <rFont val="Tahoma"/>
            <charset val="1"/>
          </rPr>
          <t xml:space="preserve">02/20/2008
Active --&gt; Subject To Inspection
</t>
        </r>
      </text>
    </comment>
    <comment ref="B9" authorId="0">
      <text>
        <r>
          <rPr>
            <sz val="9"/>
            <color indexed="81"/>
            <rFont val="Tahoma"/>
            <charset val="1"/>
          </rPr>
          <t xml:space="preserve">02/20/2008
Active --&gt; Subject To Inspection
</t>
        </r>
      </text>
    </comment>
    <comment ref="B10" authorId="0">
      <text>
        <r>
          <rPr>
            <sz val="9"/>
            <color indexed="81"/>
            <rFont val="Tahoma"/>
            <charset val="1"/>
          </rPr>
          <t xml:space="preserve">02/29/2008
Active --&gt; Subject To Inspection
</t>
        </r>
      </text>
    </comment>
    <comment ref="H11" authorId="0">
      <text>
        <r>
          <rPr>
            <sz val="9"/>
            <color indexed="81"/>
            <rFont val="Tahoma"/>
            <charset val="1"/>
          </rPr>
          <t xml:space="preserve">02/18/2008
1610 --&gt; 1420
</t>
        </r>
      </text>
    </comment>
    <comment ref="B13" authorId="0">
      <text>
        <r>
          <rPr>
            <sz val="9"/>
            <color indexed="81"/>
            <rFont val="Tahoma"/>
            <charset val="1"/>
          </rPr>
          <t xml:space="preserve">02/23/2008
Active --&gt; Subject To Inspection
</t>
        </r>
      </text>
    </comment>
    <comment ref="B17" authorId="0">
      <text>
        <r>
          <rPr>
            <sz val="9"/>
            <color indexed="81"/>
            <rFont val="Tahoma"/>
            <charset val="1"/>
          </rPr>
          <t xml:space="preserve">02/20/2008
Subject To Inspection --&gt; Active
</t>
        </r>
      </text>
    </comment>
    <comment ref="F17" authorId="0">
      <text>
        <r>
          <rPr>
            <sz val="9"/>
            <color indexed="81"/>
            <rFont val="Tahoma"/>
            <charset val="1"/>
          </rPr>
          <t xml:space="preserve">02/23/2008
319888 --&gt; 309888
</t>
        </r>
      </text>
    </comment>
    <comment ref="F18" authorId="0">
      <text>
        <r>
          <rPr>
            <sz val="9"/>
            <color indexed="81"/>
            <rFont val="Tahoma"/>
            <charset val="1"/>
          </rPr>
          <t xml:space="preserve">02/23/2008
319888 --&gt; 309888
</t>
        </r>
      </text>
    </comment>
    <comment ref="B24" authorId="0">
      <text>
        <r>
          <rPr>
            <sz val="9"/>
            <color indexed="81"/>
            <rFont val="Tahoma"/>
            <charset val="1"/>
          </rPr>
          <t xml:space="preserve">02/20/2008
Active --&gt; Subject To Inspection
</t>
        </r>
      </text>
    </comment>
    <comment ref="F28" authorId="0">
      <text>
        <r>
          <rPr>
            <sz val="9"/>
            <color indexed="81"/>
            <rFont val="Tahoma"/>
            <charset val="1"/>
          </rPr>
          <t xml:space="preserve">02/23/2008
324888 --&gt; 315888
</t>
        </r>
      </text>
    </comment>
    <comment ref="F31" authorId="0">
      <text>
        <r>
          <rPr>
            <sz val="9"/>
            <color indexed="81"/>
            <rFont val="Tahoma"/>
            <charset val="1"/>
          </rPr>
          <t xml:space="preserve">02/27/2008
325000 --&gt; 300000
</t>
        </r>
      </text>
    </comment>
    <comment ref="B32" authorId="0">
      <text>
        <r>
          <rPr>
            <sz val="9"/>
            <color indexed="81"/>
            <rFont val="Tahoma"/>
            <charset val="1"/>
          </rPr>
          <t xml:space="preserve">02/25/2008
Active --&gt; Subject To Inspection
</t>
        </r>
      </text>
    </comment>
    <comment ref="F38" authorId="0">
      <text>
        <r>
          <rPr>
            <sz val="9"/>
            <color indexed="81"/>
            <rFont val="Tahoma"/>
            <charset val="1"/>
          </rPr>
          <t xml:space="preserve">02/27/2008
329950 --&gt; 309950
</t>
        </r>
      </text>
    </comment>
    <comment ref="F40" authorId="0">
      <text>
        <r>
          <rPr>
            <sz val="9"/>
            <color indexed="81"/>
            <rFont val="Tahoma"/>
            <charset val="1"/>
          </rPr>
          <t xml:space="preserve">02/21/2008
334900 --&gt; 324900
</t>
        </r>
      </text>
    </comment>
    <comment ref="B42" authorId="0">
      <text>
        <r>
          <rPr>
            <sz val="9"/>
            <color indexed="81"/>
            <rFont val="Tahoma"/>
            <charset val="1"/>
          </rPr>
          <t xml:space="preserve">02/21/2008
Subject To Inspection --&gt; Active
</t>
        </r>
      </text>
    </comment>
    <comment ref="F42" authorId="0">
      <text>
        <r>
          <rPr>
            <sz val="9"/>
            <color indexed="81"/>
            <rFont val="Tahoma"/>
            <charset val="1"/>
          </rPr>
          <t xml:space="preserve">02/23/2008
335000 --&gt; 330000
</t>
        </r>
      </text>
    </comment>
    <comment ref="B43" authorId="0">
      <text>
        <r>
          <rPr>
            <sz val="9"/>
            <color indexed="81"/>
            <rFont val="Tahoma"/>
            <charset val="1"/>
          </rPr>
          <t xml:space="preserve">02/18/2008
Active --&gt; Subject To Inspection
</t>
        </r>
      </text>
    </comment>
    <comment ref="AS44" authorId="0">
      <text>
        <r>
          <rPr>
            <sz val="9"/>
            <color indexed="81"/>
            <rFont val="Tahoma"/>
            <charset val="1"/>
          </rPr>
          <t xml:space="preserve">02/23/2008
http://www.windermere.com/index.cfm?fuseaction=Listing.ListingDetail&amp;ListingID=19011301 --&gt; http://www.windermere.com/index.cfm?fuseaction=Listing.ListingDetail&amp;ListingID=19408389
</t>
        </r>
      </text>
    </comment>
    <comment ref="AT44" authorId="0">
      <text>
        <r>
          <rPr>
            <sz val="9"/>
            <color indexed="81"/>
            <rFont val="Tahoma"/>
            <charset val="1"/>
          </rPr>
          <t xml:space="preserve">02/23/2008
19011301 --&gt; 19408389
</t>
        </r>
      </text>
    </comment>
    <comment ref="F50" authorId="0">
      <text>
        <r>
          <rPr>
            <sz val="9"/>
            <color indexed="81"/>
            <rFont val="Tahoma"/>
            <charset val="1"/>
          </rPr>
          <t xml:space="preserve">02/25/2008
339950 --&gt; 319950
</t>
        </r>
      </text>
    </comment>
    <comment ref="K54" authorId="0">
      <text>
        <r>
          <rPr>
            <sz val="9"/>
            <color indexed="81"/>
            <rFont val="Tahoma"/>
            <charset val="1"/>
          </rPr>
          <t xml:space="preserve">02/25/2008
1.5 --&gt; 2.5
</t>
        </r>
      </text>
    </comment>
    <comment ref="B55" authorId="0">
      <text>
        <r>
          <rPr>
            <sz val="9"/>
            <color indexed="81"/>
            <rFont val="Tahoma"/>
            <charset val="1"/>
          </rPr>
          <t xml:space="preserve">02/21/2008
Active --&gt; Subject To Inspection
</t>
        </r>
      </text>
    </comment>
    <comment ref="B62" authorId="0">
      <text>
        <r>
          <rPr>
            <sz val="9"/>
            <color indexed="81"/>
            <rFont val="Tahoma"/>
            <charset val="1"/>
          </rPr>
          <t xml:space="preserve">02/21/2008
Active --&gt; Subject To Inspection
</t>
        </r>
      </text>
    </comment>
    <comment ref="B63" authorId="0">
      <text>
        <r>
          <rPr>
            <sz val="9"/>
            <color indexed="81"/>
            <rFont val="Tahoma"/>
            <charset val="1"/>
          </rPr>
          <t xml:space="preserve">02/18/2008
Active --&gt; Subject To Inspection
</t>
        </r>
      </text>
    </comment>
    <comment ref="B67" authorId="0">
      <text>
        <r>
          <rPr>
            <sz val="9"/>
            <color indexed="81"/>
            <rFont val="Tahoma"/>
            <charset val="1"/>
          </rPr>
          <t xml:space="preserve">02/28/2008
Active --&gt; Subject To Inspection
</t>
        </r>
      </text>
    </comment>
    <comment ref="F70" authorId="0">
      <text>
        <r>
          <rPr>
            <sz val="9"/>
            <color indexed="81"/>
            <rFont val="Tahoma"/>
            <charset val="1"/>
          </rPr>
          <t xml:space="preserve">02/28/2008
349888 --&gt; 344888
</t>
        </r>
      </text>
    </comment>
    <comment ref="B71" authorId="0">
      <text>
        <r>
          <rPr>
            <sz val="9"/>
            <color indexed="81"/>
            <rFont val="Tahoma"/>
            <charset val="1"/>
          </rPr>
          <t xml:space="preserve">02/29/2008
Active --&gt; Subject To Inspection
</t>
        </r>
      </text>
    </comment>
    <comment ref="F72" authorId="0">
      <text>
        <r>
          <rPr>
            <sz val="9"/>
            <color indexed="81"/>
            <rFont val="Tahoma"/>
            <charset val="1"/>
          </rPr>
          <t xml:space="preserve">02/23/2008
349900 --&gt; 339900
</t>
        </r>
      </text>
    </comment>
    <comment ref="B74" authorId="0">
      <text>
        <r>
          <rPr>
            <sz val="9"/>
            <color indexed="81"/>
            <rFont val="Tahoma"/>
            <charset val="1"/>
          </rPr>
          <t xml:space="preserve">02/19/2008
Active --&gt; Subject To Inspection
</t>
        </r>
      </text>
    </comment>
    <comment ref="B78" authorId="0">
      <text>
        <r>
          <rPr>
            <sz val="9"/>
            <color indexed="81"/>
            <rFont val="Tahoma"/>
            <charset val="1"/>
          </rPr>
          <t xml:space="preserve">02/27/2008
Active --&gt; Subject To Inspection
</t>
        </r>
      </text>
    </comment>
    <comment ref="F80" authorId="0">
      <text>
        <r>
          <rPr>
            <sz val="9"/>
            <color indexed="81"/>
            <rFont val="Tahoma"/>
            <charset val="1"/>
          </rPr>
          <t xml:space="preserve">02/20/2008
349950 --&gt; 335000
</t>
        </r>
      </text>
    </comment>
    <comment ref="B88" authorId="0">
      <text>
        <r>
          <rPr>
            <sz val="9"/>
            <color indexed="81"/>
            <rFont val="Tahoma"/>
            <charset val="1"/>
          </rPr>
          <t xml:space="preserve">02/28/2008
Active --&gt; Subject To Inspection
</t>
        </r>
      </text>
    </comment>
    <comment ref="B89" authorId="0">
      <text>
        <r>
          <rPr>
            <sz val="9"/>
            <color indexed="81"/>
            <rFont val="Tahoma"/>
            <charset val="1"/>
          </rPr>
          <t xml:space="preserve">02/20/2008
Active --&gt; Subject To Inspection
</t>
        </r>
      </text>
    </comment>
    <comment ref="F90" authorId="0">
      <text>
        <r>
          <rPr>
            <sz val="9"/>
            <color indexed="81"/>
            <rFont val="Tahoma"/>
            <charset val="1"/>
          </rPr>
          <t xml:space="preserve">02/25/2008
359950 --&gt; 349950
</t>
        </r>
      </text>
    </comment>
    <comment ref="F93" authorId="0">
      <text>
        <r>
          <rPr>
            <sz val="9"/>
            <color indexed="81"/>
            <rFont val="Tahoma"/>
            <charset val="1"/>
          </rPr>
          <t xml:space="preserve">02/18/2008
374500 --&gt; 362000
</t>
        </r>
      </text>
    </comment>
    <comment ref="B100" authorId="0">
      <text>
        <r>
          <rPr>
            <sz val="9"/>
            <color indexed="81"/>
            <rFont val="Tahoma"/>
            <charset val="1"/>
          </rPr>
          <t xml:space="preserve">02/20/2008
Active --&gt; Subject To Inspection
</t>
        </r>
      </text>
    </comment>
    <comment ref="F104" authorId="0">
      <text>
        <r>
          <rPr>
            <sz val="9"/>
            <color indexed="81"/>
            <rFont val="Tahoma"/>
            <charset val="1"/>
          </rPr>
          <t xml:space="preserve">02/25/2008
364950 --&gt; 354950
</t>
        </r>
      </text>
    </comment>
    <comment ref="F106" authorId="0">
      <text>
        <r>
          <rPr>
            <sz val="9"/>
            <color indexed="81"/>
            <rFont val="Tahoma"/>
            <charset val="1"/>
          </rPr>
          <t xml:space="preserve">02/19/2008
365000 --&gt; 355000
</t>
        </r>
      </text>
    </comment>
    <comment ref="F108" authorId="0">
      <text>
        <r>
          <rPr>
            <sz val="9"/>
            <color indexed="81"/>
            <rFont val="Tahoma"/>
            <charset val="1"/>
          </rPr>
          <t xml:space="preserve">02/21/2008
365000 --&gt; 348075
</t>
        </r>
      </text>
    </comment>
    <comment ref="F109" authorId="0">
      <text>
        <r>
          <rPr>
            <sz val="9"/>
            <color indexed="81"/>
            <rFont val="Tahoma"/>
            <charset val="1"/>
          </rPr>
          <t xml:space="preserve">02/27/2008
365000 --&gt; 355000
</t>
        </r>
      </text>
    </comment>
    <comment ref="B110" authorId="0">
      <text>
        <r>
          <rPr>
            <sz val="9"/>
            <color indexed="81"/>
            <rFont val="Tahoma"/>
            <charset val="1"/>
          </rPr>
          <t xml:space="preserve">02/27/2008
Active --&gt; Subject To Inspection
</t>
        </r>
      </text>
    </comment>
    <comment ref="F113" authorId="0">
      <text>
        <r>
          <rPr>
            <sz val="9"/>
            <color indexed="81"/>
            <rFont val="Tahoma"/>
            <charset val="1"/>
          </rPr>
          <t xml:space="preserve">02/20/2008
368000 --&gt; 359000
</t>
        </r>
      </text>
    </comment>
    <comment ref="K113" authorId="0">
      <text>
        <r>
          <rPr>
            <sz val="9"/>
            <color indexed="81"/>
            <rFont val="Tahoma"/>
            <charset val="1"/>
          </rPr>
          <t xml:space="preserve">02/25/2008
2.25 --&gt; 3.25
</t>
        </r>
      </text>
    </comment>
    <comment ref="B116" authorId="0">
      <text>
        <r>
          <rPr>
            <sz val="9"/>
            <color indexed="81"/>
            <rFont val="Tahoma"/>
            <charset val="1"/>
          </rPr>
          <t xml:space="preserve">02/21/2008
Subject To Inspection --&gt; Active
02/19/2008
Active --&gt; Subject To Inspection
</t>
        </r>
      </text>
    </comment>
    <comment ref="F117" authorId="0">
      <text>
        <r>
          <rPr>
            <sz val="9"/>
            <color indexed="81"/>
            <rFont val="Tahoma"/>
            <charset val="1"/>
          </rPr>
          <t xml:space="preserve">02/25/2008
369950 --&gt; 364950
</t>
        </r>
      </text>
    </comment>
    <comment ref="B122" authorId="0">
      <text>
        <r>
          <rPr>
            <sz val="9"/>
            <color indexed="81"/>
            <rFont val="Tahoma"/>
            <charset val="1"/>
          </rPr>
          <t xml:space="preserve">02/23/2008
Active --&gt; Subject To Inspection
</t>
        </r>
      </text>
    </comment>
    <comment ref="F124" authorId="0">
      <text>
        <r>
          <rPr>
            <sz val="9"/>
            <color indexed="81"/>
            <rFont val="Tahoma"/>
            <charset val="1"/>
          </rPr>
          <t xml:space="preserve">02/18/2008
390000 --&gt; 370000
</t>
        </r>
      </text>
    </comment>
    <comment ref="B127" authorId="0">
      <text>
        <r>
          <rPr>
            <sz val="9"/>
            <color indexed="81"/>
            <rFont val="Tahoma"/>
            <charset val="1"/>
          </rPr>
          <t xml:space="preserve">02/29/2008
Active --&gt; Subject To Inspection
</t>
        </r>
      </text>
    </comment>
    <comment ref="F127" authorId="0">
      <text>
        <r>
          <rPr>
            <sz val="9"/>
            <color indexed="81"/>
            <rFont val="Tahoma"/>
            <charset val="1"/>
          </rPr>
          <t xml:space="preserve">02/25/2008
369950 --&gt; 357000
02/23/2008
374950 --&gt; 369950
</t>
        </r>
      </text>
    </comment>
    <comment ref="B130" authorId="0">
      <text>
        <r>
          <rPr>
            <sz val="9"/>
            <color indexed="81"/>
            <rFont val="Tahoma"/>
            <charset val="1"/>
          </rPr>
          <t xml:space="preserve">02/20/2008
Subject To Inspection --&gt; Active
</t>
        </r>
      </text>
    </comment>
    <comment ref="B142" authorId="0">
      <text>
        <r>
          <rPr>
            <sz val="9"/>
            <color indexed="81"/>
            <rFont val="Tahoma"/>
            <charset val="1"/>
          </rPr>
          <t xml:space="preserve">02/27/2008
Active --&gt; Subject To Inspection
</t>
        </r>
      </text>
    </comment>
    <comment ref="B158" authorId="0">
      <text>
        <r>
          <rPr>
            <sz val="9"/>
            <color indexed="81"/>
            <rFont val="Tahoma"/>
            <charset val="1"/>
          </rPr>
          <t xml:space="preserve">02/25/2008
Active --&gt; Subject To Inspection
</t>
        </r>
      </text>
    </comment>
    <comment ref="F163" authorId="0">
      <text>
        <r>
          <rPr>
            <sz val="9"/>
            <color indexed="81"/>
            <rFont val="Tahoma"/>
            <charset val="1"/>
          </rPr>
          <t xml:space="preserve">02/23/2008
395000 --&gt; 379000
</t>
        </r>
      </text>
    </comment>
    <comment ref="B165" authorId="0">
      <text>
        <r>
          <rPr>
            <sz val="9"/>
            <color indexed="81"/>
            <rFont val="Tahoma"/>
            <charset val="1"/>
          </rPr>
          <t xml:space="preserve">02/23/2008
Active --&gt; Subject To Inspection
</t>
        </r>
      </text>
    </comment>
    <comment ref="F170" authorId="0">
      <text>
        <r>
          <rPr>
            <sz val="9"/>
            <color indexed="81"/>
            <rFont val="Tahoma"/>
            <charset val="1"/>
          </rPr>
          <t xml:space="preserve">02/25/2008
399000 --&gt; 389000
</t>
        </r>
      </text>
    </comment>
    <comment ref="F175" authorId="0">
      <text>
        <r>
          <rPr>
            <sz val="9"/>
            <color indexed="81"/>
            <rFont val="Tahoma"/>
            <charset val="1"/>
          </rPr>
          <t xml:space="preserve">02/27/2008
399950 --&gt; 375000
</t>
        </r>
      </text>
    </comment>
    <comment ref="F176" authorId="0">
      <text>
        <r>
          <rPr>
            <sz val="9"/>
            <color indexed="81"/>
            <rFont val="Tahoma"/>
            <charset val="1"/>
          </rPr>
          <t xml:space="preserve">02/27/2008
399950 --&gt; 375000
</t>
        </r>
      </text>
    </comment>
    <comment ref="F189" authorId="0">
      <text>
        <r>
          <rPr>
            <sz val="9"/>
            <color indexed="81"/>
            <rFont val="Tahoma"/>
            <charset val="1"/>
          </rPr>
          <t xml:space="preserve">02/28/2008
400000 --&gt; 350000
</t>
        </r>
      </text>
    </comment>
    <comment ref="B193" authorId="0">
      <text>
        <r>
          <rPr>
            <sz val="9"/>
            <color indexed="81"/>
            <rFont val="Tahoma"/>
            <charset val="1"/>
          </rPr>
          <t xml:space="preserve">02/23/2008
Active --&gt; Subject To Inspection
</t>
        </r>
      </text>
    </comment>
    <comment ref="F197" authorId="0">
      <text>
        <r>
          <rPr>
            <sz val="9"/>
            <color indexed="81"/>
            <rFont val="Tahoma"/>
            <charset val="1"/>
          </rPr>
          <t xml:space="preserve">02/28/2008
405000 --&gt; 399000
</t>
        </r>
      </text>
    </comment>
    <comment ref="F204" authorId="0">
      <text>
        <r>
          <rPr>
            <sz val="9"/>
            <color indexed="81"/>
            <rFont val="Tahoma"/>
            <charset val="1"/>
          </rPr>
          <t xml:space="preserve">02/21/2008
409950 --&gt; 399950
</t>
        </r>
      </text>
    </comment>
    <comment ref="F206" authorId="0">
      <text>
        <r>
          <rPr>
            <sz val="9"/>
            <color indexed="81"/>
            <rFont val="Tahoma"/>
            <charset val="1"/>
          </rPr>
          <t xml:space="preserve">02/20/2008
409950 --&gt; 399950
</t>
        </r>
      </text>
    </comment>
    <comment ref="F210" authorId="0">
      <text>
        <r>
          <rPr>
            <sz val="9"/>
            <color indexed="81"/>
            <rFont val="Tahoma"/>
            <charset val="1"/>
          </rPr>
          <t xml:space="preserve">02/19/2008
412500 --&gt; 399950
</t>
        </r>
      </text>
    </comment>
    <comment ref="B213" authorId="0">
      <text>
        <r>
          <rPr>
            <sz val="9"/>
            <color indexed="81"/>
            <rFont val="Tahoma"/>
            <charset val="1"/>
          </rPr>
          <t xml:space="preserve">02/20/2008
Active --&gt; Subject To Inspection
</t>
        </r>
      </text>
    </comment>
    <comment ref="B215" authorId="0">
      <text>
        <r>
          <rPr>
            <sz val="9"/>
            <color indexed="81"/>
            <rFont val="Tahoma"/>
            <charset val="1"/>
          </rPr>
          <t xml:space="preserve">02/21/2008
Active --&gt; Subject To Inspection
</t>
        </r>
      </text>
    </comment>
    <comment ref="B217" authorId="0">
      <text>
        <r>
          <rPr>
            <sz val="9"/>
            <color indexed="81"/>
            <rFont val="Tahoma"/>
            <charset val="1"/>
          </rPr>
          <t xml:space="preserve">02/28/2008
Active --&gt; Subject To Inspection
</t>
        </r>
      </text>
    </comment>
    <comment ref="B223" authorId="0">
      <text>
        <r>
          <rPr>
            <sz val="9"/>
            <color indexed="81"/>
            <rFont val="Tahoma"/>
            <charset val="1"/>
          </rPr>
          <t xml:space="preserve">02/20/2008
Active --&gt; Subject To Inspection
</t>
        </r>
      </text>
    </comment>
    <comment ref="E224" authorId="0">
      <text>
        <r>
          <rPr>
            <sz val="9"/>
            <color indexed="81"/>
            <rFont val="Tahoma"/>
            <charset val="1"/>
          </rPr>
          <t xml:space="preserve">02/28/2008
14354 19th Ave NE --&gt; 14356 19th Ave NE
</t>
        </r>
      </text>
    </comment>
    <comment ref="F224" authorId="0">
      <text>
        <r>
          <rPr>
            <sz val="9"/>
            <color indexed="81"/>
            <rFont val="Tahoma"/>
            <charset val="1"/>
          </rPr>
          <t xml:space="preserve">02/28/2008
424900 --&gt; 399950
</t>
        </r>
      </text>
    </comment>
    <comment ref="H225" authorId="0">
      <text>
        <r>
          <rPr>
            <sz val="9"/>
            <color indexed="81"/>
            <rFont val="Tahoma"/>
            <charset val="1"/>
          </rPr>
          <t xml:space="preserve">02/19/2008
1750 --&gt; 1800
</t>
        </r>
      </text>
    </comment>
    <comment ref="F228" authorId="0">
      <text>
        <r>
          <rPr>
            <sz val="9"/>
            <color indexed="81"/>
            <rFont val="Tahoma"/>
            <charset val="1"/>
          </rPr>
          <t xml:space="preserve">02/27/2008
425000 --&gt; 400000
</t>
        </r>
      </text>
    </comment>
    <comment ref="B231" authorId="0">
      <text>
        <r>
          <rPr>
            <sz val="9"/>
            <color indexed="81"/>
            <rFont val="Tahoma"/>
            <charset val="1"/>
          </rPr>
          <t xml:space="preserve">02/20/2008
Active --&gt; Subject To Inspection
</t>
        </r>
      </text>
    </comment>
    <comment ref="B232" authorId="0">
      <text>
        <r>
          <rPr>
            <sz val="9"/>
            <color indexed="81"/>
            <rFont val="Tahoma"/>
            <charset val="1"/>
          </rPr>
          <t xml:space="preserve">02/19/2008
Active --&gt; Subject To Inspection
</t>
        </r>
      </text>
    </comment>
    <comment ref="E237" authorId="0">
      <text>
        <r>
          <rPr>
            <sz val="9"/>
            <color indexed="81"/>
            <rFont val="Tahoma"/>
            <charset val="1"/>
          </rPr>
          <t xml:space="preserve">02/19/2008
2302 NE 92 St --&gt; 2302 NE 92nd St
</t>
        </r>
      </text>
    </comment>
    <comment ref="F242" authorId="0">
      <text>
        <r>
          <rPr>
            <sz val="9"/>
            <color indexed="81"/>
            <rFont val="Tahoma"/>
            <charset val="1"/>
          </rPr>
          <t xml:space="preserve">02/27/2008
430000 --&gt; 424950
</t>
        </r>
      </text>
    </comment>
    <comment ref="B248" authorId="0">
      <text>
        <r>
          <rPr>
            <sz val="9"/>
            <color indexed="81"/>
            <rFont val="Tahoma"/>
            <charset val="1"/>
          </rPr>
          <t xml:space="preserve">02/27/2008
Subject To Inspection --&gt; Contingent
</t>
        </r>
      </text>
    </comment>
    <comment ref="F259" authorId="0">
      <text>
        <r>
          <rPr>
            <sz val="9"/>
            <color indexed="81"/>
            <rFont val="Tahoma"/>
            <charset val="1"/>
          </rPr>
          <t xml:space="preserve">02/21/2008
444000 --&gt; 435000
</t>
        </r>
      </text>
    </comment>
    <comment ref="F262" authorId="0">
      <text>
        <r>
          <rPr>
            <sz val="9"/>
            <color indexed="81"/>
            <rFont val="Tahoma"/>
            <charset val="1"/>
          </rPr>
          <t xml:space="preserve">02/19/2008
449000 --&gt; 439000
</t>
        </r>
      </text>
    </comment>
    <comment ref="B264" authorId="0">
      <text>
        <r>
          <rPr>
            <sz val="9"/>
            <color indexed="81"/>
            <rFont val="Tahoma"/>
            <charset val="1"/>
          </rPr>
          <t xml:space="preserve">02/23/2008
Active --&gt; Subject To Inspection
</t>
        </r>
      </text>
    </comment>
    <comment ref="B267" authorId="0">
      <text>
        <r>
          <rPr>
            <sz val="9"/>
            <color indexed="81"/>
            <rFont val="Tahoma"/>
            <charset val="1"/>
          </rPr>
          <t xml:space="preserve">02/19/2008
Active --&gt; Subject To Inspection
</t>
        </r>
      </text>
    </comment>
    <comment ref="F268" authorId="0">
      <text>
        <r>
          <rPr>
            <sz val="9"/>
            <color indexed="81"/>
            <rFont val="Tahoma"/>
            <charset val="1"/>
          </rPr>
          <t xml:space="preserve">02/28/2008
449900 --&gt; 434900
</t>
        </r>
      </text>
    </comment>
    <comment ref="B271" authorId="0">
      <text>
        <r>
          <rPr>
            <sz val="9"/>
            <color indexed="81"/>
            <rFont val="Tahoma"/>
            <charset val="1"/>
          </rPr>
          <t xml:space="preserve">02/29/2008
Active --&gt; Subject To Inspection
</t>
        </r>
      </text>
    </comment>
    <comment ref="F271" authorId="0">
      <text>
        <r>
          <rPr>
            <sz val="9"/>
            <color indexed="81"/>
            <rFont val="Tahoma"/>
            <charset val="1"/>
          </rPr>
          <t xml:space="preserve">02/27/2008
449950 --&gt; 429950
</t>
        </r>
      </text>
    </comment>
    <comment ref="F280" authorId="0">
      <text>
        <r>
          <rPr>
            <sz val="9"/>
            <color indexed="81"/>
            <rFont val="Tahoma"/>
            <charset val="1"/>
          </rPr>
          <t xml:space="preserve">02/23/2008
455900 --&gt; 452900
</t>
        </r>
      </text>
    </comment>
    <comment ref="F281" authorId="0">
      <text>
        <r>
          <rPr>
            <sz val="9"/>
            <color indexed="81"/>
            <rFont val="Tahoma"/>
            <charset val="1"/>
          </rPr>
          <t xml:space="preserve">02/28/2008
457000 --&gt; 447000
</t>
        </r>
      </text>
    </comment>
    <comment ref="B283" authorId="0">
      <text>
        <r>
          <rPr>
            <sz val="9"/>
            <color indexed="81"/>
            <rFont val="Tahoma"/>
            <charset val="1"/>
          </rPr>
          <t xml:space="preserve">02/23/2008
Active --&gt; Subject To Inspection
02/21/2008
Subject To Inspection --&gt; Active
02/18/2008
Active --&gt; Subject To Inspection
</t>
        </r>
      </text>
    </comment>
    <comment ref="F284" authorId="0">
      <text>
        <r>
          <rPr>
            <sz val="9"/>
            <color indexed="81"/>
            <rFont val="Tahoma"/>
            <charset val="1"/>
          </rPr>
          <t xml:space="preserve">02/29/2008
459950 --&gt; 447950
</t>
        </r>
      </text>
    </comment>
    <comment ref="F285" authorId="0">
      <text>
        <r>
          <rPr>
            <sz val="9"/>
            <color indexed="81"/>
            <rFont val="Tahoma"/>
            <charset val="1"/>
          </rPr>
          <t xml:space="preserve">02/29/2008
459950 --&gt; 409950
</t>
        </r>
      </text>
    </comment>
    <comment ref="B288" authorId="0">
      <text>
        <r>
          <rPr>
            <sz val="9"/>
            <color indexed="81"/>
            <rFont val="Tahoma"/>
            <charset val="1"/>
          </rPr>
          <t xml:space="preserve">02/28/2008
Active --&gt; Subject To Inspection
</t>
        </r>
      </text>
    </comment>
    <comment ref="F291" authorId="0">
      <text>
        <r>
          <rPr>
            <sz val="9"/>
            <color indexed="81"/>
            <rFont val="Tahoma"/>
            <charset val="1"/>
          </rPr>
          <t xml:space="preserve">02/25/2008
465000 --&gt; 459000
</t>
        </r>
      </text>
    </comment>
    <comment ref="F295" authorId="0">
      <text>
        <r>
          <rPr>
            <sz val="9"/>
            <color indexed="81"/>
            <rFont val="Tahoma"/>
            <charset val="1"/>
          </rPr>
          <t xml:space="preserve">02/29/2008
469000 --&gt; 449950
</t>
        </r>
      </text>
    </comment>
    <comment ref="F296" authorId="0">
      <text>
        <r>
          <rPr>
            <sz val="9"/>
            <color indexed="81"/>
            <rFont val="Tahoma"/>
            <charset val="1"/>
          </rPr>
          <t xml:space="preserve">02/19/2008
469000 --&gt; 449000
</t>
        </r>
      </text>
    </comment>
    <comment ref="F297" authorId="0">
      <text>
        <r>
          <rPr>
            <sz val="9"/>
            <color indexed="81"/>
            <rFont val="Tahoma"/>
            <charset val="1"/>
          </rPr>
          <t xml:space="preserve">02/19/2008
469000 --&gt; 449000
</t>
        </r>
      </text>
    </comment>
    <comment ref="F298" authorId="0">
      <text>
        <r>
          <rPr>
            <sz val="9"/>
            <color indexed="81"/>
            <rFont val="Tahoma"/>
            <charset val="1"/>
          </rPr>
          <t xml:space="preserve">02/19/2008
469000 --&gt; 449000
</t>
        </r>
      </text>
    </comment>
    <comment ref="F299" authorId="0">
      <text>
        <r>
          <rPr>
            <sz val="9"/>
            <color indexed="81"/>
            <rFont val="Tahoma"/>
            <charset val="1"/>
          </rPr>
          <t xml:space="preserve">02/19/2008
469000 --&gt; 449000
</t>
        </r>
      </text>
    </comment>
    <comment ref="B304" authorId="0">
      <text>
        <r>
          <rPr>
            <sz val="9"/>
            <color indexed="81"/>
            <rFont val="Tahoma"/>
            <charset val="1"/>
          </rPr>
          <t xml:space="preserve">02/28/2008
Active --&gt; Subject To Inspection
</t>
        </r>
      </text>
    </comment>
    <comment ref="E304" authorId="0">
      <text>
        <r>
          <rPr>
            <sz val="9"/>
            <color indexed="81"/>
            <rFont val="Tahoma"/>
            <charset val="1"/>
          </rPr>
          <t xml:space="preserve">02/23/2008
5762 25 Ave NE --&gt; 5762 25th Ave NE
</t>
        </r>
      </text>
    </comment>
    <comment ref="F304" authorId="0">
      <text>
        <r>
          <rPr>
            <sz val="9"/>
            <color indexed="81"/>
            <rFont val="Tahoma"/>
            <charset val="1"/>
          </rPr>
          <t xml:space="preserve">02/23/2008
469950 --&gt; 429000
</t>
        </r>
      </text>
    </comment>
    <comment ref="F307" authorId="0">
      <text>
        <r>
          <rPr>
            <sz val="9"/>
            <color indexed="81"/>
            <rFont val="Tahoma"/>
            <charset val="1"/>
          </rPr>
          <t xml:space="preserve">02/28/2008
475000 --&gt; 449950
</t>
        </r>
      </text>
    </comment>
    <comment ref="B310" authorId="0">
      <text>
        <r>
          <rPr>
            <sz val="9"/>
            <color indexed="81"/>
            <rFont val="Tahoma"/>
            <charset val="1"/>
          </rPr>
          <t xml:space="preserve">02/19/2008
Active --&gt; Subject To Inspection
</t>
        </r>
      </text>
    </comment>
    <comment ref="AS312" authorId="0">
      <text>
        <r>
          <rPr>
            <sz val="9"/>
            <color indexed="81"/>
            <rFont val="Tahoma"/>
            <charset val="1"/>
          </rPr>
          <t xml:space="preserve">02/23/2008
http://www.windermere.com/index.cfm?fuseaction=Listing.ListingDetail&amp;ListingID=19355824 --&gt; http://www.windermere.com/index.cfm?fuseaction=Listing.ListingDetail&amp;ListingID=19408406
</t>
        </r>
      </text>
    </comment>
    <comment ref="AT312" authorId="0">
      <text>
        <r>
          <rPr>
            <sz val="9"/>
            <color indexed="81"/>
            <rFont val="Tahoma"/>
            <charset val="1"/>
          </rPr>
          <t xml:space="preserve">02/23/2008
19355824 --&gt; 19408406
</t>
        </r>
      </text>
    </comment>
    <comment ref="B314" authorId="0">
      <text>
        <r>
          <rPr>
            <sz val="9"/>
            <color indexed="81"/>
            <rFont val="Tahoma"/>
            <charset val="1"/>
          </rPr>
          <t xml:space="preserve">02/21/2008
Active --&gt; Subject To Inspection
</t>
        </r>
      </text>
    </comment>
    <comment ref="F317" authorId="0">
      <text>
        <r>
          <rPr>
            <sz val="9"/>
            <color indexed="81"/>
            <rFont val="Tahoma"/>
            <charset val="1"/>
          </rPr>
          <t xml:space="preserve">02/28/2008
479900 --&gt; 450000
</t>
        </r>
      </text>
    </comment>
    <comment ref="F320" authorId="0">
      <text>
        <r>
          <rPr>
            <sz val="9"/>
            <color indexed="81"/>
            <rFont val="Tahoma"/>
            <charset val="1"/>
          </rPr>
          <t xml:space="preserve">02/29/2008
479950 --&gt; 447950
</t>
        </r>
      </text>
    </comment>
    <comment ref="B330" authorId="0">
      <text>
        <r>
          <rPr>
            <sz val="9"/>
            <color indexed="81"/>
            <rFont val="Tahoma"/>
            <charset val="1"/>
          </rPr>
          <t xml:space="preserve">02/27/2008
Active --&gt; Subject To Inspection
</t>
        </r>
      </text>
    </comment>
    <comment ref="B332" authorId="0">
      <text>
        <r>
          <rPr>
            <sz val="9"/>
            <color indexed="81"/>
            <rFont val="Tahoma"/>
            <charset val="1"/>
          </rPr>
          <t xml:space="preserve">02/25/2008
Active --&gt; Subject To Inspection
</t>
        </r>
      </text>
    </comment>
    <comment ref="F337" authorId="0">
      <text>
        <r>
          <rPr>
            <sz val="9"/>
            <color indexed="81"/>
            <rFont val="Tahoma"/>
            <charset val="1"/>
          </rPr>
          <t xml:space="preserve">02/28/2008
489000 --&gt; 479950
</t>
        </r>
      </text>
    </comment>
    <comment ref="F338" authorId="0">
      <text>
        <r>
          <rPr>
            <sz val="9"/>
            <color indexed="81"/>
            <rFont val="Tahoma"/>
            <charset val="1"/>
          </rPr>
          <t xml:space="preserve">02/20/2008
489000 --&gt; 474950
</t>
        </r>
      </text>
    </comment>
    <comment ref="F348" authorId="0">
      <text>
        <r>
          <rPr>
            <sz val="9"/>
            <color indexed="81"/>
            <rFont val="Tahoma"/>
            <charset val="1"/>
          </rPr>
          <t xml:space="preserve">02/27/2008
495000 --&gt; 485000
</t>
        </r>
      </text>
    </comment>
    <comment ref="B350" authorId="0">
      <text>
        <r>
          <rPr>
            <sz val="9"/>
            <color indexed="81"/>
            <rFont val="Tahoma"/>
            <charset val="1"/>
          </rPr>
          <t xml:space="preserve">02/23/2008
Active --&gt; Subject To Inspection
</t>
        </r>
      </text>
    </comment>
    <comment ref="F352" authorId="0">
      <text>
        <r>
          <rPr>
            <sz val="9"/>
            <color indexed="81"/>
            <rFont val="Tahoma"/>
            <charset val="1"/>
          </rPr>
          <t xml:space="preserve">02/20/2008
499000 --&gt; 475000
</t>
        </r>
      </text>
    </comment>
    <comment ref="B353" authorId="0">
      <text>
        <r>
          <rPr>
            <sz val="9"/>
            <color indexed="81"/>
            <rFont val="Tahoma"/>
            <charset val="1"/>
          </rPr>
          <t xml:space="preserve">02/19/2008
Active --&gt; Subject To Inspection
</t>
        </r>
      </text>
    </comment>
    <comment ref="B355" authorId="0">
      <text>
        <r>
          <rPr>
            <sz val="9"/>
            <color indexed="81"/>
            <rFont val="Tahoma"/>
            <charset val="1"/>
          </rPr>
          <t xml:space="preserve">02/25/2008
Active --&gt; Subject To Inspection
</t>
        </r>
      </text>
    </comment>
    <comment ref="F360" authorId="0">
      <text>
        <r>
          <rPr>
            <sz val="9"/>
            <color indexed="81"/>
            <rFont val="Tahoma"/>
            <charset val="1"/>
          </rPr>
          <t xml:space="preserve">02/23/2008
499950 --&gt; 489950
</t>
        </r>
      </text>
    </comment>
    <comment ref="F361" authorId="0">
      <text>
        <r>
          <rPr>
            <sz val="9"/>
            <color indexed="81"/>
            <rFont val="Tahoma"/>
            <charset val="1"/>
          </rPr>
          <t xml:space="preserve">02/28/2008
489950 --&gt; 474995
02/23/2008
499950 --&gt; 489950
</t>
        </r>
      </text>
    </comment>
    <comment ref="B364" authorId="0">
      <text>
        <r>
          <rPr>
            <sz val="9"/>
            <color indexed="81"/>
            <rFont val="Tahoma"/>
            <charset val="1"/>
          </rPr>
          <t xml:space="preserve">02/29/2008
Active --&gt; Subject To Inspection
</t>
        </r>
      </text>
    </comment>
    <comment ref="F369" authorId="0">
      <text>
        <r>
          <rPr>
            <sz val="9"/>
            <color indexed="81"/>
            <rFont val="Tahoma"/>
            <charset val="1"/>
          </rPr>
          <t xml:space="preserve">02/28/2008
499999 --&gt; 500000
</t>
        </r>
      </text>
    </comment>
    <comment ref="E372" authorId="0">
      <text>
        <r>
          <rPr>
            <sz val="9"/>
            <color indexed="81"/>
            <rFont val="Tahoma"/>
            <charset val="1"/>
          </rPr>
          <t xml:space="preserve">02/19/2008
4108 Greenwood Ave N --&gt; 4108 Greenwood (Not Busy) Ave N
</t>
        </r>
      </text>
    </comment>
    <comment ref="F380" authorId="0">
      <text>
        <r>
          <rPr>
            <sz val="9"/>
            <color indexed="81"/>
            <rFont val="Tahoma"/>
            <charset val="1"/>
          </rPr>
          <t xml:space="preserve">02/23/2008
549500 --&gt; 539500
</t>
        </r>
      </text>
    </comment>
    <comment ref="B381" authorId="0">
      <text>
        <r>
          <rPr>
            <sz val="9"/>
            <color indexed="81"/>
            <rFont val="Tahoma"/>
            <charset val="1"/>
          </rPr>
          <t xml:space="preserve">02/29/2008
Active --&gt; Subject To Inspection
</t>
        </r>
      </text>
    </comment>
    <comment ref="F382" authorId="0">
      <text>
        <r>
          <rPr>
            <sz val="9"/>
            <color indexed="81"/>
            <rFont val="Tahoma"/>
            <charset val="1"/>
          </rPr>
          <t xml:space="preserve">02/20/2008
549950 --&gt; 535000
</t>
        </r>
      </text>
    </comment>
    <comment ref="F385" authorId="0">
      <text>
        <r>
          <rPr>
            <sz val="9"/>
            <color indexed="81"/>
            <rFont val="Tahoma"/>
            <charset val="1"/>
          </rPr>
          <t xml:space="preserve">02/28/2008
559000 --&gt; 509000
</t>
        </r>
      </text>
    </comment>
    <comment ref="H385" authorId="0">
      <text>
        <r>
          <rPr>
            <sz val="9"/>
            <color indexed="81"/>
            <rFont val="Tahoma"/>
            <charset val="1"/>
          </rPr>
          <t xml:space="preserve">02/28/2008
2360 --&gt; 1962
</t>
        </r>
      </text>
    </comment>
    <comment ref="D388" authorId="0">
      <text>
        <r>
          <rPr>
            <sz val="9"/>
            <color indexed="81"/>
            <rFont val="Tahoma"/>
            <charset val="1"/>
          </rPr>
          <t xml:space="preserve">02/21/2008
Crown Hill --&gt; Ballard
</t>
        </r>
      </text>
    </comment>
    <comment ref="F388" authorId="0">
      <text>
        <r>
          <rPr>
            <sz val="9"/>
            <color indexed="81"/>
            <rFont val="Tahoma"/>
            <charset val="1"/>
          </rPr>
          <t xml:space="preserve">02/19/2008
564950 --&gt; 554950
</t>
        </r>
      </text>
    </comment>
    <comment ref="B389" authorId="0">
      <text>
        <r>
          <rPr>
            <sz val="9"/>
            <color indexed="81"/>
            <rFont val="Tahoma"/>
            <charset val="1"/>
          </rPr>
          <t xml:space="preserve">02/23/2008
Active --&gt; Subject To Inspection
</t>
        </r>
      </text>
    </comment>
    <comment ref="F391" authorId="0">
      <text>
        <r>
          <rPr>
            <sz val="9"/>
            <color indexed="81"/>
            <rFont val="Tahoma"/>
            <charset val="1"/>
          </rPr>
          <t xml:space="preserve">02/27/2008
575000 --&gt; 565000
</t>
        </r>
      </text>
    </comment>
    <comment ref="F401" authorId="0">
      <text>
        <r>
          <rPr>
            <sz val="9"/>
            <color indexed="81"/>
            <rFont val="Tahoma"/>
            <charset val="1"/>
          </rPr>
          <t xml:space="preserve">02/25/2008
615000 --&gt; 599900
</t>
        </r>
      </text>
    </comment>
    <comment ref="F409" authorId="0">
      <text>
        <r>
          <rPr>
            <sz val="9"/>
            <color indexed="81"/>
            <rFont val="Tahoma"/>
            <charset val="1"/>
          </rPr>
          <t xml:space="preserve">02/23/2008
675000 --&gt; 629950
</t>
        </r>
      </text>
    </comment>
    <comment ref="F411" authorId="0">
      <text>
        <r>
          <rPr>
            <sz val="9"/>
            <color indexed="81"/>
            <rFont val="Tahoma"/>
            <charset val="1"/>
          </rPr>
          <t xml:space="preserve">02/23/2008
699950 --&gt; 689950
</t>
        </r>
      </text>
    </comment>
    <comment ref="F412" authorId="0">
      <text>
        <r>
          <rPr>
            <sz val="9"/>
            <color indexed="81"/>
            <rFont val="Tahoma"/>
            <charset val="1"/>
          </rPr>
          <t xml:space="preserve">02/23/2008
699950 --&gt; 689950
</t>
        </r>
      </text>
    </comment>
    <comment ref="F413" authorId="0">
      <text>
        <r>
          <rPr>
            <sz val="9"/>
            <color indexed="81"/>
            <rFont val="Tahoma"/>
            <charset val="1"/>
          </rPr>
          <t xml:space="preserve">02/23/2008
699950 --&gt; 689950
</t>
        </r>
      </text>
    </comment>
    <comment ref="F414" authorId="0">
      <text>
        <r>
          <rPr>
            <sz val="9"/>
            <color indexed="81"/>
            <rFont val="Tahoma"/>
            <charset val="1"/>
          </rPr>
          <t xml:space="preserve">02/23/2008
699950 --&gt; 694950
</t>
        </r>
      </text>
    </comment>
    <comment ref="F416" authorId="0">
      <text>
        <r>
          <rPr>
            <sz val="9"/>
            <color indexed="81"/>
            <rFont val="Tahoma"/>
            <charset val="1"/>
          </rPr>
          <t xml:space="preserve">02/23/2008
709950 --&gt; 689950
</t>
        </r>
      </text>
    </comment>
    <comment ref="F417" authorId="0">
      <text>
        <r>
          <rPr>
            <sz val="9"/>
            <color indexed="81"/>
            <rFont val="Tahoma"/>
            <charset val="1"/>
          </rPr>
          <t xml:space="preserve">02/23/2008
719950 --&gt; 699950
</t>
        </r>
      </text>
    </comment>
    <comment ref="F420" authorId="0">
      <text>
        <r>
          <rPr>
            <sz val="9"/>
            <color indexed="81"/>
            <rFont val="Tahoma"/>
            <charset val="1"/>
          </rPr>
          <t xml:space="preserve">02/23/2008
749950 --&gt; 725950
</t>
        </r>
      </text>
    </comment>
    <comment ref="D421" authorId="0">
      <text>
        <r>
          <rPr>
            <sz val="9"/>
            <color indexed="81"/>
            <rFont val="Tahoma"/>
            <charset val="1"/>
          </rPr>
          <t xml:space="preserve">02/29/2008
North Beach Mountain &amp;amp; Sound Views --&gt; Open March 2, 1-4 p.m. North Beach View
02/20/2008
Open Feb. 17 from 1-4 --&gt; North Beach Mountain &amp;amp; Sound Views
</t>
        </r>
      </text>
    </comment>
    <comment ref="B423" authorId="0">
      <text>
        <r>
          <rPr>
            <sz val="9"/>
            <color indexed="81"/>
            <rFont val="Tahoma"/>
            <charset val="1"/>
          </rPr>
          <t xml:space="preserve">02/27/2008
Active --&gt; Subject To Inspection
</t>
        </r>
      </text>
    </comment>
    <comment ref="B428" authorId="0">
      <text>
        <r>
          <rPr>
            <sz val="9"/>
            <color indexed="81"/>
            <rFont val="Tahoma"/>
            <charset val="1"/>
          </rPr>
          <t xml:space="preserve">02/25/2008
Active --&gt; Subject To Inspection
</t>
        </r>
      </text>
    </comment>
    <comment ref="F430" authorId="0">
      <text>
        <r>
          <rPr>
            <sz val="9"/>
            <color indexed="81"/>
            <rFont val="Tahoma"/>
            <charset val="1"/>
          </rPr>
          <t xml:space="preserve">02/29/2008
968950 --&gt; 948950
</t>
        </r>
      </text>
    </comment>
    <comment ref="D433" authorId="0">
      <text>
        <r>
          <rPr>
            <sz val="9"/>
            <color indexed="81"/>
            <rFont val="Tahoma"/>
            <charset val="1"/>
          </rPr>
          <t xml:space="preserve">02/21/2008
North Beach --&gt; New Construction in North Beach
</t>
        </r>
      </text>
    </comment>
    <comment ref="B435" authorId="0">
      <text>
        <r>
          <rPr>
            <sz val="9"/>
            <color indexed="81"/>
            <rFont val="Tahoma"/>
            <charset val="1"/>
          </rPr>
          <t xml:space="preserve">02/20/2008
Active --&gt; Subject To Inspection
</t>
        </r>
      </text>
    </comment>
    <comment ref="F441" authorId="0">
      <text>
        <r>
          <rPr>
            <sz val="9"/>
            <color indexed="81"/>
            <rFont val="Tahoma"/>
            <charset val="1"/>
          </rPr>
          <t xml:space="preserve">02/29/2008
1592000 --&gt; 1575000
</t>
        </r>
      </text>
    </comment>
    <comment ref="AS441" authorId="0">
      <text>
        <r>
          <rPr>
            <sz val="9"/>
            <color indexed="81"/>
            <rFont val="Tahoma"/>
            <charset val="1"/>
          </rPr>
          <t xml:space="preserve">02/29/2008
http://www.windermere.com/index.cfm?fuseaction=Listing.ListingDetail&amp;ListingID=19066189 --&gt; http://www.windermere.com/index.cfm?fuseaction=Listing.ListingDetail&amp;ListingID=19461870
</t>
        </r>
      </text>
    </comment>
    <comment ref="AT441" authorId="0">
      <text>
        <r>
          <rPr>
            <sz val="9"/>
            <color indexed="81"/>
            <rFont val="Tahoma"/>
            <charset val="1"/>
          </rPr>
          <t xml:space="preserve">02/29/2008
19066189 --&gt; 19461870
</t>
        </r>
      </text>
    </comment>
    <comment ref="B448" authorId="0">
      <text>
        <r>
          <rPr>
            <sz val="9"/>
            <color indexed="81"/>
            <rFont val="Tahoma"/>
            <charset val="1"/>
          </rPr>
          <t xml:space="preserve">02/25/2008
Active --&gt; Subject To Inspection
</t>
        </r>
      </text>
    </comment>
    <comment ref="B449" authorId="0">
      <text>
        <r>
          <rPr>
            <sz val="9"/>
            <color indexed="81"/>
            <rFont val="Tahoma"/>
            <charset val="1"/>
          </rPr>
          <t xml:space="preserve">02/23/2008
Active --&gt; Subject To Inspection
</t>
        </r>
      </text>
    </comment>
    <comment ref="B450" authorId="0">
      <text>
        <r>
          <rPr>
            <sz val="9"/>
            <color indexed="81"/>
            <rFont val="Tahoma"/>
            <charset val="1"/>
          </rPr>
          <t xml:space="preserve">02/23/2008
Active --&gt; Subject To Inspection
</t>
        </r>
      </text>
    </comment>
    <comment ref="K454" authorId="0">
      <text>
        <r>
          <rPr>
            <sz val="9"/>
            <color indexed="81"/>
            <rFont val="Tahoma"/>
            <charset val="1"/>
          </rPr>
          <t xml:space="preserve">02/25/2008
2.25 --&gt; 3.25
</t>
        </r>
      </text>
    </comment>
    <comment ref="B455" authorId="0">
      <text>
        <r>
          <rPr>
            <sz val="9"/>
            <color indexed="81"/>
            <rFont val="Tahoma"/>
            <charset val="1"/>
          </rPr>
          <t xml:space="preserve">02/25/2008
Active --&gt; Subject To Inspection
</t>
        </r>
      </text>
    </comment>
    <comment ref="B459" authorId="0">
      <text>
        <r>
          <rPr>
            <sz val="9"/>
            <color indexed="81"/>
            <rFont val="Tahoma"/>
            <charset val="1"/>
          </rPr>
          <t xml:space="preserve">02/23/2008
Active --&gt; Subject To Inspection
</t>
        </r>
      </text>
    </comment>
    <comment ref="E462" authorId="0">
      <text>
        <r>
          <rPr>
            <sz val="9"/>
            <color indexed="81"/>
            <rFont val="Tahoma"/>
            <charset val="1"/>
          </rPr>
          <t xml:space="preserve">02/23/2008
202 N 39th St --&gt; 204 N 39th St
</t>
        </r>
      </text>
    </comment>
    <comment ref="B463" authorId="0">
      <text>
        <r>
          <rPr>
            <sz val="9"/>
            <color indexed="81"/>
            <rFont val="Tahoma"/>
            <charset val="1"/>
          </rPr>
          <t xml:space="preserve">02/27/2008
Active --&gt; Subject To Inspection
</t>
        </r>
      </text>
    </comment>
    <comment ref="K463" authorId="0">
      <text>
        <r>
          <rPr>
            <sz val="9"/>
            <color indexed="81"/>
            <rFont val="Tahoma"/>
            <charset val="1"/>
          </rPr>
          <t xml:space="preserve">02/23/2008
3 --&gt; 2.5
</t>
        </r>
      </text>
    </comment>
    <comment ref="AJ466" authorId="0">
      <text>
        <r>
          <rPr>
            <sz val="9"/>
            <color indexed="81"/>
            <rFont val="Tahoma"/>
            <charset val="1"/>
          </rPr>
          <t xml:space="preserve">02/27/2008
98170 --&gt; 98107
</t>
        </r>
      </text>
    </comment>
    <comment ref="K468" authorId="0">
      <text>
        <r>
          <rPr>
            <sz val="9"/>
            <color indexed="81"/>
            <rFont val="Tahoma"/>
            <charset val="1"/>
          </rPr>
          <t xml:space="preserve">02/25/2008
2.25 --&gt; 2
</t>
        </r>
      </text>
    </comment>
    <comment ref="AJ470" authorId="0">
      <text>
        <r>
          <rPr>
            <sz val="9"/>
            <color indexed="81"/>
            <rFont val="Tahoma"/>
            <charset val="1"/>
          </rPr>
          <t xml:space="preserve">02/27/2008
98115 --&gt; 98155
</t>
        </r>
      </text>
    </comment>
    <comment ref="B478" authorId="0">
      <text>
        <r>
          <rPr>
            <sz val="9"/>
            <color indexed="81"/>
            <rFont val="Tahoma"/>
            <charset val="1"/>
          </rPr>
          <t xml:space="preserve">02/27/2008
Active --&gt; Subject To Inspection
</t>
        </r>
      </text>
    </comment>
    <comment ref="F487" authorId="0">
      <text>
        <r>
          <rPr>
            <sz val="9"/>
            <color indexed="81"/>
            <rFont val="Tahoma"/>
            <charset val="1"/>
          </rPr>
          <t xml:space="preserve">02/28/2008
455000 --&gt; 439950
</t>
        </r>
      </text>
    </comment>
    <comment ref="D517" authorId="0">
      <text>
        <r>
          <rPr>
            <sz val="9"/>
            <color indexed="81"/>
            <rFont val="Tahoma"/>
            <charset val="1"/>
          </rPr>
          <t xml:space="preserve">02/29/2008
University District --&gt; Bryant
</t>
        </r>
      </text>
    </comment>
  </commentList>
</comments>
</file>

<file path=xl/sharedStrings.xml><?xml version="1.0" encoding="utf-8"?>
<sst xmlns="http://schemas.openxmlformats.org/spreadsheetml/2006/main" count="39637" uniqueCount="7091">
  <si>
    <t>FileSpec:</t>
  </si>
  <si>
    <t>FilePath:</t>
  </si>
  <si>
    <t>BusNear</t>
  </si>
  <si>
    <t>Unit</t>
  </si>
  <si>
    <t>Address</t>
  </si>
  <si>
    <t>Status</t>
  </si>
  <si>
    <t>MLS</t>
  </si>
  <si>
    <t>County</t>
  </si>
  <si>
    <t>ListPrice</t>
  </si>
  <si>
    <t>SoldPrice</t>
  </si>
  <si>
    <t>Bedrooms</t>
  </si>
  <si>
    <t>Bathrooms</t>
  </si>
  <si>
    <t>FirePlaces</t>
  </si>
  <si>
    <t>HouseSize</t>
  </si>
  <si>
    <t>LotSizeAc</t>
  </si>
  <si>
    <t>LotSize</t>
  </si>
  <si>
    <t>MapLink</t>
  </si>
  <si>
    <t>PixLink</t>
  </si>
  <si>
    <t>MktgRemarks</t>
  </si>
  <si>
    <t>YearBuilt</t>
  </si>
  <si>
    <t>Area</t>
  </si>
  <si>
    <t>Community</t>
  </si>
  <si>
    <t>Map</t>
  </si>
  <si>
    <t>Grid</t>
  </si>
  <si>
    <t>Pool</t>
  </si>
  <si>
    <t>BusRoute</t>
  </si>
  <si>
    <t>Heat_Cool</t>
  </si>
  <si>
    <t>Energy</t>
  </si>
  <si>
    <t>Water</t>
  </si>
  <si>
    <t>Sewer</t>
  </si>
  <si>
    <t>Flooring</t>
  </si>
  <si>
    <t>Appliances</t>
  </si>
  <si>
    <t>View</t>
  </si>
  <si>
    <t>Basement</t>
  </si>
  <si>
    <t>WaterHeater</t>
  </si>
  <si>
    <t>TaxYear</t>
  </si>
  <si>
    <t>TaxesAnnual</t>
  </si>
  <si>
    <t>Directions</t>
  </si>
  <si>
    <t>InteriorFeatures</t>
  </si>
  <si>
    <t>SiteFeatures</t>
  </si>
  <si>
    <t xml:space="preserve"> </t>
  </si>
  <si>
    <t>King</t>
  </si>
  <si>
    <t>Haller Lake</t>
  </si>
  <si>
    <t>A-4</t>
  </si>
  <si>
    <t>Yes</t>
  </si>
  <si>
    <t>Wall</t>
  </si>
  <si>
    <t>Electric</t>
  </si>
  <si>
    <t>Public</t>
  </si>
  <si>
    <t>Sewer Connected</t>
  </si>
  <si>
    <t>Dishwasher, Dryer, Garbage Disposal, Microwave, Range/Oven, Refrigerator, Washer</t>
  </si>
  <si>
    <t>None</t>
  </si>
  <si>
    <t>Dble Pane/Strm Windw</t>
  </si>
  <si>
    <t>Baseboard</t>
  </si>
  <si>
    <t>Dryer, Range/Oven, Refrigerator, Washer</t>
  </si>
  <si>
    <t>Daylight, Fully Finished</t>
  </si>
  <si>
    <t>Greenwood</t>
  </si>
  <si>
    <t>Forced Air</t>
  </si>
  <si>
    <t>Electric, Natural Gas</t>
  </si>
  <si>
    <t>Dishwasher, Dryer, Range/Oven, Refrigerator, Washer</t>
  </si>
  <si>
    <t>Outbuildings</t>
  </si>
  <si>
    <t>Green Lake</t>
  </si>
  <si>
    <t>J-7</t>
  </si>
  <si>
    <t>Fully Finished</t>
  </si>
  <si>
    <t>Ballard</t>
  </si>
  <si>
    <t>F-2</t>
  </si>
  <si>
    <t>Electric, Wood</t>
  </si>
  <si>
    <t>Seattle</t>
  </si>
  <si>
    <t>Natural Gas</t>
  </si>
  <si>
    <t>Ceramic Tile, Hardwood, Vinyl, Wall to Wall Carpet</t>
  </si>
  <si>
    <t>Ceramic Tile, Hardwood, Slate, Wall to Wall Carpet</t>
  </si>
  <si>
    <t>Broadview</t>
  </si>
  <si>
    <t>H-5</t>
  </si>
  <si>
    <t>Oil</t>
  </si>
  <si>
    <t>Laminate, Vinyl, Wall to Wall Carpet</t>
  </si>
  <si>
    <t>Dining Room, Dble Pane/Strm Windw</t>
  </si>
  <si>
    <t>Cable TV</t>
  </si>
  <si>
    <t>Dishwasher, Dryer, Microwave, Range/Oven, Refrigerator, Washer</t>
  </si>
  <si>
    <t>Partially Finished</t>
  </si>
  <si>
    <t>Loyal Heights</t>
  </si>
  <si>
    <t>D-2</t>
  </si>
  <si>
    <t>Hardwood</t>
  </si>
  <si>
    <t>H-3</t>
  </si>
  <si>
    <t>Baseboard, Forced Air</t>
  </si>
  <si>
    <t>Hardwood, Vinyl, Wall to Wall Carpet</t>
  </si>
  <si>
    <t>Dishwasher, Garbage Disposal, Range/Oven, Refrigerator</t>
  </si>
  <si>
    <t>Ceramic Tile, Hardwood, Wall to Wall Carpet</t>
  </si>
  <si>
    <t>Dishwasher, Dryer, Garbage Disposal, Range/Oven, Refrigerator, Washer</t>
  </si>
  <si>
    <t>Hardwood, Wall to Wall Carpet</t>
  </si>
  <si>
    <t>Phinney Ridge</t>
  </si>
  <si>
    <t>E-1</t>
  </si>
  <si>
    <t>Daylight, Partially Finished</t>
  </si>
  <si>
    <t>G-7</t>
  </si>
  <si>
    <t>G-3</t>
  </si>
  <si>
    <t>Baseboard, Forced Air, Wall</t>
  </si>
  <si>
    <t>Electric, Oil</t>
  </si>
  <si>
    <t>Unfinished</t>
  </si>
  <si>
    <t>Electric/Basement</t>
  </si>
  <si>
    <t>G-1</t>
  </si>
  <si>
    <t>Concrete, Hardwood, Vinyl, Wall to Wall Carpet</t>
  </si>
  <si>
    <t>Crown Hill</t>
  </si>
  <si>
    <t>Fremont</t>
  </si>
  <si>
    <t>North Beach</t>
  </si>
  <si>
    <t>Vinyl, Wall to Wall Carpet</t>
  </si>
  <si>
    <t>Hardwood, Vinyl</t>
  </si>
  <si>
    <t>Range/Oven, Refrigerator</t>
  </si>
  <si>
    <t>D-3</t>
  </si>
  <si>
    <t>Dishwasher, Range/Oven, Refrigerator</t>
  </si>
  <si>
    <t>Gas</t>
  </si>
  <si>
    <t>Fir/Softwood, Vinyl, Wall to Wall Carpet</t>
  </si>
  <si>
    <t>Wallingford</t>
  </si>
  <si>
    <t>Dining Room</t>
  </si>
  <si>
    <t>Cable TV, Fenced-Partially, Nat. Gas Available</t>
  </si>
  <si>
    <t>Dining Room, Security System</t>
  </si>
  <si>
    <t>Cable TV, Deck, Fenced-Partially</t>
  </si>
  <si>
    <t>Cable TV, Fenced-Partially, Patio, RV Parking</t>
  </si>
  <si>
    <t>Cable TV, Nat. Gas Available</t>
  </si>
  <si>
    <t>Main Picture</t>
  </si>
  <si>
    <t>Latitude</t>
  </si>
  <si>
    <t>Longitude</t>
  </si>
  <si>
    <t>City</t>
  </si>
  <si>
    <t>Zip</t>
  </si>
  <si>
    <t>Lot</t>
  </si>
  <si>
    <t>HyperLink</t>
  </si>
  <si>
    <t>1322 N 122nd St</t>
  </si>
  <si>
    <t>_1950</t>
  </si>
  <si>
    <t>_1945</t>
  </si>
  <si>
    <t>_1918</t>
  </si>
  <si>
    <t>9219 Stone Ave N</t>
  </si>
  <si>
    <t>_2005</t>
  </si>
  <si>
    <t>_1925</t>
  </si>
  <si>
    <t>_1953</t>
  </si>
  <si>
    <t>_1955</t>
  </si>
  <si>
    <t>_1952</t>
  </si>
  <si>
    <t>10538 Evanston Ave N</t>
  </si>
  <si>
    <t>_1928</t>
  </si>
  <si>
    <t>_1926</t>
  </si>
  <si>
    <t>2818 NW 80th St</t>
  </si>
  <si>
    <t>_1947</t>
  </si>
  <si>
    <t>_1981</t>
  </si>
  <si>
    <t>_1902</t>
  </si>
  <si>
    <t>_1905</t>
  </si>
  <si>
    <t>6753 27th Ave NW</t>
  </si>
  <si>
    <t>_1913</t>
  </si>
  <si>
    <t>_1995</t>
  </si>
  <si>
    <t>_1916</t>
  </si>
  <si>
    <t>9556 6th Ave NW</t>
  </si>
  <si>
    <t>_1940</t>
  </si>
  <si>
    <t>_2007</t>
  </si>
  <si>
    <t>6249 6th Ave NW</t>
  </si>
  <si>
    <t>_1930</t>
  </si>
  <si>
    <t>12011 Dayton Ave N</t>
  </si>
  <si>
    <t>_1929</t>
  </si>
  <si>
    <t>636 NW 87th St</t>
  </si>
  <si>
    <t>_1931</t>
  </si>
  <si>
    <t>_1908</t>
  </si>
  <si>
    <t>12258 1st Ave NW</t>
  </si>
  <si>
    <t>_1948</t>
  </si>
  <si>
    <t>_1951</t>
  </si>
  <si>
    <t>7514 28th Ave NW</t>
  </si>
  <si>
    <t>_1927</t>
  </si>
  <si>
    <t>7545 25th Ave NW</t>
  </si>
  <si>
    <t>_1941</t>
  </si>
  <si>
    <t>_1946</t>
  </si>
  <si>
    <t>8907 31st Ave NW</t>
  </si>
  <si>
    <t>_1938</t>
  </si>
  <si>
    <t>1150 N 83rd St</t>
  </si>
  <si>
    <t>1515 N 38th St</t>
  </si>
  <si>
    <t>602 NW 87th St</t>
  </si>
  <si>
    <t>_1949</t>
  </si>
  <si>
    <t>2838 NW 70th St</t>
  </si>
  <si>
    <t>_1911</t>
  </si>
  <si>
    <t>_1965</t>
  </si>
  <si>
    <t>_1906</t>
  </si>
  <si>
    <t>_1914</t>
  </si>
  <si>
    <t>8836 1st Ave NE</t>
  </si>
  <si>
    <t>340 NE 55th St</t>
  </si>
  <si>
    <t>_1942</t>
  </si>
  <si>
    <t>_1912</t>
  </si>
  <si>
    <t>1133 NW 63rd St</t>
  </si>
  <si>
    <t>_1900</t>
  </si>
  <si>
    <t>_1924</t>
  </si>
  <si>
    <t>_1904</t>
  </si>
  <si>
    <t>_1907</t>
  </si>
  <si>
    <t>Rating</t>
  </si>
  <si>
    <t>Pinehurst</t>
  </si>
  <si>
    <t>1716 NE 125th St</t>
  </si>
  <si>
    <t>_1939</t>
  </si>
  <si>
    <t>C-4</t>
  </si>
  <si>
    <t>Meadowbrook</t>
  </si>
  <si>
    <t>11040 34th Ave NE</t>
  </si>
  <si>
    <t>Roosevelt</t>
  </si>
  <si>
    <t>_1921</t>
  </si>
  <si>
    <t>Maple Leaf</t>
  </si>
  <si>
    <t>1524 NE 97th St</t>
  </si>
  <si>
    <t>Wedgwood</t>
  </si>
  <si>
    <t>Cable TV, Fenced-Fully, Nat. Gas Available, Patio</t>
  </si>
  <si>
    <t>3253 NE 97th St</t>
  </si>
  <si>
    <t>4110 NE 105th St</t>
  </si>
  <si>
    <t>Forced Air, Wall</t>
  </si>
  <si>
    <t>Olympic Hills</t>
  </si>
  <si>
    <t>_1959</t>
  </si>
  <si>
    <t>Deck</t>
  </si>
  <si>
    <t>Victory Heights</t>
  </si>
  <si>
    <t>D-5</t>
  </si>
  <si>
    <t>Jackson Park</t>
  </si>
  <si>
    <t>13624 4th Ave NE</t>
  </si>
  <si>
    <t>Ceiling Fan(s), Dining Room, 2nd Kitchen</t>
  </si>
  <si>
    <t>Bryant</t>
  </si>
  <si>
    <t>_1915</t>
  </si>
  <si>
    <t>11538 31st Ave NE</t>
  </si>
  <si>
    <t>Bath Off Master, Dining Room, Walk-in Closet</t>
  </si>
  <si>
    <t>E-5</t>
  </si>
  <si>
    <t>Dishwasher, Garbage Disposal, Microwave, Range/Oven, Refrigerator</t>
  </si>
  <si>
    <t>Cedar Park</t>
  </si>
  <si>
    <t>9746 45th Ave NE</t>
  </si>
  <si>
    <t>_1986</t>
  </si>
  <si>
    <t>F-7</t>
  </si>
  <si>
    <t>8516 5th Ave NE</t>
  </si>
  <si>
    <t>Ravenna</t>
  </si>
  <si>
    <t>_1971</t>
  </si>
  <si>
    <t>10716 19th Ave NE</t>
  </si>
  <si>
    <t>French Doors</t>
  </si>
  <si>
    <t>C-2</t>
  </si>
  <si>
    <t>12010 36th Ave NE</t>
  </si>
  <si>
    <t>See Remarks</t>
  </si>
  <si>
    <t>Fir/Softwood</t>
  </si>
  <si>
    <t>University District</t>
  </si>
  <si>
    <t>_1923</t>
  </si>
  <si>
    <t>Title</t>
  </si>
  <si>
    <t>Query</t>
  </si>
  <si>
    <t>Comments</t>
  </si>
  <si>
    <t>Viewing</t>
  </si>
  <si>
    <t>H:\Data\FolderShare\Home\RentalData</t>
  </si>
  <si>
    <t>Feb16Query</t>
  </si>
  <si>
    <t>7030 Dibble Ave NW</t>
  </si>
  <si>
    <t>_1962</t>
  </si>
  <si>
    <t>8323 Dibble Ave NW</t>
  </si>
  <si>
    <t>355 NW 88th St</t>
  </si>
  <si>
    <t>8337 26th Ave NW</t>
  </si>
  <si>
    <t>_1958</t>
  </si>
  <si>
    <t>Windermere</t>
  </si>
  <si>
    <t>Descriptor (Short)</t>
  </si>
  <si>
    <t>http://www.windermere.com/+string</t>
  </si>
  <si>
    <t>WindermereID</t>
  </si>
  <si>
    <t>Extents</t>
  </si>
  <si>
    <t>Windermere ID</t>
  </si>
  <si>
    <t>_2008</t>
  </si>
  <si>
    <t>_1999</t>
  </si>
  <si>
    <t>8351 10th Ave NW</t>
  </si>
  <si>
    <t>http://www.windermere.com/index.cfm?fuseaction=Listing.ListingDetail&amp;ListingID=19242886</t>
  </si>
  <si>
    <t>9709 6th Ave NW</t>
  </si>
  <si>
    <t>_1982</t>
  </si>
  <si>
    <t>http://www.windermere.com/index.cfm?fuseaction=Listing.ListingDetail&amp;ListingID=18868122</t>
  </si>
  <si>
    <t>657 NW 87th St</t>
  </si>
  <si>
    <t>http://www.windermere.com/index.cfm?fuseaction=Listing.ListingDetail&amp;ListingID=18801515</t>
  </si>
  <si>
    <t>_2003</t>
  </si>
  <si>
    <t>632 NW 85 St</t>
  </si>
  <si>
    <t>http://www.windermere.com/index.cfm?fuseaction=Listing.ListingDetail&amp;ListingID=19219494</t>
  </si>
  <si>
    <t>3051 NW 69th St</t>
  </si>
  <si>
    <t>http://www.windermere.com/index.cfm?fuseaction=Listing.ListingDetail&amp;ListingID=19125238</t>
  </si>
  <si>
    <t>6749 Alonzo Ave NW</t>
  </si>
  <si>
    <t>http://www.windermere.com/index.cfm?fuseaction=Listing.ListingDetail&amp;ListingID=19377896</t>
  </si>
  <si>
    <t>8352 18th Ave NW</t>
  </si>
  <si>
    <t>http://www.windermere.com/index.cfm?fuseaction=Listing.ListingDetail&amp;ListingID=19365411</t>
  </si>
  <si>
    <t>8534 30th Ave NW</t>
  </si>
  <si>
    <t>http://www.windermere.com/index.cfm?fuseaction=Listing.ListingDetail&amp;ListingID=18892187</t>
  </si>
  <si>
    <t>158 NW 74th St</t>
  </si>
  <si>
    <t>http://www.windermere.com/index.cfm?fuseaction=Listing.ListingDetail&amp;ListingID=19241417</t>
  </si>
  <si>
    <t>9527 9th Ave NW</t>
  </si>
  <si>
    <t>http://www.windermere.com/index.cfm?fuseaction=Listing.ListingDetail&amp;ListingID=19013395</t>
  </si>
  <si>
    <t>http://www.windermere.com/index.cfm?fuseaction=Listing.ListingDetail&amp;ListingID=19161435</t>
  </si>
  <si>
    <t>6708 Alonzo Ave NW</t>
  </si>
  <si>
    <t>http://www.windermere.com/index.cfm?fuseaction=Listing.ListingDetail&amp;ListingID=18825808</t>
  </si>
  <si>
    <t>936 97th St NW</t>
  </si>
  <si>
    <t>http://www.windermere.com/index.cfm?fuseaction=Listing.ListingDetail&amp;ListingID=19212202</t>
  </si>
  <si>
    <t>http://www.windermere.com/index.cfm?fuseaction=Listing.ListingDetail&amp;ListingID=18894488</t>
  </si>
  <si>
    <t>6725 32nd Ave NW</t>
  </si>
  <si>
    <t>8326 17th Ave NW</t>
  </si>
  <si>
    <t>http://www.windermere.com/index.cfm?fuseaction=Listing.ListingDetail&amp;ListingID=19351629</t>
  </si>
  <si>
    <t>http://www.windermere.com/index.cfm?fuseaction=Listing.ListingDetail&amp;ListingID=19320889</t>
  </si>
  <si>
    <t>http://www.windermere.com/index.cfm?fuseaction=Listing.ListingDetail&amp;ListingID=19375965</t>
  </si>
  <si>
    <t>http://www.windermere.com/index.cfm?fuseaction=Listing.ListingDetail&amp;ListingID=18820818</t>
  </si>
  <si>
    <t>Unique Sunset Hill Craftsman</t>
  </si>
  <si>
    <t>http://www.windermere.com/index.cfm?fuseaction=Listing.ListingDetail&amp;ListingID=19295761</t>
  </si>
  <si>
    <t>http://www.windermere.com/index.cfm?fuseaction=Listing.ListingDetail&amp;ListingID=18865361</t>
  </si>
  <si>
    <t>http://www.windermere.com/index.cfm?fuseaction=Listing.ListingDetail&amp;ListingID=19258580</t>
  </si>
  <si>
    <t>http://www.windermere.com/index.cfm?fuseaction=Listing.ListingDetail&amp;ListingID=19325789</t>
  </si>
  <si>
    <t>_1922</t>
  </si>
  <si>
    <t>http://www.windermere.com/index.cfm?fuseaction=Listing.ListingDetail&amp;ListingID=18817368</t>
  </si>
  <si>
    <t>6751 Alonzo Ave NW</t>
  </si>
  <si>
    <t>http://www.windermere.com/index.cfm?fuseaction=Listing.ListingDetail&amp;ListingID=19377990</t>
  </si>
  <si>
    <t>9219 8th Ave NW</t>
  </si>
  <si>
    <t>http://www.windermere.com/index.cfm?fuseaction=Listing.ListingDetail&amp;ListingID=19344194</t>
  </si>
  <si>
    <t>6743 B 24th Ave NW</t>
  </si>
  <si>
    <t>http://www.windermere.com/index.cfm?fuseaction=Listing.ListingDetail&amp;ListingID=19066064</t>
  </si>
  <si>
    <t>6718 4th Ave NW</t>
  </si>
  <si>
    <t>http://www.windermere.com/index.cfm?fuseaction=Listing.ListingDetail&amp;ListingID=18076483</t>
  </si>
  <si>
    <t>9038 Mary Ave NW A</t>
  </si>
  <si>
    <t>http://www.windermere.com/index.cfm?fuseaction=Listing.ListingDetail&amp;ListingID=18844703</t>
  </si>
  <si>
    <t>http://www.windermere.com/index.cfm?fuseaction=Listing.ListingDetail&amp;ListingID=19326790</t>
  </si>
  <si>
    <t>Date Added</t>
  </si>
  <si>
    <t>D:\FolderShare\Home\RentalData</t>
  </si>
  <si>
    <t>ExtentNorth</t>
  </si>
  <si>
    <t>ExtentSouth</t>
  </si>
  <si>
    <t>ExtentEast</t>
  </si>
  <si>
    <t>ExtentWest</t>
  </si>
  <si>
    <t>Source</t>
  </si>
  <si>
    <t>7748 17th Ave NW</t>
  </si>
  <si>
    <t>http://www.windermere.com/index.cfm?fuseaction=Listing.ListingDetail&amp;ListingID=19321801</t>
  </si>
  <si>
    <t>9043 Dibble Ave NW</t>
  </si>
  <si>
    <t>http://www.windermere.com/index.cfm?fuseaction=Listing.ListingDetail&amp;ListingID=19331172</t>
  </si>
  <si>
    <t>http://www.windermere.com/index.cfm?fuseaction=Listing.ListingDetail&amp;ListingID=19267253</t>
  </si>
  <si>
    <t>9523 B 8th Ave NW</t>
  </si>
  <si>
    <t>http://www.windermere.com/index.cfm?fuseaction=Listing.ListingDetail&amp;ListingID=18906882</t>
  </si>
  <si>
    <t>9517 B 8th Ave NW</t>
  </si>
  <si>
    <t>http://www.windermere.com/index.cfm?fuseaction=Listing.ListingDetail&amp;ListingID=19018885</t>
  </si>
  <si>
    <t>9519 A 8th Ave NW</t>
  </si>
  <si>
    <t>http://www.windermere.com/index.cfm?fuseaction=Listing.ListingDetail&amp;ListingID=18838362</t>
  </si>
  <si>
    <t>9519 B 8th Ave NW</t>
  </si>
  <si>
    <t>http://www.windermere.com/index.cfm?fuseaction=Listing.ListingDetail&amp;ListingID=18870272</t>
  </si>
  <si>
    <t>9521 B 8th Ave NW</t>
  </si>
  <si>
    <t>http://www.windermere.com/index.cfm?fuseaction=Listing.ListingDetail&amp;ListingID=18812719</t>
  </si>
  <si>
    <t>9523 A 8th Ave NW</t>
  </si>
  <si>
    <t>http://www.windermere.com/index.cfm?fuseaction=Listing.ListingDetail&amp;ListingID=18936713</t>
  </si>
  <si>
    <t>603 NW 85</t>
  </si>
  <si>
    <t>http://www.windermere.com/index.cfm?fuseaction=Listing.ListingDetail&amp;ListingID=19265907</t>
  </si>
  <si>
    <t>324 NW 80th</t>
  </si>
  <si>
    <t>http://www.windermere.com/index.cfm?fuseaction=Listing.ListingDetail&amp;ListingID=19239109</t>
  </si>
  <si>
    <t>6753 Alonzo Ave NW</t>
  </si>
  <si>
    <t>http://www.windermere.com/index.cfm?fuseaction=Listing.ListingDetail&amp;ListingID=19378000</t>
  </si>
  <si>
    <t>8524 9th Ave NW</t>
  </si>
  <si>
    <t>_1973</t>
  </si>
  <si>
    <t>http://www.windermere.com/index.cfm?fuseaction=Listing.ListingDetail&amp;ListingID=19098221</t>
  </si>
  <si>
    <t>9243 14th Ave NW</t>
  </si>
  <si>
    <t>http://www.windermere.com/index.cfm?fuseaction=Listing.ListingDetail&amp;ListingID=19246215</t>
  </si>
  <si>
    <t>334 NW 76th St</t>
  </si>
  <si>
    <t>http://www.windermere.com/index.cfm?fuseaction=Listing.ListingDetail&amp;ListingID=19361620</t>
  </si>
  <si>
    <t>8701 17th Ave NW</t>
  </si>
  <si>
    <t>http://www.windermere.com/index.cfm?fuseaction=Listing.ListingDetail&amp;ListingID=19021437</t>
  </si>
  <si>
    <t>8405 A 8th Ave NW</t>
  </si>
  <si>
    <t>http://www.windermere.com/index.cfm?fuseaction=Listing.ListingDetail&amp;ListingID=18860071</t>
  </si>
  <si>
    <t>8405 B 8th Ave NW</t>
  </si>
  <si>
    <t>http://www.windermere.com/index.cfm?fuseaction=Listing.ListingDetail&amp;ListingID=18859931</t>
  </si>
  <si>
    <t>8403 B 8th Ave NW</t>
  </si>
  <si>
    <t>http://www.windermere.com/index.cfm?fuseaction=Listing.ListingDetail&amp;ListingID=18860069</t>
  </si>
  <si>
    <t>8403 A 8th Ave NW</t>
  </si>
  <si>
    <t>http://www.windermere.com/index.cfm?fuseaction=Listing.ListingDetail&amp;ListingID=18860070</t>
  </si>
  <si>
    <t>7017 Alonzo Ave NW</t>
  </si>
  <si>
    <t>http://www.windermere.com/index.cfm?fuseaction=Listing.ListingDetail&amp;ListingID=19048334</t>
  </si>
  <si>
    <t>1109 NW 85th Ave B</t>
  </si>
  <si>
    <t>http://www.windermere.com/index.cfm?fuseaction=Listing.ListingDetail&amp;ListingID=19036976</t>
  </si>
  <si>
    <t>8357 11th Ave NW B</t>
  </si>
  <si>
    <t>http://www.windermere.com/index.cfm?fuseaction=Listing.ListingDetail&amp;ListingID=19273242</t>
  </si>
  <si>
    <t>8359 11th Ave NW</t>
  </si>
  <si>
    <t>http://www.windermere.com/index.cfm?fuseaction=Listing.ListingDetail&amp;ListingID=19050830</t>
  </si>
  <si>
    <t>8355 11th Ave NW B</t>
  </si>
  <si>
    <t>http://www.windermere.com/index.cfm?fuseaction=Listing.ListingDetail&amp;ListingID=19366086</t>
  </si>
  <si>
    <t>336 NW 84th St</t>
  </si>
  <si>
    <t>_1989</t>
  </si>
  <si>
    <t>http://www.windermere.com/index.cfm?fuseaction=Listing.ListingDetail&amp;ListingID=19343365</t>
  </si>
  <si>
    <t>152 NW 78th St</t>
  </si>
  <si>
    <t>http://www.windermere.com/index.cfm?fuseaction=Listing.ListingDetail&amp;ListingID=19193863</t>
  </si>
  <si>
    <t>2812 A NW 85th - Quiet side</t>
  </si>
  <si>
    <t>http://www.windermere.com/index.cfm?fuseaction=Listing.ListingDetail&amp;ListingID=19206266</t>
  </si>
  <si>
    <t>http://www.windermere.com/index.cfm?fuseaction=Listing.ListingDetail&amp;ListingID=19330920</t>
  </si>
  <si>
    <t>1214 NW 80th St</t>
  </si>
  <si>
    <t>http://www.windermere.com/index.cfm?fuseaction=Listing.ListingDetail&amp;ListingID=18898391</t>
  </si>
  <si>
    <t>8745 17th Ave NW</t>
  </si>
  <si>
    <t>http://www.windermere.com/index.cfm?fuseaction=Listing.ListingDetail&amp;ListingID=19169349</t>
  </si>
  <si>
    <t>Bellevue</t>
  </si>
  <si>
    <t>14338 Interlake Ave N</t>
  </si>
  <si>
    <t>http://www.windermere.com/index.cfm?fuseaction=Listing.ListingDetail&amp;ListingID=19134351</t>
  </si>
  <si>
    <t>9131 B 23rd Ave NE</t>
  </si>
  <si>
    <t>_2006</t>
  </si>
  <si>
    <t>http://www.windermere.com/index.cfm?fuseaction=Listing.ListingDetail&amp;ListingID=19161972</t>
  </si>
  <si>
    <t>12212 Dayton Ave N</t>
  </si>
  <si>
    <t>http://www.windermere.com/index.cfm?fuseaction=Listing.ListingDetail&amp;ListingID=19370194</t>
  </si>
  <si>
    <t>10342 Stone Ave N</t>
  </si>
  <si>
    <t>_1944</t>
  </si>
  <si>
    <t>http://www.windermere.com/index.cfm?fuseaction=Listing.ListingDetail&amp;ListingID=18883912</t>
  </si>
  <si>
    <t>734 N 127th St</t>
  </si>
  <si>
    <t>http://www.windermere.com/index.cfm?fuseaction=Listing.ListingDetail&amp;ListingID=19281164</t>
  </si>
  <si>
    <t>13720 Midvale Ave N B</t>
  </si>
  <si>
    <t>http://www.windermere.com/index.cfm?fuseaction=Listing.ListingDetail&amp;ListingID=19291014</t>
  </si>
  <si>
    <t>9242 A Interlake Ave N</t>
  </si>
  <si>
    <t>http://www.windermere.com/index.cfm?fuseaction=Listing.ListingDetail&amp;ListingID=19381850</t>
  </si>
  <si>
    <t>10008 Dibble Ave NW</t>
  </si>
  <si>
    <t>http://www.windermere.com/index.cfm?fuseaction=Listing.ListingDetail&amp;ListingID=19343180</t>
  </si>
  <si>
    <t>8516 Nesbit Ave N C</t>
  </si>
  <si>
    <t>http://www.windermere.com/index.cfm?fuseaction=Listing.ListingDetail&amp;ListingID=19127481</t>
  </si>
  <si>
    <t>8516 Nesbit Ave N A</t>
  </si>
  <si>
    <t>http://www.windermere.com/index.cfm?fuseaction=Listing.ListingDetail&amp;ListingID=19372503</t>
  </si>
  <si>
    <t>919 N 105th St</t>
  </si>
  <si>
    <t>_1919</t>
  </si>
  <si>
    <t>http://www.windermere.com/index.cfm?fuseaction=Listing.ListingDetail&amp;ListingID=18814919</t>
  </si>
  <si>
    <t>Shoreline</t>
  </si>
  <si>
    <t>2017 NE 137 St</t>
  </si>
  <si>
    <t>http://www.windermere.com/index.cfm?fuseaction=Listing.ListingDetail&amp;ListingID=19216145</t>
  </si>
  <si>
    <t>13549 Wallingford N</t>
  </si>
  <si>
    <t>http://www.windermere.com/index.cfm?fuseaction=Listing.ListingDetail&amp;ListingID=19206462</t>
  </si>
  <si>
    <t>12509 Evanston Ave N</t>
  </si>
  <si>
    <t>http://www.windermere.com/index.cfm?fuseaction=Listing.ListingDetail&amp;ListingID=19356881</t>
  </si>
  <si>
    <t>10309 B Midvale Ave N</t>
  </si>
  <si>
    <t>_2002</t>
  </si>
  <si>
    <t>http://www.windermere.com/index.cfm?fuseaction=Listing.ListingDetail&amp;ListingID=18673522</t>
  </si>
  <si>
    <t>747 N 95th St B</t>
  </si>
  <si>
    <t>http://www.windermere.com/index.cfm?fuseaction=Listing.ListingDetail&amp;ListingID=18645976</t>
  </si>
  <si>
    <t>747 N 95th St A</t>
  </si>
  <si>
    <t>http://www.windermere.com/index.cfm?fuseaction=Listing.ListingDetail&amp;ListingID=18645969</t>
  </si>
  <si>
    <t>749 N 95th St A</t>
  </si>
  <si>
    <t>http://www.windermere.com/index.cfm?fuseaction=Listing.ListingDetail&amp;ListingID=18854105</t>
  </si>
  <si>
    <t>745 N 95th St B</t>
  </si>
  <si>
    <t>http://www.windermere.com/index.cfm?fuseaction=Listing.ListingDetail&amp;ListingID=18521282</t>
  </si>
  <si>
    <t>1038 NE 127th St</t>
  </si>
  <si>
    <t>http://www.windermere.com/index.cfm?fuseaction=Listing.ListingDetail&amp;ListingID=19192648</t>
  </si>
  <si>
    <t>13718 Midvale Ave N A</t>
  </si>
  <si>
    <t>http://www.windermere.com/index.cfm?fuseaction=Listing.ListingDetail&amp;ListingID=19291015</t>
  </si>
  <si>
    <t>1829 N 149th St</t>
  </si>
  <si>
    <t>_1954</t>
  </si>
  <si>
    <t>http://www.windermere.com/index.cfm?fuseaction=Listing.ListingDetail&amp;ListingID=19349709</t>
  </si>
  <si>
    <t>14202 Roslyn Pl N</t>
  </si>
  <si>
    <t>http://www.windermere.com/index.cfm?fuseaction=Listing.ListingDetail&amp;ListingID=19246527</t>
  </si>
  <si>
    <t>1141 N 93rd St B</t>
  </si>
  <si>
    <t>_2000</t>
  </si>
  <si>
    <t>http://www.windermere.com/index.cfm?fuseaction=Listing.ListingDetail&amp;ListingID=18979832</t>
  </si>
  <si>
    <t>1745 NE 105 St</t>
  </si>
  <si>
    <t>http://www.windermere.com/index.cfm?fuseaction=Listing.ListingDetail&amp;ListingID=19183393</t>
  </si>
  <si>
    <t>9555 Interlake Ave N</t>
  </si>
  <si>
    <t>345 N 105th St B</t>
  </si>
  <si>
    <t>http://www.windermere.com/index.cfm?fuseaction=Listing.ListingDetail&amp;ListingID=18799513</t>
  </si>
  <si>
    <t>745 N 95th St A</t>
  </si>
  <si>
    <t>http://www.windermere.com/index.cfm?fuseaction=Listing.ListingDetail&amp;ListingID=18521283</t>
  </si>
  <si>
    <t>345 N 105th entr on Dayton St A</t>
  </si>
  <si>
    <t>http://www.windermere.com/index.cfm?fuseaction=Listing.ListingDetail&amp;ListingID=19261837</t>
  </si>
  <si>
    <t>13718 Midvale Ave N C</t>
  </si>
  <si>
    <t>http://www.windermere.com/index.cfm?fuseaction=Listing.ListingDetail&amp;ListingID=19293598</t>
  </si>
  <si>
    <t>14312 A Stone Ave N</t>
  </si>
  <si>
    <t>http://www.windermere.com/index.cfm?fuseaction=Listing.ListingDetail&amp;ListingID=19345068</t>
  </si>
  <si>
    <t>326 N 45th St</t>
  </si>
  <si>
    <t>_1909</t>
  </si>
  <si>
    <t>http://www.windermere.com/index.cfm?fuseaction=Listing.ListingDetail&amp;ListingID=19000289</t>
  </si>
  <si>
    <t>4243 Palatine Ave N</t>
  </si>
  <si>
    <t>_1960</t>
  </si>
  <si>
    <t>http://www.windermere.com/index.cfm?fuseaction=Listing.ListingDetail&amp;ListingID=19246531</t>
  </si>
  <si>
    <t>1805 N 105th St</t>
  </si>
  <si>
    <t>http://www.windermere.com/index.cfm?fuseaction=Listing.ListingDetail&amp;ListingID=18978903</t>
  </si>
  <si>
    <t>11014 A Greenwood Ave N</t>
  </si>
  <si>
    <t>http://www.windermere.com/index.cfm?fuseaction=Listing.ListingDetail&amp;ListingID=19305143</t>
  </si>
  <si>
    <t>11214 B Greenwood Ave N</t>
  </si>
  <si>
    <t>http://www.windermere.com/index.cfm?fuseaction=Listing.ListingDetail&amp;ListingID=18817082</t>
  </si>
  <si>
    <t>11214 A Greenwood Ave N</t>
  </si>
  <si>
    <t>http://www.windermere.com/index.cfm?fuseaction=Listing.ListingDetail&amp;ListingID=18883851</t>
  </si>
  <si>
    <t>11212 C Greenwood Ave N</t>
  </si>
  <si>
    <t>http://www.windermere.com/index.cfm?fuseaction=Listing.ListingDetail&amp;ListingID=18883850</t>
  </si>
  <si>
    <t>11212 B Greenwood Ave N</t>
  </si>
  <si>
    <t>http://www.windermere.com/index.cfm?fuseaction=Listing.ListingDetail&amp;ListingID=18883849</t>
  </si>
  <si>
    <t>11212 A Greenwood Ave N</t>
  </si>
  <si>
    <t>http://www.windermere.com/index.cfm?fuseaction=Listing.ListingDetail&amp;ListingID=18826288</t>
  </si>
  <si>
    <t>1015 NE 123rd St A</t>
  </si>
  <si>
    <t>http://www.windermere.com/index.cfm?fuseaction=Listing.ListingDetail&amp;ListingID=19344609</t>
  </si>
  <si>
    <t>706 N 143rd St</t>
  </si>
  <si>
    <t>http://www.windermere.com/index.cfm?fuseaction=Listing.ListingDetail&amp;ListingID=19304377</t>
  </si>
  <si>
    <t>1204 N 85th (not busy NE corner</t>
  </si>
  <si>
    <t>http://www.windermere.com/index.cfm?fuseaction=Listing.ListingDetail&amp;ListingID=19200062</t>
  </si>
  <si>
    <t>12333 B 10th Pl NE</t>
  </si>
  <si>
    <t>http://www.windermere.com/index.cfm?fuseaction=Listing.ListingDetail&amp;ListingID=19379306</t>
  </si>
  <si>
    <t>12333 C 10th Pl NE</t>
  </si>
  <si>
    <t>http://www.windermere.com/index.cfm?fuseaction=Listing.ListingDetail&amp;ListingID=19379299</t>
  </si>
  <si>
    <t>12333 A 10th Pl NE</t>
  </si>
  <si>
    <t>http://www.windermere.com/index.cfm?fuseaction=Listing.ListingDetail&amp;ListingID=19379302</t>
  </si>
  <si>
    <t>14324 wayne Pl N</t>
  </si>
  <si>
    <t>http://www.windermere.com/index.cfm?fuseaction=Listing.ListingDetail&amp;ListingID=19245355</t>
  </si>
  <si>
    <t>1142 N 92nd St A</t>
  </si>
  <si>
    <t>http://www.windermere.com/index.cfm?fuseaction=Listing.ListingDetail&amp;ListingID=18914260</t>
  </si>
  <si>
    <t>http://www.windermere.com/index.cfm?fuseaction=Listing.ListingDetail&amp;ListingID=18876585</t>
  </si>
  <si>
    <t>1017 NE 123rd St A</t>
  </si>
  <si>
    <t>http://www.windermere.com/index.cfm?fuseaction=Listing.ListingDetail&amp;ListingID=19344675</t>
  </si>
  <si>
    <t>11708 B Greenwood Ave N</t>
  </si>
  <si>
    <t>http://www.windermere.com/index.cfm?fuseaction=Listing.ListingDetail&amp;ListingID=19310679</t>
  </si>
  <si>
    <t>13732 Palatine Ave N</t>
  </si>
  <si>
    <t>http://www.windermere.com/index.cfm?fuseaction=Listing.ListingDetail&amp;ListingID=19336068</t>
  </si>
  <si>
    <t>4247 Palatine Ave N</t>
  </si>
  <si>
    <t>http://www.windermere.com/index.cfm?fuseaction=Listing.ListingDetail&amp;ListingID=19149402</t>
  </si>
  <si>
    <t>8516 Nesbit Ave N B</t>
  </si>
  <si>
    <t>http://www.windermere.com/index.cfm?fuseaction=Listing.ListingDetail&amp;ListingID=19195065</t>
  </si>
  <si>
    <t>2138 A N 113th St</t>
  </si>
  <si>
    <t>http://www.windermere.com/index.cfm?fuseaction=Listing.ListingDetail&amp;ListingID=19189952</t>
  </si>
  <si>
    <t>2708 NE 110th St</t>
  </si>
  <si>
    <t>http://www.windermere.com/index.cfm?fuseaction=Listing.ListingDetail&amp;ListingID=19155004</t>
  </si>
  <si>
    <t>9552 Palatine Ave N</t>
  </si>
  <si>
    <t>http://www.windermere.com/index.cfm?fuseaction=Listing.ListingDetail&amp;ListingID=19185353</t>
  </si>
  <si>
    <t>515 N 103rd St</t>
  </si>
  <si>
    <t>http://www.windermere.com/index.cfm?fuseaction=Listing.ListingDetail&amp;ListingID=18789512</t>
  </si>
  <si>
    <t>718 N 94th St I</t>
  </si>
  <si>
    <t>_1998</t>
  </si>
  <si>
    <t>http://www.windermere.com/index.cfm?fuseaction=Listing.ListingDetail&amp;ListingID=19342133</t>
  </si>
  <si>
    <t>10203 B 1st Ave NW</t>
  </si>
  <si>
    <t>http://www.windermere.com/index.cfm?fuseaction=Listing.ListingDetail&amp;ListingID=19079640</t>
  </si>
  <si>
    <t>2134 B N 113th St</t>
  </si>
  <si>
    <t>http://www.windermere.com/index.cfm?fuseaction=Listing.ListingDetail&amp;ListingID=19269794</t>
  </si>
  <si>
    <t>737 N 94th St C</t>
  </si>
  <si>
    <t>http://www.windermere.com/index.cfm?fuseaction=Listing.ListingDetail&amp;ListingID=18557407</t>
  </si>
  <si>
    <t>8518 A Midvale Ave N</t>
  </si>
  <si>
    <t>http://www.windermere.com/index.cfm?fuseaction=Listing.ListingDetail&amp;ListingID=19310131</t>
  </si>
  <si>
    <t>938 N 86 St</t>
  </si>
  <si>
    <t>http://www.windermere.com/index.cfm?fuseaction=Listing.ListingDetail&amp;ListingID=18424718</t>
  </si>
  <si>
    <t>12619 8th Ave NE</t>
  </si>
  <si>
    <t>http://www.windermere.com/index.cfm?fuseaction=Listing.ListingDetail&amp;ListingID=18678127</t>
  </si>
  <si>
    <t>http://www.windermere.com/index.cfm?fuseaction=Listing.ListingDetail&amp;ListingID=18858794</t>
  </si>
  <si>
    <t>908 N 95th St 1A</t>
  </si>
  <si>
    <t>http://www.windermere.com/index.cfm?fuseaction=Listing.ListingDetail&amp;ListingID=19194788</t>
  </si>
  <si>
    <t>11710 A Greenwood Ave N</t>
  </si>
  <si>
    <t>http://www.windermere.com/index.cfm?fuseaction=Listing.ListingDetail&amp;ListingID=19365753</t>
  </si>
  <si>
    <t>11030 B Greenwood Ave N B</t>
  </si>
  <si>
    <t>http://www.windermere.com/index.cfm?fuseaction=Listing.ListingDetail&amp;ListingID=19280728</t>
  </si>
  <si>
    <t>13051 28th Ave NE</t>
  </si>
  <si>
    <t>_1968</t>
  </si>
  <si>
    <t>http://www.windermere.com/index.cfm?fuseaction=Listing.ListingDetail&amp;ListingID=19340741</t>
  </si>
  <si>
    <t>10305 Midvale Ave N B</t>
  </si>
  <si>
    <t>http://www.windermere.com/index.cfm?fuseaction=Listing.ListingDetail&amp;ListingID=18898996</t>
  </si>
  <si>
    <t>737 N 94th St A</t>
  </si>
  <si>
    <t>http://www.windermere.com/index.cfm?fuseaction=Listing.ListingDetail&amp;ListingID=19060032</t>
  </si>
  <si>
    <t>1214 A N 85th St</t>
  </si>
  <si>
    <t>http://www.windermere.com/index.cfm?fuseaction=Listing.ListingDetail&amp;ListingID=19226990</t>
  </si>
  <si>
    <t>517 N 86 St</t>
  </si>
  <si>
    <t>http://www.windermere.com/index.cfm?fuseaction=Listing.ListingDetail&amp;ListingID=19206316</t>
  </si>
  <si>
    <t>1815 N 137th St</t>
  </si>
  <si>
    <t>http://www.windermere.com/index.cfm?fuseaction=Listing.ListingDetail&amp;ListingID=19299939</t>
  </si>
  <si>
    <t>11727 26th Ave NE</t>
  </si>
  <si>
    <t>_1935</t>
  </si>
  <si>
    <t>http://www.windermere.com/index.cfm?fuseaction=Listing.ListingDetail&amp;ListingID=19342899</t>
  </si>
  <si>
    <t>8609 23rd Ave NE 1</t>
  </si>
  <si>
    <t>http://www.windermere.com/index.cfm?fuseaction=Listing.ListingDetail&amp;ListingID=18779519</t>
  </si>
  <si>
    <t>8520 Stone Ave N A</t>
  </si>
  <si>
    <t>http://www.windermere.com/index.cfm?fuseaction=Listing.ListingDetail&amp;ListingID=19039296</t>
  </si>
  <si>
    <t>11012 A Greenwood Ave N</t>
  </si>
  <si>
    <t>http://www.windermere.com/index.cfm?fuseaction=Listing.ListingDetail&amp;ListingID=19305266</t>
  </si>
  <si>
    <t>12337 B 10th Pl NE</t>
  </si>
  <si>
    <t>http://www.windermere.com/index.cfm?fuseaction=Listing.ListingDetail&amp;ListingID=19379300</t>
  </si>
  <si>
    <t>12337 C 10th Pl NE</t>
  </si>
  <si>
    <t>http://www.windermere.com/index.cfm?fuseaction=Listing.ListingDetail&amp;ListingID=19379301</t>
  </si>
  <si>
    <t>9225 Fremont Ave N</t>
  </si>
  <si>
    <t>http://www.windermere.com/index.cfm?fuseaction=Listing.ListingDetail&amp;ListingID=19371247</t>
  </si>
  <si>
    <t>1915 N 137th St</t>
  </si>
  <si>
    <t>http://www.windermere.com/index.cfm?fuseaction=Listing.ListingDetail&amp;ListingID=19322811</t>
  </si>
  <si>
    <t>745 N 104th St</t>
  </si>
  <si>
    <t>http://www.windermere.com/index.cfm?fuseaction=Listing.ListingDetail&amp;ListingID=19370571</t>
  </si>
  <si>
    <t>839 123rd St NE</t>
  </si>
  <si>
    <t>http://www.windermere.com/index.cfm?fuseaction=Listing.ListingDetail&amp;ListingID=19344098</t>
  </si>
  <si>
    <t>8855 Ashworth Ave N</t>
  </si>
  <si>
    <t>http://www.windermere.com/index.cfm?fuseaction=Listing.ListingDetail&amp;ListingID=18991624</t>
  </si>
  <si>
    <t>1602 NE 137th St</t>
  </si>
  <si>
    <t>http://www.windermere.com/index.cfm?fuseaction=Listing.ListingDetail&amp;ListingID=19156147</t>
  </si>
  <si>
    <t>5807 5th Ave NE</t>
  </si>
  <si>
    <t>http://www.windermere.com/index.cfm?fuseaction=Listing.ListingDetail&amp;ListingID=19319974</t>
  </si>
  <si>
    <t>5217 8th Ave NW</t>
  </si>
  <si>
    <t>http://www.windermere.com/index.cfm?fuseaction=Listing.ListingDetail&amp;ListingID=19023075</t>
  </si>
  <si>
    <t>10711 28th Ave NE</t>
  </si>
  <si>
    <t>http://www.windermere.com/index.cfm?fuseaction=Listing.ListingDetail&amp;ListingID=19319599</t>
  </si>
  <si>
    <t>559 NE 79th St</t>
  </si>
  <si>
    <t>http://www.windermere.com/index.cfm?fuseaction=Listing.ListingDetail&amp;ListingID=19286628</t>
  </si>
  <si>
    <t>1021 B NE 123rd</t>
  </si>
  <si>
    <t>http://www.windermere.com/index.cfm?fuseaction=Listing.ListingDetail&amp;ListingID=19164242</t>
  </si>
  <si>
    <t>1023 B NE 123rd</t>
  </si>
  <si>
    <t>http://www.windermere.com/index.cfm?fuseaction=Listing.ListingDetail&amp;ListingID=18679666</t>
  </si>
  <si>
    <t>12337 A 10th Pl NE</t>
  </si>
  <si>
    <t>http://www.windermere.com/index.cfm?fuseaction=Listing.ListingDetail&amp;ListingID=18468108</t>
  </si>
  <si>
    <t>1916 NE 125th St</t>
  </si>
  <si>
    <t>http://www.windermere.com/index.cfm?fuseaction=Listing.ListingDetail&amp;ListingID=19340346</t>
  </si>
  <si>
    <t>8800 Ravenna Ave NE</t>
  </si>
  <si>
    <t>http://www.windermere.com/index.cfm?fuseaction=Listing.ListingDetail&amp;ListingID=19216135</t>
  </si>
  <si>
    <t>9241 A Ashworth Ave N</t>
  </si>
  <si>
    <t>http://www.windermere.com/index.cfm?fuseaction=Listing.ListingDetail&amp;ListingID=19036477</t>
  </si>
  <si>
    <t>9249 Ashworth Ave N B</t>
  </si>
  <si>
    <t>http://www.windermere.com/index.cfm?fuseaction=Listing.ListingDetail&amp;ListingID=19310678</t>
  </si>
  <si>
    <t>1907 A N 35th St</t>
  </si>
  <si>
    <t>http://www.windermere.com/index.cfm?fuseaction=Listing.ListingDetail&amp;ListingID=19382507</t>
  </si>
  <si>
    <t>8213 23rd Ave NE</t>
  </si>
  <si>
    <t>http://www.windermere.com/index.cfm?fuseaction=Listing.ListingDetail&amp;ListingID=19257593</t>
  </si>
  <si>
    <t>1023 A NE 123rd</t>
  </si>
  <si>
    <t>http://www.windermere.com/index.cfm?fuseaction=Listing.ListingDetail&amp;ListingID=18679639</t>
  </si>
  <si>
    <t>1023 C NE 123rd</t>
  </si>
  <si>
    <t>http://www.windermere.com/index.cfm?fuseaction=Listing.ListingDetail&amp;ListingID=19264129</t>
  </si>
  <si>
    <t>1027 A NE 123rd</t>
  </si>
  <si>
    <t>http://www.windermere.com/index.cfm?fuseaction=Listing.ListingDetail&amp;ListingID=19327123</t>
  </si>
  <si>
    <t>1027 C NE 123rd</t>
  </si>
  <si>
    <t>http://www.windermere.com/index.cfm?fuseaction=Listing.ListingDetail&amp;ListingID=19327718</t>
  </si>
  <si>
    <t>1021 A NE 123rd</t>
  </si>
  <si>
    <t>http://www.windermere.com/index.cfm?fuseaction=Listing.ListingDetail&amp;ListingID=19280440</t>
  </si>
  <si>
    <t>1021 C NE 123rd</t>
  </si>
  <si>
    <t>http://www.windermere.com/index.cfm?fuseaction=Listing.ListingDetail&amp;ListingID=19280441</t>
  </si>
  <si>
    <t>317 NW 103rd</t>
  </si>
  <si>
    <t>http://www.windermere.com/index.cfm?fuseaction=Listing.ListingDetail&amp;ListingID=19147164</t>
  </si>
  <si>
    <t>1911 A N 35th St</t>
  </si>
  <si>
    <t>http://www.windermere.com/index.cfm?fuseaction=Listing.ListingDetail&amp;ListingID=19382798</t>
  </si>
  <si>
    <t>1522 N 107th St</t>
  </si>
  <si>
    <t>http://www.windermere.com/index.cfm?fuseaction=Listing.ListingDetail&amp;ListingID=19332676</t>
  </si>
  <si>
    <t>8548 A Midvale Ave N</t>
  </si>
  <si>
    <t>_2004</t>
  </si>
  <si>
    <t>http://www.windermere.com/index.cfm?fuseaction=Listing.ListingDetail&amp;ListingID=18891692</t>
  </si>
  <si>
    <t>1415 A NW 61st St</t>
  </si>
  <si>
    <t>http://www.windermere.com/index.cfm?fuseaction=Listing.ListingDetail&amp;ListingID=18555463</t>
  </si>
  <si>
    <t>http://www.windermere.com/index.cfm?fuseaction=Listing.ListingDetail&amp;ListingID=18955854</t>
  </si>
  <si>
    <t>2015 B NW 59th St</t>
  </si>
  <si>
    <t>http://www.windermere.com/index.cfm?fuseaction=Listing.ListingDetail&amp;ListingID=18006149</t>
  </si>
  <si>
    <t>2631 B NW 58th St</t>
  </si>
  <si>
    <t>http://www.windermere.com/index.cfm?fuseaction=Listing.ListingDetail&amp;ListingID=18156528</t>
  </si>
  <si>
    <t>4056 5th Ave NE</t>
  </si>
  <si>
    <t>http://www.windermere.com/index.cfm?fuseaction=Listing.ListingDetail&amp;ListingID=18887114</t>
  </si>
  <si>
    <t>8509 A Interlake Ave N</t>
  </si>
  <si>
    <t>http://www.windermere.com/index.cfm?fuseaction=Listing.ListingDetail&amp;ListingID=19246786</t>
  </si>
  <si>
    <t>11550 25th Ave NE</t>
  </si>
  <si>
    <t>http://www.windermere.com/index.cfm?fuseaction=Listing.ListingDetail&amp;ListingID=19376193</t>
  </si>
  <si>
    <t>http://www.windermere.com/index.cfm?fuseaction=Listing.ListingDetail&amp;ListingID=18331929</t>
  </si>
  <si>
    <t>13002 15TH Ave NE</t>
  </si>
  <si>
    <t>http://www.windermere.com/index.cfm?fuseaction=Listing.ListingDetail&amp;ListingID=19302977</t>
  </si>
  <si>
    <t>_1961</t>
  </si>
  <si>
    <t>347 N 105th Not on busy strt St</t>
  </si>
  <si>
    <t>http://www.windermere.com/index.cfm?fuseaction=Listing.ListingDetail&amp;ListingID=18799514</t>
  </si>
  <si>
    <t>14350 Bagley N</t>
  </si>
  <si>
    <t>http://www.windermere.com/index.cfm?fuseaction=Listing.ListingDetail&amp;ListingID=19243145</t>
  </si>
  <si>
    <t>12542 5th Ave NE</t>
  </si>
  <si>
    <t>_1936</t>
  </si>
  <si>
    <t>http://www.windermere.com/index.cfm?fuseaction=Listing.ListingDetail&amp;ListingID=18577293</t>
  </si>
  <si>
    <t>14024 2nd Ave NW</t>
  </si>
  <si>
    <t>http://www.windermere.com/index.cfm?fuseaction=Listing.ListingDetail&amp;ListingID=19330852</t>
  </si>
  <si>
    <t>Remodeled Broadview Rambler</t>
  </si>
  <si>
    <t>12335 10th Pl NE</t>
  </si>
  <si>
    <t>http://www.windermere.com/index.cfm?fuseaction=Listing.ListingDetail&amp;ListingID=19285694</t>
  </si>
  <si>
    <t>3607 Albion Pl N</t>
  </si>
  <si>
    <t>http://www.windermere.com/index.cfm?fuseaction=Listing.ListingDetail&amp;ListingID=18672447</t>
  </si>
  <si>
    <t>3609 Albion Pl N</t>
  </si>
  <si>
    <t>http://www.windermere.com/index.cfm?fuseaction=Listing.ListingDetail&amp;ListingID=18672543</t>
  </si>
  <si>
    <t>3657 Greenwood Ave N</t>
  </si>
  <si>
    <t>http://www.windermere.com/index.cfm?fuseaction=Listing.ListingDetail&amp;ListingID=19088653</t>
  </si>
  <si>
    <t>2444 B NW 58th St</t>
  </si>
  <si>
    <t>http://www.windermere.com/index.cfm?fuseaction=Listing.ListingDetail&amp;ListingID=19338013</t>
  </si>
  <si>
    <t>5315 Latona Ave NE</t>
  </si>
  <si>
    <t>http://www.windermere.com/index.cfm?fuseaction=Listing.ListingDetail&amp;ListingID=19350453</t>
  </si>
  <si>
    <t>6816 25th Ave NE</t>
  </si>
  <si>
    <t>_1988</t>
  </si>
  <si>
    <t>http://www.windermere.com/index.cfm?fuseaction=Listing.ListingDetail&amp;ListingID=19074895</t>
  </si>
  <si>
    <t>314 N 103rd St</t>
  </si>
  <si>
    <t>_1991</t>
  </si>
  <si>
    <t>http://www.windermere.com/index.cfm?fuseaction=Listing.ListingDetail&amp;ListingID=19283285</t>
  </si>
  <si>
    <t>105 NW 101st St</t>
  </si>
  <si>
    <t>http://www.windermere.com/index.cfm?fuseaction=Listing.ListingDetail&amp;ListingID=19190230</t>
  </si>
  <si>
    <t>739 N 94th St A</t>
  </si>
  <si>
    <t>http://www.windermere.com/index.cfm?fuseaction=Listing.ListingDetail&amp;ListingID=19060033</t>
  </si>
  <si>
    <t>8520 2nd Ave NE</t>
  </si>
  <si>
    <t>http://www.windermere.com/index.cfm?fuseaction=Listing.ListingDetail&amp;ListingID=19252030</t>
  </si>
  <si>
    <t>1100 NE 123rd St</t>
  </si>
  <si>
    <t>_1956</t>
  </si>
  <si>
    <t>http://www.windermere.com/index.cfm?fuseaction=Listing.ListingDetail&amp;ListingID=19104551</t>
  </si>
  <si>
    <t>2633 A NW 58th St</t>
  </si>
  <si>
    <t>http://www.windermere.com/index.cfm?fuseaction=Listing.ListingDetail&amp;ListingID=18621558</t>
  </si>
  <si>
    <t>4337 4th Ave NW</t>
  </si>
  <si>
    <t>http://www.windermere.com/index.cfm?fuseaction=Listing.ListingDetail&amp;ListingID=19322649</t>
  </si>
  <si>
    <t>1025 N 36 St</t>
  </si>
  <si>
    <t>_1901</t>
  </si>
  <si>
    <t>http://www.windermere.com/index.cfm?fuseaction=Listing.ListingDetail&amp;ListingID=19360801</t>
  </si>
  <si>
    <t>2109 NE 100 St</t>
  </si>
  <si>
    <t>_1987</t>
  </si>
  <si>
    <t>http://www.windermere.com/index.cfm?fuseaction=Listing.ListingDetail&amp;ListingID=19362856</t>
  </si>
  <si>
    <t>10354 Densmore Ave N</t>
  </si>
  <si>
    <t>http://www.windermere.com/index.cfm?fuseaction=Listing.ListingDetail&amp;ListingID=19303929</t>
  </si>
  <si>
    <t>11715 Fremont Ave N</t>
  </si>
  <si>
    <t>http://www.windermere.com/index.cfm?fuseaction=Listing.ListingDetail&amp;ListingID=19342125</t>
  </si>
  <si>
    <t>5033 12th Ave NE A</t>
  </si>
  <si>
    <t>http://www.windermere.com/index.cfm?fuseaction=Listing.ListingDetail&amp;ListingID=19106819</t>
  </si>
  <si>
    <t>5033 12th Ave NE B</t>
  </si>
  <si>
    <t>http://www.windermere.com/index.cfm?fuseaction=Listing.ListingDetail&amp;ListingID=19254875</t>
  </si>
  <si>
    <t>6415 9th Ave NE A</t>
  </si>
  <si>
    <t>_2001</t>
  </si>
  <si>
    <t>http://www.windermere.com/index.cfm?fuseaction=Listing.ListingDetail&amp;ListingID=18588767</t>
  </si>
  <si>
    <t>7015 25th Ave NE</t>
  </si>
  <si>
    <t>http://www.windermere.com/index.cfm?fuseaction=Listing.ListingDetail&amp;ListingID=19365708</t>
  </si>
  <si>
    <t>751 N 83rd St</t>
  </si>
  <si>
    <t>http://www.windermere.com/index.cfm?fuseaction=Listing.ListingDetail&amp;ListingID=19128158</t>
  </si>
  <si>
    <t>825 NE 67th St B</t>
  </si>
  <si>
    <t>http://www.windermere.com/index.cfm?fuseaction=Listing.ListingDetail&amp;ListingID=18907358</t>
  </si>
  <si>
    <t>1433 NW 63rd St A</t>
  </si>
  <si>
    <t>http://www.windermere.com/index.cfm?fuseaction=Listing.ListingDetail&amp;ListingID=19136885</t>
  </si>
  <si>
    <t>1433 NW 63rd St B</t>
  </si>
  <si>
    <t>http://www.windermere.com/index.cfm?fuseaction=Listing.ListingDetail&amp;ListingID=18761619</t>
  </si>
  <si>
    <t>335 NW 46th St</t>
  </si>
  <si>
    <t>http://www.windermere.com/index.cfm?fuseaction=Listing.ListingDetail&amp;ListingID=19065829</t>
  </si>
  <si>
    <t>5519 B 28th Ave NW</t>
  </si>
  <si>
    <t>http://www.windermere.com/index.cfm?fuseaction=Listing.ListingDetail&amp;ListingID=19182427</t>
  </si>
  <si>
    <t>3653 Greenwood Ave N</t>
  </si>
  <si>
    <t>http://www.windermere.com/index.cfm?fuseaction=Listing.ListingDetail&amp;ListingID=19371422</t>
  </si>
  <si>
    <t>12739 Phinney Ave N</t>
  </si>
  <si>
    <t>http://www.windermere.com/index.cfm?fuseaction=Listing.ListingDetail&amp;ListingID=19194143</t>
  </si>
  <si>
    <t>2005 NE 85th St</t>
  </si>
  <si>
    <t>http://www.windermere.com/index.cfm?fuseaction=Listing.ListingDetail&amp;ListingID=19280733</t>
  </si>
  <si>
    <t>13544 22nd Ave NE</t>
  </si>
  <si>
    <t>http://www.windermere.com/index.cfm?fuseaction=Listing.ListingDetail&amp;ListingID=19174355</t>
  </si>
  <si>
    <t>11712 Fremont Ave N</t>
  </si>
  <si>
    <t>http://www.windermere.com/index.cfm?fuseaction=Listing.ListingDetail&amp;ListingID=18819961</t>
  </si>
  <si>
    <t>4018 B Linden Ave N</t>
  </si>
  <si>
    <t>http://www.windermere.com/index.cfm?fuseaction=Listing.ListingDetail&amp;ListingID=19346825</t>
  </si>
  <si>
    <t>3603 Albion Pl N</t>
  </si>
  <si>
    <t>http://www.windermere.com/index.cfm?fuseaction=Listing.ListingDetail&amp;ListingID=18672444</t>
  </si>
  <si>
    <t>823 NE 67th St A</t>
  </si>
  <si>
    <t>http://www.windermere.com/index.cfm?fuseaction=Listing.ListingDetail&amp;ListingID=18915737</t>
  </si>
  <si>
    <t>13514 23rd Ave NE</t>
  </si>
  <si>
    <t>http://www.windermere.com/index.cfm?fuseaction=Listing.ListingDetail&amp;ListingID=19327024</t>
  </si>
  <si>
    <t>2442 NW 59th St</t>
  </si>
  <si>
    <t>http://www.windermere.com/index.cfm?fuseaction=Listing.ListingDetail&amp;ListingID=19172134</t>
  </si>
  <si>
    <t>1103 NW 56th St</t>
  </si>
  <si>
    <t>http://www.windermere.com/index.cfm?fuseaction=Listing.ListingDetail&amp;ListingID=19341714</t>
  </si>
  <si>
    <t>http://www.windermere.com/index.cfm?fuseaction=Listing.ListingDetail&amp;ListingID=19145144</t>
  </si>
  <si>
    <t>1150 N 93rd St B</t>
  </si>
  <si>
    <t>http://www.windermere.com/index.cfm?fuseaction=Listing.ListingDetail&amp;ListingID=19221188</t>
  </si>
  <si>
    <t>2537 NE 97th St</t>
  </si>
  <si>
    <t>http://www.windermere.com/index.cfm?fuseaction=Listing.ListingDetail&amp;ListingID=19378564</t>
  </si>
  <si>
    <t>336 N 80th St</t>
  </si>
  <si>
    <t>_1920</t>
  </si>
  <si>
    <t>http://www.windermere.com/index.cfm?fuseaction=Listing.ListingDetail&amp;ListingID=19255159</t>
  </si>
  <si>
    <t>11536 4 Ave NE</t>
  </si>
  <si>
    <t>http://www.windermere.com/index.cfm?fuseaction=Listing.ListingDetail&amp;ListingID=19315502</t>
  </si>
  <si>
    <t>4756 4th Ave NE</t>
  </si>
  <si>
    <t>http://www.windermere.com/index.cfm?fuseaction=Listing.ListingDetail&amp;ListingID=19082312</t>
  </si>
  <si>
    <t>1925 NE 113th St</t>
  </si>
  <si>
    <t>http://www.windermere.com/index.cfm?fuseaction=Listing.ListingDetail&amp;ListingID=19102324</t>
  </si>
  <si>
    <t>http://www.windermere.com/index.cfm?fuseaction=Listing.ListingDetail&amp;ListingID=19357984</t>
  </si>
  <si>
    <t>1533 NW 51st St</t>
  </si>
  <si>
    <t>http://www.windermere.com/index.cfm?fuseaction=Listing.ListingDetail&amp;ListingID=19340919</t>
  </si>
  <si>
    <t>819 NE 102 St</t>
  </si>
  <si>
    <t>http://www.windermere.com/index.cfm?fuseaction=Listing.ListingDetail&amp;ListingID=19347523</t>
  </si>
  <si>
    <t>_1943</t>
  </si>
  <si>
    <t>13728 3rd Ave NW</t>
  </si>
  <si>
    <t>http://www.windermere.com/index.cfm?fuseaction=Listing.ListingDetail&amp;ListingID=19198666</t>
  </si>
  <si>
    <t>http://www.windermere.com/index.cfm?fuseaction=Listing.ListingDetail&amp;ListingID=18882240</t>
  </si>
  <si>
    <t>920 918 92nd St</t>
  </si>
  <si>
    <t>http://www.windermere.com/index.cfm?fuseaction=Listing.ListingDetail&amp;ListingID=19320055</t>
  </si>
  <si>
    <t>7503 5 Ave NE</t>
  </si>
  <si>
    <t>http://www.windermere.com/index.cfm?fuseaction=Listing.ListingDetail&amp;ListingID=19280257</t>
  </si>
  <si>
    <t>9749 Palatine Ave N</t>
  </si>
  <si>
    <t>http://www.windermere.com/index.cfm?fuseaction=Listing.ListingDetail&amp;ListingID=19336679</t>
  </si>
  <si>
    <t>8607 23rd Ave NE</t>
  </si>
  <si>
    <t>http://www.windermere.com/index.cfm?fuseaction=Listing.ListingDetail&amp;ListingID=18779507</t>
  </si>
  <si>
    <t>12833 Ashworth Ave N</t>
  </si>
  <si>
    <t>http://www.windermere.com/index.cfm?fuseaction=Listing.ListingDetail&amp;ListingID=19016079</t>
  </si>
  <si>
    <t>2600 NW 59th St</t>
  </si>
  <si>
    <t>http://www.windermere.com/index.cfm?fuseaction=Listing.ListingDetail&amp;ListingID=19373774</t>
  </si>
  <si>
    <t>817 NE 104th St</t>
  </si>
  <si>
    <t>_1979</t>
  </si>
  <si>
    <t>http://www.windermere.com/index.cfm?fuseaction=Listing.ListingDetail&amp;ListingID=19190530</t>
  </si>
  <si>
    <t>826 NW 62nd St B</t>
  </si>
  <si>
    <t>http://www.windermere.com/index.cfm?fuseaction=Listing.ListingDetail&amp;ListingID=19146140</t>
  </si>
  <si>
    <t>945 N 77th St</t>
  </si>
  <si>
    <t>http://www.windermere.com/index.cfm?fuseaction=Listing.ListingDetail&amp;ListingID=18928855</t>
  </si>
  <si>
    <t>6047 5th (not on freeway) Ave NE</t>
  </si>
  <si>
    <t>http://www.windermere.com/index.cfm?fuseaction=Listing.ListingDetail&amp;ListingID=19228455</t>
  </si>
  <si>
    <t>9055 Burke Ave N</t>
  </si>
  <si>
    <t>http://www.windermere.com/index.cfm?fuseaction=Listing.ListingDetail&amp;ListingID=19377706</t>
  </si>
  <si>
    <t>http://www.windermere.com/index.cfm?fuseaction=Listing.ListingDetail&amp;ListingID=18768523</t>
  </si>
  <si>
    <t>1768 N 128 St</t>
  </si>
  <si>
    <t>http://www.windermere.com/index.cfm?fuseaction=Listing.ListingDetail&amp;ListingID=19327829</t>
  </si>
  <si>
    <t>1422 C NW 64th St</t>
  </si>
  <si>
    <t>http://www.windermere.com/index.cfm?fuseaction=Listing.ListingDetail&amp;ListingID=19322432</t>
  </si>
  <si>
    <t>6035 25th Ave NE</t>
  </si>
  <si>
    <t>http://www.windermere.com/index.cfm?fuseaction=Listing.ListingDetail&amp;ListingID=19374487</t>
  </si>
  <si>
    <t>408 A N 49th St</t>
  </si>
  <si>
    <t>http://www.windermere.com/index.cfm?fuseaction=Listing.ListingDetail&amp;ListingID=19012321</t>
  </si>
  <si>
    <t>2427 NW 58th St A</t>
  </si>
  <si>
    <t>http://www.windermere.com/index.cfm?fuseaction=Listing.ListingDetail&amp;ListingID=19150106</t>
  </si>
  <si>
    <t>2131 N 86th St</t>
  </si>
  <si>
    <t>http://www.windermere.com/index.cfm?fuseaction=Listing.ListingDetail&amp;ListingID=19220502</t>
  </si>
  <si>
    <t>2444 A NW 58th St</t>
  </si>
  <si>
    <t>http://www.windermere.com/index.cfm?fuseaction=Listing.ListingDetail&amp;ListingID=19266059</t>
  </si>
  <si>
    <t>8063 Ravenna Ave NE</t>
  </si>
  <si>
    <t>http://www.windermere.com/index.cfm?fuseaction=Listing.ListingDetail&amp;ListingID=19037181</t>
  </si>
  <si>
    <t>1205 NE 125th St</t>
  </si>
  <si>
    <t>http://www.windermere.com/index.cfm?fuseaction=Listing.ListingDetail&amp;ListingID=18927434</t>
  </si>
  <si>
    <t>13732 B Corliss Ave N</t>
  </si>
  <si>
    <t>_1978</t>
  </si>
  <si>
    <t>http://www.windermere.com/index.cfm?fuseaction=Listing.ListingDetail&amp;ListingID=19281742</t>
  </si>
  <si>
    <t>http://www.windermere.com/index.cfm?fuseaction=Listing.ListingDetail&amp;ListingID=19272515</t>
  </si>
  <si>
    <t>http://www.windermere.com/index.cfm?fuseaction=Listing.ListingDetail&amp;ListingID=19163838</t>
  </si>
  <si>
    <t>http://www.windermere.com/index.cfm?fuseaction=Listing.ListingDetail&amp;ListingID=19342509</t>
  </si>
  <si>
    <t>10755 14TH Ave NE</t>
  </si>
  <si>
    <t>http://www.windermere.com/index.cfm?fuseaction=Listing.ListingDetail&amp;ListingID=19041872</t>
  </si>
  <si>
    <t>712 N 89th St</t>
  </si>
  <si>
    <t>http://www.windermere.com/index.cfm?fuseaction=Listing.ListingDetail&amp;ListingID=19246332</t>
  </si>
  <si>
    <t>102 NW 46th St</t>
  </si>
  <si>
    <t>http://www.windermere.com/index.cfm?fuseaction=Listing.ListingDetail&amp;ListingID=19288456</t>
  </si>
  <si>
    <t>8530 Wallingford Ave N</t>
  </si>
  <si>
    <t>http://www.windermere.com/index.cfm?fuseaction=Listing.ListingDetail&amp;ListingID=19295722</t>
  </si>
  <si>
    <t>5511 B 28th Ave NW</t>
  </si>
  <si>
    <t>http://www.windermere.com/index.cfm?fuseaction=Listing.ListingDetail&amp;ListingID=18918430</t>
  </si>
  <si>
    <t>3619 A Albion Pl N</t>
  </si>
  <si>
    <t>http://www.windermere.com/index.cfm?fuseaction=Listing.ListingDetail&amp;ListingID=18892582</t>
  </si>
  <si>
    <t>730 N 89th St</t>
  </si>
  <si>
    <t>_1985</t>
  </si>
  <si>
    <t>http://www.windermere.com/index.cfm?fuseaction=Listing.ListingDetail&amp;ListingID=19383016</t>
  </si>
  <si>
    <t>4809 A Stoneway Ave N.</t>
  </si>
  <si>
    <t>http://www.windermere.com/index.cfm?fuseaction=Listing.ListingDetail&amp;ListingID=19365702</t>
  </si>
  <si>
    <t>5311 5th Ave NE</t>
  </si>
  <si>
    <t>http://www.windermere.com/index.cfm?fuseaction=Listing.ListingDetail&amp;ListingID=19298354</t>
  </si>
  <si>
    <t>http://www.windermere.com/index.cfm?fuseaction=Listing.ListingDetail&amp;ListingID=18867060</t>
  </si>
  <si>
    <t>507 N 105th St</t>
  </si>
  <si>
    <t>http://www.windermere.com/index.cfm?fuseaction=Listing.ListingDetail&amp;ListingID=18930083</t>
  </si>
  <si>
    <t>http://www.windermere.com/index.cfm?fuseaction=Listing.ListingDetail&amp;ListingID=19278049</t>
  </si>
  <si>
    <t>12232 Fremont Ave N</t>
  </si>
  <si>
    <t>http://www.windermere.com/index.cfm?fuseaction=Listing.ListingDetail&amp;ListingID=19247940</t>
  </si>
  <si>
    <t>1420 B NW 64th St</t>
  </si>
  <si>
    <t>http://www.windermere.com/index.cfm?fuseaction=Listing.ListingDetail&amp;ListingID=19248441</t>
  </si>
  <si>
    <t>1420 A NW 64th St</t>
  </si>
  <si>
    <t>http://www.windermere.com/index.cfm?fuseaction=Listing.ListingDetail&amp;ListingID=19248438</t>
  </si>
  <si>
    <t>1424 A NW 64th St</t>
  </si>
  <si>
    <t>http://www.windermere.com/index.cfm?fuseaction=Listing.ListingDetail&amp;ListingID=19248416</t>
  </si>
  <si>
    <t>1424 B NW 64th St</t>
  </si>
  <si>
    <t>http://www.windermere.com/index.cfm?fuseaction=Listing.ListingDetail&amp;ListingID=19248425</t>
  </si>
  <si>
    <t>3423 Meridian Ave N</t>
  </si>
  <si>
    <t>http://www.windermere.com/index.cfm?fuseaction=Listing.ListingDetail&amp;ListingID=19064728</t>
  </si>
  <si>
    <t>1437 NW 62 St B</t>
  </si>
  <si>
    <t>http://www.windermere.com/index.cfm?fuseaction=Listing.ListingDetail&amp;ListingID=19353991</t>
  </si>
  <si>
    <t>http://www.windermere.com/index.cfm?fuseaction=Listing.ListingDetail&amp;ListingID=19345067</t>
  </si>
  <si>
    <t>5515 B 28th Ave NW</t>
  </si>
  <si>
    <t>http://www.windermere.com/index.cfm?fuseaction=Listing.ListingDetail&amp;ListingID=19309006</t>
  </si>
  <si>
    <t>13071 8th Ct NE</t>
  </si>
  <si>
    <t>http://www.windermere.com/index.cfm?fuseaction=Listing.ListingDetail&amp;ListingID=19379075</t>
  </si>
  <si>
    <t>2516 NE 137th St</t>
  </si>
  <si>
    <t>http://www.windermere.com/index.cfm?fuseaction=Listing.ListingDetail&amp;ListingID=19262687</t>
  </si>
  <si>
    <t>825 NW Market St</t>
  </si>
  <si>
    <t>http://www.windermere.com/index.cfm?fuseaction=Listing.ListingDetail&amp;ListingID=19288452</t>
  </si>
  <si>
    <t>4517 Thackeray Pl NE</t>
  </si>
  <si>
    <t>http://www.windermere.com/index.cfm?fuseaction=Listing.ListingDetail&amp;ListingID=19350454</t>
  </si>
  <si>
    <t>2144 N 51st St</t>
  </si>
  <si>
    <t>http://www.windermere.com/index.cfm?fuseaction=Listing.ListingDetail&amp;ListingID=19307351</t>
  </si>
  <si>
    <t>3611 B Interlake Ave N</t>
  </si>
  <si>
    <t>http://www.windermere.com/index.cfm?fuseaction=Listing.ListingDetail&amp;ListingID=19025633</t>
  </si>
  <si>
    <t>3421 Meridian Ave N</t>
  </si>
  <si>
    <t>http://www.windermere.com/index.cfm?fuseaction=Listing.ListingDetail&amp;ListingID=19212618</t>
  </si>
  <si>
    <t>846 NW 52nd St</t>
  </si>
  <si>
    <t>http://www.windermere.com/index.cfm?fuseaction=Listing.ListingDetail&amp;ListingID=18827147</t>
  </si>
  <si>
    <t>848 NW 52nd St</t>
  </si>
  <si>
    <t>http://www.windermere.com/index.cfm?fuseaction=Listing.ListingDetail&amp;ListingID=18827156</t>
  </si>
  <si>
    <t>http://www.windermere.com/index.cfm?fuseaction=Listing.ListingDetail&amp;ListingID=18790899</t>
  </si>
  <si>
    <t>545 N 78th St</t>
  </si>
  <si>
    <t>http://www.windermere.com/index.cfm?fuseaction=Listing.ListingDetail&amp;ListingID=19072165</t>
  </si>
  <si>
    <t>9240 Densmore Ave N</t>
  </si>
  <si>
    <t>http://www.windermere.com/index.cfm?fuseaction=Listing.ListingDetail&amp;ListingID=19376128</t>
  </si>
  <si>
    <t>3645 Greenwood Ave N</t>
  </si>
  <si>
    <t>http://www.windermere.com/index.cfm?fuseaction=Listing.ListingDetail&amp;ListingID=19221882</t>
  </si>
  <si>
    <t>3647 Greenwood Ave N</t>
  </si>
  <si>
    <t>http://www.windermere.com/index.cfm?fuseaction=Listing.ListingDetail&amp;ListingID=19088651</t>
  </si>
  <si>
    <t>3611 C Albion Pl N</t>
  </si>
  <si>
    <t>http://www.windermere.com/index.cfm?fuseaction=Listing.ListingDetail&amp;ListingID=18892529</t>
  </si>
  <si>
    <t>3615 C Albion Pl N</t>
  </si>
  <si>
    <t>http://www.windermere.com/index.cfm?fuseaction=Listing.ListingDetail&amp;ListingID=19247757</t>
  </si>
  <si>
    <t>213 B N 39th St</t>
  </si>
  <si>
    <t>http://www.windermere.com/index.cfm?fuseaction=Listing.ListingDetail&amp;ListingID=19088652</t>
  </si>
  <si>
    <t>4673 1st Ave NE</t>
  </si>
  <si>
    <t>http://www.windermere.com/index.cfm?fuseaction=Listing.ListingDetail&amp;ListingID=19303298</t>
  </si>
  <si>
    <t>5233 Russell Ave NW B</t>
  </si>
  <si>
    <t>http://www.windermere.com/index.cfm?fuseaction=Listing.ListingDetail&amp;ListingID=19235916</t>
  </si>
  <si>
    <t>5231 Russell Ave NW A</t>
  </si>
  <si>
    <t>http://www.windermere.com/index.cfm?fuseaction=Listing.ListingDetail&amp;ListingID=19236131</t>
  </si>
  <si>
    <t>5231 Russell Ave NW B</t>
  </si>
  <si>
    <t>http://www.windermere.com/index.cfm?fuseaction=Listing.ListingDetail&amp;ListingID=19236178</t>
  </si>
  <si>
    <t>5235 Russell Ave NW A</t>
  </si>
  <si>
    <t>http://www.windermere.com/index.cfm?fuseaction=Listing.ListingDetail&amp;ListingID=19175636</t>
  </si>
  <si>
    <t>9238 9240 Woodlawn Ave N</t>
  </si>
  <si>
    <t>http://www.windermere.com/index.cfm?fuseaction=Listing.ListingDetail&amp;ListingID=19321902</t>
  </si>
  <si>
    <t>6509 27th Ave NE</t>
  </si>
  <si>
    <t>http://www.windermere.com/index.cfm?fuseaction=Listing.ListingDetail&amp;ListingID=18791183</t>
  </si>
  <si>
    <t>http://www.windermere.com/index.cfm?fuseaction=Listing.ListingDetail&amp;ListingID=19179645</t>
  </si>
  <si>
    <t>7537 11th Ave NE</t>
  </si>
  <si>
    <t>http://www.windermere.com/index.cfm?fuseaction=Listing.ListingDetail&amp;ListingID=19312722</t>
  </si>
  <si>
    <t>10047 Wallingford Ave N</t>
  </si>
  <si>
    <t>http://www.windermere.com/index.cfm?fuseaction=Listing.ListingDetail&amp;ListingID=19308244</t>
  </si>
  <si>
    <t>3605 A Interlake Ave N</t>
  </si>
  <si>
    <t>http://www.windermere.com/index.cfm?fuseaction=Listing.ListingDetail&amp;ListingID=18940217</t>
  </si>
  <si>
    <t>http://www.windermere.com/index.cfm?fuseaction=Listing.ListingDetail&amp;ListingID=19158681</t>
  </si>
  <si>
    <t>_1910</t>
  </si>
  <si>
    <t>907 N 68th St</t>
  </si>
  <si>
    <t>http://www.windermere.com/index.cfm?fuseaction=Listing.ListingDetail&amp;ListingID=18620816</t>
  </si>
  <si>
    <t>3618 2nd Ave NW</t>
  </si>
  <si>
    <t>http://www.windermere.com/index.cfm?fuseaction=Listing.ListingDetail&amp;ListingID=19153177</t>
  </si>
  <si>
    <t>1517 NE 91st St</t>
  </si>
  <si>
    <t>http://www.windermere.com/index.cfm?fuseaction=Listing.ListingDetail&amp;ListingID=19168304</t>
  </si>
  <si>
    <t>907 N 67th St</t>
  </si>
  <si>
    <t>http://www.windermere.com/index.cfm?fuseaction=Listing.ListingDetail&amp;ListingID=19153814</t>
  </si>
  <si>
    <t>918 NW Market St</t>
  </si>
  <si>
    <t>http://www.windermere.com/index.cfm?fuseaction=Listing.ListingDetail&amp;ListingID=19154776</t>
  </si>
  <si>
    <t>450 N 39 St</t>
  </si>
  <si>
    <t>http://www.windermere.com/index.cfm?fuseaction=Listing.ListingDetail&amp;ListingID=19381434</t>
  </si>
  <si>
    <t>3633 Wallingford Ave N C</t>
  </si>
  <si>
    <t>http://www.windermere.com/index.cfm?fuseaction=Listing.ListingDetail&amp;ListingID=18941377</t>
  </si>
  <si>
    <t>3638 Palatine Ave N B</t>
  </si>
  <si>
    <t>http://www.windermere.com/index.cfm?fuseaction=Listing.ListingDetail&amp;ListingID=19336980</t>
  </si>
  <si>
    <t>213 A N 39th St</t>
  </si>
  <si>
    <t>http://www.windermere.com/index.cfm?fuseaction=Listing.ListingDetail&amp;ListingID=19371419</t>
  </si>
  <si>
    <t>213 C N 39th St</t>
  </si>
  <si>
    <t>http://www.windermere.com/index.cfm?fuseaction=Listing.ListingDetail&amp;ListingID=19371420</t>
  </si>
  <si>
    <t>5216 11 Ave NE B</t>
  </si>
  <si>
    <t>http://www.windermere.com/index.cfm?fuseaction=Listing.ListingDetail&amp;ListingID=19265102</t>
  </si>
  <si>
    <t>5216 11 Ave NE A</t>
  </si>
  <si>
    <t>http://www.windermere.com/index.cfm?fuseaction=Listing.ListingDetail&amp;ListingID=19265101</t>
  </si>
  <si>
    <t>103 N 97th St</t>
  </si>
  <si>
    <t>http://www.windermere.com/index.cfm?fuseaction=Listing.ListingDetail&amp;ListingID=19376679</t>
  </si>
  <si>
    <t>8614 Corliss Ave N</t>
  </si>
  <si>
    <t>http://www.windermere.com/index.cfm?fuseaction=Listing.ListingDetail&amp;ListingID=18632922</t>
  </si>
  <si>
    <t>11348 28th Ave NE</t>
  </si>
  <si>
    <t>http://www.windermere.com/index.cfm?fuseaction=Listing.ListingDetail&amp;ListingID=18803463</t>
  </si>
  <si>
    <t>http://www.windermere.com/index.cfm?fuseaction=Listing.ListingDetail&amp;ListingID=18548242</t>
  </si>
  <si>
    <t>http://www.windermere.com/index.cfm?fuseaction=Listing.ListingDetail&amp;ListingID=19378561</t>
  </si>
  <si>
    <t>Source_Windermere</t>
  </si>
  <si>
    <t>X</t>
  </si>
  <si>
    <t>http://locator.nwmls.com/scripts/mgrqispi.dll?APPNAME=Locator&amp;PRGNAME=MLSLogin&amp;ARGUMENT=lTGmPH3gZKprsGBYNIDVhCFOaHnTFxANWxSPePJhi5w%3D&amp;KeyRid=1</t>
  </si>
  <si>
    <t>NWMLS</t>
  </si>
  <si>
    <t>Source_CBBain</t>
  </si>
  <si>
    <t>Source_NWMLS</t>
  </si>
  <si>
    <t>130th St exit off I-5 &amp;amp; go West and turn North/Right onto Greenwood Ave N. West/Left on 137th Ave. North/Right on Palatine.</t>
  </si>
  <si>
    <t>Cable TV, Fenced-Partially, High Speed Internet, Nat. Gas Available</t>
  </si>
  <si>
    <t>Storybook Cottage with White Picket Fence ! Charming setting in the heart of Broadview. New Carpet &amp;amp; Paint. Old world charm and Move in Ready ! Serene backyard setting. Great Location close to parks and the Seattle Golf Club.</t>
  </si>
  <si>
    <t>Northgate</t>
  </si>
  <si>
    <t>From Northgate Way take a right on 107th.</t>
  </si>
  <si>
    <t>Dining Room, Dble Pane/Strm Windw, French Doors, Skylights</t>
  </si>
  <si>
    <t>Cable TV, Fenced-Fully, RV Parking</t>
  </si>
  <si>
    <t>Views of Nordstrom from this cute, cozy updated home. The woodwork is sure to amaze! Featuring hardwood floors, kitchen cabinets with mahogany inlays and a remarkable wood/stone crafted fireplace. The open spacious kitchen, enormous master bedroom and great bonus room make this everything you need in a home. Be sure to see the magnificant black walnut tree that encompasses this house. Detached structure would make a great office. All this and more... Superb location close to happening Northgate.</t>
  </si>
  <si>
    <t>A-6</t>
  </si>
  <si>
    <t>On 80th between 24th &amp;amp; 32nd on North side of street.</t>
  </si>
  <si>
    <t>Absolutely charming Loyal Heights bungalow. Beautiful hardwood floors, open floor plan, new interior paint, newly remodeled bath &amp;amp; new furnace. The newly built fireplace mantle is a classy addition to the original architecture. The kitchen has a butcher-block eating bar, newer appliances &amp;amp; original counter tiles. Light &amp;amp; bright corner lot with fenced yard, tons of seasonal flowers, custom stone patio, &amp;amp; beautiful landscaping. This home is super cute.</t>
  </si>
  <si>
    <t>From I-5 head west on 85th. South on 3rd Ave NW. Right on NW 44th St. Left on 4th Ave NW.</t>
  </si>
  <si>
    <t>1909 Bungalow with old world charm throughout. High ceilings, original millwork, period detailed windows and fir floors. Huge formal dining room has beautiful arched doorway. Period bathroom features hextile floor, claw foot tub and pedestal sink. Basement with rec room and plenty of storage. All appliances stay. Deck over looks backyard with mature landscaping such as cherry, peach, pear and fig trees. Excellent location across street from Ross Park.</t>
  </si>
  <si>
    <t>G-5</t>
  </si>
  <si>
    <t>Ceramic Tile, Laminate</t>
  </si>
  <si>
    <t>elec/bath</t>
  </si>
  <si>
    <t>Dibble is between 8th and 9th Aves NW</t>
  </si>
  <si>
    <t>A white picket fence welcomes you to this charming home with newer laminate floors, a warm &amp;amp; inviting living room and kitchen, light filled living spaces, &amp;amp; large windows that overlook lovely garden spaces. In the front yard is a brick patio surrounded by flowering trees and plants, while the backyard contains raised beds and additional garden areas. Situated on a residential street of bigger more expensive homes, this quaint cottage offers small home living at its finest.</t>
  </si>
  <si>
    <t>From Aurora (hwy 99) west on 125th and south on Fremont.</t>
  </si>
  <si>
    <t>Fenced-Fully, Nat. Gas Available, Outbuildings</t>
  </si>
  <si>
    <t>This sweet 1918 Craftsman Farmhouse is situated on a large sunny lot in the desirable Broadview area. Step up onto the classic front porch into the light and bright living room with hardwood floors, broad moldings and brick wood-burning fireplace which add to the old world charm feel. Cute country kitchen offers updated appliances with gas range and eating nook. The big very private fully fenced yard is perfect for BBQ's, play and pets. A must see!</t>
  </si>
  <si>
    <t>Insert, Radiant</t>
  </si>
  <si>
    <t>5, 358, 355</t>
  </si>
  <si>
    <t>Ceramic Tile, Concrete, Fir/Softwood, Vinyl, Wall to Wall Carpet</t>
  </si>
  <si>
    <t>From Aurora Ave North, go west on 125th, left on Fremont Ave N, home is on the left.</t>
  </si>
  <si>
    <t>Bath Off Master, Dble Pane/Strm Windw, Fireplace in Mstr BR, French Doors, Loft, Skylights, Vaulted Ceilings, Walk-in Closet, Walk In Pantry, 2nd Master</t>
  </si>
  <si>
    <t>Cable TV, Fenced-Partially, High Speed Internet, Nat. Gas Available, Patio</t>
  </si>
  <si>
    <t>Price just reduced! Great Condo or Townhouse alternative! Light &amp;amp; spacious, this home was remodeled to the studs in 2004 by a trend-setting eco-designer! New plumbing,electric,roof,windows,&amp;amp; heat w/water-based radiant floors. Great room w/artisan-stained concrete floors leads into the updated kitchen. 2 master bedrooms w/Spanish marble/designer tile work in bathrooms (one has a claw-foot tub!) Upper master is a studio w/loft &amp;amp; view of Cascades. Pvt yard w/mature landscape in quiet neighborhood.</t>
  </si>
  <si>
    <t>Dryer, Garbage Disposal, Range/Oven, Refrigerator, Washer</t>
  </si>
  <si>
    <t>From I -5 head West. Turn right on N 80th st. Left onto 8th Ave NW. Right on NW 56th st</t>
  </si>
  <si>
    <t>Solid brick Cape Cod in the heart of Ballard. This home features fresh interior paint, hardwood floors, tile countertops in kitchen, and newer gas furnace. Desirable L1 zoning with possible expansion for second unit in basement. Great corner lot with mature landscaping. Excellent location close to restaurants and shopping. A great home or investment property.</t>
  </si>
  <si>
    <t>F-4</t>
  </si>
  <si>
    <t>Concrete, Hardwood, Vinyl</t>
  </si>
  <si>
    <t>From I-5 West on NW 85th St. Turn right to Dibble Ave NW. Up 5 blocks on your left.</t>
  </si>
  <si>
    <t>Fenced-Partially, High Speed Internet, Patio</t>
  </si>
  <si>
    <t>Solid built rambler w/basement on a quiet street at Crown Hill near Carkeek Park. Spacious living rm w/Basalt fireplace, leading to an inviting dining area overlooking the park-like yard, three bedrooms on main level w/oak floors &amp;amp; fir trims, large kitchen w/ample counter space. Lower level features family/rec room, fireplace, 1/2 bath. Space for a den and 2-car garage w/utility room. Near to bus, stores and restaurants. Easy access to freeway, downtown and UW.</t>
  </si>
  <si>
    <t>From 15th Ave NW go West on 77th, then right on 17th.</t>
  </si>
  <si>
    <t>Great space and great location in this Ballard bungalow with 3 bdrm and 2.5 baths on 2 levels. This would make a great home or investment property, with private lower level entrance and finished basement. Large living rm with brick fireplace. Sm bdrm has 1/2 bath. Large 2 car detached garage with alley access. Copper plumbing, fairly new and newer electrical service. Close to Ballard's quaint shopping, Downtown, and Shilshole.</t>
  </si>
  <si>
    <t>Electric, Oil, Wood</t>
  </si>
  <si>
    <t>Fir/Softwood, Hardwood, Laminate, Vinyl, Wall to Wall Carpet</t>
  </si>
  <si>
    <t>Electric / basement</t>
  </si>
  <si>
    <t>From Aurora Ave N turn west on 92nd St up the hill about a block. Property on right side of street.</t>
  </si>
  <si>
    <t>Cable TV, Fenced-Partially, High Speed Internet, Patio</t>
  </si>
  <si>
    <t>Charming 1926 home has been converted to a duplex with the upstairs unit occupying the main floor and finished upstairs. This approx 1500sq ft unit is lightfilled with hrdwd floors, period molding, and a fireplace. The main floor includes a South facing livingrm, formal diningroom, kitchen w/cute eating nook. bdrm, bthrm, spare room, &amp;amp; 2 bedrooms upstairs. Basement has been converted to a 700 sqft 2 bdrm, 3/4 bath apartment. Both have own entries, separately metered &amp;amp; share laundry &amp;amp; large yard.</t>
  </si>
  <si>
    <t>Take the N. 85th st. ramp toward Aurora Ave. N.Turn slight right onto N 85th st. Turn left onto Dibble Ave NW.</t>
  </si>
  <si>
    <t>Cape Cod classic with wood floors, fireplace, built in bookcases, &amp;amp; crown molding. Kitchen features original tile. Sunny dining area with built-in corner hutches. Stone patio overlooks landscaped private, fully fenced backyard. Basement great for storage or potential for expansion.</t>
  </si>
  <si>
    <t>Ceramic Tile, Hardwood, Wall to Wall Carpet, See Remarks</t>
  </si>
  <si>
    <t>Electric/Lower</t>
  </si>
  <si>
    <t>I-5 to West on 85th to north on 3rd and west on 88th to the corner.</t>
  </si>
  <si>
    <t>Ceiling Fan(s), Dble Pane/Strm Windw</t>
  </si>
  <si>
    <t>Sunday Open House 1-4 pm. Foundation up remodel, new landscaping, quiet street, close to shopping and easy access to I-5. Light/bright corner lot for sunny exposre. Potential for MIL in basement that is plumbed &amp;amp; wired for kitchenette. Hardwood &amp;amp; tile floors, new windows, roof, siding, electrical, plumbing, sewer line, and speciality fixtures. Lower level bedroom is non-conforming, but is large and roomy. This is a rare find with quality of workmanship and a brand new makeover.</t>
  </si>
  <si>
    <t>Lake City</t>
  </si>
  <si>
    <t>Range/Oven</t>
  </si>
  <si>
    <t>Ceramic Tile, Concrete, Fir/Softwood, Hardwood, Wall to Wall Carpet</t>
  </si>
  <si>
    <t>From Lake City Way NE turn west up the hill for 2 blks than turn right. House will be on the left</t>
  </si>
  <si>
    <t>Ceiling Fan(s), Dining Room, Dble Pane/Strm Windw, French Doors, High Tech Cabling, Hot Tub/Spa, Jetted/Soaking Tub, Skylights</t>
  </si>
  <si>
    <t>Cable TV, Deck, Fenced-Fully, High Speed Internet, Hot Tub/Spa, Nat. Gas Available, Patio, RV Parking</t>
  </si>
  <si>
    <t>Opportunity knocks w/ this Diamond in the Rough! Huge in the city lot with gorgeous rear yard w/ multi-level deck w/ grape arbor, hot tub that needs repairs but looks great. Deck steps down to brick paver patio. Mature plum &amp;amp; apple trees in fenced yard. Home is of the 1935 era ith lots of the original molding in the home. Home needs repairs and being sold in as is condition. basement unfinished with 1 car garage. Build sweat equity! offered below assessed value!</t>
  </si>
  <si>
    <t>3228 NE 86th St</t>
  </si>
  <si>
    <t>From 35th Ave head West on 86th Street.</t>
  </si>
  <si>
    <t>Polished &amp;amp; absolutely gorgeous! Sophisticated urban Wedgwood rambler with a timeless style. Meticulous move-in condition. Gorgeous refinished oak floors. Updated kitchen with built in eating bench. Light &amp;amp; open with southern exposure &amp;amp; big picture windows. Beautifully landscaped backyard is great for kids &amp;amp; pets. Oversized garage with workshop area could easily be transformed to a 2-car garage. Insulated windows &amp;amp; gas heat. Coveted Wedgwood neighborhood walking distance to shops, schools, etc...</t>
  </si>
  <si>
    <t>Dishwasher, Dryer, Microwave, Range/Oven, Refrigerator, Washer, See Remarks</t>
  </si>
  <si>
    <t>New in '05 electric crawlspace</t>
  </si>
  <si>
    <t>West from Lake City Wy or East from Roosevelt Wy.Driveway N side NE 125th St in the middle of the 1900 Blk. Pull right in the driveway or park across the street church.Can't see house from the street.</t>
  </si>
  <si>
    <t>Cable TV, Dog Run, Fenced-Fully, High Speed Internet, Outbuildings, Patio</t>
  </si>
  <si>
    <t xml:space="preserve"> Please see attached legal</t>
  </si>
  <si>
    <t>Don't miss this tastefully remodeled &amp;amp; updated Pinehurst rambler. From newer flooring to fresh interior paint, this one is worth a look. Vinyl windows, new insulation throughout (that's right, the entire house) a cozy living room with fireplace to keep you warm and the heat in. Updated bath, bright kitchen with great eating space &amp;amp; new '05 cabinets, flooring &amp;amp; appliances. Elevated high above the street you will enjoy privacy &amp;amp; meticulous landscaping with lots of room to play and entertain.</t>
  </si>
  <si>
    <t>Matthews Beach</t>
  </si>
  <si>
    <t>9514 Sandpoint Way NE</t>
  </si>
  <si>
    <t>Electric / Garage</t>
  </si>
  <si>
    <t>From Lake City Way head East on NE 95th then turn North (Left) onto Sandpoint Way. House on your Right.</t>
  </si>
  <si>
    <t>Bath Off Master, Ceiling Fan(s), Dble Pane/Strm Windw, French Doors, Skylights, Vaulted Ceilings, Walk-in Closet</t>
  </si>
  <si>
    <t>Truly a gem!Ready to move-in.New Kitchen cabinets, countertops, sink, dishwasher.Newer range &amp;amp; stainless steel refri.Hardwood floors in kitchen w/french doors leading to private deck and fenced yard.Master suite w/walk-in closet and cathedral ceilings.New bathrooms w/tile floor, vanities &amp;amp; fixtures.Living room w/wood burning frplc &amp;amp; cathedral ceilings.New carpet thru-out.Freshly painted interior.Pristine condition.Single car attached garage.Part of 1031 tax exchange at no cost to buyer!</t>
  </si>
  <si>
    <t>I-5 N, Take exit 175 toward NE 145th St/WA-523, Merge onto 5th Ave NE, right at NE 145th St/WA-523, right at 22nd Ave NE, Continue on 23rd Ave NE</t>
  </si>
  <si>
    <t>Cable TV, Fenced-Fully, Nat. Gas Available</t>
  </si>
  <si>
    <t>Beautiful 4 bedroom, 2 bath, 2200 Sq Ft house in Olympic Hills. This home has been completely remodeled and still boasts character and charm. Granite slab countertops, enormous kitchen with an abundance of cabinet storage, new gas furnace, tankless water system and new roof! Living room with wood burning fireplace, hardwood floors, new carpet, new paint, all new windows, new bathrooms, spacious family room downstairs also has a fireplace.</t>
  </si>
  <si>
    <t>N on lk city way right on 117th.</t>
  </si>
  <si>
    <t>There is a brand new roof and electric panel on this much loved and comfortable home that is on the market for the first time in 50 years. Main floor has a circular floor plan, large living room with wood burning fireplace, dining room, coved ceilings, spacious kitchen and lots of storage. The main floor bedroom has an adjoing bathroom. Upstairs has room for very large master suite. Lower level has rec room, 3/4 bath and laundry and a separate entrance. Attached 2 car tandem garage. Corner lot.</t>
  </si>
  <si>
    <t>Dryer, Washer, See Remarks</t>
  </si>
  <si>
    <t>From Northgate Way go North on 5th, turn Left on 115, Right on 4th. House on the east side of the road.</t>
  </si>
  <si>
    <t>Cable TV, Deck, Fenced-Partially, Nat. Gas Available, RV Parking</t>
  </si>
  <si>
    <t>Charming home w/circular flr plan where natural sunlight abounds,hrdwd flrs,cozy f/p,new paint inside/out,ample storage. Great deck &amp;amp; fenced yrd w/fruit trees. New roof,tile &amp;amp; carpet,newly finished lower lvl w/3rd bd,bth &amp;amp; den w/direct yrd access. Attchd gar,carport w/water&amp;amp;power for RV/boat &amp;amp; pkng for 4 more cars! Convenient location close to NW hospital,clinics,Mall,Lbry, Schools,Parks,Restaurants,bus,Park&amp;amp;Ride,NSCC,EZ freeway access! An urban retreat just minutes to downtown. Move in &amp;amp; enjoy!</t>
  </si>
  <si>
    <t>B-5</t>
  </si>
  <si>
    <t>From NE 80th go south on 11th Ave. NE to House</t>
  </si>
  <si>
    <t>Dining Room, Security System, Walk-in Closet</t>
  </si>
  <si>
    <t>Charming 1923 craftsman. Home loaded with character, including hardwood floors, fireplace, leaded windows, built in cabinets and a rocking chair porch. The warm living rm and dining rm are perfect for entertaining. Two bedrooms on upper level with new carpeting. Unfinished basement over 1000 sq.ft. with full height ceiling ready for your ideas. Close to Green Lake and all the 65th St. and Roosevelt Square shops. Excellent access to the freeway. Zoned for commercial opportunities.</t>
  </si>
  <si>
    <t>Natural Gas, Oil</t>
  </si>
  <si>
    <t>Dishwasher, Dryer, Range/Oven, Washer</t>
  </si>
  <si>
    <t>I-5 North. Take exit 174 (130th/Roosevelt Way). Left onto 130th for .4 miles. Left on Meridian Ave. N. R on N. 128th</t>
  </si>
  <si>
    <t>Cable TV, Fenced-Partially, High Speed Internet, Nat. Gas Available, RV Parking</t>
  </si>
  <si>
    <t>SHORT SALE, 1916 Farm House, 7 bedroom's, 1 3/4 Bathroom's,Hardwood floors,great mill work,formal dining room, kitchen with eating area, Full basement with lots of head room, 8840 SF lot,Wonderful front porch, SOLD AS IS, Make Offer! Great Value!</t>
  </si>
  <si>
    <t>Electric/Lower Level</t>
  </si>
  <si>
    <t>NW 85th to South on 26th Ave NW.</t>
  </si>
  <si>
    <t>A great floorplan makes this a very livable home. Three bedrooms on the main floor and one on the lower level. Low maintenance yard and covered boat/RV storage. Newer roof. Hardwood floors on main level. Kitchen with eating space. Great Loyal Heights location close to Golden Gardens and within walking distance of neighborhood amenities.</t>
  </si>
  <si>
    <t>Hardwood, Slate, Vinyl</t>
  </si>
  <si>
    <t>From 125th, north on 30th, west (left) on 133rd, south (left) on 28th, home is on the right. From 145th, south on 30th, west (right) on 133rd, south (left) on 28th, home is on the right.</t>
  </si>
  <si>
    <t>Fenced-Fully, Patio</t>
  </si>
  <si>
    <t>Welcome Home. This is the remodeled mid-century rambler you've been waiting for! Situated on a large, level lot on a dead end cul-de-sac, this home has been completely updated! Finally, a solid, quality home with modern finishes. New roof, hardwoods, bathroom, kitchen, interior and exterior paint, and hot water heater all in the last 3 years! Copper plumbing, gas heating and cooking, huge sunny backyard, deep attached garage. This is it!</t>
  </si>
  <si>
    <t>Laminate</t>
  </si>
  <si>
    <t>Gas/basement</t>
  </si>
  <si>
    <t>From Lake City Way, turn east on 107th. Left into cul-de-sac on 28th.</t>
  </si>
  <si>
    <t>High Tech Cabling, Security System</t>
  </si>
  <si>
    <t>Fenced-Fully, High Speed Internet, Nat. Gas Available, Patio, Shop</t>
  </si>
  <si>
    <t>This sweet Tudor cottage is nestled on a cul-de-sac with a deep level lot. Period charm abounds in this lovely home - leaded mullioned windows, original single hung windows &amp;amp; lathe &amp;amp; plaster walls. The cheery kitchen overlooks the peaceful back yard where you can dine alfresco on the patio. You'll love the big basement &amp;amp; garage with a workshop area &amp;amp; tons of storage. Good light makes this space a place you will enjoy working or working out. Great Meadowbrook location.</t>
  </si>
  <si>
    <t>D-6</t>
  </si>
  <si>
    <t>Zip98117</t>
  </si>
  <si>
    <t>Whittier</t>
  </si>
  <si>
    <t>Sunset Hill</t>
  </si>
  <si>
    <t>NWMLS query from Feb 17</t>
  </si>
  <si>
    <t>All houses in 98117 zip code</t>
  </si>
  <si>
    <t>Price_300_to_500</t>
  </si>
  <si>
    <t>Windermere Notes</t>
  </si>
  <si>
    <t>ar=</t>
  </si>
  <si>
    <t>Scope search to an MLS area (our house is 705)</t>
  </si>
  <si>
    <t>ptyp=</t>
  </si>
  <si>
    <t>Comma separated values</t>
  </si>
  <si>
    <t>1 = Residential</t>
  </si>
  <si>
    <t>2 = Condo Co-op</t>
  </si>
  <si>
    <t>3 = Land</t>
  </si>
  <si>
    <t>st=</t>
  </si>
  <si>
    <t>State</t>
  </si>
  <si>
    <t>wa = washington</t>
  </si>
  <si>
    <t>cou=</t>
  </si>
  <si>
    <t>County (?)</t>
  </si>
  <si>
    <t>17 = King</t>
  </si>
  <si>
    <t>705 = Greenlake to I-5</t>
  </si>
  <si>
    <t>710 = East of I-5</t>
  </si>
  <si>
    <t>700 = Magnolia to I-5</t>
  </si>
  <si>
    <t>701 = Downtown</t>
  </si>
  <si>
    <t>390 = South of 520 to I-90, Lake Washington to I-5 (Montlake, Capitol Hill, Madison Park)</t>
  </si>
  <si>
    <t>sortorder=</t>
  </si>
  <si>
    <t>The sort order of the query</t>
  </si>
  <si>
    <t>1 = High price to low price</t>
  </si>
  <si>
    <t>2 = Low price to high price</t>
  </si>
  <si>
    <t>cit=</t>
  </si>
  <si>
    <t>minPrice</t>
  </si>
  <si>
    <t>maxPrice</t>
  </si>
  <si>
    <t>searchMLS</t>
  </si>
  <si>
    <t>oh</t>
  </si>
  <si>
    <t>ammenities</t>
  </si>
  <si>
    <t>Minimum Price to be included in search</t>
  </si>
  <si>
    <t>Maximum Price to be included in search</t>
  </si>
  <si>
    <t>Kirkland</t>
  </si>
  <si>
    <t>extentNorth</t>
  </si>
  <si>
    <t>extentSouth</t>
  </si>
  <si>
    <t>extentEast</t>
  </si>
  <si>
    <t>extentWest</t>
  </si>
  <si>
    <t>The extents in lat/long of the boundaries of the search</t>
  </si>
  <si>
    <t>zoomLevel</t>
  </si>
  <si>
    <t>mapCenterX</t>
  </si>
  <si>
    <t>mapCenterY</t>
  </si>
  <si>
    <t>daysback=</t>
  </si>
  <si>
    <t>only show if listed in the specified number of days</t>
  </si>
  <si>
    <t>All houses in the 300-500k range in the 705 and 710 areas</t>
  </si>
  <si>
    <t>Template</t>
  </si>
  <si>
    <t>http://www.windermere.com/index.cfm?fuseaction=Listing.PropertySearchResults&amp;searchString=ptyp=1|st=|premier=|sss=|ar=|cou=|cit=|minPrice=|maxPrice=|br=|bth=|minSqft=|maxSqft=|water=|ybtMin=|ybtMax=|hsn=|stor=|vew=|daysback=|NC=|ls=|address=|ln=|sub=|zip=98117|searchAgentMetauser_ID=|showPhotos=1|extentNorth=|extentSouth=|extentEast=|extentWest=|zoomLevel=|mapCenterX=|mapCenterY=|mapExtentBorder=|mapExtentLeft=|mapExtentRight=|mapExtentTop=|mapExtentBottom=|listingAction=show|mapExtentLeftDefault=|mapExtentRightDefault=|mapExtentTopDefault=|mapExtentBottomDefault=|agencyID=|amenities=|sftype=listing.SearchPropertyMapv2|mapHeight=|mapWidth=|sortOrder=2|searchMLS=|oh=&amp;startrow=1</t>
  </si>
  <si>
    <t>http://www.windermere.com/index.cfm?fuseaction=Listing.PropertySearchResults&amp;searchString=ptyp=1|st=|premier=|sss=|ar=|cou=|cit=|minPrice=|maxPrice=|br=|bth=|minSqft=|maxSqft=|water=|ybtMin=|ybtMax=|hsn=|stor=|vew=|daysback=|NC=|ls=|address=|ln=|sub=|zip=|searchAgentMetauser_ID=|showPhotos=1|extentNorth=|extentSouth=|extentEast=|extentWest=|zoomLevel=|mapCenterX=|mapCenterY=|mapExtentBorder=|mapExtentLeft=|mapExtentRight=|mapExtentTop=|mapExtentBottom=|listingAction=show|mapExtentLeftDefault=|mapExtentRightDefault=|mapExtentTopDefault=|mapExtentBottomDefault=|agencyID=|amenities=|sftype=listing.SearchPropertyMapv2|mapHeight=|mapWidth=|sortOrder=2|searchMLS=|oh=&amp;startrow=1</t>
  </si>
  <si>
    <t>http://www.windermere.com/index.cfm?fuseaction=Listing.PropertySearchResults&amp;searchString=ptyp=1|st=|premier=|sss=|ar=705,710|cou=|cit=|minPrice=300000|maxPrice=500000|br=2|bth=|minSqft=|maxSqft=|water=|ybtMin=|ybtMax=|hsn=|stor=|vew=|daysback=|NC=|ls=|address=|ln=|sub=|zip=|searchAgentMetauser_ID=|showPhotos=1|extentNorth=|extentSouth=|extentEast=|extentWest=|zoomLevel=|mapCenterX=|mapCenterY=|mapExtentBorder=|mapExtentLeft=|mapExtentRight=|mapExtentTop=|mapExtentBottom=|listingAction=show|mapExtentLeftDefault=|mapExtentRightDefault=|mapExtentTopDefault=|mapExtentBottomDefault=|agencyID=|amenities=|sftype=listing.SearchPropertyMapv2|mapHeight=|mapWidth=|sortOrder=2|searchMLS=|oh=&amp;startrow=1</t>
  </si>
  <si>
    <t>300-500k range in the 705 and 710 areas</t>
  </si>
  <si>
    <t>EastSide</t>
  </si>
  <si>
    <t>Bellevue, Redmond, Kirkland</t>
  </si>
  <si>
    <t>Renton</t>
  </si>
  <si>
    <t>http://www.windermere.com/index.cfm?fuseaction=Listing.PropertySearchResults&amp;searchString=ptyp=1|st=wa|premier=|sss=|ar=|cou=|cit=Bellevue,Redmond,Kirkland|minPrice=200000|maxPrice=500000|br=2|bth=|minSqft=|maxSqft=|water=|ybtMin=|ybtMax=|hsn=|stor=|vew=|daysback=|NC=|ls=|address=|ln=|sub=|zip=|searchAgentMetauser_ID=|showPhotos=1|extentNorth=|extentSouth=|extentEast=|extentWest=|zoomLevel=|mapCenterX=|mapCenterY=|mapExtentBorder=|mapExtentLeft=|mapExtentRight=|mapExtentTop=|mapExtentBottom=|listingAction=show|mapExtentLeftDefault=|mapExtentRightDefault=|mapExtentTopDefault=|mapExtentBottomDefault=|agencyID=|amenities=|sftype=listing.SearchPropertyMapv2|mapHeight=|mapWidth=|sortOrder=2|searchMLS=|oh=&amp;startrow=1</t>
  </si>
  <si>
    <t>http://www.windermere.com/index.cfm?fuseaction=Listing.PropertySearchResults&amp;searchString=ptyp=1|st=wa|premier=|sss=|ar=|cou=|cit=Renton|minPrice=200000|maxPrice=500000|br=2|bth=|minSqft=|maxSqft=|water=|ybtMin=|ybtMax=|hsn=|stor=|vew=|daysback=|NC=|ls=|address=|ln=|sub=|zip=|searchAgentMetauser_ID=|showPhotos=1|extentNorth=|extentSouth=|extentEast=|extentWest=|zoomLevel=|mapCenterX=|mapCenterY=|mapExtentBorder=|mapExtentLeft=|mapExtentRight=|mapExtentTop=|mapExtentBottom=|listingAction=show|mapExtentLeftDefault=|mapExtentRightDefault=|mapExtentTopDefault=|mapExtentBottomDefault=|agencyID=|amenities=|sftype=listing.SearchPropertyMapv2|mapHeight=|mapWidth=|sortOrder=2|searchMLS=|oh=&amp;startrow=1</t>
  </si>
  <si>
    <t>12314 B 33 Ave NE</t>
  </si>
  <si>
    <t>http://www.windermere.com/index.cfm?fuseaction=Listing.ListingDetail&amp;ListingID=19267034</t>
  </si>
  <si>
    <t>12050 33rd Ave NE B</t>
  </si>
  <si>
    <t>http://www.windermere.com/index.cfm?fuseaction=Listing.ListingDetail&amp;ListingID=19320510</t>
  </si>
  <si>
    <t>14731 31st Ave NE</t>
  </si>
  <si>
    <t>http://www.windermere.com/index.cfm?fuseaction=Listing.ListingDetail&amp;ListingID=19341859</t>
  </si>
  <si>
    <t>Bitter Lake</t>
  </si>
  <si>
    <t>12019 C 32 Ave NE</t>
  </si>
  <si>
    <t>http://www.windermere.com/index.cfm?fuseaction=Listing.ListingDetail&amp;ListingID=19249638</t>
  </si>
  <si>
    <t>12314 A 33 Ave NE</t>
  </si>
  <si>
    <t>http://www.windermere.com/index.cfm?fuseaction=Listing.ListingDetail&amp;ListingID=19267024</t>
  </si>
  <si>
    <t>12721 35th Ave NE B</t>
  </si>
  <si>
    <t>http://www.windermere.com/index.cfm?fuseaction=Listing.ListingDetail&amp;ListingID=19148569</t>
  </si>
  <si>
    <t>12721 35th Ave NE A</t>
  </si>
  <si>
    <t>http://www.windermere.com/index.cfm?fuseaction=Listing.ListingDetail&amp;ListingID=19148568</t>
  </si>
  <si>
    <t>12042 35 Ave NE</t>
  </si>
  <si>
    <t>http://www.windermere.com/index.cfm?fuseaction=Listing.ListingDetail&amp;ListingID=19100576</t>
  </si>
  <si>
    <t>12723 35th Ave NE A</t>
  </si>
  <si>
    <t>http://www.windermere.com/index.cfm?fuseaction=Listing.ListingDetail&amp;ListingID=19148570</t>
  </si>
  <si>
    <t>12316 C 33 Ave NE</t>
  </si>
  <si>
    <t>http://www.windermere.com/index.cfm?fuseaction=Listing.ListingDetail&amp;ListingID=19154257</t>
  </si>
  <si>
    <t>14504 31st Ave NE</t>
  </si>
  <si>
    <t>http://www.windermere.com/index.cfm?fuseaction=Listing.ListingDetail&amp;ListingID=18938966</t>
  </si>
  <si>
    <t>http://www.windermere.com/index.cfm?fuseaction=Listing.ListingDetail&amp;ListingID=19315288</t>
  </si>
  <si>
    <t>14506 31st Ave NE</t>
  </si>
  <si>
    <t>http://www.windermere.com/index.cfm?fuseaction=Listing.ListingDetail&amp;ListingID=18953287</t>
  </si>
  <si>
    <t>14508 31st Ave NE</t>
  </si>
  <si>
    <t>http://www.windermere.com/index.cfm?fuseaction=Listing.ListingDetail&amp;ListingID=19083952</t>
  </si>
  <si>
    <t>North Ballard</t>
  </si>
  <si>
    <t>11517 30th Ave NE</t>
  </si>
  <si>
    <t>http://www.windermere.com/index.cfm?fuseaction=Listing.ListingDetail&amp;ListingID=19358299</t>
  </si>
  <si>
    <t>http://www.windermere.com/index.cfm?fuseaction=Listing.ListingDetail&amp;ListingID=19327601</t>
  </si>
  <si>
    <t>http://www.windermere.com/index.cfm?fuseaction=Listing.ListingDetail&amp;ListingID=18343551</t>
  </si>
  <si>
    <t>4205 88th St NE</t>
  </si>
  <si>
    <t>http://www.windermere.com/index.cfm?fuseaction=Listing.ListingDetail&amp;ListingID=19278247</t>
  </si>
  <si>
    <t>View Ridge</t>
  </si>
  <si>
    <t>4205 NE 75th Street</t>
  </si>
  <si>
    <t>http://www.windermere.com/index.cfm?fuseaction=Listing.ListingDetail&amp;ListingID=18039221</t>
  </si>
  <si>
    <t>4033 NE 88th St</t>
  </si>
  <si>
    <t>http://www.windermere.com/index.cfm?fuseaction=Listing.ListingDetail&amp;ListingID=19220500</t>
  </si>
  <si>
    <t>11520 40th Ave NE</t>
  </si>
  <si>
    <t>http://www.windermere.com/index.cfm?fuseaction=Listing.ListingDetail&amp;ListingID=18667036</t>
  </si>
  <si>
    <t>http://www.windermere.com/index.cfm?fuseaction=Listing.ListingDetail&amp;ListingID=19312784</t>
  </si>
  <si>
    <t>http://www.windermere.com/index.cfm?fuseaction=Listing.ListingDetail&amp;ListingID=19311311</t>
  </si>
  <si>
    <t>12026 40th Ave NE</t>
  </si>
  <si>
    <t>_1972</t>
  </si>
  <si>
    <t>http://www.windermere.com/index.cfm?fuseaction=Listing.ListingDetail&amp;ListingID=19275831</t>
  </si>
  <si>
    <t>3512 NE 105th</t>
  </si>
  <si>
    <t>http://www.windermere.com/index.cfm?fuseaction=Listing.ListingDetail&amp;ListingID=7018919</t>
  </si>
  <si>
    <t>Sand Point</t>
  </si>
  <si>
    <t>7548 44 Ave NE</t>
  </si>
  <si>
    <t>http://www.windermere.com/index.cfm?fuseaction=Listing.ListingDetail&amp;ListingID=18986871</t>
  </si>
  <si>
    <t>http://www.windermere.com/index.cfm?fuseaction=Listing.ListingDetail&amp;ListingID=19342196</t>
  </si>
  <si>
    <t>3261 NE 98th</t>
  </si>
  <si>
    <t>http://www.windermere.com/index.cfm?fuseaction=Listing.ListingDetail&amp;ListingID=19359305</t>
  </si>
  <si>
    <t>2819 NE 117th St</t>
  </si>
  <si>
    <t>_1957</t>
  </si>
  <si>
    <t>http://www.windermere.com/index.cfm?fuseaction=Listing.ListingDetail&amp;ListingID=19013768</t>
  </si>
  <si>
    <t>6715 32 Ave NW</t>
  </si>
  <si>
    <t>http://www.windermere.com/index.cfm?fuseaction=Listing.ListingDetail&amp;ListingID=19253521</t>
  </si>
  <si>
    <t>http://www.windermere.com/index.cfm?fuseaction=Listing.ListingDetail&amp;ListingID=19310141</t>
  </si>
  <si>
    <t>Woodland Park</t>
  </si>
  <si>
    <t>11333 Sand Point Way NE</t>
  </si>
  <si>
    <t>http://www.windermere.com/index.cfm?fuseaction=Listing.ListingDetail&amp;ListingID=19143675</t>
  </si>
  <si>
    <t>6534 B 34th Ave NE</t>
  </si>
  <si>
    <t>http://www.windermere.com/index.cfm?fuseaction=Listing.ListingDetail&amp;ListingID=18293706</t>
  </si>
  <si>
    <t>8018 44th Ave NE</t>
  </si>
  <si>
    <t>http://www.windermere.com/index.cfm?fuseaction=Listing.ListingDetail&amp;ListingID=19241094</t>
  </si>
  <si>
    <t>2754 NE 88th St</t>
  </si>
  <si>
    <t>http://www.windermere.com/index.cfm?fuseaction=Listing.ListingDetail&amp;ListingID=19174633</t>
  </si>
  <si>
    <t>10311 Sand Point Way NE</t>
  </si>
  <si>
    <t>http://www.windermere.com/index.cfm?fuseaction=Listing.ListingDetail&amp;ListingID=19261684</t>
  </si>
  <si>
    <t>Hawthorne Hills</t>
  </si>
  <si>
    <t>6230 40th Ave NE</t>
  </si>
  <si>
    <t>http://www.windermere.com/index.cfm?fuseaction=Listing.ListingDetail&amp;ListingID=19350736</t>
  </si>
  <si>
    <t>4216 NE 120th St</t>
  </si>
  <si>
    <t>http://www.windermere.com/index.cfm?fuseaction=Listing.ListingDetail&amp;ListingID=19318148</t>
  </si>
  <si>
    <t>http://www.windermere.com/index.cfm?fuseaction=Listing.ListingDetail&amp;ListingID=18734876</t>
  </si>
  <si>
    <t>3510 NE 93rd St</t>
  </si>
  <si>
    <t>http://www.windermere.com/index.cfm?fuseaction=Listing.ListingDetail&amp;ListingID=19336224</t>
  </si>
  <si>
    <t>8538 12th Ave NW</t>
  </si>
  <si>
    <t>http://www.windermere.com/index.cfm?fuseaction=Listing.ListingDetail&amp;ListingID=19287429</t>
  </si>
  <si>
    <t>9532 6th Ave NW</t>
  </si>
  <si>
    <t>http://www.windermere.com/index.cfm?fuseaction=Listing.ListingDetail&amp;ListingID=18779676</t>
  </si>
  <si>
    <t>Spacious Loyal Heights Cape Cod</t>
  </si>
  <si>
    <t>7052 Earl Ave NW</t>
  </si>
  <si>
    <t>http://www.windermere.com/index.cfm?fuseaction=Listing.ListingDetail&amp;ListingID=19264293</t>
  </si>
  <si>
    <t>6504 4th Ave NW</t>
  </si>
  <si>
    <t>http://www.windermere.com/index.cfm?fuseaction=Listing.ListingDetail&amp;ListingID=19296030</t>
  </si>
  <si>
    <t>7721 Earl Ave NW</t>
  </si>
  <si>
    <t>http://www.windermere.com/index.cfm?fuseaction=Listing.ListingDetail&amp;ListingID=19219049</t>
  </si>
  <si>
    <t>8012 9th Ave NW</t>
  </si>
  <si>
    <t>http://www.windermere.com/index.cfm?fuseaction=Listing.ListingDetail&amp;ListingID=19326308</t>
  </si>
  <si>
    <t>2716 NW 65th St</t>
  </si>
  <si>
    <t>http://www.windermere.com/index.cfm?fuseaction=Listing.ListingDetail&amp;ListingID=18613160</t>
  </si>
  <si>
    <t>6714 3rd Ave NW</t>
  </si>
  <si>
    <t>http://www.windermere.com/index.cfm?fuseaction=Listing.ListingDetail&amp;ListingID=19304182</t>
  </si>
  <si>
    <t>9602 26th Ave NW</t>
  </si>
  <si>
    <t>http://www.windermere.com/index.cfm?fuseaction=Listing.ListingDetail&amp;ListingID=19347056</t>
  </si>
  <si>
    <t>1203 NW 67th</t>
  </si>
  <si>
    <t>http://www.windermere.com/index.cfm?fuseaction=Listing.ListingDetail&amp;ListingID=18811833</t>
  </si>
  <si>
    <t>7031 3rd Ave NW</t>
  </si>
  <si>
    <t>http://www.windermere.com/index.cfm?fuseaction=Listing.ListingDetail&amp;ListingID=19215921</t>
  </si>
  <si>
    <t>9701 12th Ave NW</t>
  </si>
  <si>
    <t>http://www.windermere.com/index.cfm?fuseaction=Listing.ListingDetail&amp;ListingID=19327126</t>
  </si>
  <si>
    <t>941 NW 96th St</t>
  </si>
  <si>
    <t>_1976</t>
  </si>
  <si>
    <t>http://www.windermere.com/index.cfm?fuseaction=Listing.ListingDetail&amp;ListingID=18370665</t>
  </si>
  <si>
    <t>9202 9th Ave NW</t>
  </si>
  <si>
    <t>http://www.windermere.com/index.cfm?fuseaction=Listing.ListingDetail&amp;ListingID=18631941</t>
  </si>
  <si>
    <t>827 NW 65th St</t>
  </si>
  <si>
    <t>http://www.windermere.com/index.cfm?fuseaction=Listing.ListingDetail&amp;ListingID=19038432</t>
  </si>
  <si>
    <t>632 NW 84th St</t>
  </si>
  <si>
    <t>http://www.windermere.com/index.cfm?fuseaction=Listing.ListingDetail&amp;ListingID=19308826</t>
  </si>
  <si>
    <t>8020 16th Ave NW</t>
  </si>
  <si>
    <t>http://www.windermere.com/index.cfm?fuseaction=Listing.ListingDetail&amp;ListingID=19295724</t>
  </si>
  <si>
    <t>8537 19th Ave NW</t>
  </si>
  <si>
    <t>http://www.windermere.com/index.cfm?fuseaction=Listing.ListingDetail&amp;ListingID=19368908</t>
  </si>
  <si>
    <t>6516 32nd Ave NW</t>
  </si>
  <si>
    <t>http://www.windermere.com/index.cfm?fuseaction=Listing.ListingDetail&amp;ListingID=19187084</t>
  </si>
  <si>
    <t>110 NW 77th St</t>
  </si>
  <si>
    <t>http://www.windermere.com/index.cfm?fuseaction=Listing.ListingDetail&amp;ListingID=19146533</t>
  </si>
  <si>
    <t>Olympic Manor</t>
  </si>
  <si>
    <t>8739 21st Ave NW</t>
  </si>
  <si>
    <t>http://www.windermere.com/index.cfm?fuseaction=Listing.ListingDetail&amp;ListingID=19103376</t>
  </si>
  <si>
    <t>8051 30th Ave NW</t>
  </si>
  <si>
    <t>http://www.windermere.com/index.cfm?fuseaction=Listing.ListingDetail&amp;ListingID=19234794</t>
  </si>
  <si>
    <t>7520 30th Ave NW</t>
  </si>
  <si>
    <t>http://www.windermere.com/index.cfm?fuseaction=Listing.ListingDetail&amp;ListingID=19182010</t>
  </si>
  <si>
    <t>3228 NW 65th St</t>
  </si>
  <si>
    <t>http://www.windermere.com/index.cfm?fuseaction=Listing.ListingDetail&amp;ListingID=19146142</t>
  </si>
  <si>
    <t>8035 30th Ave NW</t>
  </si>
  <si>
    <t>http://www.windermere.com/index.cfm?fuseaction=Listing.ListingDetail&amp;ListingID=19141822</t>
  </si>
  <si>
    <t>8326 Earl Ave NW</t>
  </si>
  <si>
    <t>_1983</t>
  </si>
  <si>
    <t>http://www.windermere.com/index.cfm?fuseaction=Listing.ListingDetail&amp;ListingID=19338665</t>
  </si>
  <si>
    <t>2851 NW 67th St</t>
  </si>
  <si>
    <t>http://www.windermere.com/index.cfm?fuseaction=Listing.ListingDetail&amp;ListingID=19227645</t>
  </si>
  <si>
    <t>7741 29th Ave NW</t>
  </si>
  <si>
    <t>http://www.windermere.com/index.cfm?fuseaction=Listing.ListingDetail&amp;ListingID=19115696</t>
  </si>
  <si>
    <t>6540 2nd Avenue NW</t>
  </si>
  <si>
    <t>http://www.windermere.com/index.cfm?fuseaction=Listing.ListingDetail&amp;ListingID=19262546</t>
  </si>
  <si>
    <t>9615 12th ave NW</t>
  </si>
  <si>
    <t>http://www.windermere.com/index.cfm?fuseaction=Listing.ListingDetail&amp;ListingID=19378194</t>
  </si>
  <si>
    <t>9233 11th Ave NW</t>
  </si>
  <si>
    <t>http://www.windermere.com/index.cfm?fuseaction=Listing.ListingDetail&amp;ListingID=19342514</t>
  </si>
  <si>
    <t>9304 26th Pl NW</t>
  </si>
  <si>
    <t>http://www.windermere.com/index.cfm?fuseaction=Listing.ListingDetail&amp;ListingID=18900215</t>
  </si>
  <si>
    <t>202 NW 70th St</t>
  </si>
  <si>
    <t>http://www.windermere.com/index.cfm?fuseaction=Listing.ListingDetail&amp;ListingID=19356196</t>
  </si>
  <si>
    <t>2852 NW 90th Pl</t>
  </si>
  <si>
    <t>http://www.windermere.com/index.cfm?fuseaction=Listing.ListingDetail&amp;ListingID=19351026</t>
  </si>
  <si>
    <t>6710 Alonzo Ave NW</t>
  </si>
  <si>
    <t>http://www.windermere.com/index.cfm?fuseaction=Listing.ListingDetail&amp;ListingID=18825661</t>
  </si>
  <si>
    <t>7515 27th Ave NW</t>
  </si>
  <si>
    <t>http://www.windermere.com/index.cfm?fuseaction=Listing.ListingDetail&amp;ListingID=18992860</t>
  </si>
  <si>
    <t>132 NW 83rd St</t>
  </si>
  <si>
    <t>http://www.windermere.com/index.cfm?fuseaction=Listing.ListingDetail&amp;ListingID=19092155</t>
  </si>
  <si>
    <t>North Capitol Hill</t>
  </si>
  <si>
    <t>3118 A Franklin Ave E</t>
  </si>
  <si>
    <t>http://www.windermere.com/index.cfm?fuseaction=Listing.ListingDetail&amp;ListingID=19034826</t>
  </si>
  <si>
    <t>612 NW 73rd St</t>
  </si>
  <si>
    <t>http://www.windermere.com/index.cfm?fuseaction=Listing.ListingDetail&amp;ListingID=19243527</t>
  </si>
  <si>
    <t>3124 B Franklin Ave E</t>
  </si>
  <si>
    <t>http://www.windermere.com/index.cfm?fuseaction=Listing.ListingDetail&amp;ListingID=19181506</t>
  </si>
  <si>
    <t>3128 A Franklin Ave E</t>
  </si>
  <si>
    <t>http://www.windermere.com/index.cfm?fuseaction=Listing.ListingDetail&amp;ListingID=19181512</t>
  </si>
  <si>
    <t>3128 B Franklin Ave E</t>
  </si>
  <si>
    <t>http://www.windermere.com/index.cfm?fuseaction=Listing.ListingDetail&amp;ListingID=19181513</t>
  </si>
  <si>
    <t>3124 A Franklin Ave E</t>
  </si>
  <si>
    <t>http://www.windermere.com/index.cfm?fuseaction=Listing.ListingDetail&amp;ListingID=19181505</t>
  </si>
  <si>
    <t>8720 21st Ave NW</t>
  </si>
  <si>
    <t>http://www.windermere.com/index.cfm?fuseaction=Listing.ListingDetail&amp;ListingID=19373391</t>
  </si>
  <si>
    <t>3126 B Franklin Ave E</t>
  </si>
  <si>
    <t>http://www.windermere.com/index.cfm?fuseaction=Listing.ListingDetail&amp;ListingID=19181511</t>
  </si>
  <si>
    <t>3126 A Franklin Ave E</t>
  </si>
  <si>
    <t>http://www.windermere.com/index.cfm?fuseaction=Listing.ListingDetail&amp;ListingID=19181507</t>
  </si>
  <si>
    <t>2511 NW North Beach Dr</t>
  </si>
  <si>
    <t>http://www.windermere.com/index.cfm?fuseaction=Listing.ListingDetail&amp;ListingID=19143759</t>
  </si>
  <si>
    <t>Phinney Ridge Brick Classic</t>
  </si>
  <si>
    <t>6706 Sycamore Ave NW</t>
  </si>
  <si>
    <t>http://www.windermere.com/index.cfm?fuseaction=Listing.ListingDetail&amp;ListingID=19233166</t>
  </si>
  <si>
    <t>3118 B Franklin Ave E</t>
  </si>
  <si>
    <t>http://www.windermere.com/index.cfm?fuseaction=Listing.ListingDetail&amp;ListingID=18675948</t>
  </si>
  <si>
    <t>3251 NW Esplanade</t>
  </si>
  <si>
    <t>http://www.windermere.com/index.cfm?fuseaction=Listing.ListingDetail&amp;ListingID=19315379</t>
  </si>
  <si>
    <t>9226 Alvin Pl NW</t>
  </si>
  <si>
    <t>http://www.windermere.com/index.cfm?fuseaction=Listing.ListingDetail&amp;ListingID=19213443</t>
  </si>
  <si>
    <t>8322 25th Ave NW</t>
  </si>
  <si>
    <t>http://www.windermere.com/index.cfm?fuseaction=Listing.ListingDetail&amp;ListingID=18576148</t>
  </si>
  <si>
    <t>9215 20th Ave NW</t>
  </si>
  <si>
    <t>http://www.windermere.com/index.cfm?fuseaction=Listing.ListingDetail&amp;ListingID=19191851</t>
  </si>
  <si>
    <t>321 NW 81st St</t>
  </si>
  <si>
    <t>http://www.windermere.com/index.cfm?fuseaction=Listing.ListingDetail&amp;ListingID=18844447</t>
  </si>
  <si>
    <t>9514 12th Ave NW</t>
  </si>
  <si>
    <t>http://www.windermere.com/index.cfm?fuseaction=Listing.ListingDetail&amp;ListingID=19082599</t>
  </si>
  <si>
    <t>1906 NW 97th St</t>
  </si>
  <si>
    <t>http://www.windermere.com/index.cfm?fuseaction=Listing.ListingDetail&amp;ListingID=19361391</t>
  </si>
  <si>
    <t>349 NW 86th St</t>
  </si>
  <si>
    <t>http://www.windermere.com/index.cfm?fuseaction=Listing.ListingDetail&amp;ListingID=19247573</t>
  </si>
  <si>
    <t>6707 7th Ave NW</t>
  </si>
  <si>
    <t>http://www.windermere.com/index.cfm?fuseaction=Listing.ListingDetail&amp;ListingID=19311701</t>
  </si>
  <si>
    <t>8332 20th Ave NW</t>
  </si>
  <si>
    <t>http://www.windermere.com/index.cfm?fuseaction=Listing.ListingDetail&amp;ListingID=19280114</t>
  </si>
  <si>
    <t>8045 25th Ave NW</t>
  </si>
  <si>
    <t>http://www.windermere.com/index.cfm?fuseaction=Listing.ListingDetail&amp;ListingID=19305262</t>
  </si>
  <si>
    <t>7526 32nd Ave NW</t>
  </si>
  <si>
    <t>http://www.windermere.com/index.cfm?fuseaction=Listing.ListingDetail&amp;ListingID=19280039</t>
  </si>
  <si>
    <t>9648 26th Ave NW</t>
  </si>
  <si>
    <t>http://www.windermere.com/index.cfm?fuseaction=Listing.ListingDetail&amp;ListingID=19308744</t>
  </si>
  <si>
    <t>8812 Golden Gardens Dr NW</t>
  </si>
  <si>
    <t>http://www.windermere.com/index.cfm?fuseaction=Listing.ListingDetail&amp;ListingID=19048331</t>
  </si>
  <si>
    <t>2822 NW 68th St</t>
  </si>
  <si>
    <t>http://www.windermere.com/index.cfm?fuseaction=Listing.ListingDetail&amp;ListingID=18893411</t>
  </si>
  <si>
    <t>128 NW 75th St</t>
  </si>
  <si>
    <t>http://www.windermere.com/index.cfm?fuseaction=Listing.ListingDetail&amp;ListingID=19370188</t>
  </si>
  <si>
    <t>3422 NW 66th St</t>
  </si>
  <si>
    <t>http://www.windermere.com/index.cfm?fuseaction=Listing.ListingDetail&amp;ListingID=19147071</t>
  </si>
  <si>
    <t>9277 20th Ave NW</t>
  </si>
  <si>
    <t>_1966</t>
  </si>
  <si>
    <t>http://www.windermere.com/index.cfm?fuseaction=Listing.ListingDetail&amp;ListingID=18821044</t>
  </si>
  <si>
    <t>9037 View Ave NW</t>
  </si>
  <si>
    <t>http://www.windermere.com/index.cfm?fuseaction=Listing.ListingDetail&amp;ListingID=18622733</t>
  </si>
  <si>
    <t>2636 NW Esplanade Dr</t>
  </si>
  <si>
    <t>http://www.windermere.com/index.cfm?fuseaction=Listing.ListingDetail&amp;ListingID=18930143</t>
  </si>
  <si>
    <t>3303 NW 71 St</t>
  </si>
  <si>
    <t>9111 View Ave NW</t>
  </si>
  <si>
    <t>_1970</t>
  </si>
  <si>
    <t>http://www.windermere.com/index.cfm?fuseaction=Listing.ListingDetail&amp;ListingID=19229227</t>
  </si>
  <si>
    <t>Verified List Date</t>
  </si>
  <si>
    <t>Red Fin Days</t>
  </si>
  <si>
    <t>Good sized lot</t>
  </si>
  <si>
    <t>In the neighborhood, bad pictures</t>
  </si>
  <si>
    <t>Duplex right on 522</t>
  </si>
  <si>
    <t>Other 1/2 of the duplex</t>
  </si>
  <si>
    <t>Ugly duplex</t>
  </si>
  <si>
    <t>Lots of wood panelling, big lot, right on 125th.</t>
  </si>
  <si>
    <t>Big lot, but right by a school</t>
  </si>
  <si>
    <t>New house near Sunset Park</t>
  </si>
  <si>
    <t>Good sized lot near Sunset Park, 70s house</t>
  </si>
  <si>
    <t>Not pretty, but cheap</t>
  </si>
  <si>
    <t>Not a bad townhouse.  Pretty far north, brand new.</t>
  </si>
  <si>
    <t>Brand new townhouse, right off aurora</t>
  </si>
  <si>
    <t>right against I-5, redone inside</t>
  </si>
  <si>
    <t>New townhouse off 85th &amp; I-5</t>
  </si>
  <si>
    <t>New townhouse, seems like a good location</t>
  </si>
  <si>
    <t>Townhouse</t>
  </si>
  <si>
    <t>Nice house on a good sized lot by Sunset Park.  Built in 2002</t>
  </si>
  <si>
    <t>Right on Aurora, Business location?</t>
  </si>
  <si>
    <t>Beater townhouse right on I-5</t>
  </si>
  <si>
    <t>Small lot</t>
  </si>
  <si>
    <t>Big lot, oil heat, probably a tear down</t>
  </si>
  <si>
    <t>Small lot, just on the other side of Aurora afrom green lake</t>
  </si>
  <si>
    <t>10708 12th Ave NE</t>
  </si>
  <si>
    <t>http://www.windermere.com/index.cfm?fuseaction=Listing.ListingDetail&amp;ListingID=19386011</t>
  </si>
  <si>
    <t>222 NW 95</t>
  </si>
  <si>
    <t>http://www.windermere.com/index.cfm?fuseaction=Listing.ListingDetail&amp;ListingID=19386709</t>
  </si>
  <si>
    <t>9511 College Way N</t>
  </si>
  <si>
    <t>http://www.windermere.com/index.cfm?fuseaction=Listing.ListingDetail&amp;ListingID=19385109</t>
  </si>
  <si>
    <t>Temp</t>
  </si>
  <si>
    <t>Quiet neighborhood.  Oil heat.  Unfinished basement.  Dave likes.  New windows\</t>
  </si>
  <si>
    <t>OK for a rental.  Would need to update kitchen, and floors before resale.  Good layout.  Low basement ceiling… 6'?</t>
  </si>
  <si>
    <t>Angela likes.  Nice remodel, but dicey neighbors.  In the cranberry bog.</t>
  </si>
  <si>
    <t>Lots of wood panelling, on a very busy street.  Good neighborhood, with fenced yard.</t>
  </si>
  <si>
    <t>TBD</t>
  </si>
  <si>
    <t>Big lot.  Not many pictures.  Ang doesn't like it</t>
  </si>
  <si>
    <t>Right across from college.  Good sized lot.  Reasonably updated.</t>
  </si>
  <si>
    <t>too much wood panelling.</t>
  </si>
  <si>
    <t>On 105th, near a park.  Small old lady house.  Close to 522</t>
  </si>
  <si>
    <t>Calc Days</t>
  </si>
  <si>
    <t>1 bed, 1 bath, tiny lot</t>
  </si>
  <si>
    <t>14014 Courtland Pl N</t>
  </si>
  <si>
    <t>http://www.windermere.com/index.cfm?fuseaction=Listing.ListingDetail&amp;ListingID=19387987</t>
  </si>
  <si>
    <t>9535 Fremont Ave N</t>
  </si>
  <si>
    <t>http://www.windermere.com/index.cfm?fuseaction=Listing.ListingDetail&amp;ListingID=19389689</t>
  </si>
  <si>
    <t>1029 B NE 123rd</t>
  </si>
  <si>
    <t>http://www.windermere.com/index.cfm?fuseaction=Listing.ListingDetail&amp;ListingID=19390786</t>
  </si>
  <si>
    <t>1027 B NE 123rd</t>
  </si>
  <si>
    <t>http://www.windermere.com/index.cfm?fuseaction=Listing.ListingDetail&amp;ListingID=19390529</t>
  </si>
  <si>
    <t>1029 A NE 123rd</t>
  </si>
  <si>
    <t>http://www.windermere.com/index.cfm?fuseaction=Listing.ListingDetail&amp;ListingID=19390872</t>
  </si>
  <si>
    <t>3636 NE 117 St</t>
  </si>
  <si>
    <t>http://www.windermere.com/index.cfm?fuseaction=Listing.ListingDetail&amp;ListingID=19389098</t>
  </si>
  <si>
    <t>http://www.windermere.com/index.cfm?fuseaction=Listing.ListingDetail&amp;ListingID=19391774</t>
  </si>
  <si>
    <t>2302 NE 92nd St</t>
  </si>
  <si>
    <t>3826 NE 120 St</t>
  </si>
  <si>
    <t>http://www.windermere.com/index.cfm?fuseaction=Listing.ListingDetail&amp;ListingID=19390333</t>
  </si>
  <si>
    <t>13317 17th Ave NE</t>
  </si>
  <si>
    <t>_1969</t>
  </si>
  <si>
    <t>http://www.windermere.com/index.cfm?fuseaction=Listing.ListingDetail&amp;ListingID=19223951</t>
  </si>
  <si>
    <t>4108 Greenwood (Not Busy) Ave N</t>
  </si>
  <si>
    <t>6725 10th Ave NW</t>
  </si>
  <si>
    <t>http://www.windermere.com/index.cfm?fuseaction=Listing.ListingDetail&amp;ListingID=19390093</t>
  </si>
  <si>
    <t>2500 sq ft lot.  Would need some work.  Not a bad neighborhood</t>
  </si>
  <si>
    <t>Early 90s house, on small lot in Fremont</t>
  </si>
  <si>
    <t>Everything in the house is dated.</t>
  </si>
  <si>
    <t>Nice on the inside, good sized lot</t>
  </si>
  <si>
    <t>Nice on the inside.  Townhome.  Really weird outside.</t>
  </si>
  <si>
    <t>Nice townhome by QFC in ballard</t>
  </si>
  <si>
    <t>Nice brick home near Greenlake.  Small house on small lot.</t>
  </si>
  <si>
    <t>Not much on photos.  2 story with small-medium lot.</t>
  </si>
  <si>
    <t>Reasonable sized lot, but no pictures</t>
  </si>
  <si>
    <t>Nice, but small house on reasonably sized lot</t>
  </si>
  <si>
    <t>Kinda funky house, on a big lot in Cedar Park.  Worth a look?</t>
  </si>
  <si>
    <t>Nice living space, on reasonably sized lot</t>
  </si>
  <si>
    <t>Nicely updated kitchen, though seems like a lot to spend for Lake City</t>
  </si>
  <si>
    <t>Split level in Jackson park, with no updates</t>
  </si>
  <si>
    <t>Mid-quality updates, and new paint.  Oil heat.</t>
  </si>
  <si>
    <t>9210 2nd Ave NW</t>
  </si>
  <si>
    <t>http://www.windermere.com/index.cfm?fuseaction=Listing.ListingDetail&amp;ListingID=19394909</t>
  </si>
  <si>
    <t>11014 C Greenwood Ave N</t>
  </si>
  <si>
    <t>http://www.windermere.com/index.cfm?fuseaction=Listing.ListingDetail&amp;ListingID=19398213</t>
  </si>
  <si>
    <t>14714 23rd Ave NE</t>
  </si>
  <si>
    <t>http://www.windermere.com/index.cfm?fuseaction=Listing.ListingDetail&amp;ListingID=19397485</t>
  </si>
  <si>
    <t>939 N 91st St</t>
  </si>
  <si>
    <t>http://www.windermere.com/index.cfm?fuseaction=Listing.ListingDetail&amp;ListingID=19393632</t>
  </si>
  <si>
    <t>2207 NW 70th St</t>
  </si>
  <si>
    <t>http://www.windermere.com/index.cfm?fuseaction=Listing.ListingDetail&amp;ListingID=19394453</t>
  </si>
  <si>
    <t>11054 19th Ave NE</t>
  </si>
  <si>
    <t>http://www.windermere.com/index.cfm?fuseaction=Listing.ListingDetail&amp;ListingID=19395167</t>
  </si>
  <si>
    <t>Cheap house, but small, on good sized lot.</t>
  </si>
  <si>
    <t>90s style townhouse.  Not bad looking</t>
  </si>
  <si>
    <t>Brand new townhouse on Greenwood</t>
  </si>
  <si>
    <t>Great view.  Brand new townhouse on greenwood</t>
  </si>
  <si>
    <t>Went STI, then came off</t>
  </si>
  <si>
    <t>Strange looking house, with many needed updates</t>
  </si>
  <si>
    <t>New townhouse</t>
  </si>
  <si>
    <t>Oil heat, two story.  Potential remodel</t>
  </si>
  <si>
    <t>Fixer or tear down on 6k sq ft lot</t>
  </si>
  <si>
    <t>Nice lot, strange house</t>
  </si>
  <si>
    <t>Good sized lot, but needs updating, and right on Aurora</t>
  </si>
  <si>
    <t>Tiny house, on tiny lot.  Nice updates.</t>
  </si>
  <si>
    <t>x</t>
  </si>
  <si>
    <t>Start here</t>
  </si>
  <si>
    <t>7741 14th Ave NW</t>
  </si>
  <si>
    <t>http://www.windermere.com/index.cfm?fuseaction=Listing.ListingDetail&amp;ListingID=19400611</t>
  </si>
  <si>
    <t>346 NW 103 St</t>
  </si>
  <si>
    <t>http://www.windermere.com/index.cfm?fuseaction=Listing.ListingDetail&amp;ListingID=19402080</t>
  </si>
  <si>
    <t>611 N 46 St B</t>
  </si>
  <si>
    <t>http://www.windermere.com/index.cfm?fuseaction=Listing.ListingDetail&amp;ListingID=19403464</t>
  </si>
  <si>
    <t>http://www.windermere.com/index.cfm?fuseaction=Listing.ListingDetail&amp;ListingID=19403826</t>
  </si>
  <si>
    <t>102 NW 104th St</t>
  </si>
  <si>
    <t>_1963</t>
  </si>
  <si>
    <t>http://www.windermere.com/index.cfm?fuseaction=Listing.ListingDetail&amp;ListingID=19404486</t>
  </si>
  <si>
    <t>227 NW 41st St</t>
  </si>
  <si>
    <t>http://www.windermere.com/index.cfm?fuseaction=Listing.ListingDetail&amp;ListingID=19399436</t>
  </si>
  <si>
    <t>931 N 35th St A</t>
  </si>
  <si>
    <t>http://www.windermere.com/index.cfm?fuseaction=Listing.ListingDetail&amp;ListingID=19403814</t>
  </si>
  <si>
    <t>2040 NW 61st St</t>
  </si>
  <si>
    <t>http://www.windermere.com/index.cfm?fuseaction=Listing.ListingDetail&amp;ListingID=19224161</t>
  </si>
  <si>
    <t>6538 38th Ave NE</t>
  </si>
  <si>
    <t>http://www.windermere.com/index.cfm?fuseaction=Listing.ListingDetail&amp;ListingID=19398832</t>
  </si>
  <si>
    <t>105 NW 76th St</t>
  </si>
  <si>
    <t>http://www.windermere.com/index.cfm?fuseaction=Listing.ListingDetail&amp;ListingID=19403828</t>
  </si>
  <si>
    <t>New Construction in North Beach</t>
  </si>
  <si>
    <t>Price dropped.  Check lot size.</t>
  </si>
  <si>
    <t>New Townhouse</t>
  </si>
  <si>
    <t>Dated house, updated kitchen.  Good sized lot, a bit far north.</t>
  </si>
  <si>
    <t>Nice new townhouse, but next to Aurora</t>
  </si>
  <si>
    <t>Small house, small lot in Fremont</t>
  </si>
  <si>
    <t>Five year old townhome</t>
  </si>
  <si>
    <t>May be worth checking out if in the neighborhood.  Check lotsize</t>
  </si>
  <si>
    <t>Pretty small lot, and wood panelling, but looks like a nice area.  Might be worth a look.  Just came back from STI</t>
  </si>
  <si>
    <t>Nice new townhouse.</t>
  </si>
  <si>
    <t>In the process of remodel.  Foreclosure.  Keep an eye on.</t>
  </si>
  <si>
    <t>Older townhouse</t>
  </si>
  <si>
    <t>Nice townhouse with a decent view.  Not new</t>
  </si>
  <si>
    <t>Funky looking townhouse in Fremont</t>
  </si>
  <si>
    <t>Split level</t>
  </si>
  <si>
    <t>Nice updates, and location, but small lot, and small house</t>
  </si>
  <si>
    <t>Under construction</t>
  </si>
  <si>
    <t>Reasonably sized lot, 90s style interior</t>
  </si>
  <si>
    <t>Nice neighborhood.  Appears to be a small lot</t>
  </si>
  <si>
    <t>2407 NE 145th St</t>
  </si>
  <si>
    <t>http://www.windermere.com/index.cfm?fuseaction=Listing.ListingDetail&amp;ListingID=19408082</t>
  </si>
  <si>
    <t>http://www.windermere.com/index.cfm?fuseaction=Listing.ListingDetail&amp;ListingID=19408389</t>
  </si>
  <si>
    <t>2505 NE 140th St</t>
  </si>
  <si>
    <t>http://www.windermere.com/index.cfm?fuseaction=Listing.ListingDetail&amp;ListingID=19407034</t>
  </si>
  <si>
    <t>4319 Latona Ave NE</t>
  </si>
  <si>
    <t>http://www.windermere.com/index.cfm?fuseaction=Listing.ListingDetail&amp;ListingID=19409882</t>
  </si>
  <si>
    <t>204 N 39th St</t>
  </si>
  <si>
    <t>2319 N 65th St</t>
  </si>
  <si>
    <t>http://www.windermere.com/index.cfm?fuseaction=Listing.ListingDetail&amp;ListingID=19409141</t>
  </si>
  <si>
    <t>5762 25th Ave NE</t>
  </si>
  <si>
    <t>3906 Whitman Ave N</t>
  </si>
  <si>
    <t>http://www.windermere.com/index.cfm?fuseaction=Listing.ListingDetail&amp;ListingID=19407733</t>
  </si>
  <si>
    <t>3900 Whitman Ave N</t>
  </si>
  <si>
    <t>http://www.windermere.com/index.cfm?fuseaction=Listing.ListingDetail&amp;ListingID=19407101</t>
  </si>
  <si>
    <t>http://www.windermere.com/index.cfm?fuseaction=Listing.ListingDetail&amp;ListingID=19408406</t>
  </si>
  <si>
    <t>6614 28th Ave NW</t>
  </si>
  <si>
    <t>http://www.windermere.com/index.cfm?fuseaction=Listing.ListingDetail&amp;ListingID=19406599</t>
  </si>
  <si>
    <t>4669 1st Ave NE</t>
  </si>
  <si>
    <t>http://www.windermere.com/index.cfm?fuseaction=Listing.ListingDetail&amp;ListingID=19406985</t>
  </si>
  <si>
    <t>13621 4th Ave NE</t>
  </si>
  <si>
    <t>http://www.windermere.com/index.cfm?fuseaction=Listing.ListingDetail&amp;ListingID=19409788</t>
  </si>
  <si>
    <t>13724 Midvale Ave N</t>
  </si>
  <si>
    <t>http://www.windermere.com/index.cfm?fuseaction=Listing.ListingDetail&amp;ListingID=19412092</t>
  </si>
  <si>
    <t>2655 NW 90th St</t>
  </si>
  <si>
    <t>http://www.windermere.com/index.cfm?fuseaction=Listing.ListingDetail&amp;ListingID=19409790</t>
  </si>
  <si>
    <t>8015 19th Ave NW</t>
  </si>
  <si>
    <t>http://www.windermere.com/index.cfm?fuseaction=Listing.ListingDetail&amp;ListingID=19409140</t>
  </si>
  <si>
    <t>Listing Removed</t>
  </si>
  <si>
    <t>Listing Exists</t>
  </si>
  <si>
    <t>821 A NW 53rd St</t>
  </si>
  <si>
    <t>http://www.windermere.com/index.cfm?fuseaction=Listing.ListingDetail&amp;ListingID=19412399</t>
  </si>
  <si>
    <t>10205 B 1st Ave NW</t>
  </si>
  <si>
    <t>http://www.windermere.com/index.cfm?fuseaction=Listing.ListingDetail&amp;ListingID=19438383</t>
  </si>
  <si>
    <t>13906 2nd Ave NE</t>
  </si>
  <si>
    <t>http://www.windermere.com/index.cfm?fuseaction=Listing.ListingDetail&amp;ListingID=19437800</t>
  </si>
  <si>
    <t>9521 Wallingford Ave N</t>
  </si>
  <si>
    <t>http://www.windermere.com/index.cfm?fuseaction=Listing.ListingDetail&amp;ListingID=19413443</t>
  </si>
  <si>
    <t>10507 Palatine Ave N</t>
  </si>
  <si>
    <t>http://www.windermere.com/index.cfm?fuseaction=Listing.ListingDetail&amp;ListingID=19438316</t>
  </si>
  <si>
    <t>2623 NW 57th St</t>
  </si>
  <si>
    <t>http://www.windermere.com/index.cfm?fuseaction=Listing.ListingDetail&amp;ListingID=19438452</t>
  </si>
  <si>
    <t>13701 20th Ave NE</t>
  </si>
  <si>
    <t>http://www.windermere.com/index.cfm?fuseaction=Listing.ListingDetail&amp;ListingID=19414449</t>
  </si>
  <si>
    <t>6248 27th Ave NE</t>
  </si>
  <si>
    <t>http://www.windermere.com/index.cfm?fuseaction=Listing.ListingDetail&amp;ListingID=19416957</t>
  </si>
  <si>
    <t>7711 16th Ave NE</t>
  </si>
  <si>
    <t>http://www.windermere.com/index.cfm?fuseaction=Listing.ListingDetail&amp;ListingID=19416095</t>
  </si>
  <si>
    <t>832 NE 57th St</t>
  </si>
  <si>
    <t>http://www.windermere.com/index.cfm?fuseaction=Listing.ListingDetail&amp;ListingID=19420266</t>
  </si>
  <si>
    <t>6518 Cleopatra Pl NW</t>
  </si>
  <si>
    <t>http://www.windermere.com/index.cfm?fuseaction=Listing.ListingDetail&amp;ListingID=19419027</t>
  </si>
  <si>
    <t>7215 6th Ave NW</t>
  </si>
  <si>
    <t>http://www.windermere.com/index.cfm?fuseaction=Listing.ListingDetail&amp;ListingID=19416193</t>
  </si>
  <si>
    <t>11030 A Greenwood Ave N</t>
  </si>
  <si>
    <t>http://www.windermere.com/index.cfm?fuseaction=Listing.ListingDetail&amp;ListingID=19449307</t>
  </si>
  <si>
    <t>http://www.windermere.com/index.cfm?fuseaction=Listing.ListingDetail&amp;ListingID=19444295</t>
  </si>
  <si>
    <t>http://www.windermere.com/index.cfm?fuseaction=Listing.ListingDetail&amp;ListingID=19447885</t>
  </si>
  <si>
    <t>5806 4th Ave NW</t>
  </si>
  <si>
    <t>http://www.windermere.com/index.cfm?fuseaction=Listing.ListingDetail&amp;ListingID=19444687</t>
  </si>
  <si>
    <t>718 N 100th St</t>
  </si>
  <si>
    <t>_1993</t>
  </si>
  <si>
    <t>http://www.windermere.com/index.cfm?fuseaction=Listing.ListingDetail&amp;ListingID=19443392</t>
  </si>
  <si>
    <t>13733 36th Ave NE</t>
  </si>
  <si>
    <t>http://www.windermere.com/index.cfm?fuseaction=Listing.ListingDetail&amp;ListingID=19444689</t>
  </si>
  <si>
    <t>7502 24th Ave NE</t>
  </si>
  <si>
    <t>http://www.windermere.com/index.cfm?fuseaction=Listing.ListingDetail&amp;ListingID=19449958</t>
  </si>
  <si>
    <t>6122 8 Ave NW</t>
  </si>
  <si>
    <t>http://www.windermere.com/index.cfm?fuseaction=Listing.ListingDetail&amp;ListingID=19439266</t>
  </si>
  <si>
    <t>5914 8th Ave NW</t>
  </si>
  <si>
    <t>http://www.windermere.com/index.cfm?fuseaction=Listing.ListingDetail&amp;ListingID=19445556</t>
  </si>
  <si>
    <t>1123 NW 64th St</t>
  </si>
  <si>
    <t>http://www.windermere.com/index.cfm?fuseaction=Listing.ListingDetail&amp;ListingID=19441098</t>
  </si>
  <si>
    <t>8216 15th Ave NE</t>
  </si>
  <si>
    <t>http://www.windermere.com/index.cfm?fuseaction=Listing.ListingDetail&amp;ListingID=19444419</t>
  </si>
  <si>
    <t>5738 28th Ave NE</t>
  </si>
  <si>
    <t>http://www.windermere.com/index.cfm?fuseaction=Listing.ListingDetail&amp;ListingID=19444422</t>
  </si>
  <si>
    <t>801 NE 85 St</t>
  </si>
  <si>
    <t>http://www.windermere.com/index.cfm?fuseaction=Listing.ListingDetail&amp;ListingID=19439314</t>
  </si>
  <si>
    <t>332 82nd St</t>
  </si>
  <si>
    <t>http://www.windermere.com/index.cfm?fuseaction=Listing.ListingDetail&amp;ListingID=19443385</t>
  </si>
  <si>
    <t>http://www.windermere.com/index.cfm?fuseaction=Listing.ListingDetail&amp;ListingID=19444303</t>
  </si>
  <si>
    <t>330 NE 55th St</t>
  </si>
  <si>
    <t>http://www.windermere.com/index.cfm?fuseaction=Listing.ListingDetail&amp;ListingID=19447251</t>
  </si>
  <si>
    <t>10505 Whitman Ave N</t>
  </si>
  <si>
    <t>http://www.windermere.com/index.cfm?fuseaction=Listing.ListingDetail&amp;ListingID=18991194</t>
  </si>
  <si>
    <t>6744 11th Ave NW</t>
  </si>
  <si>
    <t>http://www.windermere.com/index.cfm?fuseaction=Listing.ListingDetail&amp;ListingID=19447573</t>
  </si>
  <si>
    <t>http://www.windermere.com/index.cfm?fuseaction=Listing.ListingDetail&amp;ListingID=19448225</t>
  </si>
  <si>
    <t>6731 Division Ave NW</t>
  </si>
  <si>
    <t>http://www.windermere.com/index.cfm?fuseaction=Listing.ListingDetail&amp;ListingID=19445431</t>
  </si>
  <si>
    <t>http://www.windermere.com/index.cfm?fuseaction=Listing.ListingDetail&amp;ListingID=19441832</t>
  </si>
  <si>
    <t>2155 N 117th St</t>
  </si>
  <si>
    <t>http://www.windermere.com/index.cfm?fuseaction=Listing.ListingDetail&amp;ListingID=19453125</t>
  </si>
  <si>
    <t>14356 19th Ave NE</t>
  </si>
  <si>
    <t>8839 8 th Ave NW</t>
  </si>
  <si>
    <t>http://www.windermere.com/index.cfm?fuseaction=Listing.ListingDetail&amp;ListingID=19451207</t>
  </si>
  <si>
    <t>729 N 80th St</t>
  </si>
  <si>
    <t>http://www.windermere.com/index.cfm?fuseaction=Listing.ListingDetail&amp;ListingID=19452854</t>
  </si>
  <si>
    <t>3050 NE Blakeley St</t>
  </si>
  <si>
    <t>http://www.windermere.com/index.cfm?fuseaction=Listing.ListingDetail&amp;ListingID=19456959</t>
  </si>
  <si>
    <t>5233 Russell Ave NW A</t>
  </si>
  <si>
    <t>http://www.windermere.com/index.cfm?fuseaction=Listing.ListingDetail&amp;ListingID=19453226</t>
  </si>
  <si>
    <t>2302 N 59th St</t>
  </si>
  <si>
    <t>http://www.windermere.com/index.cfm?fuseaction=Listing.ListingDetail&amp;ListingID=19453712</t>
  </si>
  <si>
    <t>5035 12th Ave NE A</t>
  </si>
  <si>
    <t>http://www.windermere.com/index.cfm?fuseaction=Listing.ListingDetail&amp;ListingID=19147713</t>
  </si>
  <si>
    <t>5035 12th Ave NE B</t>
  </si>
  <si>
    <t>http://www.windermere.com/index.cfm?fuseaction=Listing.ListingDetail&amp;ListingID=19254876</t>
  </si>
  <si>
    <t>townhouse</t>
  </si>
  <si>
    <t>Merge</t>
  </si>
  <si>
    <t>Skip</t>
  </si>
  <si>
    <t>10726 15th Ave NE</t>
  </si>
  <si>
    <t>http://www.windermere.com/index.cfm?fuseaction=Listing.ListingDetail&amp;ListingID=19461946</t>
  </si>
  <si>
    <t>3003 NE 130th St</t>
  </si>
  <si>
    <t>http://www.windermere.com/index.cfm?fuseaction=Listing.ListingDetail&amp;ListingID=19461955</t>
  </si>
  <si>
    <t>1017 B NE 123rd St</t>
  </si>
  <si>
    <t>http://www.windermere.com/index.cfm?fuseaction=Listing.ListingDetail&amp;ListingID=19461894</t>
  </si>
  <si>
    <t>12719 C Greenwood (not busy back</t>
  </si>
  <si>
    <t>http://www.windermere.com/index.cfm?fuseaction=Listing.ListingDetail&amp;ListingID=19457484</t>
  </si>
  <si>
    <t>6505 NW 56th St C</t>
  </si>
  <si>
    <t>http://www.windermere.com/index.cfm?fuseaction=Listing.ListingDetail&amp;ListingID=19463328</t>
  </si>
  <si>
    <t>11743 Sand Point Way NE</t>
  </si>
  <si>
    <t>http://www.windermere.com/index.cfm?fuseaction=Listing.ListingDetail&amp;ListingID=19461116</t>
  </si>
  <si>
    <t>http://www.windermere.com/index.cfm?fuseaction=Listing.ListingDetail&amp;ListingID=19460715</t>
  </si>
  <si>
    <t>7032 22nd Ave NW</t>
  </si>
  <si>
    <t>http://www.windermere.com/index.cfm?fuseaction=Listing.ListingDetail&amp;ListingID=19463575</t>
  </si>
  <si>
    <t>10717 Sand Point Way NE</t>
  </si>
  <si>
    <t>http://www.windermere.com/index.cfm?fuseaction=Listing.ListingDetail&amp;ListingID=19459409</t>
  </si>
  <si>
    <t>3617 C Albion Pl N</t>
  </si>
  <si>
    <t>http://www.windermere.com/index.cfm?fuseaction=Listing.ListingDetail&amp;ListingID=19461123</t>
  </si>
  <si>
    <t>3425 Meridian Ave N</t>
  </si>
  <si>
    <t>http://www.windermere.com/index.cfm?fuseaction=Listing.ListingDetail&amp;ListingID=19461700</t>
  </si>
  <si>
    <t>3615 B Albion Pl N</t>
  </si>
  <si>
    <t>http://www.windermere.com/index.cfm?fuseaction=Listing.ListingDetail&amp;ListingID=18942170</t>
  </si>
  <si>
    <t>3617 B Albion Pl N</t>
  </si>
  <si>
    <t>http://www.windermere.com/index.cfm?fuseaction=Listing.ListingDetail&amp;ListingID=18892760</t>
  </si>
  <si>
    <t>5709 25th Ave NE</t>
  </si>
  <si>
    <t>http://www.windermere.com/index.cfm?fuseaction=Listing.ListingDetail&amp;ListingID=19463894</t>
  </si>
  <si>
    <t>4809 B Stoneway Ave N.</t>
  </si>
  <si>
    <t>http://www.windermere.com/index.cfm?fuseaction=Listing.ListingDetail&amp;ListingID=19460759</t>
  </si>
  <si>
    <t>1308 NW 70th St</t>
  </si>
  <si>
    <t>http://www.windermere.com/index.cfm?fuseaction=Listing.ListingDetail&amp;ListingID=19461135</t>
  </si>
  <si>
    <t>3605 B Interlake Ave N</t>
  </si>
  <si>
    <t>http://www.windermere.com/index.cfm?fuseaction=Listing.ListingDetail&amp;ListingID=19460087</t>
  </si>
  <si>
    <t>611 N 46 St D</t>
  </si>
  <si>
    <t>http://www.windermere.com/index.cfm?fuseaction=Listing.ListingDetail&amp;ListingID=19461867</t>
  </si>
  <si>
    <t>1010 N 39th St</t>
  </si>
  <si>
    <t>http://www.windermere.com/index.cfm?fuseaction=Listing.ListingDetail&amp;ListingID=19463710</t>
  </si>
  <si>
    <t>13735 Roosevelt Way N</t>
  </si>
  <si>
    <t>http://www.windermere.com/index.cfm?fuseaction=Listing.ListingDetail&amp;ListingID=19463629</t>
  </si>
  <si>
    <t>3611 A Albion Pl N</t>
  </si>
  <si>
    <t>http://www.windermere.com/index.cfm?fuseaction=Listing.ListingDetail&amp;ListingID=19247744</t>
  </si>
  <si>
    <t>1024 N 36th St</t>
  </si>
  <si>
    <t>http://www.windermere.com/index.cfm?fuseaction=Listing.ListingDetail&amp;ListingID=18672127</t>
  </si>
  <si>
    <t>2824 NW 57th St</t>
  </si>
  <si>
    <t>http://www.windermere.com/index.cfm?fuseaction=Listing.ListingDetail&amp;ListingID=19459882</t>
  </si>
  <si>
    <t>10014 Interlake Ave N</t>
  </si>
  <si>
    <t>http://www.windermere.com/index.cfm?fuseaction=Listing.ListingDetail&amp;ListingID=19460964</t>
  </si>
  <si>
    <t>509 NE 71st St D</t>
  </si>
  <si>
    <t>http://www.windermere.com/index.cfm?fuseaction=Listing.ListingDetail&amp;ListingID=19332845</t>
  </si>
  <si>
    <t>http://www.windermere.com/index.cfm?fuseaction=Listing.ListingDetail&amp;ListingID=19358432</t>
  </si>
  <si>
    <t>Open March 2, 1-4 p.m. North Beach View</t>
  </si>
  <si>
    <t>8334 20th Ave NW</t>
  </si>
  <si>
    <t>http://www.windermere.com/index.cfm?fuseaction=Listing.ListingDetail&amp;ListingID=19462672</t>
  </si>
  <si>
    <t>http://www.windermere.com/index.cfm?fuseaction=Listing.ListingDetail&amp;ListingID=19461870</t>
  </si>
  <si>
    <t>Small sink, livable downstairs.  Decent sized lot.  Some road noise from 34th</t>
  </si>
  <si>
    <t>Green</t>
  </si>
  <si>
    <t>Yellow</t>
  </si>
  <si>
    <t>OK backyard, house nice on inside, noisy neighbor</t>
  </si>
  <si>
    <t>Nice neighborhood, with sidewalks.  Bedrooms are very small.  Electrical updated in some parts of house.  French drain.  Bathroom off kitchen.  Sun porch</t>
  </si>
  <si>
    <t>Red</t>
  </si>
  <si>
    <t>Kitchen too small, loud street.  Upstairs is useless -- staircase too narrow</t>
  </si>
  <si>
    <t>2 units.  Old kitchen with slab granite.  No dishwasher.  2nd unit hard to rent</t>
  </si>
  <si>
    <t>Kitchen too small, and too close to 85th</t>
  </si>
  <si>
    <t>Way too small, washer in kitchen</t>
  </si>
  <si>
    <t>No</t>
  </si>
  <si>
    <t>RedFin1</t>
  </si>
  <si>
    <t>Test Query for RedFin</t>
  </si>
  <si>
    <t>http://www.redfin.com/stingray/do/gis-search?market=seattle&amp;poly=-122.37072%2047.67961,-122.35283%2047.67961,-122.35283%2047.68366,-122.37072%2047.68366,-122.37072%2047.67961&amp;unmatched=1&amp;&amp;residential=true&amp;condo=true&amp;min_price=300000&amp;max_price=800000&amp;num_beds=2&amp;num_baths=&amp;min_listing_approx_size=&amp;max_listing_approx_size=&amp;min_parcel_size=&amp;max_parcel_size=&amp;min_year_built=&amp;max_year_built=&amp;time_on_market_range=-&amp;status=1&amp;sold_within_months=0&amp;search_location=Enter%20a%20neighborhood%2C%20city%2C%20or%20MLS%20%23&amp;page=no-javascript</t>
  </si>
  <si>
    <t>8716 26th Ave NW</t>
  </si>
  <si>
    <t>RedFin</t>
  </si>
  <si>
    <t>Test Zip</t>
  </si>
  <si>
    <t>Seattle_North</t>
  </si>
  <si>
    <t>http://www.redfin.com/stingray/do/gis-search?market=seattle&amp;poly=-122.4107%2047.65938,-122.24401%2047.65938,-122.24401%2047.72293,-122.4107%2047.72293,-122.4107%2047.65938&amp;unmatched=1&amp;&amp;residential=true&amp;condo=true&amp;min_price=300000&amp;max_price=550000&amp;num_beds=&amp;num_baths=&amp;min_listing_approx_size=&amp;max_listing_approx_size=&amp;min_parcel_size=&amp;max_parcel_size=&amp;min_year_built=&amp;max_year_built=&amp;time_on_market_range=-&amp;status=1&amp;sold_within_months=0&amp;search_location=Enter%20a%20neighborhood%2C%20city%2C%20or%20MLS%20%23&amp;page=no-javascript</t>
  </si>
  <si>
    <t>http://www.redfin.com/stingray/do/gis-search?market=seattle&amp;poly=-122.42186%2047.60003,-122.25517%2047.60003,-122.25517%2047.66365,-122.42186%2047.66365,-122.42186%2047.60003&amp;unmatched=1&amp;&amp;residential=true&amp;min_price=300000&amp;max_price=650000&amp;num_beds=&amp;num_baths=&amp;min_listing_approx_size=&amp;max_listing_approx_size=&amp;min_parcel_size=&amp;max_parcel_size=&amp;min_year_built=&amp;max_year_built=&amp;time_on_market_range=-&amp;status=1&amp;sold_within_months=0&amp;search_location=Enter%20a%20neighborhood%2C%20city%2C%20or%20MLS%20%23&amp;page=no-javascript</t>
  </si>
  <si>
    <t>Seattle_South</t>
  </si>
  <si>
    <t>Seattle_98117</t>
  </si>
  <si>
    <t>Cleopatra</t>
  </si>
  <si>
    <t>Type</t>
  </si>
  <si>
    <t>Year Built</t>
  </si>
  <si>
    <t>House Size</t>
  </si>
  <si>
    <t>Lot Size</t>
  </si>
  <si>
    <t>Bus Route</t>
  </si>
  <si>
    <t>Water Heater</t>
  </si>
  <si>
    <t>Tax Year</t>
  </si>
  <si>
    <t>Taxes Annual</t>
  </si>
  <si>
    <t>Last Sale Date</t>
  </si>
  <si>
    <t>Broker</t>
  </si>
  <si>
    <t>Days on Market</t>
  </si>
  <si>
    <t>Favorite</t>
  </si>
  <si>
    <t>Search Status</t>
  </si>
  <si>
    <t>Street Type</t>
  </si>
  <si>
    <t>Street</t>
  </si>
  <si>
    <t>Undisclosed</t>
  </si>
  <si>
    <t>Street Prefix</t>
  </si>
  <si>
    <t>Avail Photos</t>
  </si>
  <si>
    <t>Datasource ID</t>
  </si>
  <si>
    <t>In Service Area</t>
  </si>
  <si>
    <t>Photoserver cluster</t>
  </si>
  <si>
    <t>Fixer</t>
  </si>
  <si>
    <t>Is New</t>
  </si>
  <si>
    <t>Is Old</t>
  </si>
  <si>
    <t>condo</t>
  </si>
  <si>
    <t>Ave</t>
  </si>
  <si>
    <t>WA</t>
  </si>
  <si>
    <t>NW</t>
  </si>
  <si>
    <t>0-10:0</t>
  </si>
  <si>
    <t>Redfin Corp.</t>
  </si>
  <si>
    <t>0-14:0</t>
  </si>
  <si>
    <t>Prudential Northwest Realty</t>
  </si>
  <si>
    <t>Coldwell Banker Bain</t>
  </si>
  <si>
    <t>RE/MAX Metro Associates</t>
  </si>
  <si>
    <t>0-11:0</t>
  </si>
  <si>
    <t>0-5:1</t>
  </si>
  <si>
    <t>Windermere R.E. Wall St. Inc.</t>
  </si>
  <si>
    <t>0-11:1</t>
  </si>
  <si>
    <t>Coldwell Banker Danforth</t>
  </si>
  <si>
    <t>residential</t>
  </si>
  <si>
    <t>Sutton Real Estate, Inc.</t>
  </si>
  <si>
    <t>17th</t>
  </si>
  <si>
    <t>0-2:0</t>
  </si>
  <si>
    <t>Windermere R. E. Oak Tree Inc.</t>
  </si>
  <si>
    <t>St</t>
  </si>
  <si>
    <t>57th</t>
  </si>
  <si>
    <t>John L. Scott, Inc.</t>
  </si>
  <si>
    <t>0-9:1</t>
  </si>
  <si>
    <t>Keller Williams North Seattle</t>
  </si>
  <si>
    <t>Brown Real Estate Group LLC</t>
  </si>
  <si>
    <t>22nd</t>
  </si>
  <si>
    <t>Alchemy Real Estate</t>
  </si>
  <si>
    <t>6505 16th Ave NW</t>
  </si>
  <si>
    <t>16th</t>
  </si>
  <si>
    <t>0-4:0</t>
  </si>
  <si>
    <t>Windermere R. E. Fauntleroy</t>
  </si>
  <si>
    <t>0-1:S,2-6:R</t>
  </si>
  <si>
    <t>#B</t>
  </si>
  <si>
    <t>Windermere R.E.N.W. Ballard</t>
  </si>
  <si>
    <t>0-8:0</t>
  </si>
  <si>
    <t>Lake &amp; Company</t>
  </si>
  <si>
    <t>70th</t>
  </si>
  <si>
    <t>0-14:1</t>
  </si>
  <si>
    <t>8060 17th Ave NW</t>
  </si>
  <si>
    <t>0:1,1-5:2,6-8:1,9-10:0</t>
  </si>
  <si>
    <t>1608 NW 65th St</t>
  </si>
  <si>
    <t>65th</t>
  </si>
  <si>
    <t>0:1,1-14:0</t>
  </si>
  <si>
    <t>Windermere Real Estate Co.</t>
  </si>
  <si>
    <t>80th</t>
  </si>
  <si>
    <t>N</t>
  </si>
  <si>
    <t>0-13:0</t>
  </si>
  <si>
    <t>77th</t>
  </si>
  <si>
    <t>Windermere RE/Capitol Hill,Inc</t>
  </si>
  <si>
    <t>8528 Dibble Ave NW</t>
  </si>
  <si>
    <t>Dibble</t>
  </si>
  <si>
    <t>RE/MAX Mutual Realty</t>
  </si>
  <si>
    <t>88th</t>
  </si>
  <si>
    <t>America's Choice Real Estate</t>
  </si>
  <si>
    <t>9523 8th Ave NW #A</t>
  </si>
  <si>
    <t>#A</t>
  </si>
  <si>
    <t>8th</t>
  </si>
  <si>
    <t>4th</t>
  </si>
  <si>
    <t>RE/MAX Northwest Realtors</t>
  </si>
  <si>
    <t>7809 8th Ave NW</t>
  </si>
  <si>
    <t>Seaview</t>
  </si>
  <si>
    <t>6006 Seaview Ave NW #E</t>
  </si>
  <si>
    <t>#E</t>
  </si>
  <si>
    <t>0-14:2</t>
  </si>
  <si>
    <t>Odelia Pacific Properties, Inc</t>
  </si>
  <si>
    <t>31st</t>
  </si>
  <si>
    <t>32nd</t>
  </si>
  <si>
    <t>0:2,1-10:1</t>
  </si>
  <si>
    <t>RE/MAX Eastside Brokers, Inc.</t>
  </si>
  <si>
    <t>0:1,1-4:0</t>
  </si>
  <si>
    <t>Skyline Properties, Inc.</t>
  </si>
  <si>
    <t>NE</t>
  </si>
  <si>
    <t>6th</t>
  </si>
  <si>
    <t>24th</t>
  </si>
  <si>
    <t>0-7:0</t>
  </si>
  <si>
    <t>0-6:1</t>
  </si>
  <si>
    <t>0-5:0</t>
  </si>
  <si>
    <t>Real Property Associates</t>
  </si>
  <si>
    <t>0-12:0</t>
  </si>
  <si>
    <t>Windermere R.E.N.W. Eastlake</t>
  </si>
  <si>
    <t>0-9:0</t>
  </si>
  <si>
    <t>0-3:1</t>
  </si>
  <si>
    <t>Windermere R.E.N.W.</t>
  </si>
  <si>
    <t>6743 24th Ave NW #B</t>
  </si>
  <si>
    <t>27th</t>
  </si>
  <si>
    <t>0-5:3,6:2</t>
  </si>
  <si>
    <t>In-City Real Estate Inc.</t>
  </si>
  <si>
    <t>Earl</t>
  </si>
  <si>
    <t>0-12:L</t>
  </si>
  <si>
    <t>0-13:1</t>
  </si>
  <si>
    <t>2806 NW 70th St</t>
  </si>
  <si>
    <t>The Real Estate Group</t>
  </si>
  <si>
    <t>9007 28th Ave NW</t>
  </si>
  <si>
    <t>28th</t>
  </si>
  <si>
    <t>90th</t>
  </si>
  <si>
    <t>0-6:0</t>
  </si>
  <si>
    <t>0-7:2,8-12:1,13:0</t>
  </si>
  <si>
    <t>Cantu Group Inc.</t>
  </si>
  <si>
    <t>0-8:1,9:0,10-12:1,13:0,14:1</t>
  </si>
  <si>
    <t>RE/MAX Metro Realty, Inc.</t>
  </si>
  <si>
    <t>#301</t>
  </si>
  <si>
    <t>Windermere Real Estate/East</t>
  </si>
  <si>
    <t>26th</t>
  </si>
  <si>
    <t>Loyal Realty, Inc.</t>
  </si>
  <si>
    <t>8046 29th Ave NW</t>
  </si>
  <si>
    <t>29th</t>
  </si>
  <si>
    <t>Keller Williams SE Sound</t>
  </si>
  <si>
    <t>Flat List RE</t>
  </si>
  <si>
    <t>Executive Real Estate, Inc.</t>
  </si>
  <si>
    <t>CENTURY 21 North Homes Realty</t>
  </si>
  <si>
    <t>#105</t>
  </si>
  <si>
    <t>Alonzo</t>
  </si>
  <si>
    <t>Mary</t>
  </si>
  <si>
    <t>9023 Mary Ave NW #105</t>
  </si>
  <si>
    <t>0-5:1,6-13:0</t>
  </si>
  <si>
    <t>#1</t>
  </si>
  <si>
    <t>Windermere Real Estate GH LLC</t>
  </si>
  <si>
    <t>9036 9th Ave NW</t>
  </si>
  <si>
    <t>9th</t>
  </si>
  <si>
    <t>Keller Williams Rlty Lynnwood</t>
  </si>
  <si>
    <t>9038 Mary Ave NW</t>
  </si>
  <si>
    <t>10th</t>
  </si>
  <si>
    <t>0-3:9,4-7:8,8-9:7,10-11:8,12:5,13:4,14:3</t>
  </si>
  <si>
    <t>Windermere R.E. South, Inc.</t>
  </si>
  <si>
    <t>9231 11th Ave NW</t>
  </si>
  <si>
    <t>11th</t>
  </si>
  <si>
    <t>0-2:0,3-10:1</t>
  </si>
  <si>
    <t>John L. Scott Edmonds</t>
  </si>
  <si>
    <t>74th</t>
  </si>
  <si>
    <t>3rd</t>
  </si>
  <si>
    <t>0-1:1</t>
  </si>
  <si>
    <t>Windermere Real Estate S.C.A.</t>
  </si>
  <si>
    <t>0:1,1:0,2-11:1,12:0</t>
  </si>
  <si>
    <t>9532 6th</t>
  </si>
  <si>
    <t>0-3:0</t>
  </si>
  <si>
    <t>0:2,1-8:1,9-12:0</t>
  </si>
  <si>
    <t>12th</t>
  </si>
  <si>
    <t>0-13:1,14:2</t>
  </si>
  <si>
    <t>RE/MAX Metro Properties</t>
  </si>
  <si>
    <t>8357 11th Ave NW</t>
  </si>
  <si>
    <t>0:1,1-12:0</t>
  </si>
  <si>
    <t>9230 13th Ave NW</t>
  </si>
  <si>
    <t>13th</t>
  </si>
  <si>
    <t>Windermere Real Estate/RNT</t>
  </si>
  <si>
    <t>6728 13th Ave NW</t>
  </si>
  <si>
    <t>Keller Williams Rlty Bellevue</t>
  </si>
  <si>
    <t>0-1:0</t>
  </si>
  <si>
    <t>Fireside Homes Real Estate LLC</t>
  </si>
  <si>
    <t>Prudential SignatureProperties</t>
  </si>
  <si>
    <t>Dr</t>
  </si>
  <si>
    <t>Home Realty Greenlake</t>
  </si>
  <si>
    <t>30th</t>
  </si>
  <si>
    <t>25th</t>
  </si>
  <si>
    <t>0:1,1-13:0</t>
  </si>
  <si>
    <t>RE/MAX Integrity</t>
  </si>
  <si>
    <t>1st</t>
  </si>
  <si>
    <t>MLS4owners.com</t>
  </si>
  <si>
    <t>RE/MAX Champions</t>
  </si>
  <si>
    <t>Ashworth</t>
  </si>
  <si>
    <t>84th</t>
  </si>
  <si>
    <t>85th</t>
  </si>
  <si>
    <t>73rd</t>
  </si>
  <si>
    <t>Windermere R.E.N.W. Madison</t>
  </si>
  <si>
    <t>71st</t>
  </si>
  <si>
    <t>#405</t>
  </si>
  <si>
    <t>5th</t>
  </si>
  <si>
    <t>Williams Marketing, Inc.</t>
  </si>
  <si>
    <t>6801 Greenwood Ave N #410</t>
  </si>
  <si>
    <t>#410</t>
  </si>
  <si>
    <t>0-12:1</t>
  </si>
  <si>
    <t>75th</t>
  </si>
  <si>
    <t>15th</t>
  </si>
  <si>
    <t>23rd</t>
  </si>
  <si>
    <t>97th</t>
  </si>
  <si>
    <t>Puget Sound R.E. Group LLC</t>
  </si>
  <si>
    <t>Pl</t>
  </si>
  <si>
    <t>0-9:1,10-11:0</t>
  </si>
  <si>
    <t>20th</t>
  </si>
  <si>
    <t>0-4:1,5:0</t>
  </si>
  <si>
    <t>Madison Partners Real Estate</t>
  </si>
  <si>
    <t>Puget Sound Homes Realty</t>
  </si>
  <si>
    <t>American Dream R. E. Services</t>
  </si>
  <si>
    <t>0-2:2,3-5:1,6:0,7:1</t>
  </si>
  <si>
    <t>CENTURY 21 All Stars</t>
  </si>
  <si>
    <t>0:2,1:1,2:3,3-4:1,5:0,6:1,7-8:0,9-11:1</t>
  </si>
  <si>
    <t>Ballard Realty, Inc.</t>
  </si>
  <si>
    <t>8 th</t>
  </si>
  <si>
    <t>8403 8th Ave NW #A</t>
  </si>
  <si>
    <t>8405 8th Ave NW #A</t>
  </si>
  <si>
    <t>87th</t>
  </si>
  <si>
    <t>0:B,1-10:A,11:0</t>
  </si>
  <si>
    <t>9239 7th Ave NW</t>
  </si>
  <si>
    <t>7th</t>
  </si>
  <si>
    <t>0-1:2,2-5:0,6-11:1</t>
  </si>
  <si>
    <t>0-4:1,5-11:0</t>
  </si>
  <si>
    <t>ALLPRO Real Estate/Shoreline</t>
  </si>
  <si>
    <t>68th</t>
  </si>
  <si>
    <t>67th</t>
  </si>
  <si>
    <t>#304</t>
  </si>
  <si>
    <t>104 NW 84th St</t>
  </si>
  <si>
    <t>83rd</t>
  </si>
  <si>
    <t>Homeworks Real Estate Inc.</t>
  </si>
  <si>
    <t>SW</t>
  </si>
  <si>
    <t>unmatched</t>
  </si>
  <si>
    <t>345 N 105th entr on Dayton St (Unable to map)</t>
  </si>
  <si>
    <t>105th entr on Dayton</t>
  </si>
  <si>
    <t>0:2,1-4:1</t>
  </si>
  <si>
    <t>2812 NW 85th - Quiet side #A (Unable to map)</t>
  </si>
  <si>
    <t>85th - Quiet side</t>
  </si>
  <si>
    <t>0-6:1,7-13:0</t>
  </si>
  <si>
    <t>Request Real Estate Services</t>
  </si>
  <si>
    <t>1511 SW 57th St #110 (Unable to map)</t>
  </si>
  <si>
    <t>#110</t>
  </si>
  <si>
    <t>9225 Ashworth Ave S (Unable to map)</t>
  </si>
  <si>
    <t>S</t>
  </si>
  <si>
    <t>0:4,1-2:3,3:4,4-5:3,6:4,7:3,8:4,9-10:2,11-12:1,13-14:2</t>
  </si>
  <si>
    <t>Photo</t>
  </si>
  <si>
    <t>321 N 77th St</t>
  </si>
  <si>
    <t>408 NW 73rd St</t>
  </si>
  <si>
    <t>0-2:2,3-14:3</t>
  </si>
  <si>
    <t>352 NW 75th St</t>
  </si>
  <si>
    <t>0-7:2,8-11:1,12:0</t>
  </si>
  <si>
    <t>7000 Cleopatra Pl NW #301</t>
  </si>
  <si>
    <t>0-8:2,9-13:0</t>
  </si>
  <si>
    <t>Division</t>
  </si>
  <si>
    <t>0-9:1,10-14:0</t>
  </si>
  <si>
    <t>7116 Greenwood Ave N #405</t>
  </si>
  <si>
    <t>#202</t>
  </si>
  <si>
    <t>http://www.redfin.com/stingray/do/gis-search?market=seattle&amp;status=3&amp;poly=-122.46838%2047.65302,-122.30169%2047.65302,-122.30169%2047.71658,-122.46838%2047.71658,-122.46838%2047.65302&amp;unmatched=1&amp;region_id=40830&amp;region_type=2&amp;residential=true&amp;condo=true&amp;min_price=&amp;max_price=&amp;num_beds=&amp;num_baths=&amp;min_listing_approx_size=&amp;max_listing_approx_size=&amp;min_parcel_size=&amp;max_parcel_size=&amp;min_year_built=&amp;max_year_built=&amp;time_on_market_range=-&amp;status=1&amp;sold_within_months=0&amp;search_location=98117&amp;page=no-javascript</t>
  </si>
  <si>
    <t>9023 Mary Ave NW #401</t>
  </si>
  <si>
    <t>#401</t>
  </si>
  <si>
    <t>0-8:2,9:0</t>
  </si>
  <si>
    <t>Windermere Real Estate H.K.W.,</t>
  </si>
  <si>
    <t>14th</t>
  </si>
  <si>
    <t>Portico Properties</t>
  </si>
  <si>
    <t>8512 16th Ave NW #202</t>
  </si>
  <si>
    <t>21st</t>
  </si>
  <si>
    <t>1735 NW 97th St</t>
  </si>
  <si>
    <t>The Force Realty</t>
  </si>
  <si>
    <t>19th</t>
  </si>
  <si>
    <t>7002 19th Ave NW</t>
  </si>
  <si>
    <t>8728 18th Ave NW</t>
  </si>
  <si>
    <t>18th</t>
  </si>
  <si>
    <t>1712 NW 85th St #202</t>
  </si>
  <si>
    <t>0-13:1,14:0</t>
  </si>
  <si>
    <t>0-13:2,14:1</t>
  </si>
  <si>
    <t>Soundview Properties, Inc.</t>
  </si>
  <si>
    <t>0-11:3</t>
  </si>
  <si>
    <t>66th</t>
  </si>
  <si>
    <t>69th</t>
  </si>
  <si>
    <t>RE/MAX Realty Professionals</t>
  </si>
  <si>
    <t>0-5:4,6-14:3</t>
  </si>
  <si>
    <t>Golden Gardens</t>
  </si>
  <si>
    <t>0:4,1-4:3,5-8:2</t>
  </si>
  <si>
    <t>Preview Properties, Inc</t>
  </si>
  <si>
    <t>6533 Seaview Ave NW #412A</t>
  </si>
  <si>
    <t>#412A</t>
  </si>
  <si>
    <t>Esplanade</t>
  </si>
  <si>
    <t>0:0,2-14:0</t>
  </si>
  <si>
    <t>8325 31st Ave NW</t>
  </si>
  <si>
    <t>0:2,1-11:3,12-13:2,14:1</t>
  </si>
  <si>
    <t>3230 NW 68th St</t>
  </si>
  <si>
    <t>L. Dankers Real Estate Group</t>
  </si>
  <si>
    <t>8720 Golden Gardens Dr NW</t>
  </si>
  <si>
    <t>Alvin</t>
  </si>
  <si>
    <t>0-9:0,11-14:0</t>
  </si>
  <si>
    <t>7018 32nd Ave NW</t>
  </si>
  <si>
    <t>0-11:4,12-13:3,14:2</t>
  </si>
  <si>
    <t>0-9:1,10:0</t>
  </si>
  <si>
    <t>7526 24 Ave NW #1</t>
  </si>
  <si>
    <t>Helix Real Estate</t>
  </si>
  <si>
    <t>0-8:6,9-13:5</t>
  </si>
  <si>
    <t>The Landmark Group</t>
  </si>
  <si>
    <t>9602 Marmount Dr NW</t>
  </si>
  <si>
    <t>Marmount</t>
  </si>
  <si>
    <t>7309 25th Ave NW</t>
  </si>
  <si>
    <t>6501 24th Ave NW #304</t>
  </si>
  <si>
    <t>0:D,1-5:E,6:D,7-8:A,9:9,10:1</t>
  </si>
  <si>
    <t>8403 8th Ave NW #B</t>
  </si>
  <si>
    <t>8405 8th Ave NW #B</t>
  </si>
  <si>
    <t>7522 9th Ave NW</t>
  </si>
  <si>
    <t>9704 Holman Rd NW</t>
  </si>
  <si>
    <t>Rd</t>
  </si>
  <si>
    <t>Holman</t>
  </si>
  <si>
    <t>6724 Division Ave NW</t>
  </si>
  <si>
    <t>0-1:1,2:0,3-11:1,12:0,13-14:1</t>
  </si>
  <si>
    <t>9057 8 Ave NW</t>
  </si>
  <si>
    <t>GreenWorks Realty</t>
  </si>
  <si>
    <t>81st</t>
  </si>
  <si>
    <t>0-4:4,5-12:3,13:2,14:0</t>
  </si>
  <si>
    <t>0:1,1-5:0</t>
  </si>
  <si>
    <t>2nd</t>
  </si>
  <si>
    <t>607 NW 84th St</t>
  </si>
  <si>
    <t>9208 4th Ave NW</t>
  </si>
  <si>
    <t>96th</t>
  </si>
  <si>
    <t>1131 NW 65th St</t>
  </si>
  <si>
    <t>0-11:1,12-14:0</t>
  </si>
  <si>
    <t>ave</t>
  </si>
  <si>
    <t>6701 11th Ave NW</t>
  </si>
  <si>
    <t>Sycamore</t>
  </si>
  <si>
    <t>6557 3rd Ave NW</t>
  </si>
  <si>
    <t>Metropolitan Realty Group, Inc</t>
  </si>
  <si>
    <t>Richmond Beach</t>
  </si>
  <si>
    <t>65 Lot-The Highlands (Unable to map)</t>
  </si>
  <si>
    <t>Lot-The Highlands</t>
  </si>
  <si>
    <t>The Highlands</t>
  </si>
  <si>
    <t>0 Boundary Lane #Lot 2 (Unable to map)</t>
  </si>
  <si>
    <t>Lane</t>
  </si>
  <si>
    <t>#Lot 2</t>
  </si>
  <si>
    <t>Boundary</t>
  </si>
  <si>
    <t>0 The Highlands #Lot 49 (Unable to map)</t>
  </si>
  <si>
    <t>#Lot 49</t>
  </si>
  <si>
    <t>Gerrard, Beattie &amp; Knapp/QA</t>
  </si>
  <si>
    <t>0 The Highlands #Lot 23 (Unable to map)</t>
  </si>
  <si>
    <t>#Lot 23</t>
  </si>
  <si>
    <t>0:3,1-6:2,7:1,8-13:2,14:1</t>
  </si>
  <si>
    <t>Display Price</t>
  </si>
  <si>
    <t>6726 Division Ave NW</t>
  </si>
  <si>
    <t>0-4:2,5-11:1,12:0</t>
  </si>
  <si>
    <t>7220 5th Ave NW</t>
  </si>
  <si>
    <t>6801 Greenwood Ave N #308</t>
  </si>
  <si>
    <t>#308</t>
  </si>
  <si>
    <t>Listings Viewed</t>
  </si>
  <si>
    <t>2008-03-20T21:51:32</t>
  </si>
  <si>
    <t>2008-03-20T13:36:02</t>
  </si>
  <si>
    <t>2008-03-20T14:33:52</t>
  </si>
  <si>
    <t>2008-03-20T14:36:56</t>
  </si>
  <si>
    <t>2008-03-16T10:30:51</t>
  </si>
  <si>
    <t>2008-03-20T14:32:01</t>
  </si>
  <si>
    <t>2008-03-20T20:22:09</t>
  </si>
  <si>
    <t>2008-03-20T22:13:25</t>
  </si>
  <si>
    <t>2008-03-20T21:51:39</t>
  </si>
  <si>
    <t>2008-03-20T14:52:11</t>
  </si>
  <si>
    <t>2008-03-20T16:02:43</t>
  </si>
  <si>
    <t>2008-03-16T10:28:25</t>
  </si>
  <si>
    <t>2008-03-16T10:28:38</t>
  </si>
  <si>
    <t>2008-03-16T10:28:51</t>
  </si>
  <si>
    <t>2008-03-20T22:19:21</t>
  </si>
  <si>
    <t>7033 15th Ave NW #A</t>
  </si>
  <si>
    <t>Hellickson.com</t>
  </si>
  <si>
    <t>3047 NW 69th ST</t>
  </si>
  <si>
    <t>ST</t>
  </si>
  <si>
    <t>2007-10-13T17:20:02</t>
  </si>
  <si>
    <t>9007 4th Ave NW</t>
  </si>
  <si>
    <t>Open House Time</t>
  </si>
  <si>
    <t>Sat, Mar 22 1 - 4 PM</t>
  </si>
  <si>
    <t>0-12:3</t>
  </si>
  <si>
    <t>Windermere R.E.N.W. Mt.Baker</t>
  </si>
  <si>
    <t>0-9:4,10-14:3</t>
  </si>
  <si>
    <t>0:2,1-13:1</t>
  </si>
  <si>
    <t>Seatte_West_45th_87th</t>
  </si>
  <si>
    <t>Seatte_West_85th_128th</t>
  </si>
  <si>
    <t>Seattle_East_85th_127th</t>
  </si>
  <si>
    <t>Seattle_East_45th_88th</t>
  </si>
  <si>
    <t>Seattle_North_Queen_Anne_45th</t>
  </si>
  <si>
    <t>Seattle_North_Cap_Hill_45th</t>
  </si>
  <si>
    <t>Seattle_South_Cap_Hill</t>
  </si>
  <si>
    <t>Seattle_South_Queen_Anne</t>
  </si>
  <si>
    <t>Eastside_Juanita</t>
  </si>
  <si>
    <t>Eastside_Kirkland</t>
  </si>
  <si>
    <t>Eastside_North_Bellevue</t>
  </si>
  <si>
    <t>Eastside_Central_Bellevue</t>
  </si>
  <si>
    <t>Eastside_Bellevue_Redmond</t>
  </si>
  <si>
    <t>Eastside_South_Bellevue</t>
  </si>
  <si>
    <t>Eastside_Renton</t>
  </si>
  <si>
    <t>http://www.redfin.com/stingray/do/gis-search?market=seattle&amp;poly=-122.40726%2047.66047,-122.32392%2047.66047,-122.32392%2047.69226,-122.40726%2047.69226,-122.40726%2047.66047&amp;unmatched=1&amp;&amp;residential=true&amp;min_price=&amp;max_price=&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</si>
  <si>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-122.40709%2047.69058,-122.32375%2047.69058,-122.32375%2047.72235,-122.40709%2047.72235,-122.40709%2047.69058&amp;unmatched=1&amp;&amp;residential=true&amp;min_price=&amp;max_price=&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</si>
  <si>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-122.33379%2047.69012,-122.25045%2047.69012,-122.25045%2047.72189,-122.33379%2047.72189,-122.33379%2047.69012&amp;unmatched=1&amp;&amp;residential=true&amp;min_price=&amp;max_price=&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</si>
  <si>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-122.32461%2047.66117,-122.24127%2047.66117,-122.24127%2047.69295,-122.32461%2047.69295,-122.32461%2047.66117&amp;unmatched=1&amp;&amp;residential=true&amp;min_price=&amp;max_price=&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</si>
  <si>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-122.41113%2047.63006,-122.32779%2047.63006,-122.32779%2047.66186,-122.41113%2047.66186,-122.41113%2047.63006&amp;unmatched=1&amp;&amp;residential=true&amp;min_price=&amp;max_price=&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</si>
  <si>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-122.33285%2047.62925,-122.24951%2047.62925,-122.24951%2047.66105,-122.33285%2047.66105,-122.33285%2047.62925&amp;unmatched=1&amp;&amp;residential=true&amp;min_price=&amp;max_price=&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</si>
  <si>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-122.33191%2047.5976,-122.24856%2047.5976,-122.24856%2047.62942,-122.33191%2047.62942,-122.33191%2047.5976&amp;unmatched=1&amp;&amp;residential=true&amp;min_price=&amp;max_price=&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</si>
  <si>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-122.42031%2047.59985,-122.33697%2047.59985,-122.33697%2047.63168,-122.42031%2047.63168,-122.42031%2047.59985&amp;unmatched=1&amp;&amp;residential=true&amp;min_price=&amp;max_price=&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</si>
  <si>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-122.24264%2047.69463,-122.1593%2047.69463,-122.1593%2047.72639,-122.24264%2047.72639,-122.24264%2047.69463&amp;unmatched=1&amp;&amp;residential=true&amp;min_price=350000&amp;max_price=1250000&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</si>
  <si>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-122.21818%2047.66654,-122.13484%2047.66654,-122.13484%2047.69832,-122.21818%2047.69832,-122.21818%2047.66654&amp;unmatched=1&amp;&amp;residential=true&amp;min_price=350000&amp;max_price=1250000&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</si>
  <si>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-122.21921%2047.63706,-122.13587%2047.63706,-122.13587%2047.66886,-122.21921%2047.66886,-122.21921%2047.63706&amp;unmatched=1&amp;&amp;residential=true&amp;min_price=350000&amp;max_price=1250000&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</si>
  <si>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-122.22874%2047.61178,-122.1454%2047.61178,-122.1454%2047.64359,-122.22874%2047.64359,-122.22874%2047.61178&amp;unmatched=1&amp;&amp;residential=true&amp;min_price=350000&amp;max_price=1250000&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</si>
  <si>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-122.24693%2047.5661,-122.08025%2047.5661,-122.08025%2047.62977,-122.24693%2047.62977,-122.24693%2047.5661&amp;unmatched=1&amp;&amp;residential=true&amp;min_price=350000&amp;max_price=1250000&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</si>
  <si>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-122.24178%2047.51801,-122.0751%2047.51801,-122.0751%2047.58174,-122.24178%2047.58174,-122.24178%2047.51801&amp;unmatched=1&amp;&amp;residential=true&amp;min_price=350000&amp;max_price=1250000&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</si>
  <si>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http://www.redfin.com/stingray/do/gis-search?market=seattle&amp;poly=-122.22178%2047.49018,-122.13844%2047.49018,-122.13844%2047.52207,-122.22178%2047.52207,-122.22178%2047.49018&amp;unmatched=1&amp;&amp;residential=true&amp;min_price=350000&amp;max_price=1250000&amp;num_beds=&amp;num_baths=&amp;min_listing_approx_size=&amp;max_listing_approx_size=&amp;min_parcel_size=&amp;max_parcel_size=&amp;min_year_built=&amp;max_year_built=&amp;time_on_market_range=-&amp;status=3&amp;sold_within_months=0&amp;search_location=Enter%20a%20neighborhood%2C%20city%2C%20or%20MLS%20%23&amp;page=no-javascript</t>
  </si>
  <si>
    <t>Download Only:</t>
  </si>
  <si>
    <t>6512 18th Ave NW</t>
  </si>
  <si>
    <t>Kim Hutchins Real Estate</t>
  </si>
  <si>
    <t>7002 23rd Ave NW</t>
  </si>
  <si>
    <t>7541 28th Ave NW</t>
  </si>
  <si>
    <t>0:1,1-2:0,3-6:1,7:0,8-10:1</t>
  </si>
  <si>
    <t>3249 NW 65th St</t>
  </si>
  <si>
    <t>2008-03-20T20:39:57</t>
  </si>
  <si>
    <t>2008-03-20T20:40:05</t>
  </si>
  <si>
    <t>2008-03-20T22:20:37</t>
  </si>
  <si>
    <t>76th</t>
  </si>
  <si>
    <t>2008-03-20T20:27:54</t>
  </si>
  <si>
    <t>Sun, Mar 23 2 - 4 PM</t>
  </si>
  <si>
    <t>9246 15th Ave NW</t>
  </si>
  <si>
    <t>2008-03-20T22:21:36</t>
  </si>
  <si>
    <t>2008-03-20T20:27:21</t>
  </si>
  <si>
    <t>2008-03-20T20:40:13</t>
  </si>
  <si>
    <t>0-11:2</t>
  </si>
  <si>
    <t>0-6:1,7-10:0</t>
  </si>
  <si>
    <t>Wilson Realty Exchange</t>
  </si>
  <si>
    <t>Emulate Date:</t>
  </si>
  <si>
    <t>List Price</t>
  </si>
  <si>
    <t>Fireplaces</t>
  </si>
  <si>
    <t>More Photos</t>
  </si>
  <si>
    <t>Has View</t>
  </si>
  <si>
    <t>Heating/Cooling</t>
  </si>
  <si>
    <t>Energy Source</t>
  </si>
  <si>
    <t>Appliances Included</t>
  </si>
  <si>
    <t>Near Bus</t>
  </si>
  <si>
    <t>Interior Features</t>
  </si>
  <si>
    <t>Site Features</t>
  </si>
  <si>
    <t>Sold Price</t>
  </si>
  <si>
    <t>Lot Size Acreage</t>
  </si>
  <si>
    <t>Marketing Remarks</t>
  </si>
  <si>
    <t>Map_Thomas</t>
  </si>
  <si>
    <t>Hyperlink</t>
  </si>
  <si>
    <t>Extent North</t>
  </si>
  <si>
    <t>Extent South</t>
  </si>
  <si>
    <t>Extent East</t>
  </si>
  <si>
    <t>Extent West</t>
  </si>
  <si>
    <t>Source CBBain</t>
  </si>
  <si>
    <t>Source NWMLS</t>
  </si>
  <si>
    <t>Source Windermere</t>
  </si>
  <si>
    <t>List Date</t>
  </si>
  <si>
    <t>Redfin ID1</t>
  </si>
  <si>
    <t>Redfin ID2</t>
  </si>
  <si>
    <t>Redfin ID3</t>
  </si>
  <si>
    <t>7000 Cleopatra Pl NW #202</t>
  </si>
  <si>
    <t>0:1,1-2:2,3-5:1,6-7:0</t>
  </si>
  <si>
    <t>http://www.redfin.com/stingray/do/gis-search?market=seattle&amp;status=3&amp;poly=-122.36986%2047.67858,-122.35375%2047.67858,-122.35375%2047.6847,-122.36986%2047.6847,-122.36986%2047.67858&amp;unmatched=1&amp;&amp;residential=true&amp;min_price=&amp;max_price=&amp;num_beds=&amp;num_baths=&amp;min_listing_approx_size=&amp;max_listing_approx_size=&amp;min_parcel_size=&amp;max_parcel_size=&amp;min_year_built=&amp;max_year_built=&amp;time_on_market_range=-&amp;status=1&amp;sold_within_months=0&amp;search_location=Enter%20a%20neighborhood%2C%20city%2C%20or%20MLS%20%23&amp;page=no-javascript</t>
  </si>
  <si>
    <t>Estimated Rebate</t>
  </si>
  <si>
    <t>RFHouseNum</t>
  </si>
  <si>
    <t>RFStreetSuffix</t>
  </si>
  <si>
    <t>0-5:3,6-7:4,8-9:3,10:4</t>
  </si>
  <si>
    <t>2008-03-16T16:52:52</t>
  </si>
  <si>
    <t>2008-03-16T16:11:46</t>
  </si>
  <si>
    <t>9517 8th Ave NW #B</t>
  </si>
  <si>
    <t>5723 Seaview Ave NW #E</t>
  </si>
  <si>
    <t>0-8:3,9-13:2,14:1</t>
  </si>
  <si>
    <t>7509 Earl Ave</t>
  </si>
  <si>
    <t>2920 NW 85th St</t>
  </si>
  <si>
    <t>0-6:7,7-12:6</t>
  </si>
  <si>
    <t>0:4,1-6:3,7-13:2,14:0</t>
  </si>
  <si>
    <t>1109 NW 85th Ave</t>
  </si>
  <si>
    <t>6728 1st Ave NW</t>
  </si>
  <si>
    <t>8355 11th Ave NW</t>
  </si>
  <si>
    <t>0:3,1-11:2,12:1,13-14:2</t>
  </si>
  <si>
    <t>0-4:1,5-9:0</t>
  </si>
  <si>
    <t>0-6:5</t>
  </si>
  <si>
    <t>9521 8th Ave NW #B</t>
  </si>
  <si>
    <t>0-3:2,4-11:1,12-13:2,14:1</t>
  </si>
  <si>
    <t>3154 NW 90th St</t>
  </si>
  <si>
    <t>6044 Seaview Ave NW #202</t>
  </si>
  <si>
    <t>8805 Dibble Ave N</t>
  </si>
  <si>
    <t>18904 8th Ave NE #C329 (Unable to map)</t>
  </si>
  <si>
    <t>#C329</t>
  </si>
  <si>
    <t>3045 NW 71st St</t>
  </si>
  <si>
    <t>3406 NW 65th St</t>
  </si>
  <si>
    <t>0:1,2-12:1</t>
  </si>
  <si>
    <t>6729 Earl Ave NW</t>
  </si>
  <si>
    <t>6543 17th Ave NW</t>
  </si>
  <si>
    <t>Sun, Mar 16 1 - 4 PM</t>
  </si>
  <si>
    <t>Sun, Mar 16 12:01 - 3 PM</t>
  </si>
  <si>
    <t>319 NW 81st St</t>
  </si>
  <si>
    <t>0:0,1:1,2-6:0,7:1,8:0,9:1,10:0,11:1,12:0,13:1,14:0</t>
  </si>
  <si>
    <t>8805 Dibble Ave NW</t>
  </si>
  <si>
    <t>0-4:1</t>
  </si>
  <si>
    <t>1155 N 85th St</t>
  </si>
  <si>
    <t>332 N 82nd St</t>
  </si>
  <si>
    <t>Windermere Bellevue Commons</t>
  </si>
  <si>
    <t>7011 linden Ave N</t>
  </si>
  <si>
    <t>7013 linden Ave N</t>
  </si>
  <si>
    <t>761 N 71st St</t>
  </si>
  <si>
    <t>737 N 66 St</t>
  </si>
  <si>
    <t>808 N 49th St</t>
  </si>
  <si>
    <t>806 N 49th St</t>
  </si>
  <si>
    <t>309 NE 56th St</t>
  </si>
  <si>
    <t>1728 NW 61st St</t>
  </si>
  <si>
    <t>822 NW 49th St</t>
  </si>
  <si>
    <t>840 NW 52nd St</t>
  </si>
  <si>
    <t>842 NW 52nd St</t>
  </si>
  <si>
    <t>848 NW 56th St</t>
  </si>
  <si>
    <t>336 NW 54th St</t>
  </si>
  <si>
    <t>930 NW 52 St</t>
  </si>
  <si>
    <t>915 NW 51st St</t>
  </si>
  <si>
    <t>0:1,1-11:0</t>
  </si>
  <si>
    <t>10559 Interlake Ave N</t>
  </si>
  <si>
    <t>421 N 125th St</t>
  </si>
  <si>
    <t>9708 Linden Ave N</t>
  </si>
  <si>
    <t>1704 N 103rd St</t>
  </si>
  <si>
    <t>11732 Dayton Ave N</t>
  </si>
  <si>
    <t>9745 Phinney Ave N</t>
  </si>
  <si>
    <t>9227 Palatine Ave N</t>
  </si>
  <si>
    <t>334 NW 103rd St</t>
  </si>
  <si>
    <t>10344 13th Ave NW</t>
  </si>
  <si>
    <t>10550 11th Ave NW</t>
  </si>
  <si>
    <t>10313 13th Ave NW</t>
  </si>
  <si>
    <t>0-7:2,8:1</t>
  </si>
  <si>
    <t>11708 Stendall Dr N</t>
  </si>
  <si>
    <t>12722 Phinney N</t>
  </si>
  <si>
    <t>218 NE 120th St</t>
  </si>
  <si>
    <t>10702 4th Ave NW</t>
  </si>
  <si>
    <t>10745 Ashworth N</t>
  </si>
  <si>
    <t>1710 N 100th St</t>
  </si>
  <si>
    <t>8906 Corliss Ave N</t>
  </si>
  <si>
    <t>9728 45th Ave NE</t>
  </si>
  <si>
    <t>12027 40th Ave NE</t>
  </si>
  <si>
    <t>1256 NE 90th St</t>
  </si>
  <si>
    <t>2714 NE 94th St</t>
  </si>
  <si>
    <t>1059 NE 94th St</t>
  </si>
  <si>
    <t>3218 NE 85th St</t>
  </si>
  <si>
    <t>2318 NE 94th St</t>
  </si>
  <si>
    <t>1214 NE 117th St</t>
  </si>
  <si>
    <t>11747 36th Ave NE</t>
  </si>
  <si>
    <t>10828 12th Ave NE</t>
  </si>
  <si>
    <t>9701 20th Ave NE</t>
  </si>
  <si>
    <t>839 NE 123rd St</t>
  </si>
  <si>
    <t>11026 Goodwin Way NE</t>
  </si>
  <si>
    <t>838 86TH St</t>
  </si>
  <si>
    <t>12756 30th Ave NE</t>
  </si>
  <si>
    <t>4008 NE 60th St</t>
  </si>
  <si>
    <t>8018 Brooklyn Ave NE</t>
  </si>
  <si>
    <t>834 NE 80th St</t>
  </si>
  <si>
    <t>8209 16th Ave NE</t>
  </si>
  <si>
    <t>551 NE 84th St</t>
  </si>
  <si>
    <t>37th</t>
  </si>
  <si>
    <t>6311 6th Ave NE</t>
  </si>
  <si>
    <t>6251 29th Ave NE</t>
  </si>
  <si>
    <t>5632 11th Ave NE</t>
  </si>
  <si>
    <t>5311 9th Ave NE</t>
  </si>
  <si>
    <t>1008 N 39th St</t>
  </si>
  <si>
    <t>3652 Francis Ave N</t>
  </si>
  <si>
    <t>4223 Woodland Park Ave N</t>
  </si>
  <si>
    <t>0-4:1,5-12:0</t>
  </si>
  <si>
    <t>0-1:1,2-4:0</t>
  </si>
  <si>
    <t>ZipRealty Inc.</t>
  </si>
  <si>
    <t>Windermere R.E. Northeast, Inc</t>
  </si>
  <si>
    <t>Sun, Mar 30 1 - 4 PM</t>
  </si>
  <si>
    <t>0-6:1,7-12:0</t>
  </si>
  <si>
    <t>0-9:3,10-12:2,13:1</t>
  </si>
  <si>
    <t>12730 35th Ave NE B</t>
  </si>
  <si>
    <t>12726 10th Ave NE</t>
  </si>
  <si>
    <t>10703 D Greenwood Ave N</t>
  </si>
  <si>
    <t>10701 A Greenwood Ave N</t>
  </si>
  <si>
    <t>10701 C Greenwood Ave N</t>
  </si>
  <si>
    <t>5015 B 40th Ave NE B</t>
  </si>
  <si>
    <t>1918 B N 46th St</t>
  </si>
  <si>
    <t>4517 B 8th Ave NE</t>
  </si>
  <si>
    <t>1608 NW 65th St A</t>
  </si>
  <si>
    <t>1546 B NW 58th St</t>
  </si>
  <si>
    <t>1608 NW 65th St B</t>
  </si>
  <si>
    <t>727 A N 95th St</t>
  </si>
  <si>
    <t>11539 20th Ave NE</t>
  </si>
  <si>
    <t>1413 N 136th St</t>
  </si>
  <si>
    <t>13538 25th Ave NE</t>
  </si>
  <si>
    <t>14353 Interlake Ave N</t>
  </si>
  <si>
    <t>13029 C 3rd Ave NE</t>
  </si>
  <si>
    <t>3634 Palatine Ave N B</t>
  </si>
  <si>
    <t>3620 1st Ave NW B</t>
  </si>
  <si>
    <t>4426 A Francis Ave N</t>
  </si>
  <si>
    <t>4509 A Evanston Ave N</t>
  </si>
  <si>
    <t>934 N 83rd St</t>
  </si>
  <si>
    <t>1153 B N 85th St</t>
  </si>
  <si>
    <t>1153 A N 85th St</t>
  </si>
  <si>
    <t>11032 A Greenwood Ave N A</t>
  </si>
  <si>
    <t>322 NE 133 St</t>
  </si>
  <si>
    <t>737 A N 94th</t>
  </si>
  <si>
    <t>12046 Roosevelt Way NE A</t>
  </si>
  <si>
    <t>11708 C Greenwood Ave N</t>
  </si>
  <si>
    <t>737 C N. 94th St</t>
  </si>
  <si>
    <t>14314 A Stone Ave N</t>
  </si>
  <si>
    <t>1727 NE 146th St</t>
  </si>
  <si>
    <t>14318 Ashworth Ave N</t>
  </si>
  <si>
    <t>514 N 138th St</t>
  </si>
  <si>
    <t>13020 27th Ave NE</t>
  </si>
  <si>
    <t>13726 A Midvale Ave N</t>
  </si>
  <si>
    <t>13718 B Midvale Ave N</t>
  </si>
  <si>
    <t>3119 NE 81st St</t>
  </si>
  <si>
    <t>931 N 35th St C</t>
  </si>
  <si>
    <t>928 A NW 52 St</t>
  </si>
  <si>
    <t>14358 19th Ave NE</t>
  </si>
  <si>
    <t>2136 B N 113th St</t>
  </si>
  <si>
    <t>14354 19th Ave NE</t>
  </si>
  <si>
    <t>1907 NE 145th St</t>
  </si>
  <si>
    <t>1909 NE 145th St</t>
  </si>
  <si>
    <t>7509 Earl Ave NE</t>
  </si>
  <si>
    <t>6307 A Phinney Ave N</t>
  </si>
  <si>
    <t>7841 12th Ave NE</t>
  </si>
  <si>
    <t>3609 A Interlake Ave N</t>
  </si>
  <si>
    <t>3607 A Interlake Ave N</t>
  </si>
  <si>
    <t>810 NE 80th St</t>
  </si>
  <si>
    <t>5617 57th Ave NE</t>
  </si>
  <si>
    <t>9225 Ashworth Ave S A</t>
  </si>
  <si>
    <t>13219 4th Ave NW</t>
  </si>
  <si>
    <t>6815 29th Ave NE</t>
  </si>
  <si>
    <t>9247 A Ashworth Ave N</t>
  </si>
  <si>
    <t>9243 B Ashworth Ave N</t>
  </si>
  <si>
    <t>3638 Palatine Ave N A</t>
  </si>
  <si>
    <t>8903 27th Ave NE</t>
  </si>
  <si>
    <t>14014 37th Ave NE</t>
  </si>
  <si>
    <t>914 NW 73rd St</t>
  </si>
  <si>
    <t>12733 Dayton Ave N</t>
  </si>
  <si>
    <t>14540 12th Ave NE</t>
  </si>
  <si>
    <t>6505 16th Ave NW C</t>
  </si>
  <si>
    <t>OK for a rental.  Would need to update kitchen, and floors before resale.  Good layout.  Low basement ceilingà 6'?</t>
  </si>
  <si>
    <t>2008-03-23T17:41:40</t>
  </si>
  <si>
    <t>2008-03-23T17:34:13</t>
  </si>
  <si>
    <t>2008-03-23T17:33:27</t>
  </si>
  <si>
    <t>2008-03-23T17:37:48</t>
  </si>
  <si>
    <t>2008-03-23T17:34:47</t>
  </si>
  <si>
    <t>2008-03-23T16:22:09</t>
  </si>
  <si>
    <t>2008-03-23T16:14:28</t>
  </si>
  <si>
    <t>2008-03-23T17:33:07</t>
  </si>
  <si>
    <t>2008-03-23T17:48:24</t>
  </si>
  <si>
    <t>2008-03-23T17:33:21</t>
  </si>
  <si>
    <t>2008-03-23T17:44:41</t>
  </si>
  <si>
    <t>7515 29th Ave NW</t>
  </si>
  <si>
    <t>8507 29th Ave NW</t>
  </si>
  <si>
    <t>8558 Mary Ave NW</t>
  </si>
  <si>
    <t>6548 7th Ave NW</t>
  </si>
  <si>
    <t>8501 12th Ave NW #103</t>
  </si>
  <si>
    <t>#103</t>
  </si>
  <si>
    <t>6006 Seaview Ave NW #G</t>
  </si>
  <si>
    <t>#G</t>
  </si>
  <si>
    <t>6716 14th Ave NW</t>
  </si>
  <si>
    <t>7608 3rd Ave NW</t>
  </si>
  <si>
    <t>3524 NW 67th St</t>
  </si>
  <si>
    <t>0:2,1-13:1,14:2</t>
  </si>
  <si>
    <t>145 NW 76th St</t>
  </si>
  <si>
    <t>0:2,1-5:1,6:2,7:1,8:3,9-13:1,14:2</t>
  </si>
  <si>
    <t>7739 18th Ave NW</t>
  </si>
  <si>
    <t>Sat, Mar 29 1 - 3 PM</t>
  </si>
  <si>
    <t>7726 14th Ave NW</t>
  </si>
  <si>
    <t>Sun, Mar 30 12 - 4 PM</t>
  </si>
  <si>
    <t>7026 5 Ave NW</t>
  </si>
  <si>
    <t>0-1:0,2-4:1,5:0,6:1,7:0,8-9:1,10-11:0,12-13:1,14:0</t>
  </si>
  <si>
    <t>Brown McMillen Real Estate</t>
  </si>
  <si>
    <t>9023 Mary Ave NW #100</t>
  </si>
  <si>
    <t>#100</t>
  </si>
  <si>
    <t>0-9:2,10-12:0</t>
  </si>
  <si>
    <t>1221 NW 80th St</t>
  </si>
  <si>
    <t>6714 Alonzo Ave NW #B</t>
  </si>
  <si>
    <t>6737 24th Ave NW #A</t>
  </si>
  <si>
    <t>8057 28th Ave NW</t>
  </si>
  <si>
    <t>3311 NW 67th St</t>
  </si>
  <si>
    <t>8505 17th Ave NW</t>
  </si>
  <si>
    <t>8507 17th Ave NW</t>
  </si>
  <si>
    <t>7750 9th Ave NW</t>
  </si>
  <si>
    <t>7049 11th Ave NW</t>
  </si>
  <si>
    <t>7403 8th Ave NW</t>
  </si>
  <si>
    <t>0:3,1-4:1,5:2,6:1,7-8:2,9-10:1</t>
  </si>
  <si>
    <t>2008-04-02T08:03:22</t>
  </si>
  <si>
    <t>0:4,1-8:2,9-14:3</t>
  </si>
  <si>
    <t>7725 15th Ave NW</t>
  </si>
  <si>
    <t>8721 - 23rd Ave NW</t>
  </si>
  <si>
    <t>- 23rd</t>
  </si>
  <si>
    <t>0-1:4,2-3:3,4:4,5-7:3,8-9:2,10-11:3,12:2,13-14:3</t>
  </si>
  <si>
    <t>2008-04-02T08:01:57</t>
  </si>
  <si>
    <t>Sun, Apr 6 1 - 4 PM</t>
  </si>
  <si>
    <t>8534 16th Ave NW</t>
  </si>
  <si>
    <t>8532 16th Ave NW</t>
  </si>
  <si>
    <t>7526 24th Ave NW #2</t>
  </si>
  <si>
    <t>#2</t>
  </si>
  <si>
    <t>8310 29th Ave NW</t>
  </si>
  <si>
    <t>0:0,1-6:1,7:0,8-14:1</t>
  </si>
  <si>
    <t>1004 NW 87 St</t>
  </si>
  <si>
    <t>0-9:3,10-11:2,12-14:1</t>
  </si>
  <si>
    <t>8723 31st Ave NW</t>
  </si>
  <si>
    <t>6701 37th Ave NW</t>
  </si>
  <si>
    <t>145 N 74 St</t>
  </si>
  <si>
    <t>656 NW 74 St</t>
  </si>
  <si>
    <t>Found in Query</t>
  </si>
  <si>
    <t>2008-04-05T14:47:56</t>
  </si>
  <si>
    <t>0-13:2</t>
  </si>
  <si>
    <t>#C</t>
  </si>
  <si>
    <t>0:1,1-6:0</t>
  </si>
  <si>
    <t>0-5:1,6-8:0</t>
  </si>
  <si>
    <t>0-13:3,14:2</t>
  </si>
  <si>
    <t>0-4:1,5-13:0</t>
  </si>
  <si>
    <t>0-10:2</t>
  </si>
  <si>
    <t>Sun, Mar 23 1 - 4 PM</t>
  </si>
  <si>
    <t>8015 Densmore Ave N #B</t>
  </si>
  <si>
    <t>Densmore</t>
  </si>
  <si>
    <t>8011 Densmore Ave N</t>
  </si>
  <si>
    <t>8516 Nesbit Ave N</t>
  </si>
  <si>
    <t>Nesbit</t>
  </si>
  <si>
    <t>8021 Densmore Ave N</t>
  </si>
  <si>
    <t>78th</t>
  </si>
  <si>
    <t>0-10:2,11-12:0</t>
  </si>
  <si>
    <t>Brio Realty Inc</t>
  </si>
  <si>
    <t>1132 N 77th St</t>
  </si>
  <si>
    <t>1136 N 82nd St</t>
  </si>
  <si>
    <t>82nd</t>
  </si>
  <si>
    <t>Real Estate USA</t>
  </si>
  <si>
    <t>707 N 76th St</t>
  </si>
  <si>
    <t>7711 Winona Ave N</t>
  </si>
  <si>
    <t>Winona</t>
  </si>
  <si>
    <t>0:2,1-14:3</t>
  </si>
  <si>
    <t>Windermere R.E. Shoreline</t>
  </si>
  <si>
    <t>0-8:1,9-10:0</t>
  </si>
  <si>
    <t>134 N 78 St</t>
  </si>
  <si>
    <t>0:1,1-6:0,7-8:1</t>
  </si>
  <si>
    <t>8040 Burke Ave N</t>
  </si>
  <si>
    <t>Burke</t>
  </si>
  <si>
    <t>0-10:8,11-12:6,13:5</t>
  </si>
  <si>
    <t>Hallmark Realty</t>
  </si>
  <si>
    <t>0-2:1</t>
  </si>
  <si>
    <t>1153 N 85th St #B</t>
  </si>
  <si>
    <t>0-2:3,3:1,4:2,5-7:1,8-9:0</t>
  </si>
  <si>
    <t>345 N 83rd St</t>
  </si>
  <si>
    <t>8044 Interlake Ave N</t>
  </si>
  <si>
    <t>Interlake</t>
  </si>
  <si>
    <t>0-13:4,14:3</t>
  </si>
  <si>
    <t>916 N 87th St</t>
  </si>
  <si>
    <t>Prudential MacPherson R.E.</t>
  </si>
  <si>
    <t>0-6:1,7:0</t>
  </si>
  <si>
    <t>333 N 78th St</t>
  </si>
  <si>
    <t>0:6,1-3:4,4-12:3,13:4,14:1</t>
  </si>
  <si>
    <t>340 N 77th St</t>
  </si>
  <si>
    <t>0-7:1,8-12:0</t>
  </si>
  <si>
    <t>7717 Corliss Ave N</t>
  </si>
  <si>
    <t>Corliss</t>
  </si>
  <si>
    <t>0-9:8,10-11:7,12:2</t>
  </si>
  <si>
    <t>4526 Thackeray Pl NE</t>
  </si>
  <si>
    <t>Thackeray</t>
  </si>
  <si>
    <t>436 NE Maple Leaf Pl</t>
  </si>
  <si>
    <t>438 NE Maple Leaf Pl</t>
  </si>
  <si>
    <t>5716 Latona Ave NE</t>
  </si>
  <si>
    <t>Latona</t>
  </si>
  <si>
    <t>0-10:3,11:2</t>
  </si>
  <si>
    <t>4668 Eastern Ave N</t>
  </si>
  <si>
    <t>Eastern</t>
  </si>
  <si>
    <t>4819 Burke Ave N</t>
  </si>
  <si>
    <t>7815 Stroud Ave N</t>
  </si>
  <si>
    <t>Stroud</t>
  </si>
  <si>
    <t>0-10:1,11-13:0</t>
  </si>
  <si>
    <t>7813 Stroud Ave N</t>
  </si>
  <si>
    <t>2139 N 64th St</t>
  </si>
  <si>
    <t>64th</t>
  </si>
  <si>
    <t>2034 N 77th St</t>
  </si>
  <si>
    <t>2020 N 78th St</t>
  </si>
  <si>
    <t>2018 N 78th St</t>
  </si>
  <si>
    <t>5564 Canfield Pl N</t>
  </si>
  <si>
    <t>Canfield</t>
  </si>
  <si>
    <t>0-7:2,8-13:1,14:0</t>
  </si>
  <si>
    <t>6014 Meridian Ave N</t>
  </si>
  <si>
    <t>Meridian</t>
  </si>
  <si>
    <t>910 N 68th St #910 1/2</t>
  </si>
  <si>
    <t>#910 1/2</t>
  </si>
  <si>
    <t>820 N 60th St</t>
  </si>
  <si>
    <t>60th</t>
  </si>
  <si>
    <t>0-12:2</t>
  </si>
  <si>
    <t>Realty Executives Professional</t>
  </si>
  <si>
    <t>2008-03-16T10:49:51</t>
  </si>
  <si>
    <t>343 N 75 St</t>
  </si>
  <si>
    <t>7311 W Green Lake Dr N</t>
  </si>
  <si>
    <t>W</t>
  </si>
  <si>
    <t>7406 Latona Ave NE</t>
  </si>
  <si>
    <t>linden</t>
  </si>
  <si>
    <t>6509 Sunnyside Ave N</t>
  </si>
  <si>
    <t>Sunnyside</t>
  </si>
  <si>
    <t>0:M,1-2:N,3:M,4:L,5:J,6-8:I</t>
  </si>
  <si>
    <t>0-8:1</t>
  </si>
  <si>
    <t>719 N 61st St</t>
  </si>
  <si>
    <t>61st</t>
  </si>
  <si>
    <t>0:4,1-3:2,4:3,5-6:1,7-8:0,9:1,10:0,11:1,12:2,13:1,14:0</t>
  </si>
  <si>
    <t>6214 3rd Ave NW</t>
  </si>
  <si>
    <t>0-9:2,10-13:1</t>
  </si>
  <si>
    <t>7510 E Green Lake Dr N</t>
  </si>
  <si>
    <t>E</t>
  </si>
  <si>
    <t>0-2:1,3:0,4-5:1,6:0,7-8:1,9-12:0,13-14:1</t>
  </si>
  <si>
    <t>6311 Linden Ave N</t>
  </si>
  <si>
    <t>Linden</t>
  </si>
  <si>
    <t>0-1:3,2-12:4,13:5,14:3</t>
  </si>
  <si>
    <t>Madison Properties</t>
  </si>
  <si>
    <t>226 NW 48th St</t>
  </si>
  <si>
    <t>48th</t>
  </si>
  <si>
    <t>Preview Properties, Inc.</t>
  </si>
  <si>
    <t>408 N 49th St #A</t>
  </si>
  <si>
    <t>49th</t>
  </si>
  <si>
    <t>5436 Kirkwood Pl N</t>
  </si>
  <si>
    <t>Kirkwood</t>
  </si>
  <si>
    <t>0:5,1-8:4,9-14:2</t>
  </si>
  <si>
    <t>John L. Scott Snohomish</t>
  </si>
  <si>
    <t>0-10:1,11-12:0</t>
  </si>
  <si>
    <t>812 N 47th St</t>
  </si>
  <si>
    <t>47th</t>
  </si>
  <si>
    <t>1418 N 52nd St</t>
  </si>
  <si>
    <t>52nd</t>
  </si>
  <si>
    <t>309 N 47th St</t>
  </si>
  <si>
    <t>0:1,1:2,2:1,3-4:2,5:1,6-12:2,13:3</t>
  </si>
  <si>
    <t>312 NW 50th (Not Busy) St</t>
  </si>
  <si>
    <t>50th (Not Busy)</t>
  </si>
  <si>
    <t>0:5,1-10:4,11-13:3</t>
  </si>
  <si>
    <t>611 N 46 St</t>
  </si>
  <si>
    <t>5406 E Green Lake Way N</t>
  </si>
  <si>
    <t>Way</t>
  </si>
  <si>
    <t>4549 Latona Ave NE</t>
  </si>
  <si>
    <t>0-1:3,2-14:2</t>
  </si>
  <si>
    <t>0-6:2,7-9:1,10-14:0</t>
  </si>
  <si>
    <t>56th</t>
  </si>
  <si>
    <t>113 N 51st St</t>
  </si>
  <si>
    <t>51st</t>
  </si>
  <si>
    <t>1918 N 46th St #B</t>
  </si>
  <si>
    <t>46th</t>
  </si>
  <si>
    <t>1916 N 46th St #B</t>
  </si>
  <si>
    <t>0-1:2,2-14:3</t>
  </si>
  <si>
    <t>4423 Phinney Ave N</t>
  </si>
  <si>
    <t>Phinney</t>
  </si>
  <si>
    <t>0-2:9,3-4:8,5-11:9,12:8,13:9</t>
  </si>
  <si>
    <t>5008 Green Lake Way N</t>
  </si>
  <si>
    <t>0:1,1-11:2,12-13:3</t>
  </si>
  <si>
    <t>1920 N 46th St</t>
  </si>
  <si>
    <t>1922 N 46th St</t>
  </si>
  <si>
    <t>1924 N 46th St</t>
  </si>
  <si>
    <t>4603 Meridian Ave N</t>
  </si>
  <si>
    <t>5020 Baker Ave NW</t>
  </si>
  <si>
    <t>Baker</t>
  </si>
  <si>
    <t>810 N 49th St</t>
  </si>
  <si>
    <t>4509 Evanston Ave N #A</t>
  </si>
  <si>
    <t>Evanston</t>
  </si>
  <si>
    <t>0-8:2,9-12:1</t>
  </si>
  <si>
    <t>1715 NW 58th St</t>
  </si>
  <si>
    <t>58th</t>
  </si>
  <si>
    <t>2007 NW 59th St</t>
  </si>
  <si>
    <t>59th</t>
  </si>
  <si>
    <t>2444 NW 58th St #B</t>
  </si>
  <si>
    <t>CENTURY 21 Real Estate Center</t>
  </si>
  <si>
    <t>2413 NW 60 St</t>
  </si>
  <si>
    <t>5519 28th Ave NW #B</t>
  </si>
  <si>
    <t>0-4:G,5-11:F</t>
  </si>
  <si>
    <t>5515 28th Ave NW #B</t>
  </si>
  <si>
    <t>2846 NW 57th St</t>
  </si>
  <si>
    <t>0-9:1,10:0,11-14:1</t>
  </si>
  <si>
    <t>1422 NW 64th St #C</t>
  </si>
  <si>
    <t>1420 NW 64th St #B</t>
  </si>
  <si>
    <t>0:0,1:1,2-10:0</t>
  </si>
  <si>
    <t>1424 NW 64th St #B</t>
  </si>
  <si>
    <t>5415 Baker Ave NW #C</t>
  </si>
  <si>
    <t>5415 Baker Ave NW #A</t>
  </si>
  <si>
    <t>502 N 66th</t>
  </si>
  <si>
    <t>0:6,1:5,2:6,3-13:5</t>
  </si>
  <si>
    <t>Collins Classic Properties LLC</t>
  </si>
  <si>
    <t>2008-03-04T22:46:05</t>
  </si>
  <si>
    <t>626 N 65th St</t>
  </si>
  <si>
    <t>Task Properties Inc.</t>
  </si>
  <si>
    <t>1631 N 55th St</t>
  </si>
  <si>
    <t>55th</t>
  </si>
  <si>
    <t>0-3:2,4-6:1,7-10:0</t>
  </si>
  <si>
    <t>Seattlehome.com</t>
  </si>
  <si>
    <t>2007-11-11T12:53:45</t>
  </si>
  <si>
    <t>1909 N 55th St</t>
  </si>
  <si>
    <t>6019 McKinley Pl N</t>
  </si>
  <si>
    <t>McKinley</t>
  </si>
  <si>
    <t>1114 N 77th St</t>
  </si>
  <si>
    <t>0:1,1-8:0</t>
  </si>
  <si>
    <t>5501 Seaview Ave NW</t>
  </si>
  <si>
    <t>6126 Latona Ave NE</t>
  </si>
  <si>
    <t>315 NE 57th St</t>
  </si>
  <si>
    <t>2340 N 58th St</t>
  </si>
  <si>
    <t>2213 NW 61st St</t>
  </si>
  <si>
    <t>2040 NW 63rd</t>
  </si>
  <si>
    <t>63rd</t>
  </si>
  <si>
    <t>Swanberg Realty</t>
  </si>
  <si>
    <t>1546 NW 58th St #B</t>
  </si>
  <si>
    <t>0-8:2</t>
  </si>
  <si>
    <t>1433 NW 63rd St</t>
  </si>
  <si>
    <t>0-1:3,2:2,3-5:1,6-9:0,11-12:0</t>
  </si>
  <si>
    <t>2042 NW 63rd</t>
  </si>
  <si>
    <t>0-9:1,10:MS,12-13:1,14:0</t>
  </si>
  <si>
    <t>2038 NW 63rd</t>
  </si>
  <si>
    <t>0-5:4,6-13:3,14:2</t>
  </si>
  <si>
    <t>3216 NW 57th St</t>
  </si>
  <si>
    <t>0-4:2,5-9:1</t>
  </si>
  <si>
    <t>6202 32 Ave NW</t>
  </si>
  <si>
    <t>1552 NW 58 St</t>
  </si>
  <si>
    <t>2423 NW 64th</t>
  </si>
  <si>
    <t>5023 2nd Ave NW</t>
  </si>
  <si>
    <t>0-1:1,2:0,3-4:1,5:0,6-7:1,8-13:0,14:1</t>
  </si>
  <si>
    <t>5233 Russell Ave NW</t>
  </si>
  <si>
    <t>Russell</t>
  </si>
  <si>
    <t>5231 Russell Ave NW</t>
  </si>
  <si>
    <t>209 NW 46th St</t>
  </si>
  <si>
    <t>3211 W Fort St</t>
  </si>
  <si>
    <t>Fort</t>
  </si>
  <si>
    <t>Magnolia</t>
  </si>
  <si>
    <t>2008-03-20T11:49:50</t>
  </si>
  <si>
    <t>0:3,1:4,2-6:3,7-8:1,9-10:3</t>
  </si>
  <si>
    <t>Market</t>
  </si>
  <si>
    <t>Ewing &amp; Clark, Inc.</t>
  </si>
  <si>
    <t>823 NW 56 St</t>
  </si>
  <si>
    <t>0-10:9</t>
  </si>
  <si>
    <t>0-1:B,2-9:6,10:3</t>
  </si>
  <si>
    <t>824 NW 56th St</t>
  </si>
  <si>
    <t>0:3,1-13:2</t>
  </si>
  <si>
    <t>0:3,1-3:2,4-8:1,9:2,10:1</t>
  </si>
  <si>
    <t>Sun, Mar 23 2:30 - 4 PM</t>
  </si>
  <si>
    <t>826 NW 62nd St</t>
  </si>
  <si>
    <t>62nd</t>
  </si>
  <si>
    <t>0-5:1K,6-9:1J,10-11:1I</t>
  </si>
  <si>
    <t>319 NW 50 St</t>
  </si>
  <si>
    <t>0:1,1-2:2,3:1,4:2,5-14:1</t>
  </si>
  <si>
    <t>5417 Baker Ave NW</t>
  </si>
  <si>
    <t>5413 Baker Ave NW</t>
  </si>
  <si>
    <t>6032 5th Ave NW</t>
  </si>
  <si>
    <t>5002 3rd Ave NW</t>
  </si>
  <si>
    <t>0:6,1-11:5,12-13:3,14:0</t>
  </si>
  <si>
    <t>220 NW 58th St</t>
  </si>
  <si>
    <t>0-1:1,2-7:0</t>
  </si>
  <si>
    <t>6238 3rd Ave NW</t>
  </si>
  <si>
    <t>0:2,1-14:1</t>
  </si>
  <si>
    <t>5634 2nd Ave NW</t>
  </si>
  <si>
    <t>0:2,1:1,2-3:0,4-8:1,9:2,10-14:1</t>
  </si>
  <si>
    <t>316 NW 53rd St</t>
  </si>
  <si>
    <t>53rd</t>
  </si>
  <si>
    <t>5038 BAKER Ave NW</t>
  </si>
  <si>
    <t>BAKER</t>
  </si>
  <si>
    <t>316 NW 45 St</t>
  </si>
  <si>
    <t>54th</t>
  </si>
  <si>
    <t>0-1:2,2-14:0</t>
  </si>
  <si>
    <t>342 NW 51st St</t>
  </si>
  <si>
    <t>George Johnson Realty</t>
  </si>
  <si>
    <t>6020 4th Ave NW</t>
  </si>
  <si>
    <t>Windermere Real Estate Renton</t>
  </si>
  <si>
    <t>1140 NW 60th St</t>
  </si>
  <si>
    <t>0-12:3,13:2</t>
  </si>
  <si>
    <t>NWG Real Estate</t>
  </si>
  <si>
    <t>928 NW 52 St #A</t>
  </si>
  <si>
    <t>4529 1st Ave NE</t>
  </si>
  <si>
    <t>0-4:2,5-8:1,9:0</t>
  </si>
  <si>
    <t>5002 Meridian Ave N</t>
  </si>
  <si>
    <t>0-4:2,5:1,6-11:2</t>
  </si>
  <si>
    <t>109 NE 52 St</t>
  </si>
  <si>
    <t>4525 4th Ave NE</t>
  </si>
  <si>
    <t>0-2:1,3:2</t>
  </si>
  <si>
    <t>1706 N 47th St #1704</t>
  </si>
  <si>
    <t>#1704</t>
  </si>
  <si>
    <t>6524 Palatine Ave N</t>
  </si>
  <si>
    <t>Palatine</t>
  </si>
  <si>
    <t>0-2:2,3-12:1,13-14:0</t>
  </si>
  <si>
    <t>8548 Midvale Ave N #A</t>
  </si>
  <si>
    <t>Midvale</t>
  </si>
  <si>
    <t>0-6:1,7-11:0</t>
  </si>
  <si>
    <t>1204 N 85th (not busy NE corner unit) St</t>
  </si>
  <si>
    <t>85th (not busy NE corner unit)</t>
  </si>
  <si>
    <t>0-1:1,2:2,3-4:1,5:0,6-11:1,12:0,13:1,14:0</t>
  </si>
  <si>
    <t>David &amp; Assoc. Real Estate LLC</t>
  </si>
  <si>
    <t>1511 N 55th St</t>
  </si>
  <si>
    <t>8509 Interlake Ave N #A</t>
  </si>
  <si>
    <t>7438 Winona Ave N</t>
  </si>
  <si>
    <t>Draeger Real Estate Co.</t>
  </si>
  <si>
    <t>1616 N 46th St #B</t>
  </si>
  <si>
    <t>1131 N 76th St</t>
  </si>
  <si>
    <t>1133 N 84th St</t>
  </si>
  <si>
    <t>1136 N 76th St</t>
  </si>
  <si>
    <t>1519 N 80th St</t>
  </si>
  <si>
    <t>0-1:6,2-13:5</t>
  </si>
  <si>
    <t>1517 N 80th St</t>
  </si>
  <si>
    <t>1515 N 80th St</t>
  </si>
  <si>
    <t>0-1:7,2-13:6</t>
  </si>
  <si>
    <t>930 N 85th St</t>
  </si>
  <si>
    <t>BuyerTours Realty LLC</t>
  </si>
  <si>
    <t>4510 Linden Ave N</t>
  </si>
  <si>
    <t>4516 Linden Ave N</t>
  </si>
  <si>
    <t>725 N 72nd St</t>
  </si>
  <si>
    <t>72nd</t>
  </si>
  <si>
    <t>0-7:2,8:1,9-11:0</t>
  </si>
  <si>
    <t>743 N 76th St</t>
  </si>
  <si>
    <t>0:1O,1-9:1M,10:1L,11:M5</t>
  </si>
  <si>
    <t>Skyline Properties NW</t>
  </si>
  <si>
    <t>923 50th N</t>
  </si>
  <si>
    <t>50th</t>
  </si>
  <si>
    <t>8212 Dayton Ave N</t>
  </si>
  <si>
    <t>Dayton</t>
  </si>
  <si>
    <t>0-11:2,12-14:1</t>
  </si>
  <si>
    <t>912 N 68th St</t>
  </si>
  <si>
    <t>0-5:5,6:3,7:2,8-10:1,11-14:0</t>
  </si>
  <si>
    <t>714 N 64 St</t>
  </si>
  <si>
    <t>612 N 49 St</t>
  </si>
  <si>
    <t>0-7:1</t>
  </si>
  <si>
    <t>4426 Francis Ave N #A</t>
  </si>
  <si>
    <t>Francis</t>
  </si>
  <si>
    <t>0-5:6,6:5,7-9:4,10-11:3</t>
  </si>
  <si>
    <t>1011 N 50th St</t>
  </si>
  <si>
    <t>0-5:2,6-14:1</t>
  </si>
  <si>
    <t>6319 Latona Ave NE</t>
  </si>
  <si>
    <t>0-7:3,8-9:0</t>
  </si>
  <si>
    <t>USELLSMART R.E Inc.</t>
  </si>
  <si>
    <t>6529 Woodlawn Ave N</t>
  </si>
  <si>
    <t>Woodlawn</t>
  </si>
  <si>
    <t>105 85th St NE</t>
  </si>
  <si>
    <t>0:2,1-8:1</t>
  </si>
  <si>
    <t>All Real Estate Inc</t>
  </si>
  <si>
    <t>2007-10-13T17:58:52</t>
  </si>
  <si>
    <t>8203 Sunnyside Ave N</t>
  </si>
  <si>
    <t>0-7:2,8-13:1</t>
  </si>
  <si>
    <t>2107 N 63rd St</t>
  </si>
  <si>
    <t>7935 Densmore Ave N</t>
  </si>
  <si>
    <t>6309 Phinney Ave N #A</t>
  </si>
  <si>
    <t>Lange Peizer Commercial R.E.</t>
  </si>
  <si>
    <t>45th</t>
  </si>
  <si>
    <t>6307 Phinney Ave N #A</t>
  </si>
  <si>
    <t>McCutchen Realty</t>
  </si>
  <si>
    <t>0 Undisclosed #XXX (Unable to map)</t>
  </si>
  <si>
    <t>#XXX</t>
  </si>
  <si>
    <t>122nd</t>
  </si>
  <si>
    <t>0-8:3,9-12:2,13:1</t>
  </si>
  <si>
    <t>0-4:1,5:2,6-11:1</t>
  </si>
  <si>
    <t>11714 Palatine Ave N</t>
  </si>
  <si>
    <t>11708 Greenwood Ave N #C</t>
  </si>
  <si>
    <t>125th</t>
  </si>
  <si>
    <t>107th</t>
  </si>
  <si>
    <t>0-4:4</t>
  </si>
  <si>
    <t>10701 Greenwood Ave N #C</t>
  </si>
  <si>
    <t>0-1:9,2:8,3-4:9,5:8,6:7,7:8,8:6,9-10:5,11:3,12:1,13-14:0</t>
  </si>
  <si>
    <t>10701 Greenwood Ave N #A</t>
  </si>
  <si>
    <t>0-9:2,10:1,11-12:2,13:1</t>
  </si>
  <si>
    <t>10703 Greenwood Ave N #D</t>
  </si>
  <si>
    <t>#D</t>
  </si>
  <si>
    <t>0:2,1:4,2-9:3,10-14:0</t>
  </si>
  <si>
    <t>0-6:5,7-9:6,10-11:5,12-13:6,14:0</t>
  </si>
  <si>
    <t>11212 Greenwood Ave N #A</t>
  </si>
  <si>
    <t>0-8:1,9:0</t>
  </si>
  <si>
    <t>11212 Greenwood Ave N #C</t>
  </si>
  <si>
    <t>103rd</t>
  </si>
  <si>
    <t>0-1:2,2-3:1,4:0,5:1,6-8:0,9:1,10-13:0</t>
  </si>
  <si>
    <t>Anchor Realty Group</t>
  </si>
  <si>
    <t>12719 Greenwood (not busy back row) Ave N #C</t>
  </si>
  <si>
    <t>Greenwood (not busy back row)</t>
  </si>
  <si>
    <t>0-4:4,5-13:3,14:2</t>
  </si>
  <si>
    <t>0:2,1-8:3,9-10:1,11:0</t>
  </si>
  <si>
    <t>127th</t>
  </si>
  <si>
    <t>11014 Greenwood Ave N #A</t>
  </si>
  <si>
    <t>0-7:2,8-11:0</t>
  </si>
  <si>
    <t>11014 Greenwood Ave N #C</t>
  </si>
  <si>
    <t>11012 Greenwood Ave N #A</t>
  </si>
  <si>
    <t>Jefferson Park Realty</t>
  </si>
  <si>
    <t>335 N 105th St</t>
  </si>
  <si>
    <t>105th</t>
  </si>
  <si>
    <t>11520 3rd Ave NW</t>
  </si>
  <si>
    <t>0:3,1-14:2</t>
  </si>
  <si>
    <t>Edmonds Realty</t>
  </si>
  <si>
    <t>0-13:B</t>
  </si>
  <si>
    <t>11601 Meridian Ave N</t>
  </si>
  <si>
    <t>0:8,1-4:7,5:5,6-9:6,10:5,11:6,12:5,13:3,14:2</t>
  </si>
  <si>
    <t>12010 2nd Ave NW</t>
  </si>
  <si>
    <t>0-7:A,8-12:9,13:8,14:7</t>
  </si>
  <si>
    <t>Blue Ridge Realty, Inc.</t>
  </si>
  <si>
    <t>737 N 94th #A</t>
  </si>
  <si>
    <t>94th</t>
  </si>
  <si>
    <t>737 N 94th St #C</t>
  </si>
  <si>
    <t>Windermere Real Estate Everett</t>
  </si>
  <si>
    <t>Stone</t>
  </si>
  <si>
    <t>718 N 94th St</t>
  </si>
  <si>
    <t>727 N 95th St #A</t>
  </si>
  <si>
    <t>95th</t>
  </si>
  <si>
    <t>0-1:2,2-7:1,8:0</t>
  </si>
  <si>
    <t>920 92nd St #918</t>
  </si>
  <si>
    <t>#918</t>
  </si>
  <si>
    <t>92nd</t>
  </si>
  <si>
    <t>0-3:2,4:1,5-11:0</t>
  </si>
  <si>
    <t>747 N 95th St</t>
  </si>
  <si>
    <t>749 N 95th St</t>
  </si>
  <si>
    <t>745 N 95th St</t>
  </si>
  <si>
    <t>1150 N 93rd St</t>
  </si>
  <si>
    <t>93rd</t>
  </si>
  <si>
    <t>Home Realty</t>
  </si>
  <si>
    <t>9534 Palatine Ave N</t>
  </si>
  <si>
    <t>Pacific R.E. Network</t>
  </si>
  <si>
    <t>9310 Stone Ave N</t>
  </si>
  <si>
    <t>9307 Stone Ave N</t>
  </si>
  <si>
    <t>1152 N 93rd St</t>
  </si>
  <si>
    <t>9309 Stone Ave N</t>
  </si>
  <si>
    <t>1154 N 93rd St</t>
  </si>
  <si>
    <t>89th</t>
  </si>
  <si>
    <t>0:0,1-12:1</t>
  </si>
  <si>
    <t>117th</t>
  </si>
  <si>
    <t>2000 NW Blue Ridge Dr</t>
  </si>
  <si>
    <t>Blue Ridge</t>
  </si>
  <si>
    <t>1857 NW Roundhill Circle</t>
  </si>
  <si>
    <t>Circle</t>
  </si>
  <si>
    <t>Roundhill</t>
  </si>
  <si>
    <t>John L. Scott R.E. Lake Tapps</t>
  </si>
  <si>
    <t>0-10:1,11-14:0</t>
  </si>
  <si>
    <t>2444 NW Blue Ridge Dr</t>
  </si>
  <si>
    <t>0-11:3,12-13:4</t>
  </si>
  <si>
    <t>10502 14th Ave NW</t>
  </si>
  <si>
    <t>12514 10th Ave NW</t>
  </si>
  <si>
    <t>0-6:0,7-14:1</t>
  </si>
  <si>
    <t>11323 8th Ave NW</t>
  </si>
  <si>
    <t>12512 9th Ave NW</t>
  </si>
  <si>
    <t>0-5:2,6-10:1</t>
  </si>
  <si>
    <t>1700 N 122nd St</t>
  </si>
  <si>
    <t>12037 6th Ave NW</t>
  </si>
  <si>
    <t>12260 9th Ave NW</t>
  </si>
  <si>
    <t>12725 8th Ave NW</t>
  </si>
  <si>
    <t>0:6,1-10:5</t>
  </si>
  <si>
    <t>0-11:4,12:2,13:1</t>
  </si>
  <si>
    <t>922 NW 103 St</t>
  </si>
  <si>
    <t>Keller Williams Realty Bothell</t>
  </si>
  <si>
    <t>1222 NW 117th St</t>
  </si>
  <si>
    <t>10514 13th Ave NW</t>
  </si>
  <si>
    <t>0:1,1-14:2</t>
  </si>
  <si>
    <t>1308 N 122nd St</t>
  </si>
  <si>
    <t>12035 Greenwood Ave N</t>
  </si>
  <si>
    <t>0:3,1-13:4,14:3</t>
  </si>
  <si>
    <t>12725 Palatine Ave N</t>
  </si>
  <si>
    <t>0-2:9,3:A,4-7:9,8-10:8,11:7,12-13:6,14:1</t>
  </si>
  <si>
    <t>12055 Phinney Ave N</t>
  </si>
  <si>
    <t>12545 Phinney Ave N</t>
  </si>
  <si>
    <t>Family First Real Estate Group</t>
  </si>
  <si>
    <t>11346 Sunnyside Ave N</t>
  </si>
  <si>
    <t>800 N 122nd St</t>
  </si>
  <si>
    <t>0-3:A,4-6:9</t>
  </si>
  <si>
    <t>11030 Greenwood Ave N #A</t>
  </si>
  <si>
    <t>11030 Greenwood Ave N #B</t>
  </si>
  <si>
    <t>Stendall</t>
  </si>
  <si>
    <t>0-6:4,7-10:3,11-12:2,13:1,14:2</t>
  </si>
  <si>
    <t>120th</t>
  </si>
  <si>
    <t>12703 4th Ave NW</t>
  </si>
  <si>
    <t>0:7,1-4:6,5:7,6-10:6,11:5,12-13:3</t>
  </si>
  <si>
    <t>11608 2nd Ave NW</t>
  </si>
  <si>
    <t>0-2:2,3:3,4-11:1</t>
  </si>
  <si>
    <t>100 N 101st St</t>
  </si>
  <si>
    <t>101st</t>
  </si>
  <si>
    <t>0:1,1-4:0,5:1,6-7:0,8-9:1</t>
  </si>
  <si>
    <t>0:1,1-13:2</t>
  </si>
  <si>
    <t>0-3:2,4-14:1</t>
  </si>
  <si>
    <t>10203 1st Ave NW #B</t>
  </si>
  <si>
    <t>0-2:5,3-11:4</t>
  </si>
  <si>
    <t>10205 1st Ave NW #B</t>
  </si>
  <si>
    <t>Adapt Real Estate</t>
  </si>
  <si>
    <t>0-10:1</t>
  </si>
  <si>
    <t>9242 Interlake Ave N #A</t>
  </si>
  <si>
    <t>9238 Woodlawn Ave N #9240</t>
  </si>
  <si>
    <t>#9240</t>
  </si>
  <si>
    <t>9249 Ashworth Ave N</t>
  </si>
  <si>
    <t>9243 Ashworth Ave N #B</t>
  </si>
  <si>
    <t>9247 Ashworth Ave N #A</t>
  </si>
  <si>
    <t>100th</t>
  </si>
  <si>
    <t>9557 Interlake Ave N</t>
  </si>
  <si>
    <t>Cornerstone Real Estate</t>
  </si>
  <si>
    <t>0-3:M,4:L,5-8:K</t>
  </si>
  <si>
    <t>908 N 95th St</t>
  </si>
  <si>
    <t>Whitman</t>
  </si>
  <si>
    <t>0:3,1-9:2</t>
  </si>
  <si>
    <t>345 N 105th St</t>
  </si>
  <si>
    <t>0:3,1-4:2,5:0</t>
  </si>
  <si>
    <t>0-7:2</t>
  </si>
  <si>
    <t>Stavanger Investments</t>
  </si>
  <si>
    <t>Sun, Mar 1 1 - 3 PM</t>
  </si>
  <si>
    <t>91st</t>
  </si>
  <si>
    <t>2545 NE 91St St</t>
  </si>
  <si>
    <t>91St</t>
  </si>
  <si>
    <t>0-1:1,3-14:1</t>
  </si>
  <si>
    <t>9001 27th Ave NE</t>
  </si>
  <si>
    <t>9112 30th Ave NE</t>
  </si>
  <si>
    <t>8724 Sand Point Way NE</t>
  </si>
  <si>
    <t>0-1:0,3:0</t>
  </si>
  <si>
    <t>8810 35 Ave NE</t>
  </si>
  <si>
    <t>0-9:4,10-13:3,14:2</t>
  </si>
  <si>
    <t>Sandpoint</t>
  </si>
  <si>
    <t>ek Real Estate Group LLC</t>
  </si>
  <si>
    <t>3542 NE 92nd St</t>
  </si>
  <si>
    <t>9408 40th Ave NE</t>
  </si>
  <si>
    <t>40th</t>
  </si>
  <si>
    <t>11740 Riviera Pl NE</t>
  </si>
  <si>
    <t>Riviera</t>
  </si>
  <si>
    <t>0-1:0,2:1,3:0,4-5:1,6-11:0,12-13:1</t>
  </si>
  <si>
    <t>Rob Clark Real Estate Broker</t>
  </si>
  <si>
    <t>11748 Lakeside Ave NE</t>
  </si>
  <si>
    <t>Lakeside</t>
  </si>
  <si>
    <t>0-7:3,8-9:2</t>
  </si>
  <si>
    <t>11911 Lakeside Pl NE</t>
  </si>
  <si>
    <t>0-5:1,6:0,7-14:1</t>
  </si>
  <si>
    <t>12073 Lakeside Pl NE</t>
  </si>
  <si>
    <t>0-3:Q,4:P,5-10:Q,11-13:N</t>
  </si>
  <si>
    <t>4560 NE 89th St</t>
  </si>
  <si>
    <t>Inverness</t>
  </si>
  <si>
    <t>10043 46th Pl NE</t>
  </si>
  <si>
    <t>13467 64th Pl NE</t>
  </si>
  <si>
    <t>Holmes Point</t>
  </si>
  <si>
    <t>13014 Holmes Point Dr</t>
  </si>
  <si>
    <t>Juanita</t>
  </si>
  <si>
    <t>13480 64th Ter NE</t>
  </si>
  <si>
    <t>Ter</t>
  </si>
  <si>
    <t>0-3:2,4-11:1</t>
  </si>
  <si>
    <t>6804 NE 134th St</t>
  </si>
  <si>
    <t>134th</t>
  </si>
  <si>
    <t>13259 Holmes Point Dr NE</t>
  </si>
  <si>
    <t>0-4:4,5-10:3</t>
  </si>
  <si>
    <t>13249 Holmes Pt. Dr NE</t>
  </si>
  <si>
    <t>Holmes Pt.</t>
  </si>
  <si>
    <t>5312 NE 86 St</t>
  </si>
  <si>
    <t>9400 8th Ave NE</t>
  </si>
  <si>
    <t>9404 8th Ave NE</t>
  </si>
  <si>
    <t>1716 NE 89th St</t>
  </si>
  <si>
    <t>9131 23rd Ave NE #B</t>
  </si>
  <si>
    <t>0-10:1,11:0</t>
  </si>
  <si>
    <t>86th</t>
  </si>
  <si>
    <t>3039 NE 88th St</t>
  </si>
  <si>
    <t>1019 NE 90th St</t>
  </si>
  <si>
    <t>John L. Scott Des Moines</t>
  </si>
  <si>
    <t>9201 8th Ave NE</t>
  </si>
  <si>
    <t>0-2:1,3-7:0</t>
  </si>
  <si>
    <t>4610 NE 89th St</t>
  </si>
  <si>
    <t>3021 NE 92nd St</t>
  </si>
  <si>
    <t>0:3,1:2,2-9:3,10:2,11:3,12:2,13-14:3</t>
  </si>
  <si>
    <t>Cascade Ridge Real Estate LLC</t>
  </si>
  <si>
    <t>0:6,1-9:5,10:3</t>
  </si>
  <si>
    <t>2317 NE 89 St</t>
  </si>
  <si>
    <t>2315 NE 95th St</t>
  </si>
  <si>
    <t>0:4,1-12:0</t>
  </si>
  <si>
    <t>0:6,1:5,2-8:4,9-13:3,14:2</t>
  </si>
  <si>
    <t>1023 NE 123rd #B</t>
  </si>
  <si>
    <t>123rd</t>
  </si>
  <si>
    <t>1023 NE 123rd #A</t>
  </si>
  <si>
    <t>1027 NE 123rd #B</t>
  </si>
  <si>
    <t>1027 NE 123rd #C</t>
  </si>
  <si>
    <t>0-9:2,10:1</t>
  </si>
  <si>
    <t>1021 NE 123rd #B</t>
  </si>
  <si>
    <t>1021 NE 123rd #C</t>
  </si>
  <si>
    <t>0:3,1-10:2</t>
  </si>
  <si>
    <t>1021 NE 123rd #A</t>
  </si>
  <si>
    <t>0-3:2,4-8:4,9:M,10:3</t>
  </si>
  <si>
    <t>1029 NE 123rd #B</t>
  </si>
  <si>
    <t>1029 NE 123rd #A</t>
  </si>
  <si>
    <t>0-5:3,6-10:2</t>
  </si>
  <si>
    <t>537 NE 103rd St</t>
  </si>
  <si>
    <t>1019 NE 125th St</t>
  </si>
  <si>
    <t>9808 15 Ave NE</t>
  </si>
  <si>
    <t>0-8:9,9:6,10:5,11:3,12-13:2</t>
  </si>
  <si>
    <t>1540 NE 97th St</t>
  </si>
  <si>
    <t>12046 Roosevelt Way NE</t>
  </si>
  <si>
    <t>0:0,1-14:1</t>
  </si>
  <si>
    <t>Sammamish Realty Inc.</t>
  </si>
  <si>
    <t>12323 23rd Ave NE</t>
  </si>
  <si>
    <t>12564 17 Ave NE</t>
  </si>
  <si>
    <t>Bazan Realty</t>
  </si>
  <si>
    <t>0-4:I</t>
  </si>
  <si>
    <t>2007-10-13T18:24:02</t>
  </si>
  <si>
    <t>Exceptional Real Estate Group</t>
  </si>
  <si>
    <t>1235 NE 100 St</t>
  </si>
  <si>
    <t>104th</t>
  </si>
  <si>
    <t>36th</t>
  </si>
  <si>
    <t>34th</t>
  </si>
  <si>
    <t>10702 35 Ave NE</t>
  </si>
  <si>
    <t>0-2:B,3:A,4-5:B,6-9:A,10-11:9,12:8,13:1</t>
  </si>
  <si>
    <t>1017 NE 125th St</t>
  </si>
  <si>
    <t>0-3:2,4-8:3,9-11:2,12-13:1</t>
  </si>
  <si>
    <t>Windermere Commencement Assoc.</t>
  </si>
  <si>
    <t>1909 NE 125th St</t>
  </si>
  <si>
    <t>12723 35th Ave NE</t>
  </si>
  <si>
    <t>35th</t>
  </si>
  <si>
    <t>12307 Roosevelt Way NE #B</t>
  </si>
  <si>
    <t>2007-10-13T18:31:49</t>
  </si>
  <si>
    <t>0-3:4,4-5:3,6-10:4,11-13:3</t>
  </si>
  <si>
    <t>WPI Real Estate Services, Inc.</t>
  </si>
  <si>
    <t>0-2:1,3:2,4:0</t>
  </si>
  <si>
    <t>11731 25th Ave NE</t>
  </si>
  <si>
    <t>12316 33 Ave NE #C</t>
  </si>
  <si>
    <t>0-8:D,9-11:B,12:6,13:1,14:0</t>
  </si>
  <si>
    <t>846 NE 97 St</t>
  </si>
  <si>
    <t>12559 22nd Ave NE</t>
  </si>
  <si>
    <t>0:L,1-13:K</t>
  </si>
  <si>
    <t>12314 33 Ave NE #B</t>
  </si>
  <si>
    <t>12314 33 Ave NE #C</t>
  </si>
  <si>
    <t>0-11:4</t>
  </si>
  <si>
    <t>4602 NE 106th St</t>
  </si>
  <si>
    <t>106th</t>
  </si>
  <si>
    <t>2007-10-13T18:27:54</t>
  </si>
  <si>
    <t>Pacific Northwest Realty</t>
  </si>
  <si>
    <t>14TH</t>
  </si>
  <si>
    <t>0-3:13,4-11:12,12:1</t>
  </si>
  <si>
    <t>11351 Durland Ave NE</t>
  </si>
  <si>
    <t>Durland</t>
  </si>
  <si>
    <t>0:5,1-10:4,11-14:3</t>
  </si>
  <si>
    <t>Goodwin</t>
  </si>
  <si>
    <t>Virtual Office Realty</t>
  </si>
  <si>
    <t>12411 68th Ave NE</t>
  </si>
  <si>
    <t>0:8,1-2:7,3-5:5,6:4,7:1,8:0,9-10:1</t>
  </si>
  <si>
    <t>0-9:1,10:0,11-12:1,13-14:0</t>
  </si>
  <si>
    <t>Windermere Real Estate/CIR</t>
  </si>
  <si>
    <t>10720 15th Ave NE</t>
  </si>
  <si>
    <t>10745 Lakeside Ave NE</t>
  </si>
  <si>
    <t>10546 Riviera Pl NE</t>
  </si>
  <si>
    <t>0-7:2,8-14:1</t>
  </si>
  <si>
    <t>10745 19th Ave NE</t>
  </si>
  <si>
    <t>10741 19th Ave NE</t>
  </si>
  <si>
    <t>0-3:2,4:0</t>
  </si>
  <si>
    <t>13239 Holmes Point Dr NE</t>
  </si>
  <si>
    <t>0-2:2,3-8:1</t>
  </si>
  <si>
    <t>Windermere R.E. Mill Creek</t>
  </si>
  <si>
    <t>13245 67th Ave NE</t>
  </si>
  <si>
    <t>0-3:A,4:C,5-9:9,10:B,11-14:A</t>
  </si>
  <si>
    <t>6608 NE 130th Ln</t>
  </si>
  <si>
    <t>Ln</t>
  </si>
  <si>
    <t>130th</t>
  </si>
  <si>
    <t>0:2,1-9:1,10-14:0</t>
  </si>
  <si>
    <t>13245 Holmes Pt Dr</t>
  </si>
  <si>
    <t>Holmes Pt</t>
  </si>
  <si>
    <t>0:1,1:2,2:1,3-4:2,5:1,6:2,7:1,8-11:2</t>
  </si>
  <si>
    <t>10730 24th Ave NE</t>
  </si>
  <si>
    <t>0-4:1,5-6:2,7-13:1</t>
  </si>
  <si>
    <t>3919 NE 115 St</t>
  </si>
  <si>
    <t>2007-10-13T18:29:26</t>
  </si>
  <si>
    <t>0-6:8,7:9,8-10:5,11-12:3</t>
  </si>
  <si>
    <t>RE/MAX Connected</t>
  </si>
  <si>
    <t>10717 24th Ave NE</t>
  </si>
  <si>
    <t>0-3:2,4:1,5-9:2,10-13:1</t>
  </si>
  <si>
    <t>0-2:2,3-10:1,11:0</t>
  </si>
  <si>
    <t>11345 5th Ave NE</t>
  </si>
  <si>
    <t>6447 NE 129th Pl</t>
  </si>
  <si>
    <t>129th</t>
  </si>
  <si>
    <t>0-4:4,5-14:3</t>
  </si>
  <si>
    <t>835 NE 104 St</t>
  </si>
  <si>
    <t>11338 23rd Ave NE</t>
  </si>
  <si>
    <t>0-11:5,12-14:0</t>
  </si>
  <si>
    <t>Madison House, Ltd.</t>
  </si>
  <si>
    <t>0-7:3,8-10:2,11:0</t>
  </si>
  <si>
    <t>12956 Holmes Point Dr NE</t>
  </si>
  <si>
    <t>11024 15th Ave NE</t>
  </si>
  <si>
    <t>0-3:1,4-14:0</t>
  </si>
  <si>
    <t>11736 40th Ave NE</t>
  </si>
  <si>
    <t>12019 32 Ave NE #C</t>
  </si>
  <si>
    <t>Gibraltar LLC</t>
  </si>
  <si>
    <t>10532 35th Ave NE</t>
  </si>
  <si>
    <t>4602 NE 105th St</t>
  </si>
  <si>
    <t>0-12:2,13:3,14:2</t>
  </si>
  <si>
    <t>11252 Riviera Pl NE</t>
  </si>
  <si>
    <t>9105 Matthews Pl NE</t>
  </si>
  <si>
    <t>Matthews</t>
  </si>
  <si>
    <t>1017 NE 103rd St</t>
  </si>
  <si>
    <t>1735 NE 94th St</t>
  </si>
  <si>
    <t>0-12:3,13:4,14:0</t>
  </si>
  <si>
    <t>1543 NE 89th St</t>
  </si>
  <si>
    <t>8257 17th Ave NE</t>
  </si>
  <si>
    <t>Dove Realty, Inc.</t>
  </si>
  <si>
    <t>9607 15th Ave NE</t>
  </si>
  <si>
    <t>0-4:1,5-6:2,7-8:1</t>
  </si>
  <si>
    <t>98th</t>
  </si>
  <si>
    <t>3061 NE 97th St</t>
  </si>
  <si>
    <t>3025 NE 98th St</t>
  </si>
  <si>
    <t>0-8:5,9-12:0</t>
  </si>
  <si>
    <t>Tutmarc Realty</t>
  </si>
  <si>
    <t>8514 Inverness Dr NE</t>
  </si>
  <si>
    <t>0:4,1-3:3,4-5:4,6-7:3,8:4,9-12:3,13:4</t>
  </si>
  <si>
    <t>8730 Sand Point Way NE</t>
  </si>
  <si>
    <t>0-1:2,2-12:1,13:2</t>
  </si>
  <si>
    <t>10315 23rd Ave NE</t>
  </si>
  <si>
    <t>8804 5th Ave NE</t>
  </si>
  <si>
    <t>0-2:7,3:8,4-6:7,7-13:3,14:2</t>
  </si>
  <si>
    <t>9411 44 Pl NE</t>
  </si>
  <si>
    <t>0-13:3,14:1</t>
  </si>
  <si>
    <t>3852 NE 94th St</t>
  </si>
  <si>
    <t>0-1:4,2:3,3-6:4,7-14:1</t>
  </si>
  <si>
    <t>Signature Properties NW</t>
  </si>
  <si>
    <t>9510 8th Ave NE</t>
  </si>
  <si>
    <t>9220 45th Ave NE</t>
  </si>
  <si>
    <t>John L. Scott Westwood</t>
  </si>
  <si>
    <t>8917 15th Ave NE</t>
  </si>
  <si>
    <t>RE/MAX Central Associates</t>
  </si>
  <si>
    <t>86TH</t>
  </si>
  <si>
    <t>0-6:1,7-8:0</t>
  </si>
  <si>
    <t>9216 Sand Point Way NE</t>
  </si>
  <si>
    <t>8875 Paisley Pl NE</t>
  </si>
  <si>
    <t>Paisley</t>
  </si>
  <si>
    <t>Keller Williams Rlty Kirkland</t>
  </si>
  <si>
    <t>0:B,1:5,2-10:4,11:6</t>
  </si>
  <si>
    <t>2007-10-13T18:32:06</t>
  </si>
  <si>
    <t>0-6:2,7-9:0</t>
  </si>
  <si>
    <t>Cornwall Real Estate</t>
  </si>
  <si>
    <t>0-1:0,2:1,3-4:0,5:1,6-14:0</t>
  </si>
  <si>
    <t>12333 10th Pl NE #B</t>
  </si>
  <si>
    <t>12333 10th Pl NE #C</t>
  </si>
  <si>
    <t>12333 10th Pl NE #A</t>
  </si>
  <si>
    <t>13233 Holmes Pt Dr</t>
  </si>
  <si>
    <t>0:3,1-4:2</t>
  </si>
  <si>
    <t>1015 NE 123rd St</t>
  </si>
  <si>
    <t>1017 NE 123rd St #B</t>
  </si>
  <si>
    <t>0-1:1,2-14:0</t>
  </si>
  <si>
    <t>Handspring Real Estate, Inc</t>
  </si>
  <si>
    <t>13263 Holmes Pt Dr NE</t>
  </si>
  <si>
    <t>12337 10th Pl NE #B</t>
  </si>
  <si>
    <t>13517 Holmes Point Dr NE</t>
  </si>
  <si>
    <t>0 Taylor Dr #25XX (Unable to map)</t>
  </si>
  <si>
    <t>#25XX</t>
  </si>
  <si>
    <t>Taylor</t>
  </si>
  <si>
    <t>Everett</t>
  </si>
  <si>
    <t>0:2,1:3,2-4:2</t>
  </si>
  <si>
    <t>Mukilteo Blvd</t>
  </si>
  <si>
    <t>13947 127th Pl NE #Lot 6 (Unable to map)</t>
  </si>
  <si>
    <t>#Lot 6</t>
  </si>
  <si>
    <t>0:2,1-4:3,5-12:2,13-14:0</t>
  </si>
  <si>
    <t>Totem Lake</t>
  </si>
  <si>
    <t>Windermere RE Cascade Grp.,Inc</t>
  </si>
  <si>
    <t>9418 117th Ave NE (Unable to map)</t>
  </si>
  <si>
    <t>Highlands</t>
  </si>
  <si>
    <t>0:1,1-10:0</t>
  </si>
  <si>
    <t>Rose Hill</t>
  </si>
  <si>
    <t>9423 117th Ave NE (Unable to map)</t>
  </si>
  <si>
    <t>9404 117th Ave NE (Unable to map)</t>
  </si>
  <si>
    <t>8511 NE 123rd Pl (Unable to map)</t>
  </si>
  <si>
    <t>0:4,1-3:3,4:0,5-14:1</t>
  </si>
  <si>
    <t>Finn Hill</t>
  </si>
  <si>
    <t>8505 NE 123rd Pl (Unable to map)</t>
  </si>
  <si>
    <t>0:5,1-3:4,4-5:2,6-13:1,14:0</t>
  </si>
  <si>
    <t>8431 NE 123rd Pl (Unable to map)</t>
  </si>
  <si>
    <t>0:4,1-3:2,4-14:0</t>
  </si>
  <si>
    <t>8423 NE 123rd Pl (Unable to map)</t>
  </si>
  <si>
    <t>0:6,1-3:4,4-9:1,10:0,11-13:1,14:0</t>
  </si>
  <si>
    <t>9410 117th Ave NE (Unable to map)</t>
  </si>
  <si>
    <t>West Of Market</t>
  </si>
  <si>
    <t>4209 NE 70th St</t>
  </si>
  <si>
    <t>6553 44th Ave NE</t>
  </si>
  <si>
    <t>44th</t>
  </si>
  <si>
    <t>0-6:0,7:1,8-14:0</t>
  </si>
  <si>
    <t>5701 NE 70th St</t>
  </si>
  <si>
    <t>6610 57th Ave NE</t>
  </si>
  <si>
    <t>6500 55th Ave NE</t>
  </si>
  <si>
    <t>5143 47th Ave NE</t>
  </si>
  <si>
    <t>0-3:7,4-9:6</t>
  </si>
  <si>
    <t>Laurelhurst</t>
  </si>
  <si>
    <t>8214 42 Ave NE</t>
  </si>
  <si>
    <t>0:2,1-3:1,4-14:0</t>
  </si>
  <si>
    <t>John L. Scott R.E. Kent</t>
  </si>
  <si>
    <t>4726 47 Ave NE</t>
  </si>
  <si>
    <t>0-4:1,5-10:0,11:1</t>
  </si>
  <si>
    <t>4842 Railroad Ave NE</t>
  </si>
  <si>
    <t>Railroad</t>
  </si>
  <si>
    <t>4817 Stanford Ave NE</t>
  </si>
  <si>
    <t>Stanford</t>
  </si>
  <si>
    <t>The Roanoke Group</t>
  </si>
  <si>
    <t>4723 NE Park Pl</t>
  </si>
  <si>
    <t>Park</t>
  </si>
  <si>
    <t>0-12:3,13-14:2</t>
  </si>
  <si>
    <t>0-7:2,8:3,9-11:2,12:1</t>
  </si>
  <si>
    <t>6513 40 Ave NE</t>
  </si>
  <si>
    <t>7753 19th Ave NE</t>
  </si>
  <si>
    <t>Brooklyn</t>
  </si>
  <si>
    <t>558 NE 80th St</t>
  </si>
  <si>
    <t>0-2:6,3:5,4:4,5:5,6-10:3</t>
  </si>
  <si>
    <t>8024 11th Ave NE</t>
  </si>
  <si>
    <t>7714 14th Ave NE</t>
  </si>
  <si>
    <t>8044 14th Ave NE</t>
  </si>
  <si>
    <t>0-2:9,3-7:1K,8-9:1J,10-11:1K,12:1J,13:1L,14:4</t>
  </si>
  <si>
    <t>0-8:1,9-11:0</t>
  </si>
  <si>
    <t>344 NE 53rd St</t>
  </si>
  <si>
    <t>6056 Wellesley Way NE</t>
  </si>
  <si>
    <t>Wellesley</t>
  </si>
  <si>
    <t>RE/MAX Realty Experts</t>
  </si>
  <si>
    <t>6221 35th Ave NE</t>
  </si>
  <si>
    <t>0-3:1,4:0</t>
  </si>
  <si>
    <t>6500 NE 60 St</t>
  </si>
  <si>
    <t>RE/MAX Performance Plus</t>
  </si>
  <si>
    <t>5015 40th Ave NE #B</t>
  </si>
  <si>
    <t>5231 39th Ave NE</t>
  </si>
  <si>
    <t>39th</t>
  </si>
  <si>
    <t>5543 38th Ave NE</t>
  </si>
  <si>
    <t>38th</t>
  </si>
  <si>
    <t>6043 NE 61st St</t>
  </si>
  <si>
    <t>5620 Ann Arbor Ave NE</t>
  </si>
  <si>
    <t>Ann Arbor</t>
  </si>
  <si>
    <t>0:3,1-13:1</t>
  </si>
  <si>
    <t>5113 47th Ave NE</t>
  </si>
  <si>
    <t>4831 37th Ave NE</t>
  </si>
  <si>
    <t>5511 43rd Ave NE</t>
  </si>
  <si>
    <t>43rd</t>
  </si>
  <si>
    <t>6030 28th Ave NE</t>
  </si>
  <si>
    <t>0-7:2,8:0</t>
  </si>
  <si>
    <t>2425 N 75th St</t>
  </si>
  <si>
    <t>6201 52nd Ave NE</t>
  </si>
  <si>
    <t>0-4:3,5-13:2</t>
  </si>
  <si>
    <t>811 NE Ravenna Blvd</t>
  </si>
  <si>
    <t>Blvd</t>
  </si>
  <si>
    <t>0-5:4,6:3,7-11:1</t>
  </si>
  <si>
    <t>0-8:2,9:1</t>
  </si>
  <si>
    <t>7314 21st Ave NE</t>
  </si>
  <si>
    <t>0-6:2,7-14:1</t>
  </si>
  <si>
    <t>6534 34th Ave NE #B</t>
  </si>
  <si>
    <t>825 NE 67th St</t>
  </si>
  <si>
    <t>0-10:4,11:3,12-14:1</t>
  </si>
  <si>
    <t>6415 9th Ave NE</t>
  </si>
  <si>
    <t>5305 NE 67th St</t>
  </si>
  <si>
    <t>0-10:5,11:4,12:1</t>
  </si>
  <si>
    <t>6823 26th Ave NE</t>
  </si>
  <si>
    <t>0:3,1-12:2,13:1</t>
  </si>
  <si>
    <t>The Carver Real Estate Group</t>
  </si>
  <si>
    <t>6855 17th Ave NE</t>
  </si>
  <si>
    <t>2276 NE 61st St</t>
  </si>
  <si>
    <t>0-1:4,2:5,3-4:4,5:3,6-7:4,8-10:3,11-12:4,13:3,14:4</t>
  </si>
  <si>
    <t>823 NE 67th St</t>
  </si>
  <si>
    <t>0-9:4,10:3,11:2,12:0</t>
  </si>
  <si>
    <t>6047 6th Ave NE</t>
  </si>
  <si>
    <t>0:0,1-3:1,4:0,5-14:1</t>
  </si>
  <si>
    <t>7009 26th Ave NE</t>
  </si>
  <si>
    <t>7316 21st Ave NE</t>
  </si>
  <si>
    <t>6847 17th Ave NE</t>
  </si>
  <si>
    <t>0:5,1-9:4,10:5,11-14:3</t>
  </si>
  <si>
    <t>6515 32 Ave NE</t>
  </si>
  <si>
    <t>0-12:4,13-14:2</t>
  </si>
  <si>
    <t>6517 25th Ave NE</t>
  </si>
  <si>
    <t>7009 15th Ave NE</t>
  </si>
  <si>
    <t>6822 29th Ave NE</t>
  </si>
  <si>
    <t>Rockwell Realty LLC</t>
  </si>
  <si>
    <t>5006 8th Ave NE</t>
  </si>
  <si>
    <t>0-8:2,9-14:1</t>
  </si>
  <si>
    <t>1207 NE Ravenna Blvd</t>
  </si>
  <si>
    <t>Catalina Properties</t>
  </si>
  <si>
    <t>5033 12th Ave NE</t>
  </si>
  <si>
    <t>0-4:3,5-9:2,10-12:1,13-14:0</t>
  </si>
  <si>
    <t>5035 12th Ave NE</t>
  </si>
  <si>
    <t>0-11:5,12-13:4</t>
  </si>
  <si>
    <t>John L. Scott Lynnwood West</t>
  </si>
  <si>
    <t>4724 22 Ave NE</t>
  </si>
  <si>
    <t>5042 7th Ave NE</t>
  </si>
  <si>
    <t>5817 55th Ave NE #A</t>
  </si>
  <si>
    <t>1729 NE 56th St</t>
  </si>
  <si>
    <t>0-3:3,4-14:2</t>
  </si>
  <si>
    <t>4803 University View Pl NE</t>
  </si>
  <si>
    <t>University View</t>
  </si>
  <si>
    <t>5514 11th Ave NE</t>
  </si>
  <si>
    <t>4517 8th Ave NE #B</t>
  </si>
  <si>
    <t>0-4:2,5-11:1</t>
  </si>
  <si>
    <t>Red Carpet Realty Gallery, Inc</t>
  </si>
  <si>
    <t>5532 31st Ave NE</t>
  </si>
  <si>
    <t>4552 52nd Ave NE</t>
  </si>
  <si>
    <t>0:2,1-9:1,10:2</t>
  </si>
  <si>
    <t>4525 51st Ave NE</t>
  </si>
  <si>
    <t>0:3,1:4,2:2,3-4:4,5-6:3,7-14:2</t>
  </si>
  <si>
    <t>2102 NE Park Rd</t>
  </si>
  <si>
    <t>2817 NE 54th St</t>
  </si>
  <si>
    <t>5607 12th Ave NE</t>
  </si>
  <si>
    <t>6021 6th Ave NE</t>
  </si>
  <si>
    <t>0:1,2-14:0</t>
  </si>
  <si>
    <t>6300 23rd Ave NE</t>
  </si>
  <si>
    <t>6310 20th Ave NE</t>
  </si>
  <si>
    <t>0-8:3,9:4,10-13:1</t>
  </si>
  <si>
    <t>Elite Real Estate Group, LLC</t>
  </si>
  <si>
    <t>79th</t>
  </si>
  <si>
    <t>468 NE Maple Leaf Pl</t>
  </si>
  <si>
    <t>509 NE 71st St</t>
  </si>
  <si>
    <t>466 NE Maple Leaf Pl</t>
  </si>
  <si>
    <t>4707 49th Ave NE</t>
  </si>
  <si>
    <t>4750 44th Ave NE</t>
  </si>
  <si>
    <t>5556 35th Ave NE</t>
  </si>
  <si>
    <t>4334 NE 55th St</t>
  </si>
  <si>
    <t>5307 NE 65th St</t>
  </si>
  <si>
    <t>0-11:1,12-13:0</t>
  </si>
  <si>
    <t>4414 NE 77th St</t>
  </si>
  <si>
    <t>4518 52nd Ave NE</t>
  </si>
  <si>
    <t>4736 35th Ave NE</t>
  </si>
  <si>
    <t>6039 51st Ave NE</t>
  </si>
  <si>
    <t>7503 32nd Ave NE</t>
  </si>
  <si>
    <t>8233 41st Ave NE</t>
  </si>
  <si>
    <t>41st</t>
  </si>
  <si>
    <t>0-4:4,5-9:3,10-13:2,14:0</t>
  </si>
  <si>
    <t>6212 45th Ave NE</t>
  </si>
  <si>
    <t>6011 NE 64th St</t>
  </si>
  <si>
    <t>3718 NE 70 St</t>
  </si>
  <si>
    <t>0-5:8,6-13:7</t>
  </si>
  <si>
    <t>5755 28th Ave NE</t>
  </si>
  <si>
    <t>0-3:1,4-10:0</t>
  </si>
  <si>
    <t>Discovery Realty, Inc.</t>
  </si>
  <si>
    <t>7401 25 Ave NE</t>
  </si>
  <si>
    <t>0:1,1:0</t>
  </si>
  <si>
    <t>8047 15 Ave NE</t>
  </si>
  <si>
    <t>7003 21st Ave NE</t>
  </si>
  <si>
    <t>0:1,1-2:0,3-4:1,5:0,6:2,7:1</t>
  </si>
  <si>
    <t>John L. Scott R.E. Renton</t>
  </si>
  <si>
    <t>0-7:1,8-13:0</t>
  </si>
  <si>
    <t>6059 26th Ave NE</t>
  </si>
  <si>
    <t>0-7:3,8-14:2</t>
  </si>
  <si>
    <t>5216 11 Ave NE</t>
  </si>
  <si>
    <t>0:2,1-3:1,4:2,5-9:1,10-13:0</t>
  </si>
  <si>
    <t>2007-10-13T17:43:58</t>
  </si>
  <si>
    <t>7310 20th Ave NE</t>
  </si>
  <si>
    <t>0-3:2,4-10:1</t>
  </si>
  <si>
    <t>2421 N 75th St</t>
  </si>
  <si>
    <t>4836 NE Princeton Way</t>
  </si>
  <si>
    <t>Princeton</t>
  </si>
  <si>
    <t>2113 8th Ave N</t>
  </si>
  <si>
    <t>Queen Anne</t>
  </si>
  <si>
    <t>2112 Nob Hill Ave N #A</t>
  </si>
  <si>
    <t>Nob Hill</t>
  </si>
  <si>
    <t>0-2:4,3:5,4-9:4,10:3,11:4,12:3,13:4</t>
  </si>
  <si>
    <t>Gerrard Beattie &amp; Knapp</t>
  </si>
  <si>
    <t>152 W Florentia</t>
  </si>
  <si>
    <t>Florentia</t>
  </si>
  <si>
    <t>114 W Florentia St #A</t>
  </si>
  <si>
    <t>421 Raye St</t>
  </si>
  <si>
    <t>Raye</t>
  </si>
  <si>
    <t>0:3,1-2:2,3-8:1,9-14:0</t>
  </si>
  <si>
    <t>2127 Waverly Pl N #B</t>
  </si>
  <si>
    <t>Waverly</t>
  </si>
  <si>
    <t>0:C,1:D,2:E,3:C,4:D,5:C,6-8:D,9:C,10-11:D,12:B,13:3</t>
  </si>
  <si>
    <t>2420 Westlake Ave N</t>
  </si>
  <si>
    <t>Westlake</t>
  </si>
  <si>
    <t>0:1,1:0,2-5:1,6:0,7:1,8:0,9-14:1</t>
  </si>
  <si>
    <t>Lake Union</t>
  </si>
  <si>
    <t>14 W Etruria St #B</t>
  </si>
  <si>
    <t>Etruria</t>
  </si>
  <si>
    <t>0-10:3,11-13:1,14:0</t>
  </si>
  <si>
    <t>1017 N 39 St</t>
  </si>
  <si>
    <t>0-7:1,8-12:2</t>
  </si>
  <si>
    <t>John L. Scott/Greenlake</t>
  </si>
  <si>
    <t>519 N 39</t>
  </si>
  <si>
    <t>0-5:5,6:4,7-12:3,13-14:2</t>
  </si>
  <si>
    <t>3826 Ashworth Ave N</t>
  </si>
  <si>
    <t>0:2,1-10:1,11-14:0</t>
  </si>
  <si>
    <t>Albion</t>
  </si>
  <si>
    <t>3611 Albion Pl N #A</t>
  </si>
  <si>
    <t>0-3:4,4-12:3</t>
  </si>
  <si>
    <t>3617 Albion Pl N #B</t>
  </si>
  <si>
    <t>3617 Albion Pl N #C</t>
  </si>
  <si>
    <t>3615 Albion Pl N #B</t>
  </si>
  <si>
    <t>0-12:4</t>
  </si>
  <si>
    <t>213 N 39th St #B</t>
  </si>
  <si>
    <t>0:5,1-12:4</t>
  </si>
  <si>
    <t>Queen Anne Real Estate</t>
  </si>
  <si>
    <t>11 W Dravus St #C</t>
  </si>
  <si>
    <t>Dravus</t>
  </si>
  <si>
    <t>0-12:3,13:2,14:4</t>
  </si>
  <si>
    <t>11 W Dravus St #A</t>
  </si>
  <si>
    <t>0-12:4,13:3</t>
  </si>
  <si>
    <t>3634 Palatine Ave N</t>
  </si>
  <si>
    <t>0-1:1,2-10:0,11:1,12:0</t>
  </si>
  <si>
    <t>1402 3rd Ave W</t>
  </si>
  <si>
    <t>0:1,1:0,2-8:1,9:0,10:1</t>
  </si>
  <si>
    <t>1510 Taylor Ave N</t>
  </si>
  <si>
    <t>1510 Taylor N</t>
  </si>
  <si>
    <t>214 Garfield St</t>
  </si>
  <si>
    <t>Garfield</t>
  </si>
  <si>
    <t>2513 Minor Ave E</t>
  </si>
  <si>
    <t>Minor</t>
  </si>
  <si>
    <t>Eastlake</t>
  </si>
  <si>
    <t>4022 Sunnyside Ave N</t>
  </si>
  <si>
    <t>3732 Sunnyside Ave N</t>
  </si>
  <si>
    <t>0-12:1,13-14:0</t>
  </si>
  <si>
    <t>3629 Burke Ave N</t>
  </si>
  <si>
    <t>0:0,1:1,2:2,3:1,4:2,5-9:0,10-12:1</t>
  </si>
  <si>
    <t>2314 N 40th St</t>
  </si>
  <si>
    <t>0-9:1,10-13:0</t>
  </si>
  <si>
    <t>3703 Meridian Ave N</t>
  </si>
  <si>
    <t>2100 Nob Hill Ave N</t>
  </si>
  <si>
    <t>0:3,1-9:2,10-14:1</t>
  </si>
  <si>
    <t>1911 N 35th St #A</t>
  </si>
  <si>
    <t>0:1,1-3:0,4-5:1,6-11:0,12:1</t>
  </si>
  <si>
    <t>3527 Carr Pl N</t>
  </si>
  <si>
    <t>Carr</t>
  </si>
  <si>
    <t>2411 3rd Ave W</t>
  </si>
  <si>
    <t>0-14:3</t>
  </si>
  <si>
    <t>3824 Evanston Ave N</t>
  </si>
  <si>
    <t>304 Boston St</t>
  </si>
  <si>
    <t>Boston</t>
  </si>
  <si>
    <t>0:4,1:3,2-13:2</t>
  </si>
  <si>
    <t>3632 Palatine Ave N</t>
  </si>
  <si>
    <t>RE/MAX Properties</t>
  </si>
  <si>
    <t>3824 Ashworth Ave N</t>
  </si>
  <si>
    <t>2116 Waverly Pl N</t>
  </si>
  <si>
    <t>112 W Florentia St</t>
  </si>
  <si>
    <t>AVA Seattle</t>
  </si>
  <si>
    <t>TEC Real Estate, Inc.</t>
  </si>
  <si>
    <t>4122 Midvale Ave N</t>
  </si>
  <si>
    <t>417 N Bowdoin Pl</t>
  </si>
  <si>
    <t>Bowdoin</t>
  </si>
  <si>
    <t>0:4,1-12:3</t>
  </si>
  <si>
    <t>312 Halladay</t>
  </si>
  <si>
    <t>Halladay</t>
  </si>
  <si>
    <t>707 N Motor Pl</t>
  </si>
  <si>
    <t>Motor</t>
  </si>
  <si>
    <t>0-12:F,13:E,14:4</t>
  </si>
  <si>
    <t>43 W Etruria</t>
  </si>
  <si>
    <t>0-14:5</t>
  </si>
  <si>
    <t>931 N 35th St</t>
  </si>
  <si>
    <t>155 Howe St</t>
  </si>
  <si>
    <t>Howe</t>
  </si>
  <si>
    <t>721 N 43rd St</t>
  </si>
  <si>
    <t>2216 Bigelow Ave N</t>
  </si>
  <si>
    <t>Bigelow</t>
  </si>
  <si>
    <t>2423 2nd Ave W</t>
  </si>
  <si>
    <t>0:5,1-3:6,4-11:3,12:2,13:1,14:2</t>
  </si>
  <si>
    <t>3620 1st Ave NW</t>
  </si>
  <si>
    <t>0-8:1,9-14:0</t>
  </si>
  <si>
    <t>2114 Bigelow Ave N</t>
  </si>
  <si>
    <t>0-11:3,12:2</t>
  </si>
  <si>
    <t>716 N 43rd St</t>
  </si>
  <si>
    <t>4218 Evanston Ave N #A</t>
  </si>
  <si>
    <t>2412 Magnolia Blvd W</t>
  </si>
  <si>
    <t>3554 W Smith St</t>
  </si>
  <si>
    <t>Smith</t>
  </si>
  <si>
    <t>2480 Crestmont Pl W</t>
  </si>
  <si>
    <t>Crestmont</t>
  </si>
  <si>
    <t>0-3:1,4:0,5-14:1</t>
  </si>
  <si>
    <t>2910 W Smith St</t>
  </si>
  <si>
    <t>John L. Scott R.E. W. Seattle</t>
  </si>
  <si>
    <t>2521 25th Ave W</t>
  </si>
  <si>
    <t>0-7:C,8-13:B</t>
  </si>
  <si>
    <t>2514 29th Ave W</t>
  </si>
  <si>
    <t>0-9:2,10-14:3</t>
  </si>
  <si>
    <t>Kosmos Real Estate Investments</t>
  </si>
  <si>
    <t>2509 37th Ave W</t>
  </si>
  <si>
    <t>2700 W Smith St</t>
  </si>
  <si>
    <t>2471 42nd Ave W</t>
  </si>
  <si>
    <t>42nd</t>
  </si>
  <si>
    <t>3047 W Galer St</t>
  </si>
  <si>
    <t>Galer</t>
  </si>
  <si>
    <t>2023 13th Ave W #2027</t>
  </si>
  <si>
    <t>#2027</t>
  </si>
  <si>
    <t>2339 W Newton St</t>
  </si>
  <si>
    <t>Newton</t>
  </si>
  <si>
    <t>0-1:4,2:3,3-14:1</t>
  </si>
  <si>
    <t>Magnolia Bluff</t>
  </si>
  <si>
    <t>2376 W Howe St</t>
  </si>
  <si>
    <t>0-3:2,4:1,5:0</t>
  </si>
  <si>
    <t>2221 Viewmont Way W</t>
  </si>
  <si>
    <t>Viewmont</t>
  </si>
  <si>
    <t>1914 Edgemont Pl W</t>
  </si>
  <si>
    <t>Edgemont</t>
  </si>
  <si>
    <t>0-5:4,6:3,7-11:1,12-14:0</t>
  </si>
  <si>
    <t>Monarch Real Estate LLC</t>
  </si>
  <si>
    <t>1902 26th Ave W</t>
  </si>
  <si>
    <t>2601 W Crockett St</t>
  </si>
  <si>
    <t>Crockett</t>
  </si>
  <si>
    <t>1810 30th Ave W</t>
  </si>
  <si>
    <t>2911 W Howe St</t>
  </si>
  <si>
    <t>1830 12th Ave</t>
  </si>
  <si>
    <t>1906 6th Ave W</t>
  </si>
  <si>
    <t>0:2,1-13:3,14:1</t>
  </si>
  <si>
    <t>3425 21st Ave W</t>
  </si>
  <si>
    <t>3410 21st Ave W #B</t>
  </si>
  <si>
    <t>3410 21st Ave W #A</t>
  </si>
  <si>
    <t>2401 N Northlake Way</t>
  </si>
  <si>
    <t>Northlake</t>
  </si>
  <si>
    <t>3439 42nd Ave W</t>
  </si>
  <si>
    <t>3453 22nd Ave W</t>
  </si>
  <si>
    <t>0:2,1-12:1</t>
  </si>
  <si>
    <t>3428 42 Ave W</t>
  </si>
  <si>
    <t>3611 41st Ave W</t>
  </si>
  <si>
    <t>2217 Ruffner St</t>
  </si>
  <si>
    <t>Ruffner</t>
  </si>
  <si>
    <t>3406 13 Ave W</t>
  </si>
  <si>
    <t>0-2:1,3-13:0</t>
  </si>
  <si>
    <t>3641 23rd Ave W</t>
  </si>
  <si>
    <t>3450 34th Ave W</t>
  </si>
  <si>
    <t>3456 39 Ave W</t>
  </si>
  <si>
    <t>0:2,1:1,2-11:2,12:3,13:2,14:3</t>
  </si>
  <si>
    <t>3436 23 Ave W</t>
  </si>
  <si>
    <t>0-13:6,14:5</t>
  </si>
  <si>
    <t>3425 40th Ave W</t>
  </si>
  <si>
    <t>Reid Real Estate Silv</t>
  </si>
  <si>
    <t>3419 37th Ave W</t>
  </si>
  <si>
    <t>3422 14th Ave W #B</t>
  </si>
  <si>
    <t>0:0,1-13:1</t>
  </si>
  <si>
    <t>3451 22nd Ave W</t>
  </si>
  <si>
    <t>0-12:2,13:1,14:2</t>
  </si>
  <si>
    <t>3443 21st Ave W</t>
  </si>
  <si>
    <t>0:2,1:1,2-3:2,4-8:1,9-11:0</t>
  </si>
  <si>
    <t>3406 W Viewmont Way W</t>
  </si>
  <si>
    <t>Paragon Real Estate Advisors</t>
  </si>
  <si>
    <t>3016 36th Ave W</t>
  </si>
  <si>
    <t>3021 42nd Ave W</t>
  </si>
  <si>
    <t>2612 W Viewmont Way W</t>
  </si>
  <si>
    <t>0-11:B,12:8,13:7</t>
  </si>
  <si>
    <t>2622 23rd Ave W</t>
  </si>
  <si>
    <t>2801 28th Ave W</t>
  </si>
  <si>
    <t>2552 31st Ave W</t>
  </si>
  <si>
    <t>2659 13th Ave W</t>
  </si>
  <si>
    <t>0-6:6,7-12:5,13:4,14:2</t>
  </si>
  <si>
    <t>2562 13 th Ave W</t>
  </si>
  <si>
    <t>13 th</t>
  </si>
  <si>
    <t>1211 W Bothwell St</t>
  </si>
  <si>
    <t>Bothwell</t>
  </si>
  <si>
    <t>2802 25th Ave W</t>
  </si>
  <si>
    <t>2543 13th Ave W #A</t>
  </si>
  <si>
    <t>2580 26th Ave W</t>
  </si>
  <si>
    <t>0-2:1,3:2,4-7:0</t>
  </si>
  <si>
    <t>2636 23rd Ave W #A</t>
  </si>
  <si>
    <t>0-2:20,3-5:3</t>
  </si>
  <si>
    <t>2644 23rd Ave W #A</t>
  </si>
  <si>
    <t>Windermere Real Estate North,</t>
  </si>
  <si>
    <t>2607 13 Ave W</t>
  </si>
  <si>
    <t>2624 31st Ave W</t>
  </si>
  <si>
    <t>0:2,1-2:3,3:2,4-6:1,7:2,8:3,9-14:2</t>
  </si>
  <si>
    <t>3232 Whalley Pl W</t>
  </si>
  <si>
    <t>Whalley</t>
  </si>
  <si>
    <t>3247 23rd Ave W</t>
  </si>
  <si>
    <t>John L. Scott Auburn</t>
  </si>
  <si>
    <t>3209 35th Ave W</t>
  </si>
  <si>
    <t>Keystone Real Estate Services</t>
  </si>
  <si>
    <t>3400 31 Ave W</t>
  </si>
  <si>
    <t>0-2:0,3:1,4:0,5-11:1,12:0,13:1,14:0</t>
  </si>
  <si>
    <t>3238 33rd Ave W</t>
  </si>
  <si>
    <t>33rd</t>
  </si>
  <si>
    <t>0-13:L</t>
  </si>
  <si>
    <t>823 W Cremona St</t>
  </si>
  <si>
    <t>Cremona</t>
  </si>
  <si>
    <t>3222 21st Ave W</t>
  </si>
  <si>
    <t>3215 27th Ave W</t>
  </si>
  <si>
    <t>3249 42nd Ave W</t>
  </si>
  <si>
    <t>0-13:4,14:1</t>
  </si>
  <si>
    <t>3219 35th Ave W</t>
  </si>
  <si>
    <t>2300 W Bertona St</t>
  </si>
  <si>
    <t>Bertona</t>
  </si>
  <si>
    <t>2717 W Jameson St #A</t>
  </si>
  <si>
    <t>Jameson</t>
  </si>
  <si>
    <t>4327 W 31st Ave</t>
  </si>
  <si>
    <t>4041 31st Ave W</t>
  </si>
  <si>
    <t>4003 30th Ave W</t>
  </si>
  <si>
    <t>4201 26th Ave W</t>
  </si>
  <si>
    <t>0-2:2,3:1,4-7:0</t>
  </si>
  <si>
    <t>3803 31st Ave W</t>
  </si>
  <si>
    <t>0-1:1,2:0,3-6:1,7:0,8-14:1</t>
  </si>
  <si>
    <t>Northstone Real Estate Inc.</t>
  </si>
  <si>
    <t>3842 24th Ave W</t>
  </si>
  <si>
    <t>0-13:7,14:6</t>
  </si>
  <si>
    <t>2812 W Elmore St</t>
  </si>
  <si>
    <t>Elmore</t>
  </si>
  <si>
    <t>0-5:6,6-14:4</t>
  </si>
  <si>
    <t>4211 28th Ave W</t>
  </si>
  <si>
    <t>0-8:4,9-12:3</t>
  </si>
  <si>
    <t>American Classic Homes</t>
  </si>
  <si>
    <t>3415 W Emerson St</t>
  </si>
  <si>
    <t>Emerson</t>
  </si>
  <si>
    <t>0-1:0,2-6:1</t>
  </si>
  <si>
    <t>3015 W Emerson St</t>
  </si>
  <si>
    <t>0-1:5,2-5:6,6-8:5,9:4,10-11:5,12:3,13:2,14:3</t>
  </si>
  <si>
    <t>4316 36th Ave W</t>
  </si>
  <si>
    <t>3849 30th Ave W</t>
  </si>
  <si>
    <t>4217 27th Ave W</t>
  </si>
  <si>
    <t>0-4:2,5-14:1</t>
  </si>
  <si>
    <t>2008-03-22T10:47:07</t>
  </si>
  <si>
    <t>3831 35th Avenue W</t>
  </si>
  <si>
    <t>Avenue</t>
  </si>
  <si>
    <t>2109 Condon Way W</t>
  </si>
  <si>
    <t>Condon</t>
  </si>
  <si>
    <t>0:1,1-10:0,11:1,12:0</t>
  </si>
  <si>
    <t>2209 Thorndyke Ave W</t>
  </si>
  <si>
    <t>Thorndyke</t>
  </si>
  <si>
    <t>0-1:1,2-8:0</t>
  </si>
  <si>
    <t>2409 28th Ave W</t>
  </si>
  <si>
    <t>0:1S,1-12:1T</t>
  </si>
  <si>
    <t>2306 28th Ave W</t>
  </si>
  <si>
    <t>0-12:2,13:1</t>
  </si>
  <si>
    <t>2850 14th Ave W</t>
  </si>
  <si>
    <t>2817 14th Ave W</t>
  </si>
  <si>
    <t>0:0,1:1,2-12:0</t>
  </si>
  <si>
    <t>10 Florentia St</t>
  </si>
  <si>
    <t>3029 28th Ave W</t>
  </si>
  <si>
    <t>2851 14th Ave W</t>
  </si>
  <si>
    <t>3046 13th Ave W</t>
  </si>
  <si>
    <t>0:3,1-10:2,11-14:1</t>
  </si>
  <si>
    <t>2825 29th Ave W</t>
  </si>
  <si>
    <t>3018 27th Ave W</t>
  </si>
  <si>
    <t>3052 13th Ave W</t>
  </si>
  <si>
    <t>0-4:2,5:1</t>
  </si>
  <si>
    <t>2829 Prosch Ave W</t>
  </si>
  <si>
    <t>Prosch</t>
  </si>
  <si>
    <t>Windermere R.E. Arlington</t>
  </si>
  <si>
    <t>2908 25th Ave W</t>
  </si>
  <si>
    <t>3011 Humes Pl W</t>
  </si>
  <si>
    <t>Humes</t>
  </si>
  <si>
    <t>0-13:4</t>
  </si>
  <si>
    <t>3027 30 Ave W</t>
  </si>
  <si>
    <t>2603 W Barrett Street</t>
  </si>
  <si>
    <t>Barrett</t>
  </si>
  <si>
    <t>4316 Linden Ave N</t>
  </si>
  <si>
    <t>Help-U-Sell Northwest</t>
  </si>
  <si>
    <t>4423 Brygger Dr W</t>
  </si>
  <si>
    <t>Brygger</t>
  </si>
  <si>
    <t>0-11:2,12:1</t>
  </si>
  <si>
    <t>2902 W Eaton St</t>
  </si>
  <si>
    <t>Eaton</t>
  </si>
  <si>
    <t>2720 W Galer St</t>
  </si>
  <si>
    <t>2710 W Blaine St</t>
  </si>
  <si>
    <t>Blaine</t>
  </si>
  <si>
    <t>0:1,1-2:0,3:1,4-5:0,6-7:1,8:0,9-14:1</t>
  </si>
  <si>
    <t>1536 Thorndyke Ave W</t>
  </si>
  <si>
    <t>0:6,1-4:5,5:7,6-8:5,9:7,10:4,11:2,12-14:1</t>
  </si>
  <si>
    <t>3012 W Blaine St</t>
  </si>
  <si>
    <t>2935 Mayfair Ave N</t>
  </si>
  <si>
    <t>Mayfair</t>
  </si>
  <si>
    <t>212 Boston #C</t>
  </si>
  <si>
    <t>0-1:2,2-3:1</t>
  </si>
  <si>
    <t>210 Boston #A</t>
  </si>
  <si>
    <t>0:3,1:2,2:1</t>
  </si>
  <si>
    <t>4021 Evanston Ave N</t>
  </si>
  <si>
    <t>1633 5th Ave W</t>
  </si>
  <si>
    <t>611 W Raye St</t>
  </si>
  <si>
    <t>611 W Pleasant Pl</t>
  </si>
  <si>
    <t>Pleasant</t>
  </si>
  <si>
    <t>2564 7th Ave W</t>
  </si>
  <si>
    <t>0-6:3,7-9:2,10-13:1</t>
  </si>
  <si>
    <t>3432 9th Ave W</t>
  </si>
  <si>
    <t>1223 8th Ave W</t>
  </si>
  <si>
    <t>0-11:1,12:0</t>
  </si>
  <si>
    <t>1944 9th Ave W #a</t>
  </si>
  <si>
    <t>#a</t>
  </si>
  <si>
    <t>2142 9th Ave W</t>
  </si>
  <si>
    <t>820 W Lee St</t>
  </si>
  <si>
    <t>Lee</t>
  </si>
  <si>
    <t>3223 7th Ave W</t>
  </si>
  <si>
    <t>1947 7th Ave W</t>
  </si>
  <si>
    <t>657 W Emerson St.</t>
  </si>
  <si>
    <t>Emerson St.</t>
  </si>
  <si>
    <t>Modern Dwelling</t>
  </si>
  <si>
    <t>719 W Wheeler St</t>
  </si>
  <si>
    <t>Wheeler</t>
  </si>
  <si>
    <t>815 W Newell St</t>
  </si>
  <si>
    <t>Newell</t>
  </si>
  <si>
    <t>2534 8th Ave W</t>
  </si>
  <si>
    <t>2156 9th Ave W</t>
  </si>
  <si>
    <t>3005 3rd Ave W</t>
  </si>
  <si>
    <t>219 W Lee St</t>
  </si>
  <si>
    <t>110 W Smith St</t>
  </si>
  <si>
    <t>1413 3rd Ave W</t>
  </si>
  <si>
    <t>1415 3rd Ave W</t>
  </si>
  <si>
    <t>0:1,1-7:0</t>
  </si>
  <si>
    <t>0:2,1-6:1</t>
  </si>
  <si>
    <t>215 W Lee St</t>
  </si>
  <si>
    <t>316 W Newell St</t>
  </si>
  <si>
    <t>2425 3rd Ave W</t>
  </si>
  <si>
    <t>213 W Lee St</t>
  </si>
  <si>
    <t>217 W Lee St</t>
  </si>
  <si>
    <t>501 W Lee</t>
  </si>
  <si>
    <t>424 W McGraw Pl</t>
  </si>
  <si>
    <t>McGraw</t>
  </si>
  <si>
    <t>1418 5th Ave W</t>
  </si>
  <si>
    <t>0-3:0,4-13:1,14:0</t>
  </si>
  <si>
    <t>1008 W Armour St</t>
  </si>
  <si>
    <t>Armour</t>
  </si>
  <si>
    <t>0-6:2,7:1</t>
  </si>
  <si>
    <t>2717 11th Ave W</t>
  </si>
  <si>
    <t>2507 11th Ave W</t>
  </si>
  <si>
    <t>2542 12th Ave W</t>
  </si>
  <si>
    <t>0-1:0,2:1,3-11:0</t>
  </si>
  <si>
    <t>2141 10 Ave W</t>
  </si>
  <si>
    <t>2830 12th Ave W</t>
  </si>
  <si>
    <t>3222 10th Ave W</t>
  </si>
  <si>
    <t>0-4:2,5:1,6-7:2,8:1,9-12:2,13-14:1</t>
  </si>
  <si>
    <t>1826 12th Ave W</t>
  </si>
  <si>
    <t>3212 13th Ave W</t>
  </si>
  <si>
    <t>909 W Emerson St</t>
  </si>
  <si>
    <t>1108 W Blaine St</t>
  </si>
  <si>
    <t>Windermere Real Estate SBA Inc</t>
  </si>
  <si>
    <t>1922 12th Ave W</t>
  </si>
  <si>
    <t>0:3,1-11:1</t>
  </si>
  <si>
    <t>2200 11th Ave W #B</t>
  </si>
  <si>
    <t>2512 11th Ave W</t>
  </si>
  <si>
    <t>2256 12th Ave W</t>
  </si>
  <si>
    <t>3815 12th Ave W</t>
  </si>
  <si>
    <t>839 W Etruria St</t>
  </si>
  <si>
    <t>2518 10TH Ave W</t>
  </si>
  <si>
    <t>10TH</t>
  </si>
  <si>
    <t>2143 N Northlake Way</t>
  </si>
  <si>
    <t>3817 Corliss Ave N</t>
  </si>
  <si>
    <t>3912 Eastern Ave N</t>
  </si>
  <si>
    <t>3906 Wallingford Ave N</t>
  </si>
  <si>
    <t>0:5,1:6,2-3:7,4:6,5-12:5,13:3</t>
  </si>
  <si>
    <t>2223 N 44 St</t>
  </si>
  <si>
    <t>4018 Linden Ave N #B</t>
  </si>
  <si>
    <t>0-1:0,2-4:1,5:0,6-11:1,12:0,13-14:1</t>
  </si>
  <si>
    <t>1611 Taylor Ave N</t>
  </si>
  <si>
    <t>0-2:3,3-4:2,5-7:3,8:2,9-14:3</t>
  </si>
  <si>
    <t>Quantum Group</t>
  </si>
  <si>
    <t>1419 Taylor Ave N</t>
  </si>
  <si>
    <t>513 Galer St</t>
  </si>
  <si>
    <t>511 Galer St</t>
  </si>
  <si>
    <t>507 Galer St</t>
  </si>
  <si>
    <t>517 Galer St</t>
  </si>
  <si>
    <t>1617 5th Ave N</t>
  </si>
  <si>
    <t>0-4:3,5-12:2</t>
  </si>
  <si>
    <t>411 Raye St</t>
  </si>
  <si>
    <t>0:2,1:1,2-4:2,5-11:1,12:2,13-14:1</t>
  </si>
  <si>
    <t>John L. Scott Mukilteo</t>
  </si>
  <si>
    <t>8 Florentia St</t>
  </si>
  <si>
    <t>Gallagher Realty Advisors</t>
  </si>
  <si>
    <t>3636 Palatine Ave N</t>
  </si>
  <si>
    <t>1310 N 41st St #C</t>
  </si>
  <si>
    <t>0-6:1,7:0,8-9:1,10-11:0</t>
  </si>
  <si>
    <t>4220 Fremont Ave N #A</t>
  </si>
  <si>
    <t>2405 1st Ave N</t>
  </si>
  <si>
    <t>2403 1st Ave N</t>
  </si>
  <si>
    <t>162 Highland Dr</t>
  </si>
  <si>
    <t>Highland</t>
  </si>
  <si>
    <t>4318 Greenwood Ave N #A</t>
  </si>
  <si>
    <t>0:2,1-5:0</t>
  </si>
  <si>
    <t>4316 Greenwood Ave N #A</t>
  </si>
  <si>
    <t>2 W Lee St</t>
  </si>
  <si>
    <t>1428 1st Ave N</t>
  </si>
  <si>
    <t>0-4:3</t>
  </si>
  <si>
    <t>3530 Interlake Ave N</t>
  </si>
  <si>
    <t>0:4,1-2:3,3:4,4-5:3,6:2,7-8:3,9:2,10-12:1,13:0</t>
  </si>
  <si>
    <t>1516 Taylor Ave N</t>
  </si>
  <si>
    <t>2462 Birch Ave N</t>
  </si>
  <si>
    <t>Birch</t>
  </si>
  <si>
    <t>3534 Interlake Ave N</t>
  </si>
  <si>
    <t>0-2:6,3-4:5,5:6,6-7:4,8:5,9:4,10-13:3</t>
  </si>
  <si>
    <t>4019 Ashworth Ave N</t>
  </si>
  <si>
    <t>2466 Westlake Ave N</t>
  </si>
  <si>
    <t>1919 Dexter Ave N</t>
  </si>
  <si>
    <t>Dexter</t>
  </si>
  <si>
    <t>2130 Dexter Ave N</t>
  </si>
  <si>
    <t>0:1,1-3:0</t>
  </si>
  <si>
    <t>3607 Interlake Ave N #A</t>
  </si>
  <si>
    <t>0-1:1,2:2,3-13:1</t>
  </si>
  <si>
    <t>3609 Interlake Ave N #A</t>
  </si>
  <si>
    <t>4508 NE 38th St</t>
  </si>
  <si>
    <t>0-12:2,13-14:1</t>
  </si>
  <si>
    <t>4330 NE 44th St</t>
  </si>
  <si>
    <t>2008 Yale Ave E #A</t>
  </si>
  <si>
    <t>Yale</t>
  </si>
  <si>
    <t>2136 E Hamlin St</t>
  </si>
  <si>
    <t>Hamlin</t>
  </si>
  <si>
    <t>Montlake</t>
  </si>
  <si>
    <t>2328 McGilvra Blvd E #2330</t>
  </si>
  <si>
    <t>#2330</t>
  </si>
  <si>
    <t>McGilvra</t>
  </si>
  <si>
    <t>Madison Park</t>
  </si>
  <si>
    <t>2412 Broadway Ave E</t>
  </si>
  <si>
    <t>Broadway</t>
  </si>
  <si>
    <t>2502 Boyer Ave E</t>
  </si>
  <si>
    <t>Boyer</t>
  </si>
  <si>
    <t>0:4,1-11:3,12:1</t>
  </si>
  <si>
    <t>Portage Bay</t>
  </si>
  <si>
    <t>3801 49th Ave NE</t>
  </si>
  <si>
    <t>4833 NE 41st St</t>
  </si>
  <si>
    <t>0:2R,1-5:2S,6:2R,7-12:2S,13:1,14:1BI</t>
  </si>
  <si>
    <t>2026 Eastlake Ave E</t>
  </si>
  <si>
    <t>0-14:4</t>
  </si>
  <si>
    <t>4018 4th Ave NE</t>
  </si>
  <si>
    <t>2819 Franklin Ave E</t>
  </si>
  <si>
    <t>Franklin</t>
  </si>
  <si>
    <t>1615 22nd Ave E</t>
  </si>
  <si>
    <t>Russell Jones Real Estate</t>
  </si>
  <si>
    <t>1509 18th Ave E</t>
  </si>
  <si>
    <t>1651 22nd Ave E</t>
  </si>
  <si>
    <t>Capitol Hill</t>
  </si>
  <si>
    <t>1648 10th Ave E</t>
  </si>
  <si>
    <t>0-10:3,11:2,12:3,13-14:1</t>
  </si>
  <si>
    <t>1623 21st Ave E</t>
  </si>
  <si>
    <t>1210 19th Ave E</t>
  </si>
  <si>
    <t>1805 McGilvra Blvd E</t>
  </si>
  <si>
    <t>1161 18th Ave E</t>
  </si>
  <si>
    <t>1233 Shenandoah Dr E</t>
  </si>
  <si>
    <t>Shenandoah</t>
  </si>
  <si>
    <t>0:3,1:4,2-3:3,4-6:4,7:3,8-9:4,10:3,11-13:4,14:3</t>
  </si>
  <si>
    <t>Broadmoor</t>
  </si>
  <si>
    <t>1584 Parkside Dr</t>
  </si>
  <si>
    <t>Parkside</t>
  </si>
  <si>
    <t>1420 Broadmoor Dr E</t>
  </si>
  <si>
    <t>0-4:2,5-11:1,12-14:0</t>
  </si>
  <si>
    <t>1500 42nd Ave E</t>
  </si>
  <si>
    <t>0-4:2,5-10:1</t>
  </si>
  <si>
    <t>Washington Park</t>
  </si>
  <si>
    <t>1501 38 Ave E</t>
  </si>
  <si>
    <t>1604 Federal Ave E</t>
  </si>
  <si>
    <t>Federal</t>
  </si>
  <si>
    <t>0-1:5,2-10:4,11:3,12-13:2</t>
  </si>
  <si>
    <t>2116 Broadmoor Dr E</t>
  </si>
  <si>
    <t>0-8:1,9-13:0</t>
  </si>
  <si>
    <t>2332 42nd Ave E</t>
  </si>
  <si>
    <t>1808 24 Ave E</t>
  </si>
  <si>
    <t>1931 E Lynn St</t>
  </si>
  <si>
    <t>Lynn</t>
  </si>
  <si>
    <t>2128 Broadmoor Dr E</t>
  </si>
  <si>
    <t>4105 NE Surber Dr</t>
  </si>
  <si>
    <t>Surber</t>
  </si>
  <si>
    <t>4206 7th Ave NE</t>
  </si>
  <si>
    <t>2816 Harvard Ave E</t>
  </si>
  <si>
    <t>Harvard</t>
  </si>
  <si>
    <t>0-1:6,2-5:5,6-8:6,9-11:5,12-14:3</t>
  </si>
  <si>
    <t>Roanoke Park</t>
  </si>
  <si>
    <t>4102 E Lynn St</t>
  </si>
  <si>
    <t>2017 Parkside Dr E</t>
  </si>
  <si>
    <t>Keller Williams Seattle Metro</t>
  </si>
  <si>
    <t>4014 5th Ave NE</t>
  </si>
  <si>
    <t>2222 Everett Ave E</t>
  </si>
  <si>
    <t>1804 Blenheim Dr E</t>
  </si>
  <si>
    <t>Blenheim</t>
  </si>
  <si>
    <t>3118 Franklin Ave E</t>
  </si>
  <si>
    <t>0:0,1-2:1,3-7:0</t>
  </si>
  <si>
    <t>3124 Franklin Ave E #B</t>
  </si>
  <si>
    <t>3126 Franklin Ave E #A</t>
  </si>
  <si>
    <t>0:2,1-9:1,10:2,11-14:1</t>
  </si>
  <si>
    <t>3128 Franklin Ave E #B</t>
  </si>
  <si>
    <t>0:1,1:2,2-14:1</t>
  </si>
  <si>
    <t>2716 Harvard Ave E</t>
  </si>
  <si>
    <t>0-12:3,13:2,14:1</t>
  </si>
  <si>
    <t>2341 McGilvra Blvd E</t>
  </si>
  <si>
    <t>1810 23rd Ave E</t>
  </si>
  <si>
    <t>2209 E Roanoke St</t>
  </si>
  <si>
    <t>Roanoke</t>
  </si>
  <si>
    <t>0-7:1,8-9:0</t>
  </si>
  <si>
    <t>Windermere R.E. Snohomish</t>
  </si>
  <si>
    <t>418 NE 44th St</t>
  </si>
  <si>
    <t>4411 55th Ave NE</t>
  </si>
  <si>
    <t>0-1:1,3-11:1,12:0,13:1,14:0</t>
  </si>
  <si>
    <t>2537 Boyer Ave E</t>
  </si>
  <si>
    <t>0-1:6,2-4:5,5-8:4,9:5,10:4,11-14:5</t>
  </si>
  <si>
    <t>4335 NE 2 Ct</t>
  </si>
  <si>
    <t>Ct</t>
  </si>
  <si>
    <t>1645 Shenandoah Dr E</t>
  </si>
  <si>
    <t>0-6:4</t>
  </si>
  <si>
    <t>1655 Broadmoor Dr E</t>
  </si>
  <si>
    <t>104 E Roanoke St</t>
  </si>
  <si>
    <t>1610 Lakeview Blvd E</t>
  </si>
  <si>
    <t>Lakeview</t>
  </si>
  <si>
    <t>Quorum Real Estate, Inc.</t>
  </si>
  <si>
    <t>1658 Federal Ave E</t>
  </si>
  <si>
    <t>0-1:4,2:3,3-10:2,11-13:1,14:2</t>
  </si>
  <si>
    <t>2324 Harvard Ave E</t>
  </si>
  <si>
    <t>907 Howe St</t>
  </si>
  <si>
    <t>1928 10th Ave E</t>
  </si>
  <si>
    <t>2315 10th Ave E</t>
  </si>
  <si>
    <t>1980 Harvard Ave E</t>
  </si>
  <si>
    <t>0:3,1-5:2,6-7:1</t>
  </si>
  <si>
    <t>2817 10th Ave E</t>
  </si>
  <si>
    <t>4217 9th Ave NE</t>
  </si>
  <si>
    <t>3218 Portage Bay Pl E</t>
  </si>
  <si>
    <t>4209 Latona Ave NE</t>
  </si>
  <si>
    <t>0:8,1-10:7,11-14:6</t>
  </si>
  <si>
    <t>703 NE 43rd St</t>
  </si>
  <si>
    <t>2722 Harvard Ave E</t>
  </si>
  <si>
    <t>4100 E Highland Dr</t>
  </si>
  <si>
    <t>3701 E Garfield St</t>
  </si>
  <si>
    <t>1231 42nd Ave E</t>
  </si>
  <si>
    <t>2315 38th Ave E</t>
  </si>
  <si>
    <t>0-4:1,5-14:0</t>
  </si>
  <si>
    <t>2346 43rd Ave E</t>
  </si>
  <si>
    <t>2053 41st Ave E</t>
  </si>
  <si>
    <t>0-2:2,3:1,4:2,5:1,6:2,7-8:1,9-12:2,13:1,14:0</t>
  </si>
  <si>
    <t>1825 41st Ave E</t>
  </si>
  <si>
    <t>1921 42nd Ave E</t>
  </si>
  <si>
    <t>2041 Mcgilvra Blvd E</t>
  </si>
  <si>
    <t>Mcgilvra</t>
  </si>
  <si>
    <t>3821 43rd Ave NE</t>
  </si>
  <si>
    <t>2518 Royal Ct E</t>
  </si>
  <si>
    <t>Royal</t>
  </si>
  <si>
    <t>2530 39th Ave E</t>
  </si>
  <si>
    <t>3871 46th Ave NE</t>
  </si>
  <si>
    <t>3930 NE Belvoir Pl</t>
  </si>
  <si>
    <t>Belvoir</t>
  </si>
  <si>
    <t>2114 E Galer St</t>
  </si>
  <si>
    <t>0-5:8,6-13:7,14:3</t>
  </si>
  <si>
    <t>2545 Boyer Ave E</t>
  </si>
  <si>
    <t>0-8:O</t>
  </si>
  <si>
    <t>2026 E Calhoun St</t>
  </si>
  <si>
    <t>Calhoun</t>
  </si>
  <si>
    <t>0-5:1,6-9:0,10:1</t>
  </si>
  <si>
    <t>1921 E Blaine St</t>
  </si>
  <si>
    <t>0:1,1:0,2-12:1,13:0,14:1</t>
  </si>
  <si>
    <t>2330 14th Ave E</t>
  </si>
  <si>
    <t>1311 E Boston St</t>
  </si>
  <si>
    <t>0:1,1-3:3,4:1,5-9:3,10-13:2,14:1</t>
  </si>
  <si>
    <t>2416 24th Ave E</t>
  </si>
  <si>
    <t>0-3:2,4-6:1,7-14:0</t>
  </si>
  <si>
    <t>1910 15th Ave E</t>
  </si>
  <si>
    <t>2110 E Crescent Dr</t>
  </si>
  <si>
    <t>Crescent</t>
  </si>
  <si>
    <t>John L. Scott R.E. Maple Vly</t>
  </si>
  <si>
    <t>1860 24th Ave E</t>
  </si>
  <si>
    <t>2080 23rd Ave E</t>
  </si>
  <si>
    <t>2023 24th Ave E</t>
  </si>
  <si>
    <t>2214 E Highland Dr</t>
  </si>
  <si>
    <t>0-9:2</t>
  </si>
  <si>
    <t>1413 25th Ave E</t>
  </si>
  <si>
    <t>1845 Broadmoor Dr E</t>
  </si>
  <si>
    <t>0-4:5,5-6:0</t>
  </si>
  <si>
    <t>1732 Lot #6 Kitsap Pl NE (Unable to map)</t>
  </si>
  <si>
    <t>Lot #6 Kitsap</t>
  </si>
  <si>
    <t>0-1:3,2:4,3-8:3,9:0</t>
  </si>
  <si>
    <t>Coal Creek</t>
  </si>
  <si>
    <t>1810 Kitsap Pl NE #Lot 4 (Unable to map)</t>
  </si>
  <si>
    <t>#Lot 4</t>
  </si>
  <si>
    <t>Kitsap</t>
  </si>
  <si>
    <t>0:4,1-3:2,4-5:1</t>
  </si>
  <si>
    <t>304 Rosario Pl NE (Unable to map)</t>
  </si>
  <si>
    <t>Rosario</t>
  </si>
  <si>
    <t>0:3,1-5:2</t>
  </si>
  <si>
    <t>331 Rosario Pl NE (Unable to map)</t>
  </si>
  <si>
    <t>0:3,1-4:2,5-7:1,8:0</t>
  </si>
  <si>
    <t>5024 NE 8th Pl (Unable to map)</t>
  </si>
  <si>
    <t>5132 NE 10th St #Lot 7 (Unable to map)</t>
  </si>
  <si>
    <t>#Lot 7</t>
  </si>
  <si>
    <t>0:6,1:5,2:3,3-14:1</t>
  </si>
  <si>
    <t>Hazen</t>
  </si>
  <si>
    <t>16049 SE 137th Ter (Unable to map)</t>
  </si>
  <si>
    <t>137th</t>
  </si>
  <si>
    <t>SE</t>
  </si>
  <si>
    <t>0:2,1-2:1,3:0</t>
  </si>
  <si>
    <t>343 Rosario Pl NE (Unable to map)</t>
  </si>
  <si>
    <t>0:3,1-2:2,3-5:1,6-8:0</t>
  </si>
  <si>
    <t>16031 SE 137th Ter (Unable to map)</t>
  </si>
  <si>
    <t>0:1,1-2:0</t>
  </si>
  <si>
    <t>16019 SE 137th Ter (Unable to map)</t>
  </si>
  <si>
    <t>16037 SE 137th Ter (Unable to map)</t>
  </si>
  <si>
    <t>16032 SE 137th Ter (Unable to map)</t>
  </si>
  <si>
    <t>16043 SE 137th Ter (Unable to map)</t>
  </si>
  <si>
    <t>16044 SE 137th Ter (Unable to map)</t>
  </si>
  <si>
    <t>16014 SE 137th Ter (Unable to map)</t>
  </si>
  <si>
    <t>16026 SE 137th Ter (Unable to map)</t>
  </si>
  <si>
    <t>0:2,1-2:1,3:0,4:1,5-10:0</t>
  </si>
  <si>
    <t>337 Rosario Pl NE (Unable to map)</t>
  </si>
  <si>
    <t>17725 SE 123rd Pl (Unable to map)</t>
  </si>
  <si>
    <t>0-2:0,3:1,4:0</t>
  </si>
  <si>
    <t>5025 NE 8th Pl (Unable to map)</t>
  </si>
  <si>
    <t>5019 N 8th Pl (Unable to map)</t>
  </si>
  <si>
    <t>5018 NE 8th Pl (Unable to map)</t>
  </si>
  <si>
    <t>5610 NE First Pl #Lot 6 (Unable to map)</t>
  </si>
  <si>
    <t>First</t>
  </si>
  <si>
    <t>The Conner Group, Inc.</t>
  </si>
  <si>
    <t>5220 NE lst Ct (Unable to map)</t>
  </si>
  <si>
    <t>lst</t>
  </si>
  <si>
    <t>0-6:2</t>
  </si>
  <si>
    <t>Maplewood Heights</t>
  </si>
  <si>
    <t>Real Estate 2000 Inc.</t>
  </si>
  <si>
    <t>13729 SE 90th Pl (Unable to map)</t>
  </si>
  <si>
    <t>Newcastle</t>
  </si>
  <si>
    <t>13718 SE 90th Pl (Unable to map)</t>
  </si>
  <si>
    <t>0 42nd Ave E #xxxx (Unable to map)</t>
  </si>
  <si>
    <t>#xxxx</t>
  </si>
  <si>
    <t>0-13:3</t>
  </si>
  <si>
    <t>13724 SE 90th Pl (Unable to map)</t>
  </si>
  <si>
    <t>6158 NE 3rd Ct (Unable to map)</t>
  </si>
  <si>
    <t>6106 NE 3rd Ct (Unable to map)</t>
  </si>
  <si>
    <t>0:3,1-12:0</t>
  </si>
  <si>
    <t>6152 NE 3rd Ct (Unable to map)</t>
  </si>
  <si>
    <t>0-1:2,2-6:1,7-8:0</t>
  </si>
  <si>
    <t>6112 NE 3rd Ct (Unable to map)</t>
  </si>
  <si>
    <t>0:3,1-6:0</t>
  </si>
  <si>
    <t>121 Duvall Ave SE (Unable to map)</t>
  </si>
  <si>
    <t>Duvall</t>
  </si>
  <si>
    <t>13709 SE 90th Pl (Unable to map)</t>
  </si>
  <si>
    <t>13712 SE 90th Pl (Unable to map)</t>
  </si>
  <si>
    <t>5120 NE 10th St #Lot 5 (Unable to map)</t>
  </si>
  <si>
    <t>#Lot 5</t>
  </si>
  <si>
    <t>0:D,1-2:B,3-9:A,10:4,11-13:3,14:1</t>
  </si>
  <si>
    <t>5513 NE First Pl #Lot 10 (Unable to map)</t>
  </si>
  <si>
    <t>#Lot 10</t>
  </si>
  <si>
    <t>Residential Real Estate Inc.</t>
  </si>
  <si>
    <t>15933 SE 135th Pl (Unable to map)</t>
  </si>
  <si>
    <t>135th</t>
  </si>
  <si>
    <t>15939 SE 135th Pl (Unable to map)</t>
  </si>
  <si>
    <t>0-2:8,3-9:7,10:6,11:3,12-13:2,14:1</t>
  </si>
  <si>
    <t>5204 NE 10th St #Lot 8 (Unable to map)</t>
  </si>
  <si>
    <t>#Lot 8</t>
  </si>
  <si>
    <t>0-9:A,10-12:5,13-14:4</t>
  </si>
  <si>
    <t>5102 NE 10th St #Lot 2 (Unable to map)</t>
  </si>
  <si>
    <t>0:B,1-2:A,3-9:B,10:8,11-13:7,14:5</t>
  </si>
  <si>
    <t>5108 NE 10th St #Lot 3 (Unable to map)</t>
  </si>
  <si>
    <t>#Lot 3</t>
  </si>
  <si>
    <t>0:5,1-14:4</t>
  </si>
  <si>
    <t>325 Rosario Pl NE (Unable to map)</t>
  </si>
  <si>
    <t>15940 SE 135th Pl (Unable to map)</t>
  </si>
  <si>
    <t>16038 SE 137th Ter (Unable to map)</t>
  </si>
  <si>
    <t>0:5,1-2:4</t>
  </si>
  <si>
    <t>Madison Valley</t>
  </si>
  <si>
    <t>5105 NE 7th Pl (Lot 201) (Unable to map)</t>
  </si>
  <si>
    <t>7th Pl (Lot 201)</t>
  </si>
  <si>
    <t>6100 NE 3rd Ct (Unable to map)</t>
  </si>
  <si>
    <t>0-1:6,2-14:0</t>
  </si>
  <si>
    <t>East Renton</t>
  </si>
  <si>
    <t>5117 NE 7th Pl (Lot 203) (Unable to map)</t>
  </si>
  <si>
    <t>7th Pl (Lot 203)</t>
  </si>
  <si>
    <t>5221 NE 7th Pl (Lot 210) (Unable to map)</t>
  </si>
  <si>
    <t>7th Pl (Lot 210)</t>
  </si>
  <si>
    <t>5156 NE 7th Pl (Lot 237) (Unable to map)</t>
  </si>
  <si>
    <t>7th Pl (Lot 237)</t>
  </si>
  <si>
    <t>5111 NE 7th Pl (Lot 202) (Unable to map)</t>
  </si>
  <si>
    <t>7th Pl (Lot 202)</t>
  </si>
  <si>
    <t>215 Ilwaco Pl SE (Unable to map)</t>
  </si>
  <si>
    <t>Ilwaco</t>
  </si>
  <si>
    <t>0-7:2,8-9:1</t>
  </si>
  <si>
    <t>1807 Lot #2 Kitsap Pl NE (Unable to map)</t>
  </si>
  <si>
    <t>Lot #2 Kitsap</t>
  </si>
  <si>
    <t>0:7,1:6,2-5:5</t>
  </si>
  <si>
    <t>15988 SE 135th Pl (Unable to map)</t>
  </si>
  <si>
    <t>0:8,1-10:6,11:4</t>
  </si>
  <si>
    <t>5114 NE 10th St #Lot 4 (Unable to map)</t>
  </si>
  <si>
    <t>0:1U,1-2:1T,3-13:1L</t>
  </si>
  <si>
    <t>906 Jericho Pl NE (Lot 334) (Unable to map)</t>
  </si>
  <si>
    <t>Jericho Pl NE (Lot 334)</t>
  </si>
  <si>
    <t>5236 NE 9th Pl (Lot 314) (Unable to map)</t>
  </si>
  <si>
    <t>9th Pl (Lot 314)</t>
  </si>
  <si>
    <t>974 Jericho Pl NE (Lot 321) (Unable to map)</t>
  </si>
  <si>
    <t>Jericho Pl NE (Lot 321)</t>
  </si>
  <si>
    <t>976 Jericho Pl NE (Lot 327) (Unable to map)</t>
  </si>
  <si>
    <t>Jericho Pl NE (Lot 327)</t>
  </si>
  <si>
    <t>907 Jericho Pl NE (Lot 310) (Unable to map)</t>
  </si>
  <si>
    <t>Jericho Pl NE (Lot 310)</t>
  </si>
  <si>
    <t>611 21st Ave</t>
  </si>
  <si>
    <t>Central Area</t>
  </si>
  <si>
    <t>520 26th Ave S</t>
  </si>
  <si>
    <t>Leschi</t>
  </si>
  <si>
    <t>Sat, Dec 13 1 - 4 PM</t>
  </si>
  <si>
    <t>820 21st Ave</t>
  </si>
  <si>
    <t>0:3,1-14:1</t>
  </si>
  <si>
    <t>928 31st Ave</t>
  </si>
  <si>
    <t>Madrona</t>
  </si>
  <si>
    <t>513 Martin Luther King Jr Way S</t>
  </si>
  <si>
    <t>Martin Luther King Jr</t>
  </si>
  <si>
    <t>209 23rd Ave #A</t>
  </si>
  <si>
    <t>518 26th Ave S</t>
  </si>
  <si>
    <t>203 29 Ave</t>
  </si>
  <si>
    <t>710 30th Ave</t>
  </si>
  <si>
    <t>0-1:9,2-5:8,6:9,7-8:8,9-11:9,12:8,13:A,14:2</t>
  </si>
  <si>
    <t>209 32nd Ave</t>
  </si>
  <si>
    <t>0-7:O</t>
  </si>
  <si>
    <t>919 25th Ave</t>
  </si>
  <si>
    <t>0:1,1-7:0,9-14:0</t>
  </si>
  <si>
    <t>406 35th Ave S</t>
  </si>
  <si>
    <t>0:B,1-2:7,3:6,4:5,5:7,6:8,7-8:5,9:3,10:5,11:3,12-13:4</t>
  </si>
  <si>
    <t>939 21st Ave</t>
  </si>
  <si>
    <t>217 23rd Ave #A</t>
  </si>
  <si>
    <t>2508 E Yesler Way #A</t>
  </si>
  <si>
    <t>Yesler</t>
  </si>
  <si>
    <t>0-12:6</t>
  </si>
  <si>
    <t>2019 S Main St</t>
  </si>
  <si>
    <t>Main</t>
  </si>
  <si>
    <t>127 17th Ave</t>
  </si>
  <si>
    <t>306 20 Ave S #B</t>
  </si>
  <si>
    <t>0-10:2,11:3,12-14:2</t>
  </si>
  <si>
    <t>2028 S Main St #A</t>
  </si>
  <si>
    <t>0:2,1-4:1,5:2,6:1</t>
  </si>
  <si>
    <t>109 30th Ave S</t>
  </si>
  <si>
    <t>301 27th Ave S</t>
  </si>
  <si>
    <t>100 26th Ave #B</t>
  </si>
  <si>
    <t>108 20th Ave</t>
  </si>
  <si>
    <t>112 18th Ave</t>
  </si>
  <si>
    <t>445 McGilvra Blvd E</t>
  </si>
  <si>
    <t>0-12:4,13:3,14:2</t>
  </si>
  <si>
    <t>Keller Williams Eastside Ptnrs</t>
  </si>
  <si>
    <t>3802 E Terrace St</t>
  </si>
  <si>
    <t>Terrace</t>
  </si>
  <si>
    <t>280 Maiden Ln E</t>
  </si>
  <si>
    <t>Maiden</t>
  </si>
  <si>
    <t>Denny Blaine</t>
  </si>
  <si>
    <t>1448 Madrona Dr</t>
  </si>
  <si>
    <t>0-7:3,8:1</t>
  </si>
  <si>
    <t>1141 26th Ave</t>
  </si>
  <si>
    <t>1133 26th Ave</t>
  </si>
  <si>
    <t>East Union</t>
  </si>
  <si>
    <t>1135 26th Ave</t>
  </si>
  <si>
    <t>1137 25th Ave</t>
  </si>
  <si>
    <t>1110 36th Ave</t>
  </si>
  <si>
    <t>1137 26th Ave</t>
  </si>
  <si>
    <t>1131 26th Ave</t>
  </si>
  <si>
    <t>1726 32nd Ave</t>
  </si>
  <si>
    <t>1508 40 Ave</t>
  </si>
  <si>
    <t>1502 33rd Ave</t>
  </si>
  <si>
    <t>Picket Fence Real Estate</t>
  </si>
  <si>
    <t>1715 E Howell St</t>
  </si>
  <si>
    <t>Howell</t>
  </si>
  <si>
    <t>1728 11th Ave</t>
  </si>
  <si>
    <t>0-6:3,7-11:2,12-14:1</t>
  </si>
  <si>
    <t>1602 20th Ave</t>
  </si>
  <si>
    <t>2900 E Pike St</t>
  </si>
  <si>
    <t>Pike</t>
  </si>
  <si>
    <t>1630 34th Ave</t>
  </si>
  <si>
    <t>0:2,1-12:3,13:2</t>
  </si>
  <si>
    <t>1408 E Olive St</t>
  </si>
  <si>
    <t>Olive</t>
  </si>
  <si>
    <t>1604 20th Ave</t>
  </si>
  <si>
    <t>1730 23rd Ave</t>
  </si>
  <si>
    <t>0-2:2,3:3,4-11:2,12-14:1</t>
  </si>
  <si>
    <t>RE/MAX Select Real Estate</t>
  </si>
  <si>
    <t>1613 Martin Luther King Jr. Way</t>
  </si>
  <si>
    <t>Martin Luther King Jr.</t>
  </si>
  <si>
    <t>187 27th Ave</t>
  </si>
  <si>
    <t>2020 E Terrace St</t>
  </si>
  <si>
    <t>413 32nd Ave</t>
  </si>
  <si>
    <t>1222 E Fir St</t>
  </si>
  <si>
    <t>Fir</t>
  </si>
  <si>
    <t>First Hill</t>
  </si>
  <si>
    <t>1818 E Fir St</t>
  </si>
  <si>
    <t>216 20th Ave</t>
  </si>
  <si>
    <t>0-9:1E,10-12:1D</t>
  </si>
  <si>
    <t>Keller Williams Realty Fed Way</t>
  </si>
  <si>
    <t>333 Erie Ave</t>
  </si>
  <si>
    <t>Erie</t>
  </si>
  <si>
    <t>0-5:3,6-8:1</t>
  </si>
  <si>
    <t>1814 E Jefferson St</t>
  </si>
  <si>
    <t>Jefferson</t>
  </si>
  <si>
    <t>1217 E James Ct</t>
  </si>
  <si>
    <t>James</t>
  </si>
  <si>
    <t>0:8,1-9:7,10-11:8,12:7,13-14:5</t>
  </si>
  <si>
    <t>Wellness Capital Mgmt. Inc</t>
  </si>
  <si>
    <t>533 20th Ave</t>
  </si>
  <si>
    <t>605 20th Ave</t>
  </si>
  <si>
    <t>607 20th Ave</t>
  </si>
  <si>
    <t>1525 E Jefferson St</t>
  </si>
  <si>
    <t>0:4,1-9:3,10:1,11-14:0</t>
  </si>
  <si>
    <t>2022 E Terrace St</t>
  </si>
  <si>
    <t>0-6:3,7:2,8-9:0</t>
  </si>
  <si>
    <t>403 21st Ave</t>
  </si>
  <si>
    <t>0-2:D,3-7:A,8:7,9-11:1</t>
  </si>
  <si>
    <t>Tue, Oct 28 1 - 4 PM</t>
  </si>
  <si>
    <t>2026 E Terrace St</t>
  </si>
  <si>
    <t>0-8:F,9-11:B,12:0</t>
  </si>
  <si>
    <t>822 15th Ave</t>
  </si>
  <si>
    <t>824 13 Ave</t>
  </si>
  <si>
    <t>0:1,1:0,3-12:0</t>
  </si>
  <si>
    <t>831 15th Ave</t>
  </si>
  <si>
    <t>1415 E Marion St</t>
  </si>
  <si>
    <t>Marion</t>
  </si>
  <si>
    <t>1508 24th Ave</t>
  </si>
  <si>
    <t>2614 E Union St #A</t>
  </si>
  <si>
    <t>Union</t>
  </si>
  <si>
    <t>314 25th Ave E</t>
  </si>
  <si>
    <t>1410 30th Ave</t>
  </si>
  <si>
    <t>1828 27th Ave #A</t>
  </si>
  <si>
    <t>221 30th Ave E</t>
  </si>
  <si>
    <t>0:4,1:3,2:4,3-5:3,6:4,7-14:3</t>
  </si>
  <si>
    <t>Windermere RE West Campus Inc</t>
  </si>
  <si>
    <t>416 11 Ave E</t>
  </si>
  <si>
    <t>1818 23rd Ave</t>
  </si>
  <si>
    <t>1014 E Denny St</t>
  </si>
  <si>
    <t>Denny</t>
  </si>
  <si>
    <t>132 25th Ave E #B</t>
  </si>
  <si>
    <t>0-6:3,7-8:2</t>
  </si>
  <si>
    <t>1806 14th Ave</t>
  </si>
  <si>
    <t>1830 25th Ave</t>
  </si>
  <si>
    <t>0-4:3,5-8:2,9-11:3,12:2</t>
  </si>
  <si>
    <t>1814 26th Ave</t>
  </si>
  <si>
    <t>0-1:3,2:4,3-5:3,6:4,7:3,8-9:4,10-12:3,13:2</t>
  </si>
  <si>
    <t>181 37th Ave E</t>
  </si>
  <si>
    <t>131 25th Ave E #B</t>
  </si>
  <si>
    <t>0:1,1:2,2-6:0,7:1,8:2,9-14:1</t>
  </si>
  <si>
    <t>1833 24th Ave #A</t>
  </si>
  <si>
    <t>Ludwick Properties</t>
  </si>
  <si>
    <t>202 26th Ave E</t>
  </si>
  <si>
    <t>125 21st Ave E</t>
  </si>
  <si>
    <t>2710 E Denny Way</t>
  </si>
  <si>
    <t>0:2,1-8:1,9-11:0</t>
  </si>
  <si>
    <t>831 33rd Ave E</t>
  </si>
  <si>
    <t>815 36th Ave E</t>
  </si>
  <si>
    <t>0-1:0,2-7:1,8:0,9-10:1</t>
  </si>
  <si>
    <t>328 25th Ave E</t>
  </si>
  <si>
    <t>510 Malden Ave E</t>
  </si>
  <si>
    <t>Malden</t>
  </si>
  <si>
    <t>628 32nd Ave E</t>
  </si>
  <si>
    <t>428 17th Ave E</t>
  </si>
  <si>
    <t>305 27th Ave E</t>
  </si>
  <si>
    <t>2406 E Helen St</t>
  </si>
  <si>
    <t>Helen</t>
  </si>
  <si>
    <t>Arboretum</t>
  </si>
  <si>
    <t>910 19th Ave E</t>
  </si>
  <si>
    <t>628 11th Ave E</t>
  </si>
  <si>
    <t>916 Harvard Ave E</t>
  </si>
  <si>
    <t>0-11:4,12-14:3</t>
  </si>
  <si>
    <t>621 32nd Ave E</t>
  </si>
  <si>
    <t>719 20 Ave E</t>
  </si>
  <si>
    <t>0-2:6,3:7,4:5,5-6:6,7-8:5,9-10:6,11:7,12:6,13:7,14:4</t>
  </si>
  <si>
    <t>Cascade Partners</t>
  </si>
  <si>
    <t>2317 E Harrison St</t>
  </si>
  <si>
    <t>Harrison</t>
  </si>
  <si>
    <t>418 11th Ave E</t>
  </si>
  <si>
    <t>734 10 Ave E</t>
  </si>
  <si>
    <t>0-1:2,2-4:1,5-6:0,7:1</t>
  </si>
  <si>
    <t>1013 E Republican St</t>
  </si>
  <si>
    <t>Republican</t>
  </si>
  <si>
    <t>GITA Real Estate LLC</t>
  </si>
  <si>
    <t>815 29th Ave E</t>
  </si>
  <si>
    <t>0-5:7,6-9:6,10:5,11:6,12:3,13:2,14:1</t>
  </si>
  <si>
    <t>City Life Real Estate</t>
  </si>
  <si>
    <t>717 26th Ave</t>
  </si>
  <si>
    <t>610 Melrose Ave E</t>
  </si>
  <si>
    <t>Melrose</t>
  </si>
  <si>
    <t>163 18th Ave #B</t>
  </si>
  <si>
    <t>1406 E Olive St</t>
  </si>
  <si>
    <t>TeamBuilder JLS</t>
  </si>
  <si>
    <t>1810 11th Ave #B</t>
  </si>
  <si>
    <t>2001 E Yesler Way</t>
  </si>
  <si>
    <t>213 26th Ave E #B</t>
  </si>
  <si>
    <t>Urban Pacific Real Estate</t>
  </si>
  <si>
    <t>427 13th Ave E</t>
  </si>
  <si>
    <t>2400 E Howell St</t>
  </si>
  <si>
    <t>165 18th Ave</t>
  </si>
  <si>
    <t>1621 25th Ave</t>
  </si>
  <si>
    <t>122 19th Ave E</t>
  </si>
  <si>
    <t>802 22nd Ave</t>
  </si>
  <si>
    <t>John L. Scott LML</t>
  </si>
  <si>
    <t>2315 E Columbia St</t>
  </si>
  <si>
    <t>Columbia</t>
  </si>
  <si>
    <t>349 17th Ave</t>
  </si>
  <si>
    <t>2015 S Washington St</t>
  </si>
  <si>
    <t>Washington</t>
  </si>
  <si>
    <t>1632 23rd Ave</t>
  </si>
  <si>
    <t>#3lots</t>
  </si>
  <si>
    <t>135 23rd Ave E</t>
  </si>
  <si>
    <t>943 21st Ave</t>
  </si>
  <si>
    <t>2030 S Main St</t>
  </si>
  <si>
    <t>0:3,1-7:1</t>
  </si>
  <si>
    <t>2421 E UNION St</t>
  </si>
  <si>
    <t>UNION</t>
  </si>
  <si>
    <t>2423 E UNION St</t>
  </si>
  <si>
    <t>2425 E UNION St</t>
  </si>
  <si>
    <t>1135 25th Ave</t>
  </si>
  <si>
    <t>116 20th Ave E #B</t>
  </si>
  <si>
    <t>0-1:2,2-7:1,8-11:0</t>
  </si>
  <si>
    <t>1807 E Thomas St</t>
  </si>
  <si>
    <t>Thomas</t>
  </si>
  <si>
    <t>215 18th Ave E #A</t>
  </si>
  <si>
    <t>1816 23rd Ave</t>
  </si>
  <si>
    <t>1846 S Weller St</t>
  </si>
  <si>
    <t>Weller</t>
  </si>
  <si>
    <t>0-3:1,4-5:0,6-7:1,8-9:0</t>
  </si>
  <si>
    <t>1506 19th Ave</t>
  </si>
  <si>
    <t>0-13:2,14:0</t>
  </si>
  <si>
    <t>1811 E Spring St</t>
  </si>
  <si>
    <t>Spring</t>
  </si>
  <si>
    <t>2813 24th Ave S</t>
  </si>
  <si>
    <t>N Beacon Hill</t>
  </si>
  <si>
    <t>1826 24th Ave #B</t>
  </si>
  <si>
    <t>0:5,1-7:4,8-13:3</t>
  </si>
  <si>
    <t>1105 Boylston Ave E</t>
  </si>
  <si>
    <t>Boylston</t>
  </si>
  <si>
    <t>725 Harvard Ave E</t>
  </si>
  <si>
    <t>RE/MAX Real Estate Center</t>
  </si>
  <si>
    <t>925 Federal Ave E</t>
  </si>
  <si>
    <t>0-9:3,10-14:2</t>
  </si>
  <si>
    <t>433 Federal Ave E</t>
  </si>
  <si>
    <t>1023 Columbia St</t>
  </si>
  <si>
    <t>0-13:3,14:0</t>
  </si>
  <si>
    <t>1820 11th Ave #B</t>
  </si>
  <si>
    <t>1016 E John St</t>
  </si>
  <si>
    <t>John</t>
  </si>
  <si>
    <t>1710 14TH Ave</t>
  </si>
  <si>
    <t>0:2,1:0</t>
  </si>
  <si>
    <t>120 13th Ave</t>
  </si>
  <si>
    <t>158 15th Ave #A</t>
  </si>
  <si>
    <t>120 39 Ave E</t>
  </si>
  <si>
    <t>0-4:3,5-9:2,10-14:1</t>
  </si>
  <si>
    <t>1522 40th Ave</t>
  </si>
  <si>
    <t>Quorum Real Estate Madison</t>
  </si>
  <si>
    <t>515 Randolph Ave</t>
  </si>
  <si>
    <t>Randolph</t>
  </si>
  <si>
    <t>0-7:2,8-12:1,13-14:0</t>
  </si>
  <si>
    <t>305 Lakeside Ave S #A</t>
  </si>
  <si>
    <t>309 Lakeside Ave S #B</t>
  </si>
  <si>
    <t>0-10:2,11:1,12:0</t>
  </si>
  <si>
    <t>1002 36th Ave E</t>
  </si>
  <si>
    <t>223 Maiden Ln E</t>
  </si>
  <si>
    <t>219 37th Ave E</t>
  </si>
  <si>
    <t>0-2:1,3:0,4-14:1</t>
  </si>
  <si>
    <t>503 McGilvra Blvd E</t>
  </si>
  <si>
    <t>3702 E Jefferson St</t>
  </si>
  <si>
    <t>0-4:2,5:1,6:2,7:1,8-11:2,12:1</t>
  </si>
  <si>
    <t>3425 E Florence Ct</t>
  </si>
  <si>
    <t>Florence</t>
  </si>
  <si>
    <t>1115 36th Ave</t>
  </si>
  <si>
    <t>3500 King St</t>
  </si>
  <si>
    <t>0:5,1-6:3,7-12:2</t>
  </si>
  <si>
    <t>1719 Madrona Dr</t>
  </si>
  <si>
    <t>425 13th Ave E</t>
  </si>
  <si>
    <t>952 16th Ave E</t>
  </si>
  <si>
    <t>0:3,1:4,2-3:3,4-6:4,7:6,8-9:3,10:4,11-13:3,14:2</t>
  </si>
  <si>
    <t>506 17th Ave E</t>
  </si>
  <si>
    <t>2314 E Ward St</t>
  </si>
  <si>
    <t>Ward</t>
  </si>
  <si>
    <t>316 21st Ave E</t>
  </si>
  <si>
    <t>900 18th Ave E</t>
  </si>
  <si>
    <t>0-4:1,5:2,6-8:1,9-10:2,11-14:1</t>
  </si>
  <si>
    <t>957 22nd Ave E</t>
  </si>
  <si>
    <t>0-14:6</t>
  </si>
  <si>
    <t>2425 E Aloha St</t>
  </si>
  <si>
    <t>Aloha</t>
  </si>
  <si>
    <t>0-1:0,2:1,3-10:0,11:1,12-14:0</t>
  </si>
  <si>
    <t>718 20th Ave E</t>
  </si>
  <si>
    <t>2563 E Madison St</t>
  </si>
  <si>
    <t>Madison</t>
  </si>
  <si>
    <t>207 26th Ave S #B</t>
  </si>
  <si>
    <t>Judkins</t>
  </si>
  <si>
    <t>3216 E Mercer St</t>
  </si>
  <si>
    <t>Mercer</t>
  </si>
  <si>
    <t>112 32nd Ave</t>
  </si>
  <si>
    <t>0-10:L,11-14:0</t>
  </si>
  <si>
    <t>714 33RD Ave</t>
  </si>
  <si>
    <t>33RD</t>
  </si>
  <si>
    <t>925 26th Ave</t>
  </si>
  <si>
    <t>1629 27th Ave</t>
  </si>
  <si>
    <t>1515 31st Ave</t>
  </si>
  <si>
    <t>1709 34th Ave</t>
  </si>
  <si>
    <t>1500 MLK JR. Way</t>
  </si>
  <si>
    <t>MLK JR.</t>
  </si>
  <si>
    <t>1511 32nd Ave</t>
  </si>
  <si>
    <t>Springfield Associates</t>
  </si>
  <si>
    <t>813 32nd Ave</t>
  </si>
  <si>
    <t>2705 S King St</t>
  </si>
  <si>
    <t>JohnSRealty</t>
  </si>
  <si>
    <t>510 Martin Luther King Junior Way S</t>
  </si>
  <si>
    <t>Martin Luther King Junior</t>
  </si>
  <si>
    <t>International District</t>
  </si>
  <si>
    <t>Windermere Real Estate JS</t>
  </si>
  <si>
    <t>608 32nd Ave</t>
  </si>
  <si>
    <t>0:0,1-2:1,3-14:0</t>
  </si>
  <si>
    <t>317 31st Ave</t>
  </si>
  <si>
    <t>428 Dewey Pl E</t>
  </si>
  <si>
    <t>Dewey</t>
  </si>
  <si>
    <t>719 34th Ave</t>
  </si>
  <si>
    <t>0-1:2,2:3,3:2,4-5:1,6-14:2</t>
  </si>
  <si>
    <t>2717 Yesler Way</t>
  </si>
  <si>
    <t>2803 E Denny Way</t>
  </si>
  <si>
    <t>John L. Scott Puy/Canyon Rd.</t>
  </si>
  <si>
    <t>809 29th Ave</t>
  </si>
  <si>
    <t>John L. Scott Prop. Mngmt</t>
  </si>
  <si>
    <t>1729 29th Ave</t>
  </si>
  <si>
    <t>2618 E Madison St</t>
  </si>
  <si>
    <t>2802 E Union St</t>
  </si>
  <si>
    <t>2816 E Spring St</t>
  </si>
  <si>
    <t>0-9:5</t>
  </si>
  <si>
    <t>1611 32nd Ave</t>
  </si>
  <si>
    <t>1710 29th Ave</t>
  </si>
  <si>
    <t>919 26th Ave</t>
  </si>
  <si>
    <t>Pacific Rim Investments</t>
  </si>
  <si>
    <t>1116 25th</t>
  </si>
  <si>
    <t>277 Lake Dell Ave</t>
  </si>
  <si>
    <t>Lake Dell</t>
  </si>
  <si>
    <t>0:1,1-5:0,6:1,7-14:0</t>
  </si>
  <si>
    <t>3409 E Denny Way</t>
  </si>
  <si>
    <t>0-11:2,12-13:3</t>
  </si>
  <si>
    <t>719 26th Ave</t>
  </si>
  <si>
    <t>3401 E Spring</t>
  </si>
  <si>
    <t>0-5:4,6:3,7-8:4,9:3,10:4,11:2,12:1</t>
  </si>
  <si>
    <t>576 Lake Washington Blvd E</t>
  </si>
  <si>
    <t>Lake Washington</t>
  </si>
  <si>
    <t>3206 E Republican St</t>
  </si>
  <si>
    <t>1111 29th Ave</t>
  </si>
  <si>
    <t>TheMLSonline.com</t>
  </si>
  <si>
    <t>2902 E Olive St</t>
  </si>
  <si>
    <t>603 32nd Ave</t>
  </si>
  <si>
    <t>1507 33rd Ave</t>
  </si>
  <si>
    <t>112 30th Ave #B</t>
  </si>
  <si>
    <t>201 29th Ave E</t>
  </si>
  <si>
    <t>317 34th Ave E</t>
  </si>
  <si>
    <t>525 27th Ave</t>
  </si>
  <si>
    <t>Highland Park</t>
  </si>
  <si>
    <t>130 33rd Ave S #xxx (Unable to map)</t>
  </si>
  <si>
    <t>#xxx</t>
  </si>
  <si>
    <t>0-5:2,6:0</t>
  </si>
  <si>
    <t>9216 17th Ave SW #Unit B (Unable to map)</t>
  </si>
  <si>
    <t>#Unit B</t>
  </si>
  <si>
    <t>Westwood Village</t>
  </si>
  <si>
    <t>0-1:1,2-13:0</t>
  </si>
  <si>
    <t>122 Highland Dr</t>
  </si>
  <si>
    <t>0:3,1-12:2</t>
  </si>
  <si>
    <t>300 Highland Dr</t>
  </si>
  <si>
    <t>303 W Highland Dr</t>
  </si>
  <si>
    <t>1219 6th Ave N</t>
  </si>
  <si>
    <t>923 6th Ave N</t>
  </si>
  <si>
    <t>Olympic</t>
  </si>
  <si>
    <t>501 W Olympic Pl #C</t>
  </si>
  <si>
    <t>0-4:B,5-8:A,9:6,10-13:3,14:2</t>
  </si>
  <si>
    <t>501 W Olympic Pl #D</t>
  </si>
  <si>
    <t>0-4:A,5-6:9,7-9:6,10-13:3,14:2</t>
  </si>
  <si>
    <t>507 SW Olympic Pl #C</t>
  </si>
  <si>
    <t>0-3:7,4-5:9,6:6,7-13:3,14:2</t>
  </si>
  <si>
    <t>507 W Olympic Pl #A</t>
  </si>
  <si>
    <t>0-3:8,4-6:A,7-14:3</t>
  </si>
  <si>
    <t>509 W Olympic Pl #C</t>
  </si>
  <si>
    <t>0-3:B,4-7:A,8:7,9-13:3,14:2</t>
  </si>
  <si>
    <t>509 W Olympic Pl #D</t>
  </si>
  <si>
    <t>0-3:J,4-7:I,8:F,9-13:B,15:0</t>
  </si>
  <si>
    <t>505 W Olympic Pl #C</t>
  </si>
  <si>
    <t>0-4:9,5-6:8,7:5,8-14:2</t>
  </si>
  <si>
    <t>505 W Olympic Pl #B</t>
  </si>
  <si>
    <t>0-4:H,5-6:G,7:D,8-13:A,15:0</t>
  </si>
  <si>
    <t>609 W Kinnear Pl</t>
  </si>
  <si>
    <t>Kinnear</t>
  </si>
  <si>
    <t>Home Destination</t>
  </si>
  <si>
    <t>314 W Prospect St</t>
  </si>
  <si>
    <t>Prospect</t>
  </si>
  <si>
    <t>320 W Kinnear Pl</t>
  </si>
  <si>
    <t>917 3rd Ave W</t>
  </si>
  <si>
    <t>160 Highland Dr</t>
  </si>
  <si>
    <t>0-3:2</t>
  </si>
  <si>
    <t>123 Prospect St</t>
  </si>
  <si>
    <t>1116 Taylor Ave N</t>
  </si>
  <si>
    <t>0:1,1:0,2-13:1,14:0</t>
  </si>
  <si>
    <t>0-5:1,6:0</t>
  </si>
  <si>
    <t>10607 106 Pl NE</t>
  </si>
  <si>
    <t>0-4:1,5-8:0</t>
  </si>
  <si>
    <t>10622 106 Pl NE</t>
  </si>
  <si>
    <t>0-3:1,4-5:0</t>
  </si>
  <si>
    <t>10611 106 Pl NE</t>
  </si>
  <si>
    <t>11120 NE 106th Pl</t>
  </si>
  <si>
    <t>12112 108th Pl NE</t>
  </si>
  <si>
    <t>108th</t>
  </si>
  <si>
    <t>0-2:6,3-8:0,9-12:1</t>
  </si>
  <si>
    <t>12846 NE 107th Pl</t>
  </si>
  <si>
    <t>0-3:4,4:2</t>
  </si>
  <si>
    <t>North Rose Hill</t>
  </si>
  <si>
    <t>8215 NE Juanita Dr</t>
  </si>
  <si>
    <t>10838 132nd Ave NE</t>
  </si>
  <si>
    <t>132nd</t>
  </si>
  <si>
    <t>Redmond</t>
  </si>
  <si>
    <t>11518 NE 107 Pl</t>
  </si>
  <si>
    <t>0:1,1-5:2,6-14:1</t>
  </si>
  <si>
    <t>13028 NE 109th Pl</t>
  </si>
  <si>
    <t>109th</t>
  </si>
  <si>
    <t>8237 NE 110th Pl</t>
  </si>
  <si>
    <t>110th</t>
  </si>
  <si>
    <t>11004 NE 100 Ave NE</t>
  </si>
  <si>
    <t>11510 NE 107th Pl</t>
  </si>
  <si>
    <t>0-9:X,10-11:W</t>
  </si>
  <si>
    <t>11010 NE 108th St</t>
  </si>
  <si>
    <t>0:5,1-3:6,4:5,5-8:6,9:7</t>
  </si>
  <si>
    <t>Forbes Creek</t>
  </si>
  <si>
    <t>John L. Scott HWP</t>
  </si>
  <si>
    <t>8185 NE Juanita Dr</t>
  </si>
  <si>
    <t>Juanita Point</t>
  </si>
  <si>
    <t>11227 132 Ave NE</t>
  </si>
  <si>
    <t>11221 116 Pl NE</t>
  </si>
  <si>
    <t>10135 NE 112th Pl</t>
  </si>
  <si>
    <t>112th</t>
  </si>
  <si>
    <t>0-8:1,9:2,10-14:1</t>
  </si>
  <si>
    <t>0-8:0,9:1,10-14:0</t>
  </si>
  <si>
    <t>8122 NE 110 Pl</t>
  </si>
  <si>
    <t>7815 NE 112th St</t>
  </si>
  <si>
    <t>13422 NE 111th Ct</t>
  </si>
  <si>
    <t>111th</t>
  </si>
  <si>
    <t>Sun, Mar 23 2 - 5 PM</t>
  </si>
  <si>
    <t>11026 100th Ave NE</t>
  </si>
  <si>
    <t>8327 NE 110th Pl</t>
  </si>
  <si>
    <t>Resource</t>
  </si>
  <si>
    <t>10162 NE 113th Pl</t>
  </si>
  <si>
    <t>113th</t>
  </si>
  <si>
    <t>7836 NE 112th St</t>
  </si>
  <si>
    <t>0:5,1-2:4,3-4:5,5:4,6:5,7:4,8:5,9:4,10-11:5,12-13:4,14:0</t>
  </si>
  <si>
    <t>11240 106 Ave NE</t>
  </si>
  <si>
    <t>0:7,1-2:6,3:7,4-9:6,10-11:7,12-14:6</t>
  </si>
  <si>
    <t>8533 NE Juanita Dr</t>
  </si>
  <si>
    <t>13216 NE 129th Pl</t>
  </si>
  <si>
    <t>Kingsgate</t>
  </si>
  <si>
    <t>13505 NE 136th Pl</t>
  </si>
  <si>
    <t>136th</t>
  </si>
  <si>
    <t>0-11:2,12-13:1,14:0</t>
  </si>
  <si>
    <t>13961 127th Pl NE</t>
  </si>
  <si>
    <t>0-9:8,10-12:7,13-14:5</t>
  </si>
  <si>
    <t>13953 127th Pl NE</t>
  </si>
  <si>
    <t>0-12:5,13:4,14:1</t>
  </si>
  <si>
    <t>12930 NE 136th St</t>
  </si>
  <si>
    <t>13356 NE 134th Pl</t>
  </si>
  <si>
    <t>0:1T,1:1U,2:1T,3:1U,4:1T,5-7:1S,8:1R</t>
  </si>
  <si>
    <t>0:2,1:3,2:2,3:3,4:2,5-8:1,9:0</t>
  </si>
  <si>
    <t>13820 121st Ave NE</t>
  </si>
  <si>
    <t>121st</t>
  </si>
  <si>
    <t>12028 NE 133rd Pl</t>
  </si>
  <si>
    <t>133rd</t>
  </si>
  <si>
    <t>13236 118th Place NE</t>
  </si>
  <si>
    <t>Place</t>
  </si>
  <si>
    <t>118th</t>
  </si>
  <si>
    <t>13207 NE 138th Pl</t>
  </si>
  <si>
    <t>138th</t>
  </si>
  <si>
    <t>13112 NE 139th St</t>
  </si>
  <si>
    <t>139th</t>
  </si>
  <si>
    <t>0-12:13,13:3,14:1</t>
  </si>
  <si>
    <t>13511 121st Ave NE</t>
  </si>
  <si>
    <t>0-3:3,4-5:0</t>
  </si>
  <si>
    <t>13203 NE 129 Pl</t>
  </si>
  <si>
    <t>13317 121 st Ave NE</t>
  </si>
  <si>
    <t>121 st</t>
  </si>
  <si>
    <t>13967 127th Pl NE</t>
  </si>
  <si>
    <t>0:2,1-2:3,3-4:2,5:3,6-10:2,11:3,12:2</t>
  </si>
  <si>
    <t>13024 110th Ave NE</t>
  </si>
  <si>
    <t>12639 NE 140th St</t>
  </si>
  <si>
    <t>140th</t>
  </si>
  <si>
    <t>13929 113th Ave NE</t>
  </si>
  <si>
    <t>0-6:8,7:9,8-10:8,11:7</t>
  </si>
  <si>
    <t>13220 NE 130th Pl</t>
  </si>
  <si>
    <t>13839 115th Ave NE</t>
  </si>
  <si>
    <t>115th</t>
  </si>
  <si>
    <t>10106 NE 116th Pl</t>
  </si>
  <si>
    <t>116th</t>
  </si>
  <si>
    <t>John L. Scott Woodinville</t>
  </si>
  <si>
    <t>9824 NE 116th St</t>
  </si>
  <si>
    <t>0-6:2,7:3,8-9:2,10-14:0</t>
  </si>
  <si>
    <t>8131 NE 115th Way</t>
  </si>
  <si>
    <t>0-7:2,8:3,9-14:2</t>
  </si>
  <si>
    <t>9820 NE 116th St</t>
  </si>
  <si>
    <t>0-3:0,4:1,5-6:0,7:1,8-11:0,12:1,13-14:0</t>
  </si>
  <si>
    <t>12614 NE 114 Pl</t>
  </si>
  <si>
    <t>11420 99th Pl NE</t>
  </si>
  <si>
    <t>99th</t>
  </si>
  <si>
    <t>11418 99th Pl NE</t>
  </si>
  <si>
    <t>11416 99th Pl NE</t>
  </si>
  <si>
    <t>11426 NE 116th Pl</t>
  </si>
  <si>
    <t>11433 80th Ave NE</t>
  </si>
  <si>
    <t>11519 111th PL NE</t>
  </si>
  <si>
    <t>PL</t>
  </si>
  <si>
    <t>0:2,1-9:1,10-12:0</t>
  </si>
  <si>
    <t>13412 91st Pl NE</t>
  </si>
  <si>
    <t>0-2:2,3-11:1</t>
  </si>
  <si>
    <t>8721 NE 132nd St</t>
  </si>
  <si>
    <t>13310 79th Pl NE</t>
  </si>
  <si>
    <t>8426 NE 139th St</t>
  </si>
  <si>
    <t>8416 NE 138th St</t>
  </si>
  <si>
    <t>13213 109th Ave NE</t>
  </si>
  <si>
    <t>8523 NE 137th Pl</t>
  </si>
  <si>
    <t>RE/MAX Elite</t>
  </si>
  <si>
    <t>8527 NE 129th Pl</t>
  </si>
  <si>
    <t>13405 78th Pl NE</t>
  </si>
  <si>
    <t>9226 NE 133 St</t>
  </si>
  <si>
    <t>13609 98th Ave NE</t>
  </si>
  <si>
    <t>Mutual Realty</t>
  </si>
  <si>
    <t>10020 NE 140th St</t>
  </si>
  <si>
    <t>Bothell</t>
  </si>
  <si>
    <t>13612 Juanita-Woodinville Way NE</t>
  </si>
  <si>
    <t>Juanita-Woodinville</t>
  </si>
  <si>
    <t>9768 NE 135th Pl</t>
  </si>
  <si>
    <t>10215 NE 140th Pl</t>
  </si>
  <si>
    <t>8309 NE 140th St</t>
  </si>
  <si>
    <t>0-1:5,2-4:4,5-8:3</t>
  </si>
  <si>
    <t>8403 NE 127th Ct</t>
  </si>
  <si>
    <t>10000 NE 133rd Pl</t>
  </si>
  <si>
    <t>9205 NE 128th Ln</t>
  </si>
  <si>
    <t>128th</t>
  </si>
  <si>
    <t>0:0,1-4:1,5-6:0</t>
  </si>
  <si>
    <t>12834 97th Pl NE</t>
  </si>
  <si>
    <t>0-4:6,5-10:4,11-14:3</t>
  </si>
  <si>
    <t>13336 88th Pl NE</t>
  </si>
  <si>
    <t>12316 87th Ct NE</t>
  </si>
  <si>
    <t>0:4,1-2:3,3-5:0</t>
  </si>
  <si>
    <t>11831 89th Pl NE #B</t>
  </si>
  <si>
    <t>11831 89th Pl NE</t>
  </si>
  <si>
    <t>12411 84th Ave NE</t>
  </si>
  <si>
    <t>12449 94th Ave NE</t>
  </si>
  <si>
    <t>12504 89 Pl NE</t>
  </si>
  <si>
    <t>11827 108th Ave NE</t>
  </si>
  <si>
    <t>12433 83rd Pl NE</t>
  </si>
  <si>
    <t>0:2,1-3:1,4:2,5-6:1,7-13:2,14:3</t>
  </si>
  <si>
    <t>11919 89th Pl NE</t>
  </si>
  <si>
    <t>0-4:1,5-7:0</t>
  </si>
  <si>
    <t>8103 125th Pl NE</t>
  </si>
  <si>
    <t>9002 NE 116th Pl</t>
  </si>
  <si>
    <t>12347 93rd Ave NE</t>
  </si>
  <si>
    <t>Take Us Home Real Estate</t>
  </si>
  <si>
    <t>12438 107th Pl NE</t>
  </si>
  <si>
    <t>8404 NE 124th St</t>
  </si>
  <si>
    <t>124th</t>
  </si>
  <si>
    <t>8425 NE 121 Pl</t>
  </si>
  <si>
    <t>8109 125th Pl NE</t>
  </si>
  <si>
    <t>12519 NE 81st Dr</t>
  </si>
  <si>
    <t>By Owner International</t>
  </si>
  <si>
    <t>12403 106th Pl NE</t>
  </si>
  <si>
    <t>North Juanita</t>
  </si>
  <si>
    <t>13217 NE 137th Ct</t>
  </si>
  <si>
    <t>8507 NE 135th St</t>
  </si>
  <si>
    <t>9225 NE 139th St</t>
  </si>
  <si>
    <t>13224 87th Ave NE</t>
  </si>
  <si>
    <t>0-6:3,7-8:1</t>
  </si>
  <si>
    <t>8404 NE 139 St</t>
  </si>
  <si>
    <t>9207 NE 131st Ct</t>
  </si>
  <si>
    <t>131st</t>
  </si>
  <si>
    <t>9703 NE 130TH Pl</t>
  </si>
  <si>
    <t>130TH</t>
  </si>
  <si>
    <t>12815 98th Pl NE</t>
  </si>
  <si>
    <t>12924 95th Pl NE</t>
  </si>
  <si>
    <t>Keller Williams Rlty Marysvlle</t>
  </si>
  <si>
    <t>9775 NE 127th Pl</t>
  </si>
  <si>
    <t>8808 NE 117th Pl</t>
  </si>
  <si>
    <t>Keller Williams Realty</t>
  </si>
  <si>
    <t>12115 95th Pl NE</t>
  </si>
  <si>
    <t>12312 89th Ave NE</t>
  </si>
  <si>
    <t>8005 NE 124th St</t>
  </si>
  <si>
    <t>13308 NE 111th Ct</t>
  </si>
  <si>
    <t>11056 108th Pl NE</t>
  </si>
  <si>
    <t>10910 106th Ave NE</t>
  </si>
  <si>
    <t>12404 NE 110th Pl</t>
  </si>
  <si>
    <t>13330 NE 111th Ct</t>
  </si>
  <si>
    <t>11042 130th Ave NE</t>
  </si>
  <si>
    <t>12607 NE 112th Pl</t>
  </si>
  <si>
    <t>0-8:0,9:1</t>
  </si>
  <si>
    <t>2082 Market St</t>
  </si>
  <si>
    <t>East Of Market</t>
  </si>
  <si>
    <t>10711 126th Ave NE</t>
  </si>
  <si>
    <t>126th</t>
  </si>
  <si>
    <t>Iggyshouse.com Realty</t>
  </si>
  <si>
    <t>10615 129th Pl NE</t>
  </si>
  <si>
    <t>0-1:1,2-3:0</t>
  </si>
  <si>
    <t>12834 NE 107</t>
  </si>
  <si>
    <t>11229 NE 106th Pl</t>
  </si>
  <si>
    <t>11423 107 Pl NE</t>
  </si>
  <si>
    <t>8121 NE 110th Pl</t>
  </si>
  <si>
    <t>11322 106 Ave NE</t>
  </si>
  <si>
    <t>8351 Juanita Dr NE</t>
  </si>
  <si>
    <t>13305 115 Ave NE</t>
  </si>
  <si>
    <t>13209 126th Pl NE</t>
  </si>
  <si>
    <t>0-10:1W,11:1V,12:1U,13:1V</t>
  </si>
  <si>
    <t>13101 NE 133rd Ct</t>
  </si>
  <si>
    <t>13024 95th Pl NE</t>
  </si>
  <si>
    <t>13234 116th Ave NE</t>
  </si>
  <si>
    <t>13507 93 Ct NE</t>
  </si>
  <si>
    <t>0-9:6,10-13:5,14:4</t>
  </si>
  <si>
    <t>13113 NE 129th St</t>
  </si>
  <si>
    <t>Windermere RE Mercer Island</t>
  </si>
  <si>
    <t>13111 82nd Ave NE</t>
  </si>
  <si>
    <t>8219 NE 128th</t>
  </si>
  <si>
    <t>12001 NE 134th Pl</t>
  </si>
  <si>
    <t>8817 NE 132nd St</t>
  </si>
  <si>
    <t>13606 128th Ave NE</t>
  </si>
  <si>
    <t>Ibodeo.com</t>
  </si>
  <si>
    <t>12028 NE 138th Pl</t>
  </si>
  <si>
    <t>0-4:B,5-10:A,11-14:8</t>
  </si>
  <si>
    <t>13621 119th Ave NE</t>
  </si>
  <si>
    <t>119th</t>
  </si>
  <si>
    <t>12932 NE 136th Pl</t>
  </si>
  <si>
    <t>0-9:5,10:3</t>
  </si>
  <si>
    <t>13718 135th Ave NE</t>
  </si>
  <si>
    <t>0:4,1-14:3</t>
  </si>
  <si>
    <t>13858 130th Pl NE</t>
  </si>
  <si>
    <t>0-9:2,10-13:1,14:0</t>
  </si>
  <si>
    <t>12025 NE 138th Pl</t>
  </si>
  <si>
    <t>13704 121st Ave NE</t>
  </si>
  <si>
    <t>0-6:5,7-8:4,9:5,10-12:3,13:2</t>
  </si>
  <si>
    <t>11612 NE 140th</t>
  </si>
  <si>
    <t>0:1,1-9:0,10-14:1</t>
  </si>
  <si>
    <t>13142 NE 138th Pl</t>
  </si>
  <si>
    <t>12901 NE 139th St</t>
  </si>
  <si>
    <t>0-10:3,11-12:1,13:0</t>
  </si>
  <si>
    <t>9742 NE 139th St</t>
  </si>
  <si>
    <t>12021 NE 140 St</t>
  </si>
  <si>
    <t>13401 NE 137th Pl</t>
  </si>
  <si>
    <t>11412 99th Pl NE</t>
  </si>
  <si>
    <t>11414 99th Pl NE</t>
  </si>
  <si>
    <t>John L. Scott Bellevue North</t>
  </si>
  <si>
    <t>17424 NE 119th Way</t>
  </si>
  <si>
    <t>0:S,1-2:R</t>
  </si>
  <si>
    <t>Education Hill</t>
  </si>
  <si>
    <t>Northwest Properties USA</t>
  </si>
  <si>
    <t>11612 110th Ave NE</t>
  </si>
  <si>
    <t>13312 NE 117th Way</t>
  </si>
  <si>
    <t>0-9:5,10:6,11-12:2,13:1,14:0</t>
  </si>
  <si>
    <t>ERA McGrady and Associates,Inc</t>
  </si>
  <si>
    <t>12202 93rd Ave NE</t>
  </si>
  <si>
    <t>0:1,1-2:0,3-6:1,7-11:0</t>
  </si>
  <si>
    <t>12005 89th Pl NE</t>
  </si>
  <si>
    <t>8430 NE 124th St</t>
  </si>
  <si>
    <t>0-7:3</t>
  </si>
  <si>
    <t>12238 95 Pl NE</t>
  </si>
  <si>
    <t>8106 NE 125th St</t>
  </si>
  <si>
    <t>7264 147th Ct NE (Unable to map)</t>
  </si>
  <si>
    <t>147th</t>
  </si>
  <si>
    <t>Microsoft</t>
  </si>
  <si>
    <t>16656 NE 86th Ct (Unable to map)</t>
  </si>
  <si>
    <t>0-3:2,4:1</t>
  </si>
  <si>
    <t>16650 NE 86th Ct (Unable to map)</t>
  </si>
  <si>
    <t>0-3:3,4-14:1</t>
  </si>
  <si>
    <t>16655 NE 86th Ct (Unable to map)</t>
  </si>
  <si>
    <t>16651 NE 86th Ct (Unable to map)</t>
  </si>
  <si>
    <t>5103 157th Ct NE (Unable to map)</t>
  </si>
  <si>
    <t>157th</t>
  </si>
  <si>
    <t>5209 157th Ct NE (Unable to map)</t>
  </si>
  <si>
    <t>8522 NE 198th St #Lot #4 (Unable to map)</t>
  </si>
  <si>
    <t>#Lot #4</t>
  </si>
  <si>
    <t>198th</t>
  </si>
  <si>
    <t>West Hill</t>
  </si>
  <si>
    <t>8366 138th Ct NE (Unable to map)</t>
  </si>
  <si>
    <t>0:2,1:0,2:1,3-4:0,5:1,6:0,7:1,8-9:0,10:1,11-14:0</t>
  </si>
  <si>
    <t>14750 NE 73rd Way (Unable to map)</t>
  </si>
  <si>
    <t>16826 NE 120th St (Unable to map)</t>
  </si>
  <si>
    <t>16809 NE 120th St (Unable to map)</t>
  </si>
  <si>
    <t>Avondale</t>
  </si>
  <si>
    <t>16814 NE 120th St (Unable to map)</t>
  </si>
  <si>
    <t>16802 NE 120th St (Unable to map)</t>
  </si>
  <si>
    <t>16764 86th Ct NE (Unable to map)</t>
  </si>
  <si>
    <t>16780 86th Ct NE (Unable to map)</t>
  </si>
  <si>
    <t>5 171st St SW #XX (Unable to map)</t>
  </si>
  <si>
    <t>#XX</t>
  </si>
  <si>
    <t>171st</t>
  </si>
  <si>
    <t>Lynnwood</t>
  </si>
  <si>
    <t>Martha Lake</t>
  </si>
  <si>
    <t>10312 NE 194th St #Lot 4 (Unable to map)</t>
  </si>
  <si>
    <t>194th</t>
  </si>
  <si>
    <t>91 172nd Ave NE #xx (Unable to map)</t>
  </si>
  <si>
    <t>#xx</t>
  </si>
  <si>
    <t>172nd</t>
  </si>
  <si>
    <t>7239 NE 145th Ct NE (Unable to map)</t>
  </si>
  <si>
    <t>145th</t>
  </si>
  <si>
    <t>16841 NE 120th St (Unable to map)</t>
  </si>
  <si>
    <t>16832 NE 120th St (Unable to map)</t>
  </si>
  <si>
    <t>16823 NE 120th St (Unable to map)</t>
  </si>
  <si>
    <t>16779 NE 86th Ct (Unable to map)</t>
  </si>
  <si>
    <t>423 18th Ave</t>
  </si>
  <si>
    <t>0-11:3,12-13:1</t>
  </si>
  <si>
    <t>10227 126th Ave NE</t>
  </si>
  <si>
    <t>0:2,1-12:1,13-14:0</t>
  </si>
  <si>
    <t>11819 NE 103rd Pl</t>
  </si>
  <si>
    <t>1850 9th St W</t>
  </si>
  <si>
    <t>11 21st Pl</t>
  </si>
  <si>
    <t>0-3:1,4-9:0</t>
  </si>
  <si>
    <t>John L. Scott Everett</t>
  </si>
  <si>
    <t>11631 NE 106th Ln</t>
  </si>
  <si>
    <t>0-3:2,4:3,5-12:2,13-14:0</t>
  </si>
  <si>
    <t>7020 124th Ave NE</t>
  </si>
  <si>
    <t>Bridle Trails</t>
  </si>
  <si>
    <t>7025 117 Pl NE</t>
  </si>
  <si>
    <t>10330 113th Ct NE</t>
  </si>
  <si>
    <t>1942 1st St</t>
  </si>
  <si>
    <t>12320 NE 97 St</t>
  </si>
  <si>
    <t>0-2:4,3:2</t>
  </si>
  <si>
    <t>526 15th Ave</t>
  </si>
  <si>
    <t>12711 NE 97 Pl</t>
  </si>
  <si>
    <t>11615 NE 97th St</t>
  </si>
  <si>
    <t>11638 NE 100 St</t>
  </si>
  <si>
    <t>13129 NE 100th St</t>
  </si>
  <si>
    <t>0:2,1-11:1,12-14:0</t>
  </si>
  <si>
    <t>12418 NE 100th St</t>
  </si>
  <si>
    <t>12626 NE 104th St</t>
  </si>
  <si>
    <t>10034 127th Ave NE</t>
  </si>
  <si>
    <t>12429 NE 103rd Pl</t>
  </si>
  <si>
    <t>10032 126th Ave NE</t>
  </si>
  <si>
    <t>0-1:2,2:3,3-14:2</t>
  </si>
  <si>
    <t>9221 124th Ave NE</t>
  </si>
  <si>
    <t>12605 NE 94th Way</t>
  </si>
  <si>
    <t>13019 NE 97th St</t>
  </si>
  <si>
    <t>9208 124th Ave NE</t>
  </si>
  <si>
    <t>9217 125th Ave NE</t>
  </si>
  <si>
    <t>9204 124th Ave NE</t>
  </si>
  <si>
    <t>0-4:3,5-9:2,10:1</t>
  </si>
  <si>
    <t>9227 130 Ave NE</t>
  </si>
  <si>
    <t>0-4:1,5-12:2,13-14:0</t>
  </si>
  <si>
    <t>14005 NE 85 Ct</t>
  </si>
  <si>
    <t>0-6:3,7-10:2,11-12:1</t>
  </si>
  <si>
    <t>8244 120th Ave NE</t>
  </si>
  <si>
    <t>8211 142nd Ave NE</t>
  </si>
  <si>
    <t>142nd</t>
  </si>
  <si>
    <t>8246 120th Ave NE</t>
  </si>
  <si>
    <t>8202 126th Ave NE</t>
  </si>
  <si>
    <t>14018 NE 85 Ct</t>
  </si>
  <si>
    <t>8010 138th Ave NE</t>
  </si>
  <si>
    <t>8205 131 Ave NE</t>
  </si>
  <si>
    <t>1224 5TH Pl</t>
  </si>
  <si>
    <t>5TH</t>
  </si>
  <si>
    <t>11107 NE 95th St</t>
  </si>
  <si>
    <t>9603 112th Ave NE</t>
  </si>
  <si>
    <t>11395 NE 92nd St</t>
  </si>
  <si>
    <t>1303 5th St</t>
  </si>
  <si>
    <t>0:1,1-9:0</t>
  </si>
  <si>
    <t>8014 122nd Ave NE</t>
  </si>
  <si>
    <t>817 Kirkland Way</t>
  </si>
  <si>
    <t>0-6:8,7-8:6</t>
  </si>
  <si>
    <t>Downtown</t>
  </si>
  <si>
    <t>809 Kirkland Way</t>
  </si>
  <si>
    <t>9104 126th Ave NE</t>
  </si>
  <si>
    <t>0:2,1:3,2-5:2,6-12:1</t>
  </si>
  <si>
    <t>8004 118th Ct NE</t>
  </si>
  <si>
    <t>842 Kirkland Ave</t>
  </si>
  <si>
    <t>924 6th St</t>
  </si>
  <si>
    <t>8014 118th Ct NE</t>
  </si>
  <si>
    <t>7914 123rd Ave NE</t>
  </si>
  <si>
    <t>0-5:5,6-11:4</t>
  </si>
  <si>
    <t>8219 124th Ave NE</t>
  </si>
  <si>
    <t>0-4:3,5-6:2,7-9:1,10-12:0</t>
  </si>
  <si>
    <t>12905 NE 88th St</t>
  </si>
  <si>
    <t>0-2:D</t>
  </si>
  <si>
    <t>11239 NE 91st St</t>
  </si>
  <si>
    <t>RealEstate.com</t>
  </si>
  <si>
    <t>13725 NE 87th St</t>
  </si>
  <si>
    <t>8720 124th Ave NE</t>
  </si>
  <si>
    <t>1016 3rd St</t>
  </si>
  <si>
    <t>0-11:T</t>
  </si>
  <si>
    <t>513 9th Ave</t>
  </si>
  <si>
    <t>11409 NE 87th St</t>
  </si>
  <si>
    <t>0-4:3,5:2,6-10:1</t>
  </si>
  <si>
    <t>9038 124th Ave NE</t>
  </si>
  <si>
    <t>0:2,1-4:1,5-9:2,10:1,11:2,12-14:1</t>
  </si>
  <si>
    <t>13402 NE 89th St</t>
  </si>
  <si>
    <t>0-1:1,2:2,3-4:1</t>
  </si>
  <si>
    <t>13304 NE 89th St</t>
  </si>
  <si>
    <t>12920 NE 87th St</t>
  </si>
  <si>
    <t>0:5,1-3:4,4-8:1</t>
  </si>
  <si>
    <t>12228 NE 90th St</t>
  </si>
  <si>
    <t>Eastlake Realty, Inc.</t>
  </si>
  <si>
    <t>12916 NE 87th St</t>
  </si>
  <si>
    <t>0-12:5,13:6,14:1</t>
  </si>
  <si>
    <t>12027 NE 70th St</t>
  </si>
  <si>
    <t>0-2:2,3-4:0</t>
  </si>
  <si>
    <t>7809 126 Ave NE</t>
  </si>
  <si>
    <t>The Doner Group</t>
  </si>
  <si>
    <t>7109 132nd Ave NE</t>
  </si>
  <si>
    <t>0:2,1:0,2-6:1,7:0,8-13:1</t>
  </si>
  <si>
    <t>7810 130th Ave NE</t>
  </si>
  <si>
    <t>7923 152nd Ave NE</t>
  </si>
  <si>
    <t>152nd</t>
  </si>
  <si>
    <t>737 State St</t>
  </si>
  <si>
    <t>7842 132nd Ave NE</t>
  </si>
  <si>
    <t>0-3:1,4-6:0</t>
  </si>
  <si>
    <t>414 4th Ave S</t>
  </si>
  <si>
    <t>13760 NE 74th St</t>
  </si>
  <si>
    <t>7716 115th Pl NE</t>
  </si>
  <si>
    <t>0-10:19</t>
  </si>
  <si>
    <t>CENTURY 21 Allstate Properties</t>
  </si>
  <si>
    <t>13334 NE 80th St</t>
  </si>
  <si>
    <t>7010 126th AV NE</t>
  </si>
  <si>
    <t>AV</t>
  </si>
  <si>
    <t>11701 NE 73 St</t>
  </si>
  <si>
    <t>0-5:4,6:3</t>
  </si>
  <si>
    <t>W Real Estate Services</t>
  </si>
  <si>
    <t>12412 NE 80th Way</t>
  </si>
  <si>
    <t>0-2:J,3:K,4-6:J,7-8:K,9:J</t>
  </si>
  <si>
    <t>12449 NE 73rd St</t>
  </si>
  <si>
    <t>12902 NE 75th St</t>
  </si>
  <si>
    <t>0:5,1-8:4,9-11:3,12:4</t>
  </si>
  <si>
    <t>1002 State St</t>
  </si>
  <si>
    <t>0-5:3,6:1,7-12:0</t>
  </si>
  <si>
    <t>12525 NE 70th St</t>
  </si>
  <si>
    <t>929 6th Pl S</t>
  </si>
  <si>
    <t>0-2:2,3:1,4-11:2,12-14:1</t>
  </si>
  <si>
    <t>Houghton</t>
  </si>
  <si>
    <t>13705 NE 72nd Pl</t>
  </si>
  <si>
    <t>9519 117th Ave NE</t>
  </si>
  <si>
    <t>9514 117th Ave NE</t>
  </si>
  <si>
    <t>0:2,1:3,2-10:2,11-14:1</t>
  </si>
  <si>
    <t>9506 117th Ave NE</t>
  </si>
  <si>
    <t>13119 NE 97th St</t>
  </si>
  <si>
    <t>12407 NE 80th Ln</t>
  </si>
  <si>
    <t>0-3:5,4:6,5-7:5,8:6,9:5,10-11:1,12:2</t>
  </si>
  <si>
    <t>12403 NE 80th Ln</t>
  </si>
  <si>
    <t>819 Kirkland Way</t>
  </si>
  <si>
    <t>815 Kirkland Way</t>
  </si>
  <si>
    <t>821 Kirkland Way</t>
  </si>
  <si>
    <t>825 Kirkland Way</t>
  </si>
  <si>
    <t>2012 Market St</t>
  </si>
  <si>
    <t>11826 NE 105th Ct</t>
  </si>
  <si>
    <t>11019 NE 104th St</t>
  </si>
  <si>
    <t>12646 NE 104th St</t>
  </si>
  <si>
    <t>0:R,1:O,2:P,3:O,4:P,5:O,6:T,7:P</t>
  </si>
  <si>
    <t>215 6th St S</t>
  </si>
  <si>
    <t>424 10th St S</t>
  </si>
  <si>
    <t>Everest Park</t>
  </si>
  <si>
    <t>152 Slater St S</t>
  </si>
  <si>
    <t>Slater</t>
  </si>
  <si>
    <t>0-13:C</t>
  </si>
  <si>
    <t>213 State St</t>
  </si>
  <si>
    <t>619 8th St S</t>
  </si>
  <si>
    <t>7524 137th Ave NE</t>
  </si>
  <si>
    <t>Grass Lawn Park</t>
  </si>
  <si>
    <t>Congress Realty</t>
  </si>
  <si>
    <t>7331 151st Ave NE</t>
  </si>
  <si>
    <t>151st</t>
  </si>
  <si>
    <t>Marymoor</t>
  </si>
  <si>
    <t>7544 126th Ave NE</t>
  </si>
  <si>
    <t>7516 126th Ave NE</t>
  </si>
  <si>
    <t>7720 139th Pl NE</t>
  </si>
  <si>
    <t>Strattonwood</t>
  </si>
  <si>
    <t>7405 131st Pl NE</t>
  </si>
  <si>
    <t>Windermere Puyallup Canyon Rd</t>
  </si>
  <si>
    <t>7355 149th Ave NE</t>
  </si>
  <si>
    <t>149th</t>
  </si>
  <si>
    <t>313 5th Ave S</t>
  </si>
  <si>
    <t>7547 124th Ave NE</t>
  </si>
  <si>
    <t>0-10:3,11-14:2</t>
  </si>
  <si>
    <t>322 5th Ave S</t>
  </si>
  <si>
    <t>7237 148th Pl NE</t>
  </si>
  <si>
    <t>148th</t>
  </si>
  <si>
    <t>216 4th St S</t>
  </si>
  <si>
    <t>0-1:3,2-10:2</t>
  </si>
  <si>
    <t>7336 120th Ave NE</t>
  </si>
  <si>
    <t>128 14th Ave</t>
  </si>
  <si>
    <t>0-2:2,3:1,4-7:2,8-11:3,12:2,13-14:3</t>
  </si>
  <si>
    <t>727 16th Ave W</t>
  </si>
  <si>
    <t>9724 116th Ave NE</t>
  </si>
  <si>
    <t>1047 5TH St</t>
  </si>
  <si>
    <t>1620 6 St W</t>
  </si>
  <si>
    <t>1523 1st St</t>
  </si>
  <si>
    <t>9419 114th Ave NE</t>
  </si>
  <si>
    <t>114th</t>
  </si>
  <si>
    <t>9423 114th Ave NE</t>
  </si>
  <si>
    <t>120 18 Pl</t>
  </si>
  <si>
    <t>609 18th Ave W</t>
  </si>
  <si>
    <t>1914 5th St</t>
  </si>
  <si>
    <t>1526 3rd Pl</t>
  </si>
  <si>
    <t>12221 NE 100th St</t>
  </si>
  <si>
    <t>12316 NE 97 St</t>
  </si>
  <si>
    <t>12734 NE 101st Pl</t>
  </si>
  <si>
    <t>0-8:J</t>
  </si>
  <si>
    <t>10213 134th Ave NE</t>
  </si>
  <si>
    <t>0:1,1:2,2-12:1</t>
  </si>
  <si>
    <t>13028 NE 100th St</t>
  </si>
  <si>
    <t>0-8:1,9:0,10-14:1</t>
  </si>
  <si>
    <t>9533 Slater Ave NE</t>
  </si>
  <si>
    <t>0-4:4,5-6:3,7:2,8:0</t>
  </si>
  <si>
    <t>12516 NE 94th St</t>
  </si>
  <si>
    <t>Stanford Avenue Real Estate</t>
  </si>
  <si>
    <t>419 18 Ave</t>
  </si>
  <si>
    <t>0-7:1,8:0,9-14:1</t>
  </si>
  <si>
    <t>1103 5th St</t>
  </si>
  <si>
    <t>0-9:9,10:7,11-13:3</t>
  </si>
  <si>
    <t>345 18th Ave</t>
  </si>
  <si>
    <t>346 10th Ave W</t>
  </si>
  <si>
    <t>528 10th Ave</t>
  </si>
  <si>
    <t>231 8th Ave W</t>
  </si>
  <si>
    <t>0:4,1:0,2:4,3-8:2,9:1,10:0</t>
  </si>
  <si>
    <t>237 8th avenue</t>
  </si>
  <si>
    <t>avenue</t>
  </si>
  <si>
    <t>0-4:2,5:1,6-10:0</t>
  </si>
  <si>
    <t>11431 NE 90th St</t>
  </si>
  <si>
    <t>0-3:J,4-10:K</t>
  </si>
  <si>
    <t>227 9th Ave</t>
  </si>
  <si>
    <t>8831 132nd Pl NE</t>
  </si>
  <si>
    <t>0-6:1,7-8:2,9:3,10-14:1</t>
  </si>
  <si>
    <t>8612 133 Ave NE</t>
  </si>
  <si>
    <t>0-4:4,5:5,6-8:4,9-12:3,13:2</t>
  </si>
  <si>
    <t>641 10 Ave</t>
  </si>
  <si>
    <t>11420 NE 87th St</t>
  </si>
  <si>
    <t>0-4:5,5-6:2,7-9:1,10:0</t>
  </si>
  <si>
    <t>12625 NE 90th St</t>
  </si>
  <si>
    <t>0-2:1,3:0</t>
  </si>
  <si>
    <t>808 1st St</t>
  </si>
  <si>
    <t>11225 NE 92 St</t>
  </si>
  <si>
    <t>0-3:3,4-9:2,10:3,11:2,12:4,13:2</t>
  </si>
  <si>
    <t>RE/MAX Realty South</t>
  </si>
  <si>
    <t>8835 132nd Pl NE</t>
  </si>
  <si>
    <t>John L. Scott Whidbey Island N</t>
  </si>
  <si>
    <t>211 19th Pl</t>
  </si>
  <si>
    <t>811 Kirkland Way</t>
  </si>
  <si>
    <t>8021 124th Ave NE</t>
  </si>
  <si>
    <t>0:E,1-2:D,3:B</t>
  </si>
  <si>
    <t>13116 NE 80th St</t>
  </si>
  <si>
    <t>0-2:3,3:4,4:3,5:4,6:3,7-8:2</t>
  </si>
  <si>
    <t>8002 122nd Ave NE</t>
  </si>
  <si>
    <t>823 Kirkland Way</t>
  </si>
  <si>
    <t>8008 122nd Ave NE</t>
  </si>
  <si>
    <t>8010 122nd Ave NE</t>
  </si>
  <si>
    <t>116 Slater St</t>
  </si>
  <si>
    <t>121 5th Ave W</t>
  </si>
  <si>
    <t>0-1:2,2:1</t>
  </si>
  <si>
    <t>8032 132nd Ave NE</t>
  </si>
  <si>
    <t>8347 133 Ave NE</t>
  </si>
  <si>
    <t>14007 NE 85 Ct</t>
  </si>
  <si>
    <t>0-4:3,5-9:2</t>
  </si>
  <si>
    <t>7916 147 Ave NE</t>
  </si>
  <si>
    <t>7843 130th Ave NE</t>
  </si>
  <si>
    <t>7834 126th Ave NE</t>
  </si>
  <si>
    <t>12311 NE 73rd Pl</t>
  </si>
  <si>
    <t>7101 132nd Ave NE</t>
  </si>
  <si>
    <t>0:1,1:2,2:0,3-5:2,6:1,7-9:2</t>
  </si>
  <si>
    <t>12023 NE 70th St</t>
  </si>
  <si>
    <t>0:8,1-13:4</t>
  </si>
  <si>
    <t>12033 NE 70th St</t>
  </si>
  <si>
    <t>0-3:2,4-9:0</t>
  </si>
  <si>
    <t>Avalon Real Estate</t>
  </si>
  <si>
    <t>12025 NE 70th St</t>
  </si>
  <si>
    <t>7112 134th Ave NE</t>
  </si>
  <si>
    <t>Paramount Properties, Inc.</t>
  </si>
  <si>
    <t>12308 NE 68th Pl</t>
  </si>
  <si>
    <t>Asset Realty Group</t>
  </si>
  <si>
    <t>12037 NE 70th St</t>
  </si>
  <si>
    <t>6815 153rd Ave NE</t>
  </si>
  <si>
    <t>153rd</t>
  </si>
  <si>
    <t>14434 NE 64th St</t>
  </si>
  <si>
    <t>0:3,1:2,2-9:3</t>
  </si>
  <si>
    <t>6125 116th Ave NE</t>
  </si>
  <si>
    <t>0-11:3,12-13:2</t>
  </si>
  <si>
    <t>12216 NE 61st St</t>
  </si>
  <si>
    <t>0-7:3,8:1,9-11:2,12:1</t>
  </si>
  <si>
    <t>7928 150th Ct NE</t>
  </si>
  <si>
    <t>150th</t>
  </si>
  <si>
    <t>0:4,1-2:6,3-5:5,6-8:1</t>
  </si>
  <si>
    <t>7920 150th Ct NE</t>
  </si>
  <si>
    <t>0-5:6,6-7:2</t>
  </si>
  <si>
    <t>0-5:2,6-7:1</t>
  </si>
  <si>
    <t>7916 150th Ct NE</t>
  </si>
  <si>
    <t>0:3,1-5:6,6:1</t>
  </si>
  <si>
    <t>14009 NE 63rd Ct</t>
  </si>
  <si>
    <t>6220 145th Ave NE</t>
  </si>
  <si>
    <t>14823 NE 64th St</t>
  </si>
  <si>
    <t>4230 140th Ave NE</t>
  </si>
  <si>
    <t>3614 142nd Pl NE</t>
  </si>
  <si>
    <t>10141 NE 62nd St</t>
  </si>
  <si>
    <t>6401 Lake Washington Blvd</t>
  </si>
  <si>
    <t>3746 113th Ave NE</t>
  </si>
  <si>
    <t>Yarrow</t>
  </si>
  <si>
    <t>Realty Ventures Corporation</t>
  </si>
  <si>
    <t>12814 NE 36th St</t>
  </si>
  <si>
    <t>0-1:5,2-5:4,6-7:5,8:4,9:5,10-11:4,12:3,13:4,14:2</t>
  </si>
  <si>
    <t>12804 NE 35th Pl</t>
  </si>
  <si>
    <t>North Creek Real Estate</t>
  </si>
  <si>
    <t>9055 NE 32nd St</t>
  </si>
  <si>
    <t>Yarrow Point</t>
  </si>
  <si>
    <t>0-9:4,10-11:3</t>
  </si>
  <si>
    <t>10905 NE 39th Pl</t>
  </si>
  <si>
    <t>4611 108th Ave NE</t>
  </si>
  <si>
    <t>4540 108th Ave NE</t>
  </si>
  <si>
    <t>4544 108th Ave NE</t>
  </si>
  <si>
    <t>4548 108th Ave NE</t>
  </si>
  <si>
    <t>4556 108th Ave NE</t>
  </si>
  <si>
    <t>4552 108th Ave NE</t>
  </si>
  <si>
    <t>11218 NE 59th Pl</t>
  </si>
  <si>
    <t>4918 114th Ave NE</t>
  </si>
  <si>
    <t>0:0,1-2:1,3:0,4-6:1,7:0,8-9:1,10:0,11-13:1</t>
  </si>
  <si>
    <t>5009 134th Pl NE</t>
  </si>
  <si>
    <t>4735 108th Ave NE</t>
  </si>
  <si>
    <t>6504 147th Ave NE</t>
  </si>
  <si>
    <t>10232 NE 68th Pl</t>
  </si>
  <si>
    <t>10918 NE 66th Pl</t>
  </si>
  <si>
    <t>0:Q,1-8:P,9:O</t>
  </si>
  <si>
    <t>Windermere Real Estate M2 LLC</t>
  </si>
  <si>
    <t>11228 NE 67th St</t>
  </si>
  <si>
    <t>6501 144th Ave NE</t>
  </si>
  <si>
    <t>144th</t>
  </si>
  <si>
    <t>5210 111th Ln NE</t>
  </si>
  <si>
    <t>10212 NE 62nd St</t>
  </si>
  <si>
    <t>3002 134th Ave NE</t>
  </si>
  <si>
    <t>2910 100th Ave NE</t>
  </si>
  <si>
    <t>West Bellevue</t>
  </si>
  <si>
    <t>4437 94th Ave NE</t>
  </si>
  <si>
    <t>5214 134th Pl NE</t>
  </si>
  <si>
    <t>11225 NE 53rd St</t>
  </si>
  <si>
    <t>4226 105th Ave NE</t>
  </si>
  <si>
    <t>4647 110th Ave NE</t>
  </si>
  <si>
    <t>5048 112th Ave NE</t>
  </si>
  <si>
    <t>10504 NE 45th</t>
  </si>
  <si>
    <t>3798 110th Pl NE</t>
  </si>
  <si>
    <t>3630 116th Ave NE</t>
  </si>
  <si>
    <t>0:3,1-13:2,14:1</t>
  </si>
  <si>
    <t>9015 NE 32nd Pl</t>
  </si>
  <si>
    <t>0-5:S,6:4,7:3,8-10:2</t>
  </si>
  <si>
    <t>3842 113th Ave NE</t>
  </si>
  <si>
    <t>0-1:2,2-3:1,4:0</t>
  </si>
  <si>
    <t>14080 NE 40 St</t>
  </si>
  <si>
    <t>3909 142nd Pl NE</t>
  </si>
  <si>
    <t>0-9:3,10:2,11-12:1</t>
  </si>
  <si>
    <t>14765 NE 57th St</t>
  </si>
  <si>
    <t>5825 147th Ave NE</t>
  </si>
  <si>
    <t>8028 124 Ct NE</t>
  </si>
  <si>
    <t>0-1:0,2-3:1,4-6:0,7:1,8-9:0,10-13:1,14:0</t>
  </si>
  <si>
    <t>10925 NE 66th Pl</t>
  </si>
  <si>
    <t>6504 114th Ave NE</t>
  </si>
  <si>
    <t>0-4:1,5-10:0</t>
  </si>
  <si>
    <t>6421 125th Ave NE</t>
  </si>
  <si>
    <t>6125 133rd Ave NE</t>
  </si>
  <si>
    <t>0-5:3,6-11:0</t>
  </si>
  <si>
    <t>11626 NE 61st St</t>
  </si>
  <si>
    <t>6613 152 Ave NE</t>
  </si>
  <si>
    <t>14811 NE 67th St</t>
  </si>
  <si>
    <t>6104 114th Ave NE</t>
  </si>
  <si>
    <t>12223 NE 32nd St</t>
  </si>
  <si>
    <t>0:7,1-6:6,7:7,8:8</t>
  </si>
  <si>
    <t>Kohtoku Enterprise Inc.</t>
  </si>
  <si>
    <t>3141 103rd Ave NE</t>
  </si>
  <si>
    <t>11704 NE 30th Pl</t>
  </si>
  <si>
    <t>3059 134th Ave NE</t>
  </si>
  <si>
    <t>0-4:2,5-13:0</t>
  </si>
  <si>
    <t>3023 92 Ave NE</t>
  </si>
  <si>
    <t>Clyde Hill</t>
  </si>
  <si>
    <t>0:2,1-9:3,10-14:2</t>
  </si>
  <si>
    <t>3301 131st Ave NE</t>
  </si>
  <si>
    <t>10219 NE 31st Pl</t>
  </si>
  <si>
    <t>6712 104th Ave NE</t>
  </si>
  <si>
    <t>12326 102nd Ln (Unable to map)</t>
  </si>
  <si>
    <t>102nd</t>
  </si>
  <si>
    <t>12300 102nd Ln (Unable to map)</t>
  </si>
  <si>
    <t>1711 106 Pl NE</t>
  </si>
  <si>
    <t>9724 NE 14th St</t>
  </si>
  <si>
    <t>1618 98th Ave NE</t>
  </si>
  <si>
    <t>0:0,1-3:1,4:0</t>
  </si>
  <si>
    <t>10471 NE 17th St</t>
  </si>
  <si>
    <t>0-7:2,8-10:1,11-14:0</t>
  </si>
  <si>
    <t>Brazen Real Estate, Inc.</t>
  </si>
  <si>
    <t>1722 98th Ave NE</t>
  </si>
  <si>
    <t>1415 110th Ave NE</t>
  </si>
  <si>
    <t>9841 NE 26 St</t>
  </si>
  <si>
    <t>2646 109th Pl NE</t>
  </si>
  <si>
    <t>0-8:5,9:6,10-11:5,12-14:4</t>
  </si>
  <si>
    <t>2641 110 Ave NE</t>
  </si>
  <si>
    <t>2601 Bellevue Way NE</t>
  </si>
  <si>
    <t>Hampton West Real Estate</t>
  </si>
  <si>
    <t>9850 NE 27th St</t>
  </si>
  <si>
    <t>10536 NE 24th St</t>
  </si>
  <si>
    <t>0-2:5,3:6,4-7:5,8:6,9-12:5,13:2,14:1</t>
  </si>
  <si>
    <t>2320 92nd Ave NE</t>
  </si>
  <si>
    <t>Washington Management Co. Inc.</t>
  </si>
  <si>
    <t>12336 NE 24th St</t>
  </si>
  <si>
    <t>10626 NE 28th St</t>
  </si>
  <si>
    <t>10513 NE 25th St</t>
  </si>
  <si>
    <t>2401 127th Ave NE</t>
  </si>
  <si>
    <t>14283 NE 27th St</t>
  </si>
  <si>
    <t>0-9:4,10:3,11-14:2</t>
  </si>
  <si>
    <t>12414 NE 2nd St</t>
  </si>
  <si>
    <t>172 131st Ave NE</t>
  </si>
  <si>
    <t>Glendale</t>
  </si>
  <si>
    <t>12525 NE 4th Pl</t>
  </si>
  <si>
    <t>0-7:1,8:0</t>
  </si>
  <si>
    <t>Wilburton</t>
  </si>
  <si>
    <t>9017 NE 32nd Pl</t>
  </si>
  <si>
    <t>0-7:1E,8-9:8,10:2</t>
  </si>
  <si>
    <t>2815 107th Ave NE</t>
  </si>
  <si>
    <t>8650 NE 7th St</t>
  </si>
  <si>
    <t>Medina</t>
  </si>
  <si>
    <t>601 84th Ave NE</t>
  </si>
  <si>
    <t>457 140th Ave NE</t>
  </si>
  <si>
    <t>1200 100th Pl NE</t>
  </si>
  <si>
    <t>9226 NE 13th St</t>
  </si>
  <si>
    <t>0-3:3,4:2</t>
  </si>
  <si>
    <t>10590 NE 12th St</t>
  </si>
  <si>
    <t>0-6:3</t>
  </si>
  <si>
    <t>10595 NE 12th Pl</t>
  </si>
  <si>
    <t>10575 NE 12th Pl</t>
  </si>
  <si>
    <t>2622 98th Ave NE</t>
  </si>
  <si>
    <t>0-2:5,3:4,4-5:5,6-7:4,8-9:5</t>
  </si>
  <si>
    <t>2713 142nd Pl NE</t>
  </si>
  <si>
    <t>2535 102nd Ave NE</t>
  </si>
  <si>
    <t>13000 NE 28th Pl</t>
  </si>
  <si>
    <t>10314 NE 28th Pl</t>
  </si>
  <si>
    <t>10304 NE 28th Pl</t>
  </si>
  <si>
    <t>8811 NE 28 St</t>
  </si>
  <si>
    <t>605 124th Ave NE</t>
  </si>
  <si>
    <t>1215 140th Pl NE</t>
  </si>
  <si>
    <t>East Bellevue</t>
  </si>
  <si>
    <t>1245 140th Pl NE</t>
  </si>
  <si>
    <t>1220 140th Pl NE</t>
  </si>
  <si>
    <t>1270 140th Pl NE</t>
  </si>
  <si>
    <t>1235 140th Pl NE</t>
  </si>
  <si>
    <t>14511 NE 4th St</t>
  </si>
  <si>
    <t>822 91st Ave NE</t>
  </si>
  <si>
    <t>844 Lake Washington Blvd NE</t>
  </si>
  <si>
    <t>0-6:1,7-8:2,9:0</t>
  </si>
  <si>
    <t>621 129 Pl NE</t>
  </si>
  <si>
    <t>0-1:5,2:4,3-5:3,6:2,7:3,8-9:1</t>
  </si>
  <si>
    <t>Kelsey Creek</t>
  </si>
  <si>
    <t>225 131st Ave NE</t>
  </si>
  <si>
    <t>0:2,1:1,2:2,3-14:1</t>
  </si>
  <si>
    <t>13042 NE 8th St</t>
  </si>
  <si>
    <t>325 131st Ave NE</t>
  </si>
  <si>
    <t>804 130th Ave NE</t>
  </si>
  <si>
    <t>10924 NE 18 Pl</t>
  </si>
  <si>
    <t>1616 108th Ave NE</t>
  </si>
  <si>
    <t>720 96th Ave NE</t>
  </si>
  <si>
    <t>1418 100th Ave NE</t>
  </si>
  <si>
    <t>0-10:7,11:5,12:4,13-14:3</t>
  </si>
  <si>
    <t>9827 NE 14th St</t>
  </si>
  <si>
    <t>2418 108th Ave NE</t>
  </si>
  <si>
    <t>0-10:6,11:1</t>
  </si>
  <si>
    <t>2213 92nd Ave NE</t>
  </si>
  <si>
    <t>0-7:1,8:2</t>
  </si>
  <si>
    <t>John L. Scott Lakewood</t>
  </si>
  <si>
    <t>7852 NE 14th St</t>
  </si>
  <si>
    <t>1824 175th Pl NE</t>
  </si>
  <si>
    <t>175th</t>
  </si>
  <si>
    <t>1627 169th Ave NE</t>
  </si>
  <si>
    <t>169th</t>
  </si>
  <si>
    <t>2122 182nd Ave NE</t>
  </si>
  <si>
    <t>182nd</t>
  </si>
  <si>
    <t>Tam O'shanter</t>
  </si>
  <si>
    <t>American Home and Investment</t>
  </si>
  <si>
    <t>17115 NE 16th Pl</t>
  </si>
  <si>
    <t>Bower Real Estate Services,LLC</t>
  </si>
  <si>
    <t>12026 SE 10th St</t>
  </si>
  <si>
    <t>0-7:3,8-10:2,11-12:1,13:0</t>
  </si>
  <si>
    <t>Woodridge</t>
  </si>
  <si>
    <t>10436 SE 13th St</t>
  </si>
  <si>
    <t>Enatai</t>
  </si>
  <si>
    <t>805 146 Ave SE</t>
  </si>
  <si>
    <t>12227 SE 12th St</t>
  </si>
  <si>
    <t>802 108th Ave SE</t>
  </si>
  <si>
    <t>Surrey Downs</t>
  </si>
  <si>
    <t>13607 SE 10th St</t>
  </si>
  <si>
    <t>18529 NE 19 Pl</t>
  </si>
  <si>
    <t>17020 NE 18th St</t>
  </si>
  <si>
    <t>16719 NE 20th St</t>
  </si>
  <si>
    <t>Ardmore</t>
  </si>
  <si>
    <t>Renton Realty</t>
  </si>
  <si>
    <t>16813 NE 19th Pl</t>
  </si>
  <si>
    <t>0-5:1,6:2,7-9:1</t>
  </si>
  <si>
    <t>16105 Northup Way</t>
  </si>
  <si>
    <t>Northup</t>
  </si>
  <si>
    <t>12203 SE 35th St</t>
  </si>
  <si>
    <t>Greenwich Crest</t>
  </si>
  <si>
    <t>8411 SE 35th St</t>
  </si>
  <si>
    <t>Mercer Island</t>
  </si>
  <si>
    <t>North End</t>
  </si>
  <si>
    <t>2137 130th Pl SE</t>
  </si>
  <si>
    <t>0-10:3,11-12:2,13:1</t>
  </si>
  <si>
    <t>2502 70 Ave SE</t>
  </si>
  <si>
    <t>0:5,1-3:4,4:3,5-6:4,7-8:6,9-14:4</t>
  </si>
  <si>
    <t>2381 132nd Ave SE</t>
  </si>
  <si>
    <t>0-2:2</t>
  </si>
  <si>
    <t>1524 121st Ave SE</t>
  </si>
  <si>
    <t>0-4:8,5:9,6-11:8,12:1</t>
  </si>
  <si>
    <t>2398 140th Way SE</t>
  </si>
  <si>
    <t>2342 127th Ave SE</t>
  </si>
  <si>
    <t>0:1,1:2,2:1,3:2,4:1,5-9:2,10-11:1</t>
  </si>
  <si>
    <t>14222 SE 41st St</t>
  </si>
  <si>
    <t>Eastgate</t>
  </si>
  <si>
    <t>14531 SE 41st Ln</t>
  </si>
  <si>
    <t>2243 74th Ave SE</t>
  </si>
  <si>
    <t>3617 73rd Ave SE</t>
  </si>
  <si>
    <t>11062 SE 30th St</t>
  </si>
  <si>
    <t>Irish Waters</t>
  </si>
  <si>
    <t>8844 SE 37th St</t>
  </si>
  <si>
    <t>0-6:2,7-11:1,12-13:2,14:1</t>
  </si>
  <si>
    <t>Madrona Crest</t>
  </si>
  <si>
    <t>1647 107th Ave SE</t>
  </si>
  <si>
    <t>4221 Mercerwood Dr</t>
  </si>
  <si>
    <t>Mercerwood</t>
  </si>
  <si>
    <t>0:2,1-6:1,7:0</t>
  </si>
  <si>
    <t>4009 97th Ave SE</t>
  </si>
  <si>
    <t>12040 SE 42nd St</t>
  </si>
  <si>
    <t>10417 SE 19th</t>
  </si>
  <si>
    <t>8220 SE 38th Pl</t>
  </si>
  <si>
    <t>0:K,1-3:I,4-5:D</t>
  </si>
  <si>
    <t>Lucas Hill</t>
  </si>
  <si>
    <t>Gateway GMAC Real Estate</t>
  </si>
  <si>
    <t>2720 127th Pl SE</t>
  </si>
  <si>
    <t>2473 132nd Ave SE</t>
  </si>
  <si>
    <t>0:1,1:0,2:1,3-14:0</t>
  </si>
  <si>
    <t>6935 SE 33rd St</t>
  </si>
  <si>
    <t>9726 SE 40 St</t>
  </si>
  <si>
    <t>0-1:9,2:8,3-4:9,5-9:A,10-12:8</t>
  </si>
  <si>
    <t>RSVP Real Estate</t>
  </si>
  <si>
    <t>13630 SE 20th St</t>
  </si>
  <si>
    <t>College Hill</t>
  </si>
  <si>
    <t>4151 86th Ave SE</t>
  </si>
  <si>
    <t>14607 SE 41 St</t>
  </si>
  <si>
    <t>0-10:2,11-13:1,14:0</t>
  </si>
  <si>
    <t>1801 136th Pl SE</t>
  </si>
  <si>
    <t>8456 SE 40th St</t>
  </si>
  <si>
    <t>0-8:5,9-12:4,13:3,14:0</t>
  </si>
  <si>
    <t>10416 SE 20th St</t>
  </si>
  <si>
    <t>7225 SE 27th St</t>
  </si>
  <si>
    <t>14008 SE 42nd St</t>
  </si>
  <si>
    <t>Somerset</t>
  </si>
  <si>
    <t>8821 SE 37th St</t>
  </si>
  <si>
    <t>2641 166th Ave SE</t>
  </si>
  <si>
    <t>166th</t>
  </si>
  <si>
    <t>Spiritridge</t>
  </si>
  <si>
    <t>672 West Lake Sammamish Pkwy NE</t>
  </si>
  <si>
    <t>Pkwy</t>
  </si>
  <si>
    <t>West Lake Sammamish</t>
  </si>
  <si>
    <t>15651 SE 24th St</t>
  </si>
  <si>
    <t>0:2,1:3,2:2,3-4:3,5:4,6:3,7-12:2,13:3,14:0</t>
  </si>
  <si>
    <t>Phantom Lake</t>
  </si>
  <si>
    <t>15740 NE 1st St</t>
  </si>
  <si>
    <t>232 163 Pl SE</t>
  </si>
  <si>
    <t>Lake Hills</t>
  </si>
  <si>
    <t>15703 SE 4 St</t>
  </si>
  <si>
    <t>16716 SE 29th St</t>
  </si>
  <si>
    <t>0:4,1-2:3,3:4,4-10:3,11-12:2,13-14:1</t>
  </si>
  <si>
    <t>16035 SE 9th St</t>
  </si>
  <si>
    <t>16639 26th place</t>
  </si>
  <si>
    <t>place</t>
  </si>
  <si>
    <t>15634 Main St</t>
  </si>
  <si>
    <t>211 168th Ave NE</t>
  </si>
  <si>
    <t>168th</t>
  </si>
  <si>
    <t>14708 NE 4 Pl</t>
  </si>
  <si>
    <t>16866 NE 6th St</t>
  </si>
  <si>
    <t>Lochmoor</t>
  </si>
  <si>
    <t>15714 SE 26th St</t>
  </si>
  <si>
    <t>16608 NE 9th St</t>
  </si>
  <si>
    <t>200 173rd Pl NE</t>
  </si>
  <si>
    <t>173rd</t>
  </si>
  <si>
    <t>0-5:4,6-11:3,12-14:1</t>
  </si>
  <si>
    <t>14506 SE 20th Pl</t>
  </si>
  <si>
    <t>0:4,1-11:3,12-13:2</t>
  </si>
  <si>
    <t>15236 NE 1st Pl</t>
  </si>
  <si>
    <t>14815 SE 9th Pl</t>
  </si>
  <si>
    <t>16924 NE 2nd Pl</t>
  </si>
  <si>
    <t>0-2:1,3-7:0,8-9:1,10-14:0</t>
  </si>
  <si>
    <t>15216 SE 1st Pl</t>
  </si>
  <si>
    <t>1015 160th Ave SE</t>
  </si>
  <si>
    <t>160th</t>
  </si>
  <si>
    <t>1430 179th Pl NE</t>
  </si>
  <si>
    <t>179th</t>
  </si>
  <si>
    <t>15452 SE 11th St</t>
  </si>
  <si>
    <t>15543 SE 24 St</t>
  </si>
  <si>
    <t>0-2:2,3:3,4:1,5-6:2,7:1,8:2,9:1,10:0</t>
  </si>
  <si>
    <t>Robinswood</t>
  </si>
  <si>
    <t>1033 159th Pl SE</t>
  </si>
  <si>
    <t>159th</t>
  </si>
  <si>
    <t>0-2:1,3-4:2,5:1,6:2,7:1,8-9:2,10-12:1,13:2,14:1</t>
  </si>
  <si>
    <t>1317 144th Ave SE</t>
  </si>
  <si>
    <t>236 Northup Way</t>
  </si>
  <si>
    <t>16217 SE 2nd St</t>
  </si>
  <si>
    <t>451 154th Ave SE</t>
  </si>
  <si>
    <t>154th</t>
  </si>
  <si>
    <t>0:4,1-2:2,3-4:3,5:0,6-9:1</t>
  </si>
  <si>
    <t>15426 SE 4th Pl</t>
  </si>
  <si>
    <t>1112 166 Ave SE</t>
  </si>
  <si>
    <t>0-1:1,2-3:2,4:1,5-13:0</t>
  </si>
  <si>
    <t>TMG Real Estate Inc.</t>
  </si>
  <si>
    <t>15280 NE 15th Pl</t>
  </si>
  <si>
    <t>0-1:3,2:4,3-5:3,6:4,7-8:3,9-10:2,11-13:1</t>
  </si>
  <si>
    <t>Crossroads</t>
  </si>
  <si>
    <t>16617 SE 31st St</t>
  </si>
  <si>
    <t>0-1:0,2:1,3:0,4:1,5:0,6:1,7-10:0,11-12:1,13-14:0</t>
  </si>
  <si>
    <t>3255 165th Ave</t>
  </si>
  <si>
    <t>165th</t>
  </si>
  <si>
    <t>0-10:4,11:3,12:1</t>
  </si>
  <si>
    <t>2520 166th Ave SE</t>
  </si>
  <si>
    <t>16570 SE 19th St</t>
  </si>
  <si>
    <t>16802 SE 28th St</t>
  </si>
  <si>
    <t>Lake Sammamish</t>
  </si>
  <si>
    <t>3338 166 Pl SE</t>
  </si>
  <si>
    <t>Vasa Park</t>
  </si>
  <si>
    <t>16911 SE 32nd Pl</t>
  </si>
  <si>
    <t>17106 SE 29 Pl</t>
  </si>
  <si>
    <t>0:3,1-4:2,5:3,6:2,7:3,8:2,9:3,10-13:2</t>
  </si>
  <si>
    <t>17001 SE 31st Pl</t>
  </si>
  <si>
    <t>4015 W Lake Sammamish Pkwy SE</t>
  </si>
  <si>
    <t>0-4:7,5:6,6-10:7,11:6,12:4,13:3,14:2</t>
  </si>
  <si>
    <t>16605 SE 34th St</t>
  </si>
  <si>
    <t>2106 190th Pl SE</t>
  </si>
  <si>
    <t>190th</t>
  </si>
  <si>
    <t>Sammamish</t>
  </si>
  <si>
    <t>East Lake Sammamish</t>
  </si>
  <si>
    <t>4351 90th Ave SE</t>
  </si>
  <si>
    <t>0:1,1:0,2-3:1,4:0,5-13:1</t>
  </si>
  <si>
    <t>Library</t>
  </si>
  <si>
    <t>4323 191st Ave SE</t>
  </si>
  <si>
    <t>191st</t>
  </si>
  <si>
    <t>Issaquah</t>
  </si>
  <si>
    <t>South Lake Sammamish</t>
  </si>
  <si>
    <t>Synergy Real Estate, Inc.</t>
  </si>
  <si>
    <t>Sat, Mar 29 1 - 4 PM</t>
  </si>
  <si>
    <t>13405 SE 43rd St</t>
  </si>
  <si>
    <t>16425 SE 44th Pl</t>
  </si>
  <si>
    <t>0:2,1-9:1,10:2,11-13:1</t>
  </si>
  <si>
    <t>Vuemont</t>
  </si>
  <si>
    <t>4322 158th Pl SE</t>
  </si>
  <si>
    <t>158th</t>
  </si>
  <si>
    <t>0-8:4,9-13:3,14:1</t>
  </si>
  <si>
    <t>Cougar Mountain</t>
  </si>
  <si>
    <t>2815 194th Ave SE</t>
  </si>
  <si>
    <t>All American Realty</t>
  </si>
  <si>
    <t>16628 SE 8th St</t>
  </si>
  <si>
    <t>16240 SE 8th St</t>
  </si>
  <si>
    <t>442 110th Ave SE</t>
  </si>
  <si>
    <t>0-10:4</t>
  </si>
  <si>
    <t>1010 178th Pl NE</t>
  </si>
  <si>
    <t>178th</t>
  </si>
  <si>
    <t>Bretton Wood</t>
  </si>
  <si>
    <t>1035 170th Pl NE</t>
  </si>
  <si>
    <t>170th</t>
  </si>
  <si>
    <t>Fremantle Development</t>
  </si>
  <si>
    <t>1014 151 Pl NE</t>
  </si>
  <si>
    <t>1358 164th Pl NE</t>
  </si>
  <si>
    <t>164th</t>
  </si>
  <si>
    <t>Donita Dickinson RE, Inc</t>
  </si>
  <si>
    <t>1324 164th Pl NE</t>
  </si>
  <si>
    <t>18516 NE 15th Pl</t>
  </si>
  <si>
    <t>16859 NE 14th Pl</t>
  </si>
  <si>
    <t>1426 176th Pl NE</t>
  </si>
  <si>
    <t>176th</t>
  </si>
  <si>
    <t>17400 NE 14th St</t>
  </si>
  <si>
    <t>1275 170th Ave NE</t>
  </si>
  <si>
    <t>4120 164th Ave SE</t>
  </si>
  <si>
    <t>16435 SE 34th St</t>
  </si>
  <si>
    <t>14024 SE Somerset Blvd</t>
  </si>
  <si>
    <t>0-1:9,2-11:3,12-13:2,14:1</t>
  </si>
  <si>
    <t>Windermere R.E. Maple Valley</t>
  </si>
  <si>
    <t>4252 190th Ave SE</t>
  </si>
  <si>
    <t>0-4:2,5:1,6:2,7:1,8:2,9:1,10:2,11:1,12-14:0</t>
  </si>
  <si>
    <t>18905 SE 43 St</t>
  </si>
  <si>
    <t>3838 166th Ave SE</t>
  </si>
  <si>
    <t>0:0,1-6:1,7-11:0</t>
  </si>
  <si>
    <t>15813 SE Newport Way</t>
  </si>
  <si>
    <t>Newport</t>
  </si>
  <si>
    <t>13500 SE 42nd Pl</t>
  </si>
  <si>
    <t>14204 SE 40th St</t>
  </si>
  <si>
    <t>16119 SE 42nd St</t>
  </si>
  <si>
    <t>15104 SE 42nd Pl</t>
  </si>
  <si>
    <t>4044 156th Ave SE</t>
  </si>
  <si>
    <t>156th</t>
  </si>
  <si>
    <t>3420 161st Pl SE</t>
  </si>
  <si>
    <t>161st</t>
  </si>
  <si>
    <t>13820 SE 44th St</t>
  </si>
  <si>
    <t>4016 92nd Ave SE</t>
  </si>
  <si>
    <t>30 Chelan Key</t>
  </si>
  <si>
    <t>Key</t>
  </si>
  <si>
    <t>Chelan</t>
  </si>
  <si>
    <t>0-5:2,6-12:1,13-14:0</t>
  </si>
  <si>
    <t>Newport Shores</t>
  </si>
  <si>
    <t>9326 Mercerwood Dr</t>
  </si>
  <si>
    <t>0-8:4,9-12:3,13:1</t>
  </si>
  <si>
    <t>7 Maple Ln</t>
  </si>
  <si>
    <t>Maple</t>
  </si>
  <si>
    <t>0-13:5</t>
  </si>
  <si>
    <t>9729 SE 40th St</t>
  </si>
  <si>
    <t>4346 Island Crest Way</t>
  </si>
  <si>
    <t>Island Crest</t>
  </si>
  <si>
    <t>0:1,1:0,2:1,3-6:0,7:1,8-14:0</t>
  </si>
  <si>
    <t>7655 SE 40th St</t>
  </si>
  <si>
    <t>502 141 Ave SE</t>
  </si>
  <si>
    <t>7635 SE 29 St</t>
  </si>
  <si>
    <t>2260 78th Ave SE</t>
  </si>
  <si>
    <t>2819 E Lake Sammamish Pkwy SE</t>
  </si>
  <si>
    <t>19314 SE 24th Way</t>
  </si>
  <si>
    <t>0:6,1-2:5,3-5:6,6-9:5,10:4,11-12:3,13:4</t>
  </si>
  <si>
    <t>2235 78th Ave SE</t>
  </si>
  <si>
    <t>1260 80th Pl NE</t>
  </si>
  <si>
    <t>0-5:6,6-10:5,11:3,12:2</t>
  </si>
  <si>
    <t>Realty Plus, Inc.</t>
  </si>
  <si>
    <t>2817 72nd Ave SE</t>
  </si>
  <si>
    <t>East Seattle</t>
  </si>
  <si>
    <t>3106 113th Ave SE</t>
  </si>
  <si>
    <t>3108 113th Ave SE</t>
  </si>
  <si>
    <t>2042 123rd Ave SE</t>
  </si>
  <si>
    <t>1615 125th Ave SE</t>
  </si>
  <si>
    <t>Best Real Estate Services</t>
  </si>
  <si>
    <t>3554 120th Ave SE</t>
  </si>
  <si>
    <t>11047 SE 27th Pl</t>
  </si>
  <si>
    <t>0:4,1-2:3,3-4:2,5-9:3,10:2,11:3,12:2,13:1</t>
  </si>
  <si>
    <t>2761 124th Ave SE</t>
  </si>
  <si>
    <t>0-2:1,3:0,4:1,5:0,6-8:1,9:0</t>
  </si>
  <si>
    <t>1014 111 Pl SE</t>
  </si>
  <si>
    <t>2709 123rd Ave SE</t>
  </si>
  <si>
    <t>11036 SE 27th Pl</t>
  </si>
  <si>
    <t>0:1,1-2:2,3:1,4:2,5-6:1,7-8:2,9-14:1</t>
  </si>
  <si>
    <t>2743 124th Ave SE</t>
  </si>
  <si>
    <t>2735 124 Ave SE</t>
  </si>
  <si>
    <t>0:1,1-4:2,5-12:1,13:0</t>
  </si>
  <si>
    <t>3263 113th Ave SE</t>
  </si>
  <si>
    <t>12106 SE 43rd St</t>
  </si>
  <si>
    <t>12331 SE 23 Pl</t>
  </si>
  <si>
    <t>0-9:7,10:8,11-12:7,13:5,14:2</t>
  </si>
  <si>
    <t>1234 147th Ave SE</t>
  </si>
  <si>
    <t>1726 145th Pl SE</t>
  </si>
  <si>
    <t>0:2,1:1,2-3:0</t>
  </si>
  <si>
    <t>1026 145th Pl SE</t>
  </si>
  <si>
    <t>2215 144th Ave SE</t>
  </si>
  <si>
    <t>0-10:5,11-12:1</t>
  </si>
  <si>
    <t>516 147th Pl NE</t>
  </si>
  <si>
    <t>14021 SE 10th St</t>
  </si>
  <si>
    <t>920 147th Ln NE</t>
  </si>
  <si>
    <t>0-2:2,3:1,4-5:2,6-12:1,13:2</t>
  </si>
  <si>
    <t>2956 142nd Pl SE</t>
  </si>
  <si>
    <t>1820 147 Ave SE</t>
  </si>
  <si>
    <t>0:2,1:1,2-11:0</t>
  </si>
  <si>
    <t>John L. Scott, Inc. Kingston</t>
  </si>
  <si>
    <t>2308 140th Way SE</t>
  </si>
  <si>
    <t>0-8:6,9-10:7,11-13:6</t>
  </si>
  <si>
    <t>Simon &amp; Associates Ltd</t>
  </si>
  <si>
    <t>14919 SE 44th Pl</t>
  </si>
  <si>
    <t>1513 146th Ave SE</t>
  </si>
  <si>
    <t>146th</t>
  </si>
  <si>
    <t>13664 SE 37th St</t>
  </si>
  <si>
    <t>0-12:5</t>
  </si>
  <si>
    <t>1040 148 Dr SE</t>
  </si>
  <si>
    <t>15525 SE 8th St</t>
  </si>
  <si>
    <t>15942 Lake Hills Blvd</t>
  </si>
  <si>
    <t>803 164th Ave SE</t>
  </si>
  <si>
    <t>0-8:3</t>
  </si>
  <si>
    <t>15842 SE 4th St</t>
  </si>
  <si>
    <t>16121 SE 31st St</t>
  </si>
  <si>
    <t>16041 SE 16th St</t>
  </si>
  <si>
    <t>0-7:3,8-12:0</t>
  </si>
  <si>
    <t>16210 SE 24th St</t>
  </si>
  <si>
    <t>105 154th Pl NE</t>
  </si>
  <si>
    <t>Newberry Realty, Inc.</t>
  </si>
  <si>
    <t>15604 NE 1st Pl</t>
  </si>
  <si>
    <t>59 159th Pl NE</t>
  </si>
  <si>
    <t>15828 SE 5th Pl</t>
  </si>
  <si>
    <t>16169 Northup Way</t>
  </si>
  <si>
    <t>0-2:M,3-4:L,5-13:F</t>
  </si>
  <si>
    <t>3425 161ST Pl SE</t>
  </si>
  <si>
    <t>161ST</t>
  </si>
  <si>
    <t>15619 SE 8th St</t>
  </si>
  <si>
    <t>2514 155th Ave SE</t>
  </si>
  <si>
    <t>155th</t>
  </si>
  <si>
    <t>1225 151 Ave SE</t>
  </si>
  <si>
    <t>RE/MAX Signature</t>
  </si>
  <si>
    <t>15916 NE 1st St</t>
  </si>
  <si>
    <t>1115 160th Ave SE</t>
  </si>
  <si>
    <t>0:2,1-4:1,5-6:2,7:1,8:4,9:2,10:1</t>
  </si>
  <si>
    <t>1011 158th Pl SE</t>
  </si>
  <si>
    <t>16011 SE 5 St</t>
  </si>
  <si>
    <t>0-8:2C</t>
  </si>
  <si>
    <t>16165 Northup Way</t>
  </si>
  <si>
    <t>0-2:4</t>
  </si>
  <si>
    <t>Whitfield Real Estate</t>
  </si>
  <si>
    <t>15638 SE 24th St</t>
  </si>
  <si>
    <t>14 157th Ave SE</t>
  </si>
  <si>
    <t>26 151st Pl SE</t>
  </si>
  <si>
    <t>0-4:2,5-12:1</t>
  </si>
  <si>
    <t>1512 150th Ave SE</t>
  </si>
  <si>
    <t>2622 W Lake Sammamish Pkwy SE</t>
  </si>
  <si>
    <t>0-2:4,3:5,4:3,5:2,6-7:3,8:2,9-13:3,14:1</t>
  </si>
  <si>
    <t>2830 170th Ave SE</t>
  </si>
  <si>
    <t>0-7:0,9-14:0</t>
  </si>
  <si>
    <t>2618 169th Ave SE</t>
  </si>
  <si>
    <t>17271 NE 7th Pl</t>
  </si>
  <si>
    <t>17444 NE 12th St</t>
  </si>
  <si>
    <t>0-5:1,6-12:0</t>
  </si>
  <si>
    <t>$500 Realty Inc</t>
  </si>
  <si>
    <t>1731 173rd Ave NE</t>
  </si>
  <si>
    <t>Overlake</t>
  </si>
  <si>
    <t>1433 170th Pl NE</t>
  </si>
  <si>
    <t>17104 NE 5th Pl</t>
  </si>
  <si>
    <t>0-10:3,11-12:1,13-14:0</t>
  </si>
  <si>
    <t>CMESELL.com</t>
  </si>
  <si>
    <t>16523 SE 31st St</t>
  </si>
  <si>
    <t>17172 NE 5th St</t>
  </si>
  <si>
    <t>806 166th Ave NE</t>
  </si>
  <si>
    <t>2829 W Lake Sammamish Pkwy SE</t>
  </si>
  <si>
    <t>16613 NE 18th St</t>
  </si>
  <si>
    <t>16605 SE 35th St</t>
  </si>
  <si>
    <t>0-2:4,3:5,4-10:4,11-12:5,13:4,14:3</t>
  </si>
  <si>
    <t>3419 SE 166th Ave SE</t>
  </si>
  <si>
    <t>0-1:1,2-9:0</t>
  </si>
  <si>
    <t>1258 170 Ave NE</t>
  </si>
  <si>
    <t>17108 SE 29th Ct</t>
  </si>
  <si>
    <t>0:3,1-4:2,5-6:1,7:2,8:0</t>
  </si>
  <si>
    <t>17224 NE 6th Pl</t>
  </si>
  <si>
    <t>0-3:C,4-6:B,7-11:A,12-13:9,14:5</t>
  </si>
  <si>
    <t>131 165th Ave NE</t>
  </si>
  <si>
    <t>SeaReal Investments, LLC</t>
  </si>
  <si>
    <t>16437 NE 16th Pl</t>
  </si>
  <si>
    <t>0:3,1-5:2,6:3,7-9:2,10:0,11:1</t>
  </si>
  <si>
    <t>4243 185th Pl SE</t>
  </si>
  <si>
    <t>185th</t>
  </si>
  <si>
    <t>3615 90th Ave SE</t>
  </si>
  <si>
    <t>2249 80th Ave SE</t>
  </si>
  <si>
    <t>4114 Island Crest Way</t>
  </si>
  <si>
    <t>4216 89th Ave SE</t>
  </si>
  <si>
    <t>3721 88th Ave SE</t>
  </si>
  <si>
    <t>3719 88th Ave SE</t>
  </si>
  <si>
    <t>0:H</t>
  </si>
  <si>
    <t>9319 SE 36th St</t>
  </si>
  <si>
    <t>4128 164th Ave SE</t>
  </si>
  <si>
    <t>4236 164th Ave SE</t>
  </si>
  <si>
    <t>Lakemont</t>
  </si>
  <si>
    <t>16902 SE 43 St</t>
  </si>
  <si>
    <t>4145 161st Ave SE</t>
  </si>
  <si>
    <t>0-1:2,2-4:3,5-8:2,9-10:0</t>
  </si>
  <si>
    <t>15531 SE 43rd Pl</t>
  </si>
  <si>
    <t>0-9:6,10-11:4,12:2,13:0</t>
  </si>
  <si>
    <t>4041 169th Ave SE</t>
  </si>
  <si>
    <t>4416 167th Pl SE</t>
  </si>
  <si>
    <t>167th</t>
  </si>
  <si>
    <t>0-1:5,2-5:4,6-11:3,12-13:4,14:0</t>
  </si>
  <si>
    <t>15315 SE 42 St</t>
  </si>
  <si>
    <t>15337 SE 43 rd Pl</t>
  </si>
  <si>
    <t>43 rd</t>
  </si>
  <si>
    <t>4065 173rd Pl SE</t>
  </si>
  <si>
    <t>16035 SE 43rd St</t>
  </si>
  <si>
    <t>0-3:5,4-7:4,8-11:3,12-14:0</t>
  </si>
  <si>
    <t>17165 SE 40th Pl</t>
  </si>
  <si>
    <t>13643 SE 10th St</t>
  </si>
  <si>
    <t>2314 127th Ave SE</t>
  </si>
  <si>
    <t>0-1:6,2-7:5,8-9:4,10-13:5,14:4</t>
  </si>
  <si>
    <t>1853 132nd Ave SE</t>
  </si>
  <si>
    <t>13724 SE newport way</t>
  </si>
  <si>
    <t>way</t>
  </si>
  <si>
    <t>newport</t>
  </si>
  <si>
    <t>4225 136th Pl SE</t>
  </si>
  <si>
    <t>0-7:2,8:3,9-10:2,11-12:3,13-14:2</t>
  </si>
  <si>
    <t>310 110 Pl SE</t>
  </si>
  <si>
    <t>11003 SE 3rd St</t>
  </si>
  <si>
    <t>442 109 Ave SE</t>
  </si>
  <si>
    <t>0-13:B,14:6</t>
  </si>
  <si>
    <t>11012 SE 9th St</t>
  </si>
  <si>
    <t>10627 SE 18th St</t>
  </si>
  <si>
    <t>101 Cedar Crest Ln</t>
  </si>
  <si>
    <t>Cedar Crest</t>
  </si>
  <si>
    <t>3133 110th Ave SE</t>
  </si>
  <si>
    <t>0:2,1-10:1,11:0</t>
  </si>
  <si>
    <t>10665 SE 23rd St</t>
  </si>
  <si>
    <t>1419 104th Ave SE</t>
  </si>
  <si>
    <t>2011 108 Ave SE</t>
  </si>
  <si>
    <t>351 108th Ave SE</t>
  </si>
  <si>
    <t>1601 184th Ave NE</t>
  </si>
  <si>
    <t>184th</t>
  </si>
  <si>
    <t>0-1:2,2:3,3-7:2,8:1</t>
  </si>
  <si>
    <t>1407 E Lake Sammamish Pkwy SE</t>
  </si>
  <si>
    <t>9520 Mercerwood Dr</t>
  </si>
  <si>
    <t>0-2:3,3:4,4-7:3</t>
  </si>
  <si>
    <t>1905 165th Pl NE</t>
  </si>
  <si>
    <t>17912 NE 19th Pl</t>
  </si>
  <si>
    <t>0-1:2,2:3,3:2,4:3,5:2,6:3,7:2,8:3,9:2,10:1,11:2,12-13:1,14:2</t>
  </si>
  <si>
    <t>The Summit</t>
  </si>
  <si>
    <t>The Brentwood Group</t>
  </si>
  <si>
    <t>11608 SE 63rd St (Unable to map)</t>
  </si>
  <si>
    <t>1362 247th Pl SE (Unable to map)</t>
  </si>
  <si>
    <t>247th</t>
  </si>
  <si>
    <t>0-1:1,2-10:0</t>
  </si>
  <si>
    <t>Plateau</t>
  </si>
  <si>
    <t>1332 247th Pl SE (Unable to map)</t>
  </si>
  <si>
    <t>1352 247th Pl SE (Unable to map)</t>
  </si>
  <si>
    <t>0 SE Darst St #440 (Unable to map)</t>
  </si>
  <si>
    <t>#440</t>
  </si>
  <si>
    <t>Darst</t>
  </si>
  <si>
    <t>0-1:2,2:1,3:0</t>
  </si>
  <si>
    <t>Downtown Issaquah</t>
  </si>
  <si>
    <t>4537 185th St SE (Unable to map)</t>
  </si>
  <si>
    <t>1342 247th Pl SE (Unable to map)</t>
  </si>
  <si>
    <t>0:5,1:2,2-3:0,4:3,5-9:2</t>
  </si>
  <si>
    <t>0 SE Clark St #4XX (Unable to map)</t>
  </si>
  <si>
    <t>#4XX</t>
  </si>
  <si>
    <t>Clark</t>
  </si>
  <si>
    <t>0-1:4,2:3,3-4:0</t>
  </si>
  <si>
    <t>1621 208th Pl SE (Unable to map)</t>
  </si>
  <si>
    <t>208th</t>
  </si>
  <si>
    <t>0-1:6,2:5,3:3,4-13:0</t>
  </si>
  <si>
    <t>Pine Lake</t>
  </si>
  <si>
    <t>11610 SE 63rd St (Unable to map)</t>
  </si>
  <si>
    <t>Newport Hills</t>
  </si>
  <si>
    <t>6311 117th Ave SE (Unable to map)</t>
  </si>
  <si>
    <t>11615 SE 63rd St (Unable to map)</t>
  </si>
  <si>
    <t>4521 185th St SE (Unable to map)</t>
  </si>
  <si>
    <t>4517 185th St SE (Unable to map)</t>
  </si>
  <si>
    <t>0:1,1:2,2-11:0</t>
  </si>
  <si>
    <t>4525 185th St SE (Unable to map)</t>
  </si>
  <si>
    <t>4540 185th St SE (Unable to map)</t>
  </si>
  <si>
    <t>0:2,1-3:3,4-14:2</t>
  </si>
  <si>
    <t>Coast Properties</t>
  </si>
  <si>
    <t>0-1:1,2:2,3:0,4-5:2,6:1,7-8:2,9:1,10:2,11-13:1,14:0</t>
  </si>
  <si>
    <t>0 SE Darst St #4XX (Unable to map)</t>
  </si>
  <si>
    <t>0-1:4,2:3,3:0</t>
  </si>
  <si>
    <t>Montreux</t>
  </si>
  <si>
    <t>400 SE Clark St (Unable to map)</t>
  </si>
  <si>
    <t>6710 123rd Pl SE</t>
  </si>
  <si>
    <t>0-10:4,11-13:3,14:1</t>
  </si>
  <si>
    <t>16518 SE 64th Pl</t>
  </si>
  <si>
    <t>12728 SE 65th St</t>
  </si>
  <si>
    <t>0:3,1-14:0</t>
  </si>
  <si>
    <t>6590 152nd Ave SE</t>
  </si>
  <si>
    <t>Forest Ridge</t>
  </si>
  <si>
    <t>6185 168 Pl SE</t>
  </si>
  <si>
    <t>0-7:4,8:3,9-11:4,12-14:0</t>
  </si>
  <si>
    <t>11139 SE 61st Pl</t>
  </si>
  <si>
    <t>0-1:1,2:0</t>
  </si>
  <si>
    <t>11107 SE 61st St</t>
  </si>
  <si>
    <t>6224 123rd Ave SE</t>
  </si>
  <si>
    <t>12110 SE 60th Pl</t>
  </si>
  <si>
    <t>14918 SE 61st Ct</t>
  </si>
  <si>
    <t>6024 123rd Ave SE</t>
  </si>
  <si>
    <t>6121 145th Pl SE</t>
  </si>
  <si>
    <t>6023 121st Ave SE</t>
  </si>
  <si>
    <t>15511 SE 55th Pl</t>
  </si>
  <si>
    <t>0:V,1-3:U,4:T,5-8:V,9:U,10-11:V,12-13:U,14:7</t>
  </si>
  <si>
    <t>5560 NW Konigs Ct</t>
  </si>
  <si>
    <t>Konigs</t>
  </si>
  <si>
    <t>16060 SE 45th Pl</t>
  </si>
  <si>
    <t>0-1:2,2:1,3-6:0</t>
  </si>
  <si>
    <t>4657 91st Ave SE</t>
  </si>
  <si>
    <t>0-2:1,3:2,4:1,5-14:2</t>
  </si>
  <si>
    <t>Mid Island</t>
  </si>
  <si>
    <t>5695 193rd Pl SE</t>
  </si>
  <si>
    <t>193rd</t>
  </si>
  <si>
    <t>Shannon O'Neil Associates</t>
  </si>
  <si>
    <t>5248 122 Pl SE</t>
  </si>
  <si>
    <t>16810 SE 47th Way</t>
  </si>
  <si>
    <t>15114 SE 48th Dr</t>
  </si>
  <si>
    <t>0-4:A,5-9:9</t>
  </si>
  <si>
    <t>19501 SE 51st St</t>
  </si>
  <si>
    <t>0-3:2,4:1,5-6:2,7-10:1,11-12:0</t>
  </si>
  <si>
    <t>15704 SE 45th Ct</t>
  </si>
  <si>
    <t>0-4:8,5-7:7,8-11:5,12:4,13:3</t>
  </si>
  <si>
    <t>Whispering Heights</t>
  </si>
  <si>
    <t>12103 SE 47th St</t>
  </si>
  <si>
    <t>8410 SE 53rd Pl</t>
  </si>
  <si>
    <t>5135 150th Pl SE</t>
  </si>
  <si>
    <t>12219 SE 54th St</t>
  </si>
  <si>
    <t>14530 SE 85TH St</t>
  </si>
  <si>
    <t>85TH</t>
  </si>
  <si>
    <t>0:2,1-4:1,5-11:0</t>
  </si>
  <si>
    <t>China Creek</t>
  </si>
  <si>
    <t>8206 128th Ave SE</t>
  </si>
  <si>
    <t>0-4:5,5-9:4,10-14:3</t>
  </si>
  <si>
    <t>Olympus</t>
  </si>
  <si>
    <t>8205 127th Ave SE</t>
  </si>
  <si>
    <t>0-13:5,14:1</t>
  </si>
  <si>
    <t>8104 118th Ct SE</t>
  </si>
  <si>
    <t>0-1:8,2-6:7,7:6,8:7,9:6,10-12:7,13:8,14:A</t>
  </si>
  <si>
    <t>8232 127th Ave SE</t>
  </si>
  <si>
    <t>14118 SE 83rd St</t>
  </si>
  <si>
    <t>0:4,1-14:1</t>
  </si>
  <si>
    <t>11708 SE 78th Pl</t>
  </si>
  <si>
    <t>Lk Washington Crest</t>
  </si>
  <si>
    <t>8411 127th Pl SE</t>
  </si>
  <si>
    <t>0-3:1,4-7:0</t>
  </si>
  <si>
    <t>8418 127th Pl SE</t>
  </si>
  <si>
    <t>7006 135th Pl SE</t>
  </si>
  <si>
    <t>0-10:3,11-12:1</t>
  </si>
  <si>
    <t>16042 SE 45th Pl</t>
  </si>
  <si>
    <t>0-2:1,3-8:0</t>
  </si>
  <si>
    <t>16066 SE 45th Pl</t>
  </si>
  <si>
    <t>16048 SE 45th Pl</t>
  </si>
  <si>
    <t>0-1:3,2:2,3-7:1</t>
  </si>
  <si>
    <t>16078 SE 45th Pl</t>
  </si>
  <si>
    <t>16495 SE 57th Pl</t>
  </si>
  <si>
    <t>16101 SE 45th St</t>
  </si>
  <si>
    <t>0-11:5</t>
  </si>
  <si>
    <t>16831 SE 46th St</t>
  </si>
  <si>
    <t>0:3,1:4,2:3,3-4:4,5-6:3,7:4,8-12:3,13:4,14:3</t>
  </si>
  <si>
    <t>12643 SE 59th St</t>
  </si>
  <si>
    <t>0:F,1:G,2:E,3:D,4:E,5-6:D,7-8:E,9:D,10:C,11-12:B,13:C</t>
  </si>
  <si>
    <t>15611 SE 45th Pl</t>
  </si>
  <si>
    <t>5998 166th Ave SE</t>
  </si>
  <si>
    <t>16027 SE 46th Pl</t>
  </si>
  <si>
    <t>16760 SE 45 St</t>
  </si>
  <si>
    <t>0-6:1,7-9:0</t>
  </si>
  <si>
    <t>4629 162nd Ave SE</t>
  </si>
  <si>
    <t>162nd</t>
  </si>
  <si>
    <t>0-5:2,6-8:1,9:0</t>
  </si>
  <si>
    <t>7702 134th Ave SE</t>
  </si>
  <si>
    <t>0-3:2,4-8:1,9-13:0</t>
  </si>
  <si>
    <t>6703 154th Pl SE</t>
  </si>
  <si>
    <t>13929 SE 60th St</t>
  </si>
  <si>
    <t>16511 SE 46th St</t>
  </si>
  <si>
    <t>16310 SE 48th Dr</t>
  </si>
  <si>
    <t>4521 172nd Ave SE</t>
  </si>
  <si>
    <t>12519 SE 75th Pl</t>
  </si>
  <si>
    <t>0:4,1-3:3,4-13:1,14:0</t>
  </si>
  <si>
    <t>6625 128th Ave SE</t>
  </si>
  <si>
    <t>13801 SE 52nd Pl</t>
  </si>
  <si>
    <t>0:4,1:5,2-4:4,5-9:3,10:2,11-13:3,14:2</t>
  </si>
  <si>
    <t>13278 SE 54th Pl</t>
  </si>
  <si>
    <t>6672 127th Pl SE</t>
  </si>
  <si>
    <t>6420 165th Pl SE</t>
  </si>
  <si>
    <t>0:2,1-8:1,9-10:3,11:0</t>
  </si>
  <si>
    <t>16410 SE 58th Pl</t>
  </si>
  <si>
    <t>4549 125th Ave SE</t>
  </si>
  <si>
    <t>0:7,1-14:2</t>
  </si>
  <si>
    <t>15772 SE 44th Pl</t>
  </si>
  <si>
    <t>5835 146 Pl SE</t>
  </si>
  <si>
    <t>5006 126th Ave SE</t>
  </si>
  <si>
    <t>4581 137th Ave SE</t>
  </si>
  <si>
    <t>4623 133rd Ave SE</t>
  </si>
  <si>
    <t>7419 137 Pl SE</t>
  </si>
  <si>
    <t>0-5:1,6-8:0,9-12:1,13-14:0</t>
  </si>
  <si>
    <t>James &amp; Associates R.E. Inc.</t>
  </si>
  <si>
    <t>5079 164th Ave SE</t>
  </si>
  <si>
    <t>0-3:4,4-8:3</t>
  </si>
  <si>
    <t>5085 164th Ave SE</t>
  </si>
  <si>
    <t>7118 114 Ave SE</t>
  </si>
  <si>
    <t>0-4:3,5-6:2,7-14:1</t>
  </si>
  <si>
    <t>7033 125th Ave SE</t>
  </si>
  <si>
    <t>7002 119th Pl SE</t>
  </si>
  <si>
    <t>11515 SE 76th St</t>
  </si>
  <si>
    <t>7410 92nd Pl SE</t>
  </si>
  <si>
    <t>0-9:G,10:F,11:G,12:B,13:A,14:6</t>
  </si>
  <si>
    <t>6931 115th Pl SE</t>
  </si>
  <si>
    <t>6930 94th Ave SE</t>
  </si>
  <si>
    <t>6801 96th Ave SE</t>
  </si>
  <si>
    <t>South End</t>
  </si>
  <si>
    <t>6219 89th Ave SE</t>
  </si>
  <si>
    <t>0-12:1,13:2,14:1</t>
  </si>
  <si>
    <t>7801 89th Pl SE</t>
  </si>
  <si>
    <t>Island Terrace</t>
  </si>
  <si>
    <t>6725 113th Pl SE</t>
  </si>
  <si>
    <t>6517 121 Pl SE</t>
  </si>
  <si>
    <t>0-4:1,5:3,6:1,7-13:3,14:1</t>
  </si>
  <si>
    <t>8833 SE 61st St</t>
  </si>
  <si>
    <t>11217 SE 64th St./Lot 2</t>
  </si>
  <si>
    <t>64th St./Lot 2</t>
  </si>
  <si>
    <t>0:P,1:Q,2-3:R,4:O,5-8:H,9-11:G,12-13:A,14:9</t>
  </si>
  <si>
    <t>6100 86th Ave SE</t>
  </si>
  <si>
    <t>11820 SE 56th St</t>
  </si>
  <si>
    <t>11606 SE 47th St</t>
  </si>
  <si>
    <t>8835 SE 72 Pl</t>
  </si>
  <si>
    <t>0:4,1-9:3,10-11:2,12-14:3</t>
  </si>
  <si>
    <t>6014 Lake Washington Blvd SE</t>
  </si>
  <si>
    <t>11209 SE 64th St./ Lot 1</t>
  </si>
  <si>
    <t>64th St./ Lot 1</t>
  </si>
  <si>
    <t>0:G,1:I,2-3:J,4:F,5-7:A,8:9,9:8,10:4,11:5,12:2,13-14:1</t>
  </si>
  <si>
    <t>6140 90th Ave SE</t>
  </si>
  <si>
    <t>0-9:5,10-13:4,14:3</t>
  </si>
  <si>
    <t>9405 SE 47th St</t>
  </si>
  <si>
    <t>Dawn Vista</t>
  </si>
  <si>
    <t>11509 SE 70th St</t>
  </si>
  <si>
    <t>0:3,1-13:2,14:0</t>
  </si>
  <si>
    <t>RE/MAX On the Ridge</t>
  </si>
  <si>
    <t>7437 121 Ave SE</t>
  </si>
  <si>
    <t>Lake Washington Ridge</t>
  </si>
  <si>
    <t>4859 90th Pl SE</t>
  </si>
  <si>
    <t>0-7:4</t>
  </si>
  <si>
    <t>4510 89TH Ave SE</t>
  </si>
  <si>
    <t>89TH</t>
  </si>
  <si>
    <t>Allview Heights</t>
  </si>
  <si>
    <t>8410 SE 47th Pl</t>
  </si>
  <si>
    <t>0-11:4,12:3,13:2</t>
  </si>
  <si>
    <t>Westside</t>
  </si>
  <si>
    <t>Cameron Real Estate Group LLC</t>
  </si>
  <si>
    <t>8809 137 Ave SE</t>
  </si>
  <si>
    <t>11935 SE 76th St</t>
  </si>
  <si>
    <t>0:2,1-4:3,5-14:2</t>
  </si>
  <si>
    <t>4431 193 Ave SE</t>
  </si>
  <si>
    <t>19220 SE 47th St</t>
  </si>
  <si>
    <t>1675 Pine View Dr NW</t>
  </si>
  <si>
    <t>Pine View</t>
  </si>
  <si>
    <t>0-3:5,4-6:4,7-11:1</t>
  </si>
  <si>
    <t>19226 SE 48th Pl</t>
  </si>
  <si>
    <t>0-3:1L,4-8:1K,9:1L,10:1K,11:2,12:0</t>
  </si>
  <si>
    <t>0-10:4,11:0</t>
  </si>
  <si>
    <t>16126 SE 45 Pl</t>
  </si>
  <si>
    <t>0-1:W,2-8:V,9:T,10:4,11-14:1</t>
  </si>
  <si>
    <t>16118 SE 45th Pl</t>
  </si>
  <si>
    <t>0-1:O,2:P,3-4:O,5-8:N</t>
  </si>
  <si>
    <t>16129 SE 45 Pl</t>
  </si>
  <si>
    <t>0:3,1:2,2-7:3,8-9:1</t>
  </si>
  <si>
    <t>8525 126th Pl SE</t>
  </si>
  <si>
    <t>0-9:15,10-11:13,12:Y</t>
  </si>
  <si>
    <t>8913 139th Ave SE</t>
  </si>
  <si>
    <t>9206 Coal Creek Pkwy SE</t>
  </si>
  <si>
    <t>3315 Aberdeen Ave NE</t>
  </si>
  <si>
    <t>Aberdeen</t>
  </si>
  <si>
    <t>0-3:5,4-8:4,9-10:3,11:1,12-14:0</t>
  </si>
  <si>
    <t>9201 117th Ave SE</t>
  </si>
  <si>
    <t>8936 133rd Ave SE</t>
  </si>
  <si>
    <t>9137 122nd Pl SE</t>
  </si>
  <si>
    <t>8231 117th Ave SE</t>
  </si>
  <si>
    <t>11726 SE 92nd St</t>
  </si>
  <si>
    <t>3604 Meadow Ave N</t>
  </si>
  <si>
    <t>Meadow</t>
  </si>
  <si>
    <t>0:2,1-2:1,3-7:0</t>
  </si>
  <si>
    <t>Lower Kennydale</t>
  </si>
  <si>
    <t>RE/MAX Team One</t>
  </si>
  <si>
    <t>3336 Park Ave N</t>
  </si>
  <si>
    <t>1105 N 34th St</t>
  </si>
  <si>
    <t>0-10:5,11:1</t>
  </si>
  <si>
    <t>13914 SE 88th Pl</t>
  </si>
  <si>
    <t>8646 116 Ave SE</t>
  </si>
  <si>
    <t>0:4,1:5,2:6,3:5,4-9:4,10:1</t>
  </si>
  <si>
    <t>11241 SE 64th St./Lot 5</t>
  </si>
  <si>
    <t>64th St./Lot 5</t>
  </si>
  <si>
    <t>0:0,1-4:1</t>
  </si>
  <si>
    <t>6521 80 Ave SE</t>
  </si>
  <si>
    <t>5011 E Mercer Way</t>
  </si>
  <si>
    <t>0-11:4,12:0</t>
  </si>
  <si>
    <t>Solution Partners NWWindermere</t>
  </si>
  <si>
    <t>7515 SE 119th Pl</t>
  </si>
  <si>
    <t>0:3,1-3:1,4:0,5-14:1</t>
  </si>
  <si>
    <t>5399 164th Ave SE</t>
  </si>
  <si>
    <t>0-1:3,2:4,3-10:3</t>
  </si>
  <si>
    <t>11150 SE 61st Pl</t>
  </si>
  <si>
    <t>7819 85th Pl SE</t>
  </si>
  <si>
    <t>Bentley Properties</t>
  </si>
  <si>
    <t>12630 SE 80th Way</t>
  </si>
  <si>
    <t>Prudential Meridian Valley</t>
  </si>
  <si>
    <t>12629 SE 79th Ct</t>
  </si>
  <si>
    <t>11218 SE 64th</t>
  </si>
  <si>
    <t>4944 116th Pl SE</t>
  </si>
  <si>
    <t>12522 SE 48th Pl</t>
  </si>
  <si>
    <t>6814 119th Ave SE</t>
  </si>
  <si>
    <t>Windermere Professional Prtnrs</t>
  </si>
  <si>
    <t>12211 SE 65th St</t>
  </si>
  <si>
    <t>6507 126th Ave SE</t>
  </si>
  <si>
    <t>7611 116th Ave SE</t>
  </si>
  <si>
    <t>11831 SE 87th St</t>
  </si>
  <si>
    <t>5412 116th Ave SE</t>
  </si>
  <si>
    <t>11628 SE 46 St</t>
  </si>
  <si>
    <t>12515 SE 50th Pl</t>
  </si>
  <si>
    <t>0-2:2,3:1,4-7:2,8-10:1</t>
  </si>
  <si>
    <t>8121 118 Ct SE</t>
  </si>
  <si>
    <t>0:B,1:9,2-14:7</t>
  </si>
  <si>
    <t>12203 SE 47th Pl</t>
  </si>
  <si>
    <t>0-2:1,3-11:0</t>
  </si>
  <si>
    <t>11828 SE 66th St</t>
  </si>
  <si>
    <t>4641 121st Ave SE</t>
  </si>
  <si>
    <t>0:3,1:2,2-3:1,4:2,5:1,6:2,7:1,8-11:2,12-13:1</t>
  </si>
  <si>
    <t>8636 116th Ave SE</t>
  </si>
  <si>
    <t>12210 SE 61 St</t>
  </si>
  <si>
    <t>Realty Executives Evergreen</t>
  </si>
  <si>
    <t>4635 119th Ave SE</t>
  </si>
  <si>
    <t>4465 Lake Heights St</t>
  </si>
  <si>
    <t>Lake Heights</t>
  </si>
  <si>
    <t>14917 SE 46th Ct</t>
  </si>
  <si>
    <t>John L. Scott Oly</t>
  </si>
  <si>
    <t>14719 SE 66th St</t>
  </si>
  <si>
    <t>0:4,1-2:3,3-6:2,7-8:3,9-10:2,11-12:1,13:2,14:1</t>
  </si>
  <si>
    <t>John L. Scott Lake Stevens</t>
  </si>
  <si>
    <t>4452 145th Ave SE</t>
  </si>
  <si>
    <t>14647 SE 66th St</t>
  </si>
  <si>
    <t>14810 SE 50th St</t>
  </si>
  <si>
    <t>14430 SE 79th Dr</t>
  </si>
  <si>
    <t>0-10:3,11:2,12:0</t>
  </si>
  <si>
    <t>14411 SE 49th St</t>
  </si>
  <si>
    <t>14916 SE 47th Pl</t>
  </si>
  <si>
    <t>0-1:6,2-10:5,11:4,12-13:3</t>
  </si>
  <si>
    <t>14712 SE 45th Pl</t>
  </si>
  <si>
    <t>0:3,1:2,2:3,3-7:2,8:1,9:2,10:0</t>
  </si>
  <si>
    <t>14845 SE 50th St</t>
  </si>
  <si>
    <t>14625 SE 82nd Ct</t>
  </si>
  <si>
    <t>14125 SE 83 St</t>
  </si>
  <si>
    <t>4550 146th Ave SE</t>
  </si>
  <si>
    <t>0-6:A,7-8:8,9:7</t>
  </si>
  <si>
    <t>5007 139th Pl SE</t>
  </si>
  <si>
    <t>0-8:2,9-13:1</t>
  </si>
  <si>
    <t>4721 147th Pl SE</t>
  </si>
  <si>
    <t>0:5,1-3:2,4-13:0</t>
  </si>
  <si>
    <t>11401 SE 72nd St</t>
  </si>
  <si>
    <t>12103 SE 70th St</t>
  </si>
  <si>
    <t>16608 SE 70th St</t>
  </si>
  <si>
    <t>6905 121st Ave SE</t>
  </si>
  <si>
    <t>0-2:3,3:4,4:3,5-8:2,9:3,10-12:2,13:1,14:2</t>
  </si>
  <si>
    <t>12520 SE 73 St</t>
  </si>
  <si>
    <t>0-5:1,6-7:0</t>
  </si>
  <si>
    <t>Jack H. Robinson R.E. &amp; Appr.</t>
  </si>
  <si>
    <t>4553 187th Pl SE</t>
  </si>
  <si>
    <t>187th</t>
  </si>
  <si>
    <t>4546 W Lake Sammamish Pkwy</t>
  </si>
  <si>
    <t>4523 191st Ave SE</t>
  </si>
  <si>
    <t>0-11:7</t>
  </si>
  <si>
    <t>4561 193rd Pl SE</t>
  </si>
  <si>
    <t>5232 88th Ave SE</t>
  </si>
  <si>
    <t>8710 SE 46th St</t>
  </si>
  <si>
    <t>5702 80th Ave SE</t>
  </si>
  <si>
    <t>0-4:2,5-10:1,11-12:0</t>
  </si>
  <si>
    <t>Groveland</t>
  </si>
  <si>
    <t>14750 SE 63rd Pl</t>
  </si>
  <si>
    <t>6327 127th Ave SE</t>
  </si>
  <si>
    <t>16410 SE 64th Pl</t>
  </si>
  <si>
    <t>16401 SE Cougar Mountain Way</t>
  </si>
  <si>
    <t>0:4,1-10:3,11:1</t>
  </si>
  <si>
    <t>6505 161st Pl SE</t>
  </si>
  <si>
    <t>8651 SE 63rd St</t>
  </si>
  <si>
    <t>4902 156th Ave SE</t>
  </si>
  <si>
    <t>Eaglesmere</t>
  </si>
  <si>
    <t>4526 169 Pl SE</t>
  </si>
  <si>
    <t>15802 SE 47th St</t>
  </si>
  <si>
    <t>0-7:M,8-12:L</t>
  </si>
  <si>
    <t>4540 160th Ave SE</t>
  </si>
  <si>
    <t>0:2,1-6:3,7-12:2,13:1</t>
  </si>
  <si>
    <t>4644 163rd Pl SE</t>
  </si>
  <si>
    <t>163rd</t>
  </si>
  <si>
    <t>16399 SE 48th Dr</t>
  </si>
  <si>
    <t>16580 SE 58 Pl</t>
  </si>
  <si>
    <t>0:3,1-9:1</t>
  </si>
  <si>
    <t>4700 173rd Ave SE</t>
  </si>
  <si>
    <t>0-2:3,3:4,4:3,5-8:2,9:3,10-14:2</t>
  </si>
  <si>
    <t>4483 162nd Ct SE</t>
  </si>
  <si>
    <t>0:3,1-2:2,3:3,4-9:2,10:3,11:4,12:3,13-14:2</t>
  </si>
  <si>
    <t>17318 SE 48th Ct</t>
  </si>
  <si>
    <t>0:1,1:2,2:1,3-4:2,5:1,6:2</t>
  </si>
  <si>
    <t>17262 SE 49th Pl</t>
  </si>
  <si>
    <t>15033 SE 49th St</t>
  </si>
  <si>
    <t>0:7,1:5,2-3:6,4-6:5,7-8:6,9:5,10:6,11:4,12:3</t>
  </si>
  <si>
    <t>16762 SE 48th Pl</t>
  </si>
  <si>
    <t>0-6:L,7-11:K</t>
  </si>
  <si>
    <t>5572 156 Ave SE</t>
  </si>
  <si>
    <t>0-7:3,8:4,9:3,10:4,11-12:3,13-14:2</t>
  </si>
  <si>
    <t>15116 SE 46th Way</t>
  </si>
  <si>
    <t>4508 168th Ave SE</t>
  </si>
  <si>
    <t>4957 160th Ct SE</t>
  </si>
  <si>
    <t>0-4:2,5:3,6:2,7-14:1</t>
  </si>
  <si>
    <t>6583 163rd Pl SE</t>
  </si>
  <si>
    <t>0-6:3,7-9:2,10-14:1</t>
  </si>
  <si>
    <t>16620 SE 70th St</t>
  </si>
  <si>
    <t>0-2:2,3-4:3,5-7:1,8-11:0</t>
  </si>
  <si>
    <t>13017 SE 47 St</t>
  </si>
  <si>
    <t>0:6,1-2:5,3-12:4,13-14:3</t>
  </si>
  <si>
    <t>4820 130 Ave SE</t>
  </si>
  <si>
    <t>0-2:2,3:3,4-5:2,6-7:1,8:0,9:1,10:0,11-12:1,13:2,14:1</t>
  </si>
  <si>
    <t>7816 129th Ave SE</t>
  </si>
  <si>
    <t>Lake Boren</t>
  </si>
  <si>
    <t>4632 132nd Ave SE</t>
  </si>
  <si>
    <t>4553 137th Ave SE</t>
  </si>
  <si>
    <t>0-7:5,8-10:4,11:3</t>
  </si>
  <si>
    <t>6320 108th Ave SE</t>
  </si>
  <si>
    <t>0-6:1,7-14:0</t>
  </si>
  <si>
    <t>1426 N 40th St</t>
  </si>
  <si>
    <t>0-2:8,3:6,4-9:4,10-12:3,13:1,14:0</t>
  </si>
  <si>
    <t>6604 Lake Washington Blvd SE</t>
  </si>
  <si>
    <t>0-7:4,8-12:3,13:1</t>
  </si>
  <si>
    <t>3904 Meadow Ave N</t>
  </si>
  <si>
    <t>Kennydale</t>
  </si>
  <si>
    <t>3221 Meadow Ave N</t>
  </si>
  <si>
    <t>0-1:5,2:6,3:4,4:5,5-6:6,7:5,8-9:4,10:5,11-12:4</t>
  </si>
  <si>
    <t>8933 133rd Ave SE</t>
  </si>
  <si>
    <t>8923 138th Ave SE</t>
  </si>
  <si>
    <t>8264 154th Ave SE</t>
  </si>
  <si>
    <t>0-14:7</t>
  </si>
  <si>
    <t>8604 138th Ave SE</t>
  </si>
  <si>
    <t>Realty Executives of Issaquah</t>
  </si>
  <si>
    <t>8026 126th Pl SE</t>
  </si>
  <si>
    <t>0:1,1-2:2,3:3,4-9:2,10-11:1,12:0</t>
  </si>
  <si>
    <t>1818 NE 38th Pl</t>
  </si>
  <si>
    <t>3316 Lincoln Ave NE</t>
  </si>
  <si>
    <t>Lincoln</t>
  </si>
  <si>
    <t>1216 N 36th St</t>
  </si>
  <si>
    <t>0-11:4,12:3</t>
  </si>
  <si>
    <t>3303 Lincoln Ave NE</t>
  </si>
  <si>
    <t>0-12:1,13:0</t>
  </si>
  <si>
    <t>6225 112th Ave SE</t>
  </si>
  <si>
    <t>11003 SE 60th St</t>
  </si>
  <si>
    <t>14056 SE 63 St</t>
  </si>
  <si>
    <t>14010 SE 61st Pl</t>
  </si>
  <si>
    <t>5995 145th Ave SE</t>
  </si>
  <si>
    <t>JC Residential, LLC</t>
  </si>
  <si>
    <t>5619 90th</t>
  </si>
  <si>
    <t>0-2:4,3-4:5,5-6:2,7-8:1,9:0</t>
  </si>
  <si>
    <t>5901 84th Ave SE</t>
  </si>
  <si>
    <t>5570 176th Pl SE</t>
  </si>
  <si>
    <t>0:0,1-2:1,3:0,4:2,5:0,6-9:1,10-11:0,12-13:1</t>
  </si>
  <si>
    <t>Windermere R E/Lake Tapps, Inc</t>
  </si>
  <si>
    <t>19217 SE 56th St</t>
  </si>
  <si>
    <t>0-3:1,4:2,5-6:1,7-9:0,10:1,11:0,12-14:1</t>
  </si>
  <si>
    <t>17585 SE 56 St</t>
  </si>
  <si>
    <t>19119 SE 62nd Pl</t>
  </si>
  <si>
    <t>0-10:1,11-14:2</t>
  </si>
  <si>
    <t>18524 SE 60th</t>
  </si>
  <si>
    <t>7601 138th Ave SE</t>
  </si>
  <si>
    <t>7509 138th Pl SE</t>
  </si>
  <si>
    <t>11642 SE 76th Ct</t>
  </si>
  <si>
    <t>13504 SE 75th St</t>
  </si>
  <si>
    <t>0-4:4,5-8:3,9:2</t>
  </si>
  <si>
    <t>7611 111 Pl SE</t>
  </si>
  <si>
    <t>0:5,1-3:3,4:4,5:3,6-13:4</t>
  </si>
  <si>
    <t>13717 SE 75th St</t>
  </si>
  <si>
    <t>0-8:2,9-13:1,14:0</t>
  </si>
  <si>
    <t>12715 SE 74th St</t>
  </si>
  <si>
    <t>0-9:1,10-14:2</t>
  </si>
  <si>
    <t>14007 SE 92nd St</t>
  </si>
  <si>
    <t>13809 SE 92nd St</t>
  </si>
  <si>
    <t>0:5,1:4,2-6:2,7:3,8:2,9:3,10:2,11-14:3</t>
  </si>
  <si>
    <t>1018 N 42nd Pl (Unable to map)</t>
  </si>
  <si>
    <t>2026 Ferndale Ave NE #(Lot 22) (Unable to map)</t>
  </si>
  <si>
    <t>#(Lot 22)</t>
  </si>
  <si>
    <t>Ferndale</t>
  </si>
  <si>
    <t>2610 NE 21st St #(lot 7) (Unable to map)</t>
  </si>
  <si>
    <t>#(lot 7)</t>
  </si>
  <si>
    <t>2512 NE 21st St #(Lot 3) (Unable to map)</t>
  </si>
  <si>
    <t>#(Lot 3)</t>
  </si>
  <si>
    <t>2622 NE 21st St #(Lot 9) (Unable to map)</t>
  </si>
  <si>
    <t>#(Lot 9)</t>
  </si>
  <si>
    <t>11318 SE 79th Pl (Unable to map)</t>
  </si>
  <si>
    <t>0-3:4,4-5:3,6:4</t>
  </si>
  <si>
    <t>11310 SE 79th Pl (Unable to map)</t>
  </si>
  <si>
    <t>11313 SE 79th Pl (Unable to map)</t>
  </si>
  <si>
    <t>11302 SE 79th Pl (Unable to map)</t>
  </si>
  <si>
    <t>11324 SE 79th Pl (Unable to map)</t>
  </si>
  <si>
    <t>2120 NE 18th St (Unable to map)</t>
  </si>
  <si>
    <t>0-2:2,3:1</t>
  </si>
  <si>
    <t>2108 NE 18th St (Unable to map)</t>
  </si>
  <si>
    <t>0-1:7,2-6:6,7-8:4,9:3</t>
  </si>
  <si>
    <t>2012 Glenwood Ave NE #(Lot 16) (Unable to map)</t>
  </si>
  <si>
    <t>#(Lot 16)</t>
  </si>
  <si>
    <t>Glenwood</t>
  </si>
  <si>
    <t>2024 Glenwood Ave NE #(lot 14) (Unable to map)</t>
  </si>
  <si>
    <t>#(lot 14)</t>
  </si>
  <si>
    <t>2708 NE 21st St #(Lot 11) (Unable to map)</t>
  </si>
  <si>
    <t>#(Lot 11)</t>
  </si>
  <si>
    <t>3915 NE 9th Pl #Lot 1 (Unable to map)</t>
  </si>
  <si>
    <t>#Lot 1</t>
  </si>
  <si>
    <t>0:3,1:2</t>
  </si>
  <si>
    <t>11328 SE 79th Pl (Unable to map)</t>
  </si>
  <si>
    <t>2501 NE 21st St #(Lot 29) (Unable to map)</t>
  </si>
  <si>
    <t>#(Lot 29)</t>
  </si>
  <si>
    <t>CENTURY 21 Barth &amp; Associates</t>
  </si>
  <si>
    <t>4120 NE 9th Ct</t>
  </si>
  <si>
    <t>950 union Ave NE</t>
  </si>
  <si>
    <t>union</t>
  </si>
  <si>
    <t>4637 NE 10th St</t>
  </si>
  <si>
    <t>0-4:3,5-8:2</t>
  </si>
  <si>
    <t>1025 Monroe Ave NE</t>
  </si>
  <si>
    <t>Monroe</t>
  </si>
  <si>
    <t>0-4:2,5-8:1</t>
  </si>
  <si>
    <t>972 EDMONDS Ave NE</t>
  </si>
  <si>
    <t>EDMONDS</t>
  </si>
  <si>
    <t>5129 NE 11th St</t>
  </si>
  <si>
    <t>5103 NE 11th Ct</t>
  </si>
  <si>
    <t>12248 146th Ave SE</t>
  </si>
  <si>
    <t>0:3,1-2:2,3-14:1</t>
  </si>
  <si>
    <t>827 Lynnwood Ave NE</t>
  </si>
  <si>
    <t>1010 Hoquiam Ave NE</t>
  </si>
  <si>
    <t>Hoquiam</t>
  </si>
  <si>
    <t>4451 NE 9th St</t>
  </si>
  <si>
    <t>0-8:3,9:4,10-11:2</t>
  </si>
  <si>
    <t>749 Duvall Pl NE</t>
  </si>
  <si>
    <t>753 Duvall Pl NE</t>
  </si>
  <si>
    <t>0-1:2</t>
  </si>
  <si>
    <t>3927 NE 9th Pl</t>
  </si>
  <si>
    <t>4028 NE 9th Pl</t>
  </si>
  <si>
    <t>5001 NE 9th Pl</t>
  </si>
  <si>
    <t>1202 N 26th St</t>
  </si>
  <si>
    <t>2401 Lyons Ave NE</t>
  </si>
  <si>
    <t>Lyons</t>
  </si>
  <si>
    <t>Frontier Home and Land</t>
  </si>
  <si>
    <t>3420 NE 23rd Pl</t>
  </si>
  <si>
    <t>0:2,1-13:1,14:0</t>
  </si>
  <si>
    <t>Honey Creek</t>
  </si>
  <si>
    <t>4208 NE 24th St</t>
  </si>
  <si>
    <t>Miller Laine Properties</t>
  </si>
  <si>
    <t>2336 Olympia Ave NE</t>
  </si>
  <si>
    <t>Olympia</t>
  </si>
  <si>
    <t>4118 NE 27th Pl</t>
  </si>
  <si>
    <t>HERE</t>
  </si>
  <si>
    <t>1803 NE 27th Ct</t>
  </si>
  <si>
    <t>2001 NE 26th Pl</t>
  </si>
  <si>
    <t>North Renton</t>
  </si>
  <si>
    <t>4437 NE 23rd Ct</t>
  </si>
  <si>
    <t>3512 NE 24th Ct</t>
  </si>
  <si>
    <t>0-3:4,4-9:3</t>
  </si>
  <si>
    <t>3214 NE 26th Ct</t>
  </si>
  <si>
    <t>1500 Monterey Ave NE</t>
  </si>
  <si>
    <t>Monterey</t>
  </si>
  <si>
    <t>0-1:2,2-9:1,10:2,11:1,12-14:2</t>
  </si>
  <si>
    <t>5505 NE 21st Ct</t>
  </si>
  <si>
    <t>ERA American Brokers, Inc.</t>
  </si>
  <si>
    <t>1811 NE 21 St</t>
  </si>
  <si>
    <t>Twist Real Estate</t>
  </si>
  <si>
    <t>2212 Elma Ave NE</t>
  </si>
  <si>
    <t>Elma</t>
  </si>
  <si>
    <t>Summerwind</t>
  </si>
  <si>
    <t>Homeland Real Estate Services</t>
  </si>
  <si>
    <t>1923 Redmond Ave NE</t>
  </si>
  <si>
    <t>1923 Shelton Ct NE</t>
  </si>
  <si>
    <t>Shelton</t>
  </si>
  <si>
    <t>0:0,1:1,2:0,3:1,4-12:0</t>
  </si>
  <si>
    <t>2525 NE 22nd St</t>
  </si>
  <si>
    <t>0:3,1:2,2:3,3:2,4-5:1,6:2,7:1</t>
  </si>
  <si>
    <t>3921 21st St</t>
  </si>
  <si>
    <t>0:4,1-9:5,10:3,11-12:2</t>
  </si>
  <si>
    <t>3506 NE 17th Pl</t>
  </si>
  <si>
    <t>0-7:4,8-11:0</t>
  </si>
  <si>
    <t>Davis Real Estate Group</t>
  </si>
  <si>
    <t>4813 NE 13th Pl</t>
  </si>
  <si>
    <t>4825 NE 13th Pl</t>
  </si>
  <si>
    <t>4720 NE 13th Pl</t>
  </si>
  <si>
    <t>4721 NE 13th Pl</t>
  </si>
  <si>
    <t>14508 SE 122nd Pl</t>
  </si>
  <si>
    <t>Prudential Contact Corp,</t>
  </si>
  <si>
    <t>5126 NE 8th Pl</t>
  </si>
  <si>
    <t>4530 NE 7th Pl</t>
  </si>
  <si>
    <t>0-5:0,6-12:1</t>
  </si>
  <si>
    <t>12403 146th Pl SE</t>
  </si>
  <si>
    <t>748 Vashon Pl NE</t>
  </si>
  <si>
    <t>Vashon</t>
  </si>
  <si>
    <t>12254 146th Ave SE</t>
  </si>
  <si>
    <t>12302 147th Ave SE</t>
  </si>
  <si>
    <t>Cook Real Estate Services, LLC</t>
  </si>
  <si>
    <t>652 Blaine Ct NE</t>
  </si>
  <si>
    <t>1409 Elma Pl NE</t>
  </si>
  <si>
    <t>1363 Elma Pl NE</t>
  </si>
  <si>
    <t>1357 Elma Pl NE</t>
  </si>
  <si>
    <t>1415 Elma Pl NE</t>
  </si>
  <si>
    <t>104 Hoquiam Ave</t>
  </si>
  <si>
    <t>0:2,1:3,2-3:2,4-9:0</t>
  </si>
  <si>
    <t>508 Ilwaco Ave NE</t>
  </si>
  <si>
    <t>5122 NE 5th St</t>
  </si>
  <si>
    <t>3724 NE 5th St</t>
  </si>
  <si>
    <t>0:5,1:4,2:5,3:6,4-5:5,6-9:4,10-11:5,12:4,13:5,14:0</t>
  </si>
  <si>
    <t>4615 NE 5th St</t>
  </si>
  <si>
    <t>4610 NE 5th Pl</t>
  </si>
  <si>
    <t>0-3:2,4-6:1,7:0</t>
  </si>
  <si>
    <t>5005 NE 13th Pl</t>
  </si>
  <si>
    <t>1731 Mt Baker Ave NE</t>
  </si>
  <si>
    <t>Mt Baker</t>
  </si>
  <si>
    <t>1725 Mt Baker Ave NE</t>
  </si>
  <si>
    <t>12268 145th Ave SE</t>
  </si>
  <si>
    <t>0:3,1:2,2-13:3</t>
  </si>
  <si>
    <t>2421 NE 20th St</t>
  </si>
  <si>
    <t>1916 Camas Ave NE</t>
  </si>
  <si>
    <t>Camas</t>
  </si>
  <si>
    <t>0-3:2,4-7:1</t>
  </si>
  <si>
    <t>2211 Edmonds Ave NE</t>
  </si>
  <si>
    <t>Edmonds</t>
  </si>
  <si>
    <t>1708 Kitsap Pl NE</t>
  </si>
  <si>
    <t>0:9,1-3:8,4-6:9,7:8,8-9:6,10-11:2</t>
  </si>
  <si>
    <t>1710 Kitsap Pl NE</t>
  </si>
  <si>
    <t>0-6:7,7-9:6</t>
  </si>
  <si>
    <t>1914 Field Ave NE</t>
  </si>
  <si>
    <t>Field</t>
  </si>
  <si>
    <t>0-3:1,4:0,5-13:1</t>
  </si>
  <si>
    <t>4007 NE 14 Pl</t>
  </si>
  <si>
    <t>0-3:3,4:2,5:0</t>
  </si>
  <si>
    <t>1802 Whitman Ave NE</t>
  </si>
  <si>
    <t>Solutions Real Estate Grp, LLC</t>
  </si>
  <si>
    <t>4004 NE 19th St</t>
  </si>
  <si>
    <t>4724 NE 14th St</t>
  </si>
  <si>
    <t>0-10:2,11-12:1</t>
  </si>
  <si>
    <t>1421 Union Ave NE</t>
  </si>
  <si>
    <t>0:2,1-3:3,4:2,5:3,6:4,7:5,8-11:3,12-13:2,14:3</t>
  </si>
  <si>
    <t>1228 N 26th St</t>
  </si>
  <si>
    <t>4101 NE 24th St</t>
  </si>
  <si>
    <t>0-7:2,8-9:0</t>
  </si>
  <si>
    <t>2022 Lincoln Pl NE</t>
  </si>
  <si>
    <t>1810 Queen Pl NE</t>
  </si>
  <si>
    <t>Queen</t>
  </si>
  <si>
    <t>0-1:F,2-5:G,6:F,7:G,8-9:F,10-14:B</t>
  </si>
  <si>
    <t>5350 NE 16th St</t>
  </si>
  <si>
    <t>0-3:B</t>
  </si>
  <si>
    <t>1901 NE 17th Pl</t>
  </si>
  <si>
    <t>2120 JONES Ave NE</t>
  </si>
  <si>
    <t>JONES</t>
  </si>
  <si>
    <t>Kennydale Realty</t>
  </si>
  <si>
    <t>2208 Jones Ave NE</t>
  </si>
  <si>
    <t>Jones</t>
  </si>
  <si>
    <t>2010 Jones Ave NE</t>
  </si>
  <si>
    <t>3426 NE 23 Pl</t>
  </si>
  <si>
    <t>2012 NE 16 St</t>
  </si>
  <si>
    <t>10419 145Th Pl SE</t>
  </si>
  <si>
    <t>145Th</t>
  </si>
  <si>
    <t>2625 NE 18th St</t>
  </si>
  <si>
    <t>1220 N 26th St</t>
  </si>
  <si>
    <t>0-2:5,3-8:4,9:1,10-12:0</t>
  </si>
  <si>
    <t>1026 N 27th Pl</t>
  </si>
  <si>
    <t>2814 Park Ave N</t>
  </si>
  <si>
    <t>4140 NE 25th Pl</t>
  </si>
  <si>
    <t>2582 Union Ave NE</t>
  </si>
  <si>
    <t>0:8,1-3:6,4:3,5:0,6-8:1</t>
  </si>
  <si>
    <t>1214 N 26th St</t>
  </si>
  <si>
    <t>0-3:1,4-13:0</t>
  </si>
  <si>
    <t>524 Tacoma Pl NE</t>
  </si>
  <si>
    <t>Tacoma</t>
  </si>
  <si>
    <t>0-7:1,8-11:0</t>
  </si>
  <si>
    <t>Cabins to Castles Real Estate</t>
  </si>
  <si>
    <t>1401 Jones Ave N</t>
  </si>
  <si>
    <t>2428 NE 13th St</t>
  </si>
  <si>
    <t>1401 Edmonds Ave NE</t>
  </si>
  <si>
    <t>8617 140th Ave SE</t>
  </si>
  <si>
    <t>0-7:1U</t>
  </si>
  <si>
    <t>5124 NE 23rd St</t>
  </si>
  <si>
    <t>2320 Graham Ave NE</t>
  </si>
  <si>
    <t>Graham</t>
  </si>
  <si>
    <t>12234 147th Ave SE</t>
  </si>
  <si>
    <t>4509 NE 18th Cir</t>
  </si>
  <si>
    <t>Cir</t>
  </si>
  <si>
    <t>0:3,1-6:2</t>
  </si>
  <si>
    <t>Homeport Realty of Washington</t>
  </si>
  <si>
    <t>2013 NE 26 Pl</t>
  </si>
  <si>
    <t>5362 NE 16th St</t>
  </si>
  <si>
    <t>5356 NE 16th St</t>
  </si>
  <si>
    <t>5121 NE 11th CT</t>
  </si>
  <si>
    <t>CT</t>
  </si>
  <si>
    <t>0:3,1-11:2</t>
  </si>
  <si>
    <t>2103 Harrington Pl NE</t>
  </si>
  <si>
    <t>Harrington</t>
  </si>
  <si>
    <t>2425 NE 16 St</t>
  </si>
  <si>
    <t>3009 NE 9th St</t>
  </si>
  <si>
    <t>665 Newport Ct NE</t>
  </si>
  <si>
    <t>230 Chelan Ave NE</t>
  </si>
  <si>
    <t>1013 N 29th St</t>
  </si>
  <si>
    <t>12104 SE 96 Pl</t>
  </si>
  <si>
    <t>1802 Aberdeen Ave NE</t>
  </si>
  <si>
    <t>0-1:4,2-8:3</t>
  </si>
  <si>
    <t>1010 S 32nd Pl (Unable to map)</t>
  </si>
  <si>
    <t>Talbot Hill</t>
  </si>
  <si>
    <t>156 Talbot Rd S #X7 (Unable to map)</t>
  </si>
  <si>
    <t>#X7</t>
  </si>
  <si>
    <t>Talbot</t>
  </si>
  <si>
    <t>0-5:2</t>
  </si>
  <si>
    <t>1002 S 32rd Pl (Unable to map)</t>
  </si>
  <si>
    <t>32rd</t>
  </si>
  <si>
    <t>1003 S 32rd Pl (Unable to map)</t>
  </si>
  <si>
    <t>20005 116th Ave SE (Unable to map)</t>
  </si>
  <si>
    <t>Panther Lake</t>
  </si>
  <si>
    <t>156 Talbot Rd S #X1 (Unable to map)</t>
  </si>
  <si>
    <t>#X1</t>
  </si>
  <si>
    <t>156 Talbot Rd S #X2 (Unable to map)</t>
  </si>
  <si>
    <t>#X2</t>
  </si>
  <si>
    <t>156 Talbot Rd S #X4 (Unable to map)</t>
  </si>
  <si>
    <t>#X4</t>
  </si>
  <si>
    <t>0-6:2,7:0</t>
  </si>
  <si>
    <t>Windermere R.E. Auburn, Inc.</t>
  </si>
  <si>
    <t>11726 SE 189th Pl (Unable to map)</t>
  </si>
  <si>
    <t>189th</t>
  </si>
  <si>
    <t>Benson Hill</t>
  </si>
  <si>
    <t>11633 SE 189th Pl (Unable to map)</t>
  </si>
  <si>
    <t>156 Talbot Rd S #XX (Unable to map)</t>
  </si>
  <si>
    <t>0-3:0,4:1,5:0</t>
  </si>
  <si>
    <t>19473 115th Pl SE #Lot 66 (Unable to map)</t>
  </si>
  <si>
    <t>#Lot 66</t>
  </si>
  <si>
    <t>0:6,1:4,2-3:2,4:0</t>
  </si>
  <si>
    <t>11829 SE 191st St (Unable to map)</t>
  </si>
  <si>
    <t>11639 SE 189th Pl (Unable to map)</t>
  </si>
  <si>
    <t>11645 SE 189th Pl (Unable to map)</t>
  </si>
  <si>
    <t>11811 SE 191st St (Unable to map)</t>
  </si>
  <si>
    <t>11731 SE 191st St (Unable to map)</t>
  </si>
  <si>
    <t>1006 S 32rd Pl (Unable to map)</t>
  </si>
  <si>
    <t>0:3,1-4:2,5-8:1</t>
  </si>
  <si>
    <t>11627 SE 189th Pl (Unable to map)</t>
  </si>
  <si>
    <t>11725 SE 191st St (Unable to map)</t>
  </si>
  <si>
    <t>11737 SE 191st St (Unable to map)</t>
  </si>
  <si>
    <t>11817 SE 191st St (Unable to map)</t>
  </si>
  <si>
    <t>11841 SE 191st St (Unable to map)</t>
  </si>
  <si>
    <t>19449 115th Pl SE #Lot 70 (Unable to map)</t>
  </si>
  <si>
    <t>#Lot 70</t>
  </si>
  <si>
    <t>0:5,1:3,2-3:1</t>
  </si>
  <si>
    <t>11411 195th Pl SE #Lot 86 (Unable to map)</t>
  </si>
  <si>
    <t>#Lot 86</t>
  </si>
  <si>
    <t>195th</t>
  </si>
  <si>
    <t>0:5,1:3,2:2</t>
  </si>
  <si>
    <t>156 Talbot Rd S #X5 (Unable to map)</t>
  </si>
  <si>
    <t>#X5</t>
  </si>
  <si>
    <t>11417 195th Pl SE #Lot 87 (Unable to map)</t>
  </si>
  <si>
    <t>#Lot 87</t>
  </si>
  <si>
    <t>0:7,1:5,2:3</t>
  </si>
  <si>
    <t>11435 SE 195th Pl #Lot 90 (Unable to map)</t>
  </si>
  <si>
    <t>#Lot 90</t>
  </si>
  <si>
    <t>0:6,1:3</t>
  </si>
  <si>
    <t>11453 SE 195th Pl #Lot 93 (Unable to map)</t>
  </si>
  <si>
    <t>#Lot 93</t>
  </si>
  <si>
    <t>0:3,1-2:1</t>
  </si>
  <si>
    <t xml:space="preserve">Sun, Mar 23 </t>
  </si>
  <si>
    <t>2008-03-22T22:55:48</t>
  </si>
  <si>
    <t>9116 8th Ave NE</t>
  </si>
  <si>
    <t>6327 19 Ave NE</t>
  </si>
  <si>
    <t>8835 132nd Pl SE (Unable to map)</t>
  </si>
  <si>
    <t>0-3:1,4:0,5:1</t>
  </si>
  <si>
    <t>5009 119th Ave SE</t>
  </si>
  <si>
    <t>3417 NW 59th St</t>
  </si>
  <si>
    <t>7301 50 Ave NE</t>
  </si>
  <si>
    <t>1611 McGilvra Blvd E</t>
  </si>
  <si>
    <t>2008-03-23T22:07:15</t>
  </si>
  <si>
    <t>2616 E Union St</t>
  </si>
  <si>
    <t>12359 SE 96th Pl</t>
  </si>
  <si>
    <t>5517 28th Ave NW</t>
  </si>
  <si>
    <t>4623 1st Ave NE</t>
  </si>
  <si>
    <t>2008-03-24T22:22:51</t>
  </si>
  <si>
    <t>1344 N 78th St</t>
  </si>
  <si>
    <t>10033 12th Ave NW</t>
  </si>
  <si>
    <t>10516 Interlake Ave N</t>
  </si>
  <si>
    <t>12006 Phinney Ave N</t>
  </si>
  <si>
    <t>10660 Lakeside Ave NE</t>
  </si>
  <si>
    <t>1709 NE 90th St</t>
  </si>
  <si>
    <t>4100 NE 96th St</t>
  </si>
  <si>
    <t>1651 NE 86th St</t>
  </si>
  <si>
    <t>4022 NE 60th St</t>
  </si>
  <si>
    <t>5625 12th Ave NE</t>
  </si>
  <si>
    <t>7552 12th Ave NE #C</t>
  </si>
  <si>
    <t>Gallery Homes Real Estate</t>
  </si>
  <si>
    <t>6860 25 Ave NE</t>
  </si>
  <si>
    <t>7554 12th Ave NE #A</t>
  </si>
  <si>
    <t>7532 23rd Ave NE</t>
  </si>
  <si>
    <t>3430 22nd Ave W</t>
  </si>
  <si>
    <t>2674 Bishop Pl W</t>
  </si>
  <si>
    <t>Bishop</t>
  </si>
  <si>
    <t>3498 W Blaine St.</t>
  </si>
  <si>
    <t>Blaine St.</t>
  </si>
  <si>
    <t>0-7:1,8-9:0,10-14:1</t>
  </si>
  <si>
    <t>3828 Sunnyside Ave N</t>
  </si>
  <si>
    <t>1902 2nd Ave N</t>
  </si>
  <si>
    <t>501 NW 42 St</t>
  </si>
  <si>
    <t>4253 Palatine Ave N #A</t>
  </si>
  <si>
    <t>4223 Dayton Ave N</t>
  </si>
  <si>
    <t>3150 W Laurelhurst Dr NE</t>
  </si>
  <si>
    <t>0-1:2,2:1,3:2,4-5:1,6-7:2,8:1,9:2,10-12:1</t>
  </si>
  <si>
    <t>4205 E McGilvra St</t>
  </si>
  <si>
    <t>718 19th Ave E</t>
  </si>
  <si>
    <t>1426 32nd Ave</t>
  </si>
  <si>
    <t>3309 E Denny Way</t>
  </si>
  <si>
    <t>8406 NE 124th St</t>
  </si>
  <si>
    <t>11509 111th Pl NE</t>
  </si>
  <si>
    <t>12640 104th Ave NE</t>
  </si>
  <si>
    <t>13712 SE 3rd Pl</t>
  </si>
  <si>
    <t>659 166th Ave NE</t>
  </si>
  <si>
    <t>612 175th Pl NE</t>
  </si>
  <si>
    <t>EZDIGS.COM</t>
  </si>
  <si>
    <t>1415 168th Ave NE</t>
  </si>
  <si>
    <t>Sun, Apr 6 2 - 4 PM</t>
  </si>
  <si>
    <t>4340 91st Ave SE</t>
  </si>
  <si>
    <t>10815 SE 21st St</t>
  </si>
  <si>
    <t>9412 SE 54th St</t>
  </si>
  <si>
    <t>14755 SE 56th St</t>
  </si>
  <si>
    <t>0-4:4,5-12:3,13-14:0</t>
  </si>
  <si>
    <t>1030 N 42nd Pl (Unable to map)</t>
  </si>
  <si>
    <t>2928 Kennewick Pl NE</t>
  </si>
  <si>
    <t>Kennewick</t>
  </si>
  <si>
    <t>2510 NE 21 St</t>
  </si>
  <si>
    <t>19467 115th Pl SE #Lot 67 (Unable to map)</t>
  </si>
  <si>
    <t>#Lot 67</t>
  </si>
  <si>
    <t>0:6,1:4,2:3,3:2</t>
  </si>
  <si>
    <t>Sound Realty</t>
  </si>
  <si>
    <t>1132 N 77 St</t>
  </si>
  <si>
    <t>5304 Wallingford Ave N</t>
  </si>
  <si>
    <t>4729 2nd Ave NE</t>
  </si>
  <si>
    <t>4606 Whitman Ave N</t>
  </si>
  <si>
    <t>533 N 82nd St</t>
  </si>
  <si>
    <t>1506 NW 62nd St</t>
  </si>
  <si>
    <t>4423 30th Avenue W</t>
  </si>
  <si>
    <t>11708 Greenwood Ave N #A</t>
  </si>
  <si>
    <t>10532 Evanston Ave N</t>
  </si>
  <si>
    <t>12218 9th Ave NW</t>
  </si>
  <si>
    <t>2008-03-26T08:01:23</t>
  </si>
  <si>
    <t>9721 Fremont Ave N</t>
  </si>
  <si>
    <t>540 NE 104 St</t>
  </si>
  <si>
    <t>4216 NE 120 St</t>
  </si>
  <si>
    <t>525 NE 91st St</t>
  </si>
  <si>
    <t>4526 47th Ave NE</t>
  </si>
  <si>
    <t>0:4,1-10:3,11:2</t>
  </si>
  <si>
    <t>6403 57th Ave NE</t>
  </si>
  <si>
    <t>6415 Brooklyn Ave NE</t>
  </si>
  <si>
    <t>0-5:1,6:0,7-10:1,11:0,12-14:1</t>
  </si>
  <si>
    <t>6814 19th Ave NE</t>
  </si>
  <si>
    <t>5728 17th Ave NE</t>
  </si>
  <si>
    <t>0-6:2,7:3,8-11:2,12-14:1</t>
  </si>
  <si>
    <t>5714 15th Ave NE</t>
  </si>
  <si>
    <t>0-2:2,3-4:1,5:2,6:1,7-11:2</t>
  </si>
  <si>
    <t>Pinnacle</t>
  </si>
  <si>
    <t>5609 Ann Arbor Ave NE</t>
  </si>
  <si>
    <t>0-4:2</t>
  </si>
  <si>
    <t>20 Smith St</t>
  </si>
  <si>
    <t>0-1:3,2-12:1,13-14:0</t>
  </si>
  <si>
    <t>3701 Bagley Ave N</t>
  </si>
  <si>
    <t>Bagley</t>
  </si>
  <si>
    <t>3124 Franklin Ave E</t>
  </si>
  <si>
    <t>3128 Franklin Ave E</t>
  </si>
  <si>
    <t>2023 42nd Ave E</t>
  </si>
  <si>
    <t>1205 E Hamlin St</t>
  </si>
  <si>
    <t>2008-03-26T07:52:44</t>
  </si>
  <si>
    <t>Sun, Mar 30 2 - 4 PM</t>
  </si>
  <si>
    <t>420 Federal Ave E</t>
  </si>
  <si>
    <t>0-3:2,4:3,5-10:2,11-12:1</t>
  </si>
  <si>
    <t>107 NW 6th St</t>
  </si>
  <si>
    <t>0-4:1,5:2,6:1,7:0,8-9:1,10:0</t>
  </si>
  <si>
    <t>Bryn Mawr</t>
  </si>
  <si>
    <t>1519 38th Ave</t>
  </si>
  <si>
    <t>2614 E Union St #B</t>
  </si>
  <si>
    <t>2511 E Roy E</t>
  </si>
  <si>
    <t>Roy</t>
  </si>
  <si>
    <t>0:3,1-10:2,11:1</t>
  </si>
  <si>
    <t>2817 E Arthur Pl</t>
  </si>
  <si>
    <t>Arthur</t>
  </si>
  <si>
    <t>NW Real Estate Inc.</t>
  </si>
  <si>
    <t>3440 E SPRUCE St</t>
  </si>
  <si>
    <t>SPRUCE</t>
  </si>
  <si>
    <t>546 30th Ave</t>
  </si>
  <si>
    <t>0-6:0,7-11:1</t>
  </si>
  <si>
    <t>6331 S 126th Pl (Unable to map)</t>
  </si>
  <si>
    <t>0-3:5,4:1</t>
  </si>
  <si>
    <t>Campbell Hill</t>
  </si>
  <si>
    <t>6325 S 126th Pl (Unable to map)</t>
  </si>
  <si>
    <t>12749 (lot 10) 67th pl S (Unable to map)</t>
  </si>
  <si>
    <t>pl</t>
  </si>
  <si>
    <t>(lot 10) 67th</t>
  </si>
  <si>
    <t>0:0,1:1</t>
  </si>
  <si>
    <t>12754 (lot 2 ) 67th Pl S (Unable to map)</t>
  </si>
  <si>
    <t>(lot 2 ) 67th</t>
  </si>
  <si>
    <t>0:2,1-2:0</t>
  </si>
  <si>
    <t>12718 (lot 8) 67th Pl S (Unable to map)</t>
  </si>
  <si>
    <t>(lot 8) 67th</t>
  </si>
  <si>
    <t>12730 (lot 6 ) 67th Pl S (Unable to map)</t>
  </si>
  <si>
    <t>(lot 6 ) 67th</t>
  </si>
  <si>
    <t>12719 67th pl S (Unable to map)</t>
  </si>
  <si>
    <t>0:1,1:2</t>
  </si>
  <si>
    <t>12736 (lot 5 ) 67th Pl S (Unable to map)</t>
  </si>
  <si>
    <t>(lot 5 ) 67th</t>
  </si>
  <si>
    <t>12724 (lot 7 ) 67thPl S (Unable to map)</t>
  </si>
  <si>
    <t>(lot 7 ) 67thPl</t>
  </si>
  <si>
    <t>12742 (lot 4 ) 67th PL S (Unable to map)</t>
  </si>
  <si>
    <t>(lot 4 ) 67th</t>
  </si>
  <si>
    <t>0-1:0,2:1</t>
  </si>
  <si>
    <t>6326 S 126th Pl (Unable to map)</t>
  </si>
  <si>
    <t>0-3:4</t>
  </si>
  <si>
    <t>12760 (lot 1) 67th Pl S (Unable to map)</t>
  </si>
  <si>
    <t>(lot 1) 67th</t>
  </si>
  <si>
    <t>9316 NE 136th St</t>
  </si>
  <si>
    <t>13320 87 Ave NE</t>
  </si>
  <si>
    <t>11422 124th St NE</t>
  </si>
  <si>
    <t>10609 NE 138th Pl</t>
  </si>
  <si>
    <t>7631 NE 125 St</t>
  </si>
  <si>
    <t>10616 NE 116th St</t>
  </si>
  <si>
    <t>Rhino Real Estate LLC</t>
  </si>
  <si>
    <t>11320 NE 117th Pl</t>
  </si>
  <si>
    <t>8247 NE Juanita Dr</t>
  </si>
  <si>
    <t>9110 177th Pl NE (Unable to map)</t>
  </si>
  <si>
    <t>177th</t>
  </si>
  <si>
    <t>9106 177th Pl NE (Unable to map)</t>
  </si>
  <si>
    <t>9102 177th Pl NE (Unable to map)</t>
  </si>
  <si>
    <t>2008-03-26T08:02:39</t>
  </si>
  <si>
    <t>12024 NE 100th Pl</t>
  </si>
  <si>
    <t>620 17TH</t>
  </si>
  <si>
    <t>17TH</t>
  </si>
  <si>
    <t>12425 NE 95th St</t>
  </si>
  <si>
    <t>7513 137th Ave NE</t>
  </si>
  <si>
    <t>0:0,1-6:1,7:0,8-9:1,10:0,11:1</t>
  </si>
  <si>
    <t>7710 135th Pl NE</t>
  </si>
  <si>
    <t>0:2,1-8:3,9-12:2,13-14:0</t>
  </si>
  <si>
    <t>2008-03-26T08:03:08</t>
  </si>
  <si>
    <t>2008-03-26T08:03:18</t>
  </si>
  <si>
    <t>Sat, Mar 29 11 AM - 3 PM</t>
  </si>
  <si>
    <t>3222 110th Ave SE</t>
  </si>
  <si>
    <t>10625 Woodhaven Ln</t>
  </si>
  <si>
    <t>Woodhaven</t>
  </si>
  <si>
    <t>102 Cedar Crest Ln</t>
  </si>
  <si>
    <t>0-2:2,3:1,4-5:0</t>
  </si>
  <si>
    <t>2008-03-26T08:01:33</t>
  </si>
  <si>
    <t>1023 143rd Ave SE</t>
  </si>
  <si>
    <t>143rd</t>
  </si>
  <si>
    <t>7652 NE 12th St</t>
  </si>
  <si>
    <t>0-3:1,4-8:0</t>
  </si>
  <si>
    <t>1318 121st Ave SE</t>
  </si>
  <si>
    <t>2008-03-26T08:02:03</t>
  </si>
  <si>
    <t>2644 153rd Ave SE</t>
  </si>
  <si>
    <t>2801 170th Ave SE</t>
  </si>
  <si>
    <t>16600 SE 31 St</t>
  </si>
  <si>
    <t>0:3,1-7:2,8-10:1</t>
  </si>
  <si>
    <t>9304 Mercerwood Dr</t>
  </si>
  <si>
    <t>11612 SE 63rd St (Unable to map)</t>
  </si>
  <si>
    <t>4783 171st Ave SE</t>
  </si>
  <si>
    <t>5501 Lakemont Blvd SE</t>
  </si>
  <si>
    <t>6427 112th Ave SE</t>
  </si>
  <si>
    <t>5590 NW Konigs Ct</t>
  </si>
  <si>
    <t>2008-03-26T07:31:31</t>
  </si>
  <si>
    <t>2820 N Burnett Ave</t>
  </si>
  <si>
    <t>Burnett</t>
  </si>
  <si>
    <t>2008-03-26T08:01:52</t>
  </si>
  <si>
    <t>2015 NW 59th St #A</t>
  </si>
  <si>
    <t>2844 NW 59th St</t>
  </si>
  <si>
    <t>2633 NW 58th St #A</t>
  </si>
  <si>
    <t>4707 Fremont Ave N</t>
  </si>
  <si>
    <t>1230 NW 121 St</t>
  </si>
  <si>
    <t>1240 NE 102nd St</t>
  </si>
  <si>
    <t>10316 45th Ave NE</t>
  </si>
  <si>
    <t>1249 NE 96th St</t>
  </si>
  <si>
    <t>9213 Roosevelt Way NE</t>
  </si>
  <si>
    <t>9217 Roosevelt Way NE #B</t>
  </si>
  <si>
    <t>9215 Roosevelt Way NE #A</t>
  </si>
  <si>
    <t>9215 Roosevelt Way NE #B</t>
  </si>
  <si>
    <t>12549 Roosevelt Way NE</t>
  </si>
  <si>
    <t>8517 NE 123rd Pl (Unable to map)</t>
  </si>
  <si>
    <t>7513 55th Pl NE</t>
  </si>
  <si>
    <t>3609 Interlake Ave N #B</t>
  </si>
  <si>
    <t>2568 7th Ave W</t>
  </si>
  <si>
    <t>223 W McGraw St</t>
  </si>
  <si>
    <t>1622 24th Ave</t>
  </si>
  <si>
    <t>530 23rd Ave E</t>
  </si>
  <si>
    <t>1008 4th Ave N</t>
  </si>
  <si>
    <t>0-3:0,4-10:1,11:0,12-14:1</t>
  </si>
  <si>
    <t>12405 NE 111 Pl</t>
  </si>
  <si>
    <t>Sun, Mar 30 2 - 5 PM</t>
  </si>
  <si>
    <t>12455 NE 141 St</t>
  </si>
  <si>
    <t>0 S 296th Pl #26xx (Unable to map)</t>
  </si>
  <si>
    <t>#26xx</t>
  </si>
  <si>
    <t>296th</t>
  </si>
  <si>
    <t>Federal Way</t>
  </si>
  <si>
    <t>Fursse &amp; Hall Realty, Inc.</t>
  </si>
  <si>
    <t>37202 28th Ave S #Lot 1 (Unable to map)</t>
  </si>
  <si>
    <t>Auburn</t>
  </si>
  <si>
    <t>6828 117th Ave NE</t>
  </si>
  <si>
    <t>1224 5th Pl</t>
  </si>
  <si>
    <t>12530 NE 32nd St</t>
  </si>
  <si>
    <t>Cherry Crest</t>
  </si>
  <si>
    <t>168 130th Pl NE</t>
  </si>
  <si>
    <t>10210 NE 20 Pl</t>
  </si>
  <si>
    <t>7438 SE 40th St</t>
  </si>
  <si>
    <t>8035 SE 33rd Pl</t>
  </si>
  <si>
    <t>2008-03-27T06:08:52</t>
  </si>
  <si>
    <t>14001 SE 50th St</t>
  </si>
  <si>
    <t>4517 Somerset Pl SE</t>
  </si>
  <si>
    <t>Fri, Mar 28 1 - 4 PM</t>
  </si>
  <si>
    <t>2702 Jones Ave NE</t>
  </si>
  <si>
    <t>0-5:1,6-7:2,8-14:1</t>
  </si>
  <si>
    <t>1409 NW 63rd St #A</t>
  </si>
  <si>
    <t>3259 NW 57th St</t>
  </si>
  <si>
    <t>5616 Greenwood Ave N</t>
  </si>
  <si>
    <t>836 NW Market St</t>
  </si>
  <si>
    <t>0:0,1-7:1,8-12:0,13-14:1</t>
  </si>
  <si>
    <t>6504 Latona NE</t>
  </si>
  <si>
    <t>0-1:1,2:0,3-8:1,9:0,10:1,11:0,12-14:1</t>
  </si>
  <si>
    <t>0-1:1,2-5:0</t>
  </si>
  <si>
    <t>7315 51st Ave NE</t>
  </si>
  <si>
    <t>0-4:0,6-14:0</t>
  </si>
  <si>
    <t>7503 18th Ave NE</t>
  </si>
  <si>
    <t>5726 16 Ave NE</t>
  </si>
  <si>
    <t>6524 43rd Ave NE</t>
  </si>
  <si>
    <t>6833 55th Ave NE</t>
  </si>
  <si>
    <t>1704 Dexter Ave N #B</t>
  </si>
  <si>
    <t>2827 36 Ave W</t>
  </si>
  <si>
    <t>2261 12th Ave W</t>
  </si>
  <si>
    <t>2518 Nob Hill Place N</t>
  </si>
  <si>
    <t>3140 Franklin Ave E</t>
  </si>
  <si>
    <t>114 20th Ave S #xx</t>
  </si>
  <si>
    <t>517 16TH Ave E #B</t>
  </si>
  <si>
    <t>16TH</t>
  </si>
  <si>
    <t>1717 18th Ave</t>
  </si>
  <si>
    <t>Paul A. Bascomb &amp; Associates</t>
  </si>
  <si>
    <t>102 30th Ave</t>
  </si>
  <si>
    <t>1129 18th Ave #A</t>
  </si>
  <si>
    <t>1129 18th Ave #B</t>
  </si>
  <si>
    <t>1127 18th Ave #B</t>
  </si>
  <si>
    <t>1125 18th Ave #B</t>
  </si>
  <si>
    <t>503 31st Ave</t>
  </si>
  <si>
    <t>14218 4th Ave S #ST (Unable to map)</t>
  </si>
  <si>
    <t>#ST</t>
  </si>
  <si>
    <t>Burien</t>
  </si>
  <si>
    <t>Cambridge</t>
  </si>
  <si>
    <t>12825 15th Ave S (Unable to map)</t>
  </si>
  <si>
    <t>Boulevard Park</t>
  </si>
  <si>
    <t>10204 NE 139th St</t>
  </si>
  <si>
    <t>12204 NE 138 Pl</t>
  </si>
  <si>
    <t>15805 NE 21st St (Unable to map)</t>
  </si>
  <si>
    <t>Choices Realty Northwest</t>
  </si>
  <si>
    <t>3005 120th Ave NE</t>
  </si>
  <si>
    <t>10602 NE 45th St</t>
  </si>
  <si>
    <t>1413 100th Ave NE</t>
  </si>
  <si>
    <t>983 164th Ave SE</t>
  </si>
  <si>
    <t>2604 123rd Ave SE</t>
  </si>
  <si>
    <t>0:3,1-2:2,3-6:1,7:2,8:1,9:2,10:1,11-12:2,13:3,14:1</t>
  </si>
  <si>
    <t>16125 Northup Way</t>
  </si>
  <si>
    <t>1011 144 Pl SE</t>
  </si>
  <si>
    <t>210 168th Ave NE</t>
  </si>
  <si>
    <t>14153 SE 45th Pl</t>
  </si>
  <si>
    <t>4512 162nd Way SE</t>
  </si>
  <si>
    <t>6595 163rd Pl SE</t>
  </si>
  <si>
    <t>4724 158th Ave SE</t>
  </si>
  <si>
    <t>#(lLot 1)</t>
  </si>
  <si>
    <t>14503 SE 114th Pl</t>
  </si>
  <si>
    <t>1701 Blaine Ave NE</t>
  </si>
  <si>
    <t>0-7:2,8-10:1</t>
  </si>
  <si>
    <t>1173 Monterey Ave NE</t>
  </si>
  <si>
    <t>0:1,1:3,2:2,3-8:1,9:2,10-11:1,12:2,13:1,14:2</t>
  </si>
  <si>
    <t>4401 Lincoln Ave NE (Unable to map)</t>
  </si>
  <si>
    <t>0-1:2,2-14:1</t>
  </si>
  <si>
    <t>2206 NW 63rd St</t>
  </si>
  <si>
    <t>4809 Stone Ave N</t>
  </si>
  <si>
    <t>6033 4 NE</t>
  </si>
  <si>
    <t>2118 N 59th St</t>
  </si>
  <si>
    <t>Sun, Mar 30 1 - 3 PM</t>
  </si>
  <si>
    <t>Mon, Mar 31 12 - 3 PM</t>
  </si>
  <si>
    <t>6207 35th NE</t>
  </si>
  <si>
    <t>830 NE 81st St</t>
  </si>
  <si>
    <t>0-9:3,10-12:1</t>
  </si>
  <si>
    <t>6021 25th Ave NE</t>
  </si>
  <si>
    <t>3402 21st Ave W</t>
  </si>
  <si>
    <t>3230 42nd Ave W</t>
  </si>
  <si>
    <t>365 Halladay</t>
  </si>
  <si>
    <t>1963 12th Ave W</t>
  </si>
  <si>
    <t>2323 Broadway Ave E</t>
  </si>
  <si>
    <t>0-4:2,5-9:1,10:0</t>
  </si>
  <si>
    <t>Sun, Mar 30 12 - 3 PM</t>
  </si>
  <si>
    <t>520 20 Ave E #A</t>
  </si>
  <si>
    <t>20 Aloha St</t>
  </si>
  <si>
    <t>0-4:3,5-6:2,7-12:1,13-14:0</t>
  </si>
  <si>
    <t>10234 132nd Ave NE</t>
  </si>
  <si>
    <t>13202 NE 89 St</t>
  </si>
  <si>
    <t>3081 125 Ave NE</t>
  </si>
  <si>
    <t>Sun, Mar 30 11 AM - 3 PM</t>
  </si>
  <si>
    <t>12131 SE 13Th St</t>
  </si>
  <si>
    <t>13Th</t>
  </si>
  <si>
    <t>2809 162nd Ave SE</t>
  </si>
  <si>
    <t>510 172nd Ave NE</t>
  </si>
  <si>
    <t>15016 SE 51st St</t>
  </si>
  <si>
    <t>0-5:3,6:4,7:2,8:3,9-10:2</t>
  </si>
  <si>
    <t>Sun, Mar 30 1 AM - 4 PM</t>
  </si>
  <si>
    <t>16468 SE 57th Pl</t>
  </si>
  <si>
    <t>9547 132 Ave SE</t>
  </si>
  <si>
    <t>1958 Union Ave NE</t>
  </si>
  <si>
    <t>0-4:1,5-10:2,11-12:1,13:2,14:1</t>
  </si>
  <si>
    <t>910 N 82nd St</t>
  </si>
  <si>
    <t>8512 Midvale Ave N</t>
  </si>
  <si>
    <t>0:3,1-8:4,9:5,10-13:3</t>
  </si>
  <si>
    <t>Phillips Real Estate Services</t>
  </si>
  <si>
    <t>4639 Eastern Ave N</t>
  </si>
  <si>
    <t>0-9:6,10-13:3,14:2</t>
  </si>
  <si>
    <t>0-2:1,3-14:0</t>
  </si>
  <si>
    <t>10515 Linden Ave N</t>
  </si>
  <si>
    <t>9213 Linden Ave N</t>
  </si>
  <si>
    <t>11719 5th Ave NE</t>
  </si>
  <si>
    <t>3804 NE 87th St</t>
  </si>
  <si>
    <t>3014 NE 85th St</t>
  </si>
  <si>
    <t>0-1:1,2:2,3-7:1,8:2,9:1,10-14:0</t>
  </si>
  <si>
    <t>10352 38th Ave NE</t>
  </si>
  <si>
    <t>11324 30th Ave NE</t>
  </si>
  <si>
    <t>5550 30th Ave NE</t>
  </si>
  <si>
    <t>4301 NE 57th St</t>
  </si>
  <si>
    <t>4619 NE 73rd St</t>
  </si>
  <si>
    <t>3001 38th Ave W</t>
  </si>
  <si>
    <t>1610 10th Ave W</t>
  </si>
  <si>
    <t>0:2,1-7:0</t>
  </si>
  <si>
    <t>3651 Greenwood Ave N</t>
  </si>
  <si>
    <t>3655 Greenwood Ave N</t>
  </si>
  <si>
    <t>3659 Greenwood Ave N</t>
  </si>
  <si>
    <t>2305 N 41st St</t>
  </si>
  <si>
    <t>702 W Etruria St</t>
  </si>
  <si>
    <t>2 W Eturia St</t>
  </si>
  <si>
    <t>Eturia</t>
  </si>
  <si>
    <t>3500 S King St</t>
  </si>
  <si>
    <t>328 Randolph Ave</t>
  </si>
  <si>
    <t>3012 E Pine St</t>
  </si>
  <si>
    <t>Pine</t>
  </si>
  <si>
    <t>160 15th Ave</t>
  </si>
  <si>
    <t>2223 E Spruce St</t>
  </si>
  <si>
    <t>Spruce</t>
  </si>
  <si>
    <t>11706 114th Pl NE</t>
  </si>
  <si>
    <t>0:1,1-9:2,10-14:1</t>
  </si>
  <si>
    <t>8035 116 Ave NE</t>
  </si>
  <si>
    <t>313 11th Pl</t>
  </si>
  <si>
    <t>0-5:3,6-7:2</t>
  </si>
  <si>
    <t>4107 117th Ave NE</t>
  </si>
  <si>
    <t>928 Belfair</t>
  </si>
  <si>
    <t>Belfair</t>
  </si>
  <si>
    <t>0-7:3,8:2,9-10:0</t>
  </si>
  <si>
    <t>Vuecrest</t>
  </si>
  <si>
    <t>1850 101 Ave NE</t>
  </si>
  <si>
    <t>10416 SE 20 St</t>
  </si>
  <si>
    <t>905 170 Pl SE</t>
  </si>
  <si>
    <t>0-5:2,6-8:1</t>
  </si>
  <si>
    <t>24768 SE 13th Pl (Unable to map)</t>
  </si>
  <si>
    <t>Olympic Properties Inc.</t>
  </si>
  <si>
    <t>14503 25 Ave SE (Unable to map)</t>
  </si>
  <si>
    <t>Issaquah/Sammamish</t>
  </si>
  <si>
    <t>13422 SE 85th St</t>
  </si>
  <si>
    <t>5622 153rd Ave SE</t>
  </si>
  <si>
    <t>18123 NW Village park Dr</t>
  </si>
  <si>
    <t>Village park</t>
  </si>
  <si>
    <t>2832 NE 7th St</t>
  </si>
  <si>
    <t>2820 NE 7Th St</t>
  </si>
  <si>
    <t>7Th</t>
  </si>
  <si>
    <t>2826 NE 7Th St</t>
  </si>
  <si>
    <t>11738 SE 189th Pl (Unable to map)</t>
  </si>
  <si>
    <t>1757 N 88th Ave</t>
  </si>
  <si>
    <t>10306 13th Ave NW</t>
  </si>
  <si>
    <t>12340 Riveria Pl NE</t>
  </si>
  <si>
    <t>Riveria</t>
  </si>
  <si>
    <t>3636 NE 117th St</t>
  </si>
  <si>
    <t>2720 NE 98th St</t>
  </si>
  <si>
    <t>0-2:0,3:1,4-14:0</t>
  </si>
  <si>
    <t>845 NE 97th St</t>
  </si>
  <si>
    <t>7540 28th Ave NE</t>
  </si>
  <si>
    <t>2276 NE 61st Street</t>
  </si>
  <si>
    <t>0:1,1-4:2,5-14:1</t>
  </si>
  <si>
    <t>3012 W Blaine</t>
  </si>
  <si>
    <t>3654 35th Ave W</t>
  </si>
  <si>
    <t>2017 42nd Ave E</t>
  </si>
  <si>
    <t>917 E Allison St</t>
  </si>
  <si>
    <t>Allison</t>
  </si>
  <si>
    <t>0-2:1,3-5:0,6-12:1,13:0,14:1</t>
  </si>
  <si>
    <t>1517 33rd Ave</t>
  </si>
  <si>
    <t>8626 NE 132nd St</t>
  </si>
  <si>
    <t>Sun, Apr 13 2 - 5 PM</t>
  </si>
  <si>
    <t>12021 93rd Pl NE</t>
  </si>
  <si>
    <t>1225 5th Pl</t>
  </si>
  <si>
    <t>9424 114th Ave NE</t>
  </si>
  <si>
    <t>7612 135th Pl NE</t>
  </si>
  <si>
    <t>7405 131 Pl NE</t>
  </si>
  <si>
    <t>13522 NE Old Redmond Rd</t>
  </si>
  <si>
    <t>Old Redmond</t>
  </si>
  <si>
    <t>1712 Bellevue Way NE</t>
  </si>
  <si>
    <t>9708 NE 1st St</t>
  </si>
  <si>
    <t>0-6:6,7:5,8-10:4</t>
  </si>
  <si>
    <t>Real Estate of Washington</t>
  </si>
  <si>
    <t>7615 SE 40th St</t>
  </si>
  <si>
    <t>0-2:3,3-5:4,6:3,7-9:4,10:3,11-12:4,13:3,14:2</t>
  </si>
  <si>
    <t>8530 SE 45th</t>
  </si>
  <si>
    <t>8515 SE 72nd St</t>
  </si>
  <si>
    <t>Mercer Island Estates</t>
  </si>
  <si>
    <t>7323 Mercer Terrace Dr</t>
  </si>
  <si>
    <t>Mercer Terrace</t>
  </si>
  <si>
    <t>5708 92nd Ave SE</t>
  </si>
  <si>
    <t>9208 140th Ave SE</t>
  </si>
  <si>
    <t>0-3:4,4-10:5,11:4,12-13:3,14:1</t>
  </si>
  <si>
    <t>Sun, Apr 20 1 - 4 PM</t>
  </si>
  <si>
    <t>0-2:3,3:4,4:3,5-12:4,13-14:1</t>
  </si>
  <si>
    <t>1912 N 46th St</t>
  </si>
  <si>
    <t>2008-04-02T08:02:33</t>
  </si>
  <si>
    <t>2008-04-02T08:02:52</t>
  </si>
  <si>
    <t>2008-04-02T08:06:17</t>
  </si>
  <si>
    <t>533 N 103rd St</t>
  </si>
  <si>
    <t>12504 North Park Ave N</t>
  </si>
  <si>
    <t>North Park</t>
  </si>
  <si>
    <t>9238 Interlake Ave N #A</t>
  </si>
  <si>
    <t>10324 9th Ave NW</t>
  </si>
  <si>
    <t>9512 Palatine Ave NW</t>
  </si>
  <si>
    <t>2008-04-02T08:02:45</t>
  </si>
  <si>
    <t>9215 Roosevelt Way NE #D</t>
  </si>
  <si>
    <t>5715 40th Ave NE</t>
  </si>
  <si>
    <t>5559 34th Ave NE</t>
  </si>
  <si>
    <t>0:1,1:0,3-14:0</t>
  </si>
  <si>
    <t>3710 NE 70th St</t>
  </si>
  <si>
    <t>4111 Interlake Ave N</t>
  </si>
  <si>
    <t>2912 3 Ave N</t>
  </si>
  <si>
    <t>1209 38th Ave E</t>
  </si>
  <si>
    <t>1646 21st Ave E</t>
  </si>
  <si>
    <t>421 30th Ave S</t>
  </si>
  <si>
    <t>1432 27th Ave</t>
  </si>
  <si>
    <t>0-5:1,6:0,7-12:1,13-14:0</t>
  </si>
  <si>
    <t>210 29th Ave E</t>
  </si>
  <si>
    <t>0:1,1-5:0,7-14:0</t>
  </si>
  <si>
    <t>3119 E Ward St</t>
  </si>
  <si>
    <t>163 18th Ave</t>
  </si>
  <si>
    <t>1717 25th Ave</t>
  </si>
  <si>
    <t>13737 90th Pl NE</t>
  </si>
  <si>
    <t>0-2:1,3:0,4:1,5-9:0,10-11:1,12-13:0,14:1</t>
  </si>
  <si>
    <t>10052 116th Ave NE</t>
  </si>
  <si>
    <t>1929 4 St</t>
  </si>
  <si>
    <t>230 10 Ave</t>
  </si>
  <si>
    <t>3108 92nd Ave NE</t>
  </si>
  <si>
    <t>9856 NE 27th St</t>
  </si>
  <si>
    <t>14105 NE 10 Pl</t>
  </si>
  <si>
    <t>14220 SE 14 St</t>
  </si>
  <si>
    <t>17172 SE 40th Pl</t>
  </si>
  <si>
    <t>Exit Northwest Realty</t>
  </si>
  <si>
    <t>13339 SE Newport Way #Lot 3 (Unable to map)</t>
  </si>
  <si>
    <t>Factoria</t>
  </si>
  <si>
    <t>25921 SE 20 Pl (Unable to map)</t>
  </si>
  <si>
    <t>Beaver Lake</t>
  </si>
  <si>
    <t>4810 152nd Pl SE</t>
  </si>
  <si>
    <t>1315 N 34th St</t>
  </si>
  <si>
    <t>6439 166th Pl SE</t>
  </si>
  <si>
    <t>5740 149th Ave SE</t>
  </si>
  <si>
    <t>101 Shadow Ave SE (Unable to map)</t>
  </si>
  <si>
    <t>Shadow</t>
  </si>
  <si>
    <t>107 Shadow Ave SE (Unable to map)</t>
  </si>
  <si>
    <t>14723 SE 111th St</t>
  </si>
  <si>
    <t>May Valley</t>
  </si>
  <si>
    <t>Sun, May 4 1 - 4 PM</t>
  </si>
  <si>
    <t>3525 NE 24 Ct</t>
  </si>
  <si>
    <t>2618 NW 57 St #A</t>
  </si>
  <si>
    <t>3510 W Commodore Way</t>
  </si>
  <si>
    <t>Commodore</t>
  </si>
  <si>
    <t>323 NE 54th St #325</t>
  </si>
  <si>
    <t>#325</t>
  </si>
  <si>
    <t>608 NW 50th St</t>
  </si>
  <si>
    <t>233 NW 53rd St</t>
  </si>
  <si>
    <t>0-11:2,12-14:0</t>
  </si>
  <si>
    <t>4432 3rd Ave NW</t>
  </si>
  <si>
    <t>11318 Meridian Ave N</t>
  </si>
  <si>
    <t>1519 NE 92nd St</t>
  </si>
  <si>
    <t>2840 29th Ave W</t>
  </si>
  <si>
    <t>Northwest Property Group</t>
  </si>
  <si>
    <t>3960 Dayton Ave N</t>
  </si>
  <si>
    <t>808 W argand St</t>
  </si>
  <si>
    <t>argand</t>
  </si>
  <si>
    <t>1616 E McGraw St</t>
  </si>
  <si>
    <t>0-11:1,12:0,13-14:1</t>
  </si>
  <si>
    <t>Sun, Apr 6 1 AM - 3 PM</t>
  </si>
  <si>
    <t>1249 E 16th Ave</t>
  </si>
  <si>
    <t>0-5:2,6:3,7-8:1,9-12:2,13-14:1</t>
  </si>
  <si>
    <t>0 Undisclosed #xxx (Unable to map)</t>
  </si>
  <si>
    <t>1018 Taylor Ave N #A</t>
  </si>
  <si>
    <t>17416 NE 119th Way</t>
  </si>
  <si>
    <t>13826 97th Ave NE</t>
  </si>
  <si>
    <t>9431 NE 130 Pl</t>
  </si>
  <si>
    <t>13100 111 Ave NE</t>
  </si>
  <si>
    <t>0:A,1-2:B,3-4:A,5-11:9,12:8,13-14:7</t>
  </si>
  <si>
    <t>1321 5th Ln</t>
  </si>
  <si>
    <t>0-1:1,2:2,3:1,4:2,5-6:1,7:2,8-14:1</t>
  </si>
  <si>
    <t>Sat, Apr 5 11 AM - 3 PM</t>
  </si>
  <si>
    <t>515 82nd Ave</t>
  </si>
  <si>
    <t>0-1:2,2-8:1</t>
  </si>
  <si>
    <t>8424 SE 44th St</t>
  </si>
  <si>
    <t>14427 SE 14th</t>
  </si>
  <si>
    <t>2737 107th Ave SE</t>
  </si>
  <si>
    <t>Beaux Arts</t>
  </si>
  <si>
    <t>4735 134th Pl SE</t>
  </si>
  <si>
    <t>0-9:3,10-13:2,14:1</t>
  </si>
  <si>
    <t>Alpha Realty &amp; Auction Group</t>
  </si>
  <si>
    <t>5615 165th Pl SE</t>
  </si>
  <si>
    <t>4412 170th Ave SE</t>
  </si>
  <si>
    <t>4431 175th Pl SE</t>
  </si>
  <si>
    <t>8249 118th Ave SE</t>
  </si>
  <si>
    <t>7711 111 Pl SE</t>
  </si>
  <si>
    <t>6404 123rd Ave SE</t>
  </si>
  <si>
    <t>6123 144th Pl SE</t>
  </si>
  <si>
    <t>0-4:3,5-14:0</t>
  </si>
  <si>
    <t>0-7:8,8:7,9:6</t>
  </si>
  <si>
    <t>2707 Meadow Pl N</t>
  </si>
  <si>
    <t>4812 NE 5th St</t>
  </si>
  <si>
    <t>2612 NW 57th St</t>
  </si>
  <si>
    <t>5530 Ashworth Ave N</t>
  </si>
  <si>
    <t>712 N 64th</t>
  </si>
  <si>
    <t>0-10:2,11-14:0</t>
  </si>
  <si>
    <t>4810 1st Ave NW</t>
  </si>
  <si>
    <t>9307 Linden Ave N</t>
  </si>
  <si>
    <t>0:1,1-9:2,10:1,11:2,12:1,13-14:2</t>
  </si>
  <si>
    <t>12001 8th Ave NW</t>
  </si>
  <si>
    <t>12017 35th Ave NE</t>
  </si>
  <si>
    <t>11332 30th Ave NE</t>
  </si>
  <si>
    <t>3530 NE 91st St</t>
  </si>
  <si>
    <t>3906 NE 51 St #B</t>
  </si>
  <si>
    <t>8239 41st Ave NE</t>
  </si>
  <si>
    <t>Sun, Apr 6 1:30 - 4:30 PM</t>
  </si>
  <si>
    <t>7526 Brooklyn Ave NE</t>
  </si>
  <si>
    <t>1511 NE 63rd St</t>
  </si>
  <si>
    <t>453 Boston St</t>
  </si>
  <si>
    <t>1625 7th Ave W</t>
  </si>
  <si>
    <t>3228 35th Ave W</t>
  </si>
  <si>
    <t>3619 Phinney Ave N #B</t>
  </si>
  <si>
    <t>4208 Linden Ave N</t>
  </si>
  <si>
    <t>0-2:2,3-6:3,7:2,8:1</t>
  </si>
  <si>
    <t>4324 3rd Ave NW</t>
  </si>
  <si>
    <t>4002 34th Ave W</t>
  </si>
  <si>
    <t>218 W Crockett</t>
  </si>
  <si>
    <t>2002 41st Ave E</t>
  </si>
  <si>
    <t>Sat, Apr 5 2 - 4 PM</t>
  </si>
  <si>
    <t>313 27th Ave S (Unable to map)</t>
  </si>
  <si>
    <t>315 27th Ave S (Unable to map)</t>
  </si>
  <si>
    <t>419 Lakeside Ave S</t>
  </si>
  <si>
    <t>1720 29th Ave</t>
  </si>
  <si>
    <t>1822 11th Ave #A</t>
  </si>
  <si>
    <t>1822 11th Ave #B</t>
  </si>
  <si>
    <t>1818 11th Ave #C</t>
  </si>
  <si>
    <t>11712 106th Ave NE</t>
  </si>
  <si>
    <t>0-5:2,6-10:1,11-13:0</t>
  </si>
  <si>
    <t>12001 NE 134th St</t>
  </si>
  <si>
    <t>11332 NE 129th St</t>
  </si>
  <si>
    <t>0:1,1-7:3</t>
  </si>
  <si>
    <t>11011 127th Pl NE</t>
  </si>
  <si>
    <t>836 Kirkland Ave</t>
  </si>
  <si>
    <t>6219 152nd Ave NE</t>
  </si>
  <si>
    <t>12105 NE 64th St</t>
  </si>
  <si>
    <t>4351 130th Pl SE</t>
  </si>
  <si>
    <t>15251 NE 6 St</t>
  </si>
  <si>
    <t>1039 145th Pl SE</t>
  </si>
  <si>
    <t>1927 162nd Ave NE</t>
  </si>
  <si>
    <t>0-1:4,2-4:2,5:1,6-12:0</t>
  </si>
  <si>
    <t>4037 161st Ave SE</t>
  </si>
  <si>
    <t>Mercer Island Realty Inc.</t>
  </si>
  <si>
    <t>3731 79th Ave SE</t>
  </si>
  <si>
    <t>25 Vashon Key</t>
  </si>
  <si>
    <t>1321 247th Pl SE (Unable to map)</t>
  </si>
  <si>
    <t>1301 247th Pl SE (Unable to map)</t>
  </si>
  <si>
    <t>Sun, Apr 6 12 - 4 PM</t>
  </si>
  <si>
    <t>4927 131st Pl SE</t>
  </si>
  <si>
    <t>7757 142nd Way SE</t>
  </si>
  <si>
    <t>0-1:0,2:1,3-4:0</t>
  </si>
  <si>
    <t>A. Kalchik Realty LLC</t>
  </si>
  <si>
    <t>11302 SE 86th PL</t>
  </si>
  <si>
    <t>6122 115th Pl SE</t>
  </si>
  <si>
    <t>11163 SE 59th St</t>
  </si>
  <si>
    <t>5576 NW Lac Leman Dr</t>
  </si>
  <si>
    <t>Lac Leman</t>
  </si>
  <si>
    <t>1240 N 42nd Pl (Unable to map)</t>
  </si>
  <si>
    <t>1234 N 42nd Pl (Unable to map)</t>
  </si>
  <si>
    <t>4507 N 5th St</t>
  </si>
  <si>
    <t>9221 NW Mary Ave</t>
  </si>
  <si>
    <t>2008-04-05T15:29:31</t>
  </si>
  <si>
    <t>2008-04-05T15:29:32</t>
  </si>
  <si>
    <t>2008-04-05T15:29:28</t>
  </si>
  <si>
    <t>0-5:2,6-9:1</t>
  </si>
  <si>
    <t>2008-04-05T16:18:15</t>
  </si>
  <si>
    <t>2615 NW 59 Ave #A (Unable to map)</t>
  </si>
  <si>
    <t>2615 NW 59 Ave #B (Unable to map)</t>
  </si>
  <si>
    <t>5511 28th Ave NW</t>
  </si>
  <si>
    <t>2149 N 64th St</t>
  </si>
  <si>
    <t>8057 Corliss Ave N</t>
  </si>
  <si>
    <t>737 N 84th St</t>
  </si>
  <si>
    <t>Sun, Apr 6 1 AM - 4 PM</t>
  </si>
  <si>
    <t>1026 NE 95th</t>
  </si>
  <si>
    <t>5719 NE 60th St</t>
  </si>
  <si>
    <t>3424 42nd St W</t>
  </si>
  <si>
    <t>1005 E Spruce St</t>
  </si>
  <si>
    <t>2008-04-05T09:36:59</t>
  </si>
  <si>
    <t>0-5:2,6-8:1,9-13:0</t>
  </si>
  <si>
    <t>211 28th Ave S</t>
  </si>
  <si>
    <t>Sun, Apr 6 12 - 5 PM</t>
  </si>
  <si>
    <t>13613 94th Ave NE</t>
  </si>
  <si>
    <t>509 4th St S</t>
  </si>
  <si>
    <t>340 11th Ave W</t>
  </si>
  <si>
    <t>0-3:K</t>
  </si>
  <si>
    <t>13426 NE 97th St</t>
  </si>
  <si>
    <t>0-5:1,6:2,7-13:1,14:2</t>
  </si>
  <si>
    <t>413 13th Ave W</t>
  </si>
  <si>
    <t>Sun, Apr 6 1 - 4:30 PM</t>
  </si>
  <si>
    <t>Kersten Associates</t>
  </si>
  <si>
    <t>14540 NE 57th St</t>
  </si>
  <si>
    <t>3034 69th Ave SE</t>
  </si>
  <si>
    <t>4212 123rd Ave SE</t>
  </si>
  <si>
    <t>1440 173rd Ave NE</t>
  </si>
  <si>
    <t>Titan Real Estate</t>
  </si>
  <si>
    <t>13613 SE 54th Pl</t>
  </si>
  <si>
    <t>12610 SE 49th St</t>
  </si>
  <si>
    <t>Sun, Apr 6 1 - 4 AM</t>
  </si>
  <si>
    <t>6246 147th Ave SE</t>
  </si>
  <si>
    <t>1036 NE 102nd St</t>
  </si>
  <si>
    <t>6812 26th St NE</t>
  </si>
  <si>
    <t>7605 NE 123 St</t>
  </si>
  <si>
    <t>Sun, Apr 6 1 - 3 PM</t>
  </si>
  <si>
    <t>3102 106th Ave SE</t>
  </si>
  <si>
    <t>1217 N 32nd St</t>
  </si>
  <si>
    <t>0-9:2,10-14:1</t>
  </si>
  <si>
    <t>0-2:0,3:1,4:0,5:1,6-7:0,8:2,9-11:1,12:0,13-14:1</t>
  </si>
  <si>
    <t>103 NE 59 St</t>
  </si>
  <si>
    <t>6837 27th Ave NE</t>
  </si>
  <si>
    <t>0-3:1,4-11:0</t>
  </si>
  <si>
    <t>2637 38th Ave W</t>
  </si>
  <si>
    <t>501 W Olympic Pl #B</t>
  </si>
  <si>
    <t>0:1,1-8:0,9-10:1,11:0</t>
  </si>
  <si>
    <t>11177 SE 61st Pl</t>
  </si>
  <si>
    <t>0-1:2,2:0</t>
  </si>
  <si>
    <t>14502 SE 122nd Pl</t>
  </si>
  <si>
    <t>0:6,1:3,2:2,3-12:3</t>
  </si>
  <si>
    <t>5225 NE 8th Pl (Lot 301)</t>
  </si>
  <si>
    <t>8th Pl (Lot 301)</t>
  </si>
  <si>
    <t>0:2,1-13:0</t>
  </si>
  <si>
    <t>12244 145th Ave SE</t>
  </si>
  <si>
    <t>6006 Seaview Ave NW #LW</t>
  </si>
  <si>
    <t>#LW</t>
  </si>
  <si>
    <t>7733 30th Ave NW</t>
  </si>
  <si>
    <t>611 N 46th St</t>
  </si>
  <si>
    <t>520 N 61st St</t>
  </si>
  <si>
    <t>1138 NW 61st St</t>
  </si>
  <si>
    <t>Sat, Apr 12 1 - 4 PM</t>
  </si>
  <si>
    <t>6309 Phinney Ave N #B</t>
  </si>
  <si>
    <t>6054 2nd Ave NW</t>
  </si>
  <si>
    <t>9723 Roosevelt Way NE</t>
  </si>
  <si>
    <t>2761 NE 95th St</t>
  </si>
  <si>
    <t>12326 14th Ave NE #B</t>
  </si>
  <si>
    <t>5255 19th Ave NE</t>
  </si>
  <si>
    <t>4751 41st Ave NE</t>
  </si>
  <si>
    <t>8021 43rd St NE</t>
  </si>
  <si>
    <t>7318 21st Ave NE</t>
  </si>
  <si>
    <t>7335 34 Ave NE</t>
  </si>
  <si>
    <t>3400 21st Ave W</t>
  </si>
  <si>
    <t>2803 W Elmore Pl W</t>
  </si>
  <si>
    <t>2928 W Elmore St</t>
  </si>
  <si>
    <t>3622 22nd Ave W #A</t>
  </si>
  <si>
    <t>1014 W Newell St</t>
  </si>
  <si>
    <t>0-1:2,2:3,3-6:2,7:3,8-9:2,10:3,11:2,12:3,13-14:2</t>
  </si>
  <si>
    <t>2121 Wolfe Pl W</t>
  </si>
  <si>
    <t>Wolfe</t>
  </si>
  <si>
    <t>0:3,1:2,2-4:3,5-6:1,7-12:2,13:1,14:2</t>
  </si>
  <si>
    <t>2026 14th Ave W</t>
  </si>
  <si>
    <t>Sun, Apr 13 1 - 4 PM</t>
  </si>
  <si>
    <t>4005 NE 40th St</t>
  </si>
  <si>
    <t>1330 E Interlaken Blvd</t>
  </si>
  <si>
    <t>Interlaken</t>
  </si>
  <si>
    <t>1824 24th Ave E</t>
  </si>
  <si>
    <t>1010 31st Ave E</t>
  </si>
  <si>
    <t>0-5:1,6-7:2,8-12:1</t>
  </si>
  <si>
    <t>124 28th Ave</t>
  </si>
  <si>
    <t>0-3:K,4-8:J,9-13:D</t>
  </si>
  <si>
    <t>11405 80th Ave NE</t>
  </si>
  <si>
    <t>8303 NE 132nd St</t>
  </si>
  <si>
    <t>8700 128 Ave NE</t>
  </si>
  <si>
    <t>314 7th Ave</t>
  </si>
  <si>
    <t>0-5:3,6:4,7-8:3,9-14:2</t>
  </si>
  <si>
    <t>818 16th Ave W</t>
  </si>
  <si>
    <t>0-2:2,3-6:1,7:0</t>
  </si>
  <si>
    <t>#808</t>
  </si>
  <si>
    <t>4205 94th Ave SE</t>
  </si>
  <si>
    <t>0:1,1-10:2,11-13:1</t>
  </si>
  <si>
    <t>204 153 Pl SE</t>
  </si>
  <si>
    <t>9234 SE 70th Pl</t>
  </si>
  <si>
    <t>6624 117th Ave SE</t>
  </si>
  <si>
    <t>9420 SE 54th St</t>
  </si>
  <si>
    <t>Eastside</t>
  </si>
  <si>
    <t>1911 NE 29th CT</t>
  </si>
  <si>
    <t>5214 NE 16th St</t>
  </si>
  <si>
    <t>8337 19th Ave NW</t>
  </si>
  <si>
    <t>3037 NW 73rd St</t>
  </si>
  <si>
    <t>7212 6th Ave NW</t>
  </si>
  <si>
    <t>7015 1st Ave NW</t>
  </si>
  <si>
    <t>7728 11th Ave NW</t>
  </si>
  <si>
    <t>6745 NW 24th Ave #B</t>
  </si>
  <si>
    <t>8532 10th Ave NW</t>
  </si>
  <si>
    <t>Wed, Apr 9 12 - 1:30 PM</t>
  </si>
  <si>
    <t>1916 N 46th St #A</t>
  </si>
  <si>
    <t>748 N 84th St</t>
  </si>
  <si>
    <t>0-4:2,5:0</t>
  </si>
  <si>
    <t>12033 12th Ave NW</t>
  </si>
  <si>
    <t>10702 Evanston Ave N</t>
  </si>
  <si>
    <t>8801 Latona Ave NE</t>
  </si>
  <si>
    <t>11012 Greenwood Ave N #C</t>
  </si>
  <si>
    <t>2304 NW 100th St</t>
  </si>
  <si>
    <t>9220 Ashworth Ave N</t>
  </si>
  <si>
    <t>Action Real Estate</t>
  </si>
  <si>
    <t>13052 Holmes Point</t>
  </si>
  <si>
    <t>Point</t>
  </si>
  <si>
    <t>Holmes</t>
  </si>
  <si>
    <t>1051 NE 96th</t>
  </si>
  <si>
    <t>546 NE 89th St</t>
  </si>
  <si>
    <t>0-4:4,5-6:5,7:4,8-9:5,10-11:4,12:5</t>
  </si>
  <si>
    <t>6808 39 Ave NE</t>
  </si>
  <si>
    <t>3444 9 Ave W</t>
  </si>
  <si>
    <t>4202 Ashworth Ave N</t>
  </si>
  <si>
    <t>4119 Corliss Ave N</t>
  </si>
  <si>
    <t>2118 Waverly Pl N</t>
  </si>
  <si>
    <t>3423 36th Ave W</t>
  </si>
  <si>
    <t>0-9:2,10-12:1</t>
  </si>
  <si>
    <t>2227 Boylston Ave E</t>
  </si>
  <si>
    <t>Wed, Apr 9 3 - 7 PM</t>
  </si>
  <si>
    <t>4228 Thackeray Pl NE</t>
  </si>
  <si>
    <t>221 23rd Ave</t>
  </si>
  <si>
    <t>1007 5th Ave N</t>
  </si>
  <si>
    <t>13211 112th Ave NE</t>
  </si>
  <si>
    <t>Newberry Realty Renton</t>
  </si>
  <si>
    <t>21907 9th Pl S (Unable to map)</t>
  </si>
  <si>
    <t>Marine Hills</t>
  </si>
  <si>
    <t>821 5th St</t>
  </si>
  <si>
    <t>7416 131st Pl NE</t>
  </si>
  <si>
    <t>504 7th Ave</t>
  </si>
  <si>
    <t>0-5:2,6-8:0</t>
  </si>
  <si>
    <t>818 Kirkland Ave</t>
  </si>
  <si>
    <t>12700 NE 8th St</t>
  </si>
  <si>
    <t>16305 SE 37th St</t>
  </si>
  <si>
    <t>16101 Northup Way</t>
  </si>
  <si>
    <t>1112 Bellevue Way SE</t>
  </si>
  <si>
    <t>14221 SE 40th St</t>
  </si>
  <si>
    <t>430 150th Pl NE</t>
  </si>
  <si>
    <t>0-4:5,5:3,6:2,7-11:3,12:2,13:3,14:2</t>
  </si>
  <si>
    <t>Sat, Apr 12 12 - 2 PM</t>
  </si>
  <si>
    <t>3320 Aberdeen Ave NE</t>
  </si>
  <si>
    <t>1609 Union Ave NE</t>
  </si>
  <si>
    <t>8033 24th Ave NW</t>
  </si>
  <si>
    <t>8757 Jones Ave NW</t>
  </si>
  <si>
    <t>9014 14th Ave NW</t>
  </si>
  <si>
    <t>8226 Densmore Ave N</t>
  </si>
  <si>
    <t>4509 Woodland Park Ave N</t>
  </si>
  <si>
    <t>4507 Woodland Park Ave N</t>
  </si>
  <si>
    <t>509 N 60th St</t>
  </si>
  <si>
    <t>8531 Stone Ave N</t>
  </si>
  <si>
    <t>8410 8th Ave NE</t>
  </si>
  <si>
    <t>5519 31 Ave NE</t>
  </si>
  <si>
    <t>551 NE Ravenna Blvd</t>
  </si>
  <si>
    <t>2320 Minor Ave E</t>
  </si>
  <si>
    <t>0-1:0,2:1,3-4:0,5:1,6-7:0,8:1,9:0</t>
  </si>
  <si>
    <t>Sun, Apr 13 2 - 4 PM</t>
  </si>
  <si>
    <t>3456 22nd Ave W</t>
  </si>
  <si>
    <t>2320 Nob Hill Ave N</t>
  </si>
  <si>
    <t>3618 1st Ave NW</t>
  </si>
  <si>
    <t>2033 Boylston Ave E</t>
  </si>
  <si>
    <t>0-5:1,6-11:0</t>
  </si>
  <si>
    <t>1236 Federal Ave E</t>
  </si>
  <si>
    <t>1133 McGilvra Blvd E</t>
  </si>
  <si>
    <t>323 34th Ave E</t>
  </si>
  <si>
    <t>3011 E Pike St</t>
  </si>
  <si>
    <t>1133 32nd Ave</t>
  </si>
  <si>
    <t>249 11th Ave E</t>
  </si>
  <si>
    <t>0:2,1-2:1,3-8:2</t>
  </si>
  <si>
    <t>1824 27th Ave #B</t>
  </si>
  <si>
    <t>0-1:2,2-7:1,8-9:0</t>
  </si>
  <si>
    <t>13823 97th Ave NE</t>
  </si>
  <si>
    <t>0-3:3,4-8:2</t>
  </si>
  <si>
    <t>11227 104th Ave NE</t>
  </si>
  <si>
    <t>Sat, Apr 12 12 - 5 PM</t>
  </si>
  <si>
    <t>13800 NE 40th St</t>
  </si>
  <si>
    <t>0-5:W,6-9:V</t>
  </si>
  <si>
    <t>14009 NE 63rd CT</t>
  </si>
  <si>
    <t>16421 NE 12th St</t>
  </si>
  <si>
    <t>16008 SE 24th St</t>
  </si>
  <si>
    <t>0:1B</t>
  </si>
  <si>
    <t>5407 125th Ave SE</t>
  </si>
  <si>
    <t>12553 SE 74th Pl</t>
  </si>
  <si>
    <t>0-1:0,2-4:1,5-10:0</t>
  </si>
  <si>
    <t>7215 122 Ave SE</t>
  </si>
  <si>
    <t>9226 120th Ave SE</t>
  </si>
  <si>
    <t>0-12:3,13-14:1</t>
  </si>
</sst>
</file>

<file path=xl/styles.xml><?xml version="1.0" encoding="utf-8"?>
<styleSheet xmlns="http://schemas.openxmlformats.org/spreadsheetml/2006/main">
  <numFmts count="1">
    <numFmt numFmtId="6" formatCode="&quot;$&quot;#,##0_);[Red]\(&quot;$&quot;#,##0\)"/>
  </numFmts>
  <fonts count="9">
    <font>
      <sz val="10"/>
      <name val="Arial"/>
    </font>
    <font>
      <sz val="11"/>
      <color theme="1"/>
      <name val="Calibri"/>
      <family val="2"/>
      <scheme val="minor"/>
    </font>
    <font>
      <sz val="8"/>
      <name val="Arial"/>
      <family val="2"/>
    </font>
    <font>
      <u/>
      <sz val="10"/>
      <color theme="10"/>
      <name val="Arial"/>
      <family val="2"/>
    </font>
    <font>
      <sz val="9"/>
      <color indexed="81"/>
      <name val="Tahoma"/>
      <charset val="1"/>
    </font>
    <font>
      <b/>
      <sz val="10"/>
      <name val="Arial"/>
      <family val="2"/>
    </font>
    <font>
      <sz val="10"/>
      <name val="Arial"/>
      <family val="2"/>
    </font>
    <font>
      <sz val="11"/>
      <name val="Arial"/>
      <family val="2"/>
    </font>
    <font>
      <sz val="8"/>
      <color indexed="81"/>
      <name val="Tahoma"/>
      <charset val="1"/>
    </font>
  </fonts>
  <fills count="6">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3" tint="0.59999389629810485"/>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
    <xf numFmtId="0" fontId="0" fillId="0" borderId="0" xfId="0"/>
    <xf numFmtId="3" fontId="0" fillId="0" borderId="0" xfId="0" applyNumberFormat="1"/>
    <xf numFmtId="0" fontId="3" fillId="0" borderId="0" xfId="1" applyAlignment="1" applyProtection="1"/>
    <xf numFmtId="0" fontId="0" fillId="2" borderId="0" xfId="0" applyFill="1"/>
    <xf numFmtId="0" fontId="3" fillId="2" borderId="0" xfId="1" applyFill="1" applyAlignment="1" applyProtection="1"/>
    <xf numFmtId="0" fontId="5" fillId="0" borderId="0" xfId="0" applyFont="1"/>
    <xf numFmtId="0" fontId="6" fillId="0" borderId="0" xfId="0" applyFont="1"/>
    <xf numFmtId="14" fontId="0" fillId="0" borderId="0" xfId="0" applyNumberFormat="1"/>
    <xf numFmtId="0" fontId="7" fillId="0" borderId="0" xfId="0" applyFont="1"/>
    <xf numFmtId="0" fontId="6" fillId="0" borderId="0" xfId="0" applyNumberFormat="1" applyFont="1"/>
    <xf numFmtId="6" fontId="0" fillId="0" borderId="0" xfId="0" applyNumberFormat="1"/>
    <xf numFmtId="0" fontId="3" fillId="0" borderId="0" xfId="1" applyNumberFormat="1" applyAlignment="1" applyProtection="1"/>
    <xf numFmtId="14" fontId="0" fillId="3" borderId="0" xfId="0" applyNumberFormat="1" applyFill="1"/>
    <xf numFmtId="6" fontId="0" fillId="4" borderId="0" xfId="0" applyNumberFormat="1" applyFill="1"/>
    <xf numFmtId="3" fontId="0" fillId="4" borderId="0" xfId="0" applyNumberFormat="1" applyFill="1"/>
    <xf numFmtId="0" fontId="3" fillId="4" borderId="0" xfId="1" applyFill="1" applyAlignment="1" applyProtection="1"/>
    <xf numFmtId="0" fontId="0" fillId="5" borderId="0" xfId="0" applyFill="1"/>
    <xf numFmtId="1" fontId="0" fillId="0" borderId="0" xfId="0" applyNumberFormat="1"/>
    <xf numFmtId="6" fontId="0" fillId="2" borderId="0" xfId="0" applyNumberFormat="1" applyFill="1"/>
    <xf numFmtId="0" fontId="0" fillId="4" borderId="0" xfId="0" applyFill="1"/>
    <xf numFmtId="0" fontId="5" fillId="0" borderId="0" xfId="0" applyNumberFormat="1" applyFont="1"/>
    <xf numFmtId="20" fontId="0" fillId="0" borderId="0" xfId="0" applyNumberFormat="1"/>
    <xf numFmtId="22" fontId="0" fillId="0" borderId="0" xfId="0" applyNumberFormat="1"/>
    <xf numFmtId="0" fontId="1" fillId="0" borderId="0" xfId="2"/>
    <xf numFmtId="14" fontId="1" fillId="0" borderId="0" xfId="2" applyNumberFormat="1"/>
    <xf numFmtId="22" fontId="0" fillId="4" borderId="0" xfId="0" applyNumberFormat="1" applyFill="1"/>
  </cellXfs>
  <cellStyles count="3">
    <cellStyle name="Hyperlink" xfId="1" builtinId="8"/>
    <cellStyle name="Normal" xfId="0" builtinId="0"/>
    <cellStyle name="Normal 2" xfId="2"/>
  </cellStyles>
  <dxfs count="13">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s>
  <tableStyles count="0" defaultTableStyle="TableStyleMedium9" defaultPivotStyle="PivotStyleLight16"/>
  <colors>
    <mruColors>
      <color rgb="FFFFFF99"/>
    </mruColors>
  </color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0</xdr:colOff>
      <xdr:row>6</xdr:row>
      <xdr:rowOff>0</xdr:rowOff>
    </xdr:from>
    <xdr:to>
      <xdr:col>1</xdr:col>
      <xdr:colOff>1162050</xdr:colOff>
      <xdr:row>8</xdr:row>
      <xdr:rowOff>0</xdr:rowOff>
    </xdr:to>
    <xdr:sp macro="[0]!Main" textlink="">
      <xdr:nvSpPr>
        <xdr:cNvPr id="2" name="Rounded Rectangle 1"/>
        <xdr:cNvSpPr/>
      </xdr:nvSpPr>
      <xdr:spPr>
        <a:xfrm>
          <a:off x="1543050" y="1133475"/>
          <a:ext cx="116205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Read</a:t>
          </a:r>
          <a:r>
            <a:rPr lang="en-US" sz="1100" baseline="0"/>
            <a:t> HTML</a:t>
          </a:r>
          <a:endParaRPr lang="en-US" sz="1100"/>
        </a:p>
      </xdr:txBody>
    </xdr:sp>
    <xdr:clientData/>
  </xdr:twoCellAnchor>
  <xdr:twoCellAnchor>
    <xdr:from>
      <xdr:col>1</xdr:col>
      <xdr:colOff>1724025</xdr:colOff>
      <xdr:row>6</xdr:row>
      <xdr:rowOff>9525</xdr:rowOff>
    </xdr:from>
    <xdr:to>
      <xdr:col>1</xdr:col>
      <xdr:colOff>2800350</xdr:colOff>
      <xdr:row>7</xdr:row>
      <xdr:rowOff>152400</xdr:rowOff>
    </xdr:to>
    <xdr:sp macro="[0]!Startup" textlink="">
      <xdr:nvSpPr>
        <xdr:cNvPr id="3" name="Rounded Rectangle 2"/>
        <xdr:cNvSpPr/>
      </xdr:nvSpPr>
      <xdr:spPr>
        <a:xfrm>
          <a:off x="3267075" y="1143000"/>
          <a:ext cx="1076325"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Commands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hyperlink" Target="http://www.windermere.com/+string"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2"/>
  <dimension ref="A1:CM3439"/>
  <sheetViews>
    <sheetView topLeftCell="AV1" workbookViewId="0">
      <selection activeCell="AZ12" sqref="AZ12"/>
    </sheetView>
  </sheetViews>
  <sheetFormatPr defaultRowHeight="12.75"/>
  <cols>
    <col min="55" max="55" width="17.140625" customWidth="1"/>
  </cols>
  <sheetData>
    <row r="1" spans="1:91">
      <c r="A1" t="s">
        <v>6</v>
      </c>
      <c r="B1" t="s">
        <v>5</v>
      </c>
      <c r="C1" t="s">
        <v>20</v>
      </c>
      <c r="D1" t="s">
        <v>21</v>
      </c>
      <c r="E1" t="s">
        <v>4</v>
      </c>
      <c r="F1" t="s">
        <v>2068</v>
      </c>
      <c r="G1" t="s">
        <v>1643</v>
      </c>
      <c r="H1" t="s">
        <v>1644</v>
      </c>
      <c r="I1" t="s">
        <v>1645</v>
      </c>
      <c r="J1" t="s">
        <v>10</v>
      </c>
      <c r="K1" t="s">
        <v>11</v>
      </c>
      <c r="L1" t="s">
        <v>2069</v>
      </c>
      <c r="M1" t="s">
        <v>22</v>
      </c>
      <c r="N1" t="s">
        <v>1883</v>
      </c>
      <c r="O1" t="s">
        <v>2070</v>
      </c>
      <c r="P1" t="s">
        <v>2071</v>
      </c>
      <c r="Q1" t="s">
        <v>2072</v>
      </c>
      <c r="R1" t="s">
        <v>2073</v>
      </c>
      <c r="S1" t="s">
        <v>2074</v>
      </c>
      <c r="T1" t="s">
        <v>33</v>
      </c>
      <c r="U1" t="s">
        <v>2075</v>
      </c>
      <c r="V1" t="s">
        <v>1646</v>
      </c>
      <c r="W1" t="s">
        <v>24</v>
      </c>
      <c r="X1" t="s">
        <v>28</v>
      </c>
      <c r="Y1" t="s">
        <v>29</v>
      </c>
      <c r="Z1" t="s">
        <v>30</v>
      </c>
      <c r="AA1" t="s">
        <v>1647</v>
      </c>
      <c r="AB1" t="s">
        <v>1648</v>
      </c>
      <c r="AC1" t="s">
        <v>1649</v>
      </c>
      <c r="AD1" t="s">
        <v>37</v>
      </c>
      <c r="AE1" t="s">
        <v>2076</v>
      </c>
      <c r="AF1" t="s">
        <v>2077</v>
      </c>
      <c r="AG1" t="s">
        <v>117</v>
      </c>
      <c r="AH1" t="s">
        <v>118</v>
      </c>
      <c r="AI1" t="s">
        <v>119</v>
      </c>
      <c r="AJ1" t="s">
        <v>120</v>
      </c>
      <c r="AK1" t="s">
        <v>7</v>
      </c>
      <c r="AL1" t="s">
        <v>121</v>
      </c>
      <c r="AM1" t="s">
        <v>3</v>
      </c>
      <c r="AN1" t="s">
        <v>2078</v>
      </c>
      <c r="AO1" t="s">
        <v>2079</v>
      </c>
      <c r="AP1" t="s">
        <v>2080</v>
      </c>
      <c r="AQ1" t="s">
        <v>2081</v>
      </c>
      <c r="AR1" t="s">
        <v>23</v>
      </c>
      <c r="AS1" t="s">
        <v>2082</v>
      </c>
      <c r="AT1" t="s">
        <v>245</v>
      </c>
      <c r="AU1" t="s">
        <v>300</v>
      </c>
      <c r="AV1" t="s">
        <v>2083</v>
      </c>
      <c r="AW1" t="s">
        <v>2084</v>
      </c>
      <c r="AX1" t="s">
        <v>2085</v>
      </c>
      <c r="AY1" t="s">
        <v>2086</v>
      </c>
      <c r="AZ1" t="s">
        <v>2087</v>
      </c>
      <c r="BA1" t="s">
        <v>2088</v>
      </c>
      <c r="BB1" t="s">
        <v>2089</v>
      </c>
      <c r="BC1" t="s">
        <v>2090</v>
      </c>
      <c r="BD1" t="s">
        <v>183</v>
      </c>
      <c r="BE1" t="s">
        <v>230</v>
      </c>
      <c r="BF1" t="s">
        <v>231</v>
      </c>
      <c r="BG1" t="s">
        <v>1310</v>
      </c>
      <c r="BH1" t="s">
        <v>1349</v>
      </c>
      <c r="BI1" t="s">
        <v>1481</v>
      </c>
      <c r="BJ1" t="s">
        <v>1482</v>
      </c>
      <c r="BK1" t="s">
        <v>1339</v>
      </c>
      <c r="BL1" t="s">
        <v>2097</v>
      </c>
      <c r="BM1" t="s">
        <v>2091</v>
      </c>
      <c r="BN1" t="s">
        <v>1651</v>
      </c>
      <c r="BO1" t="s">
        <v>1652</v>
      </c>
      <c r="BP1" t="s">
        <v>1653</v>
      </c>
      <c r="BQ1" t="s">
        <v>1654</v>
      </c>
      <c r="BR1" t="s">
        <v>1655</v>
      </c>
      <c r="BS1" t="s">
        <v>1656</v>
      </c>
      <c r="BT1" t="s">
        <v>1657</v>
      </c>
      <c r="BU1" t="s">
        <v>1658</v>
      </c>
      <c r="BV1" t="s">
        <v>1036</v>
      </c>
      <c r="BW1" t="s">
        <v>2098</v>
      </c>
      <c r="BX1" t="s">
        <v>2099</v>
      </c>
      <c r="BY1" t="s">
        <v>2092</v>
      </c>
      <c r="BZ1" t="s">
        <v>1659</v>
      </c>
      <c r="CA1" t="s">
        <v>1660</v>
      </c>
      <c r="CB1" t="s">
        <v>1661</v>
      </c>
      <c r="CC1" t="s">
        <v>1662</v>
      </c>
      <c r="CD1" t="s">
        <v>1663</v>
      </c>
      <c r="CE1" t="s">
        <v>1664</v>
      </c>
      <c r="CF1" t="s">
        <v>1665</v>
      </c>
      <c r="CG1" t="s">
        <v>2093</v>
      </c>
      <c r="CH1" t="s">
        <v>1642</v>
      </c>
      <c r="CI1" t="s">
        <v>1983</v>
      </c>
      <c r="CJ1" t="s">
        <v>1650</v>
      </c>
      <c r="CK1" t="s">
        <v>1989</v>
      </c>
      <c r="CL1" t="s">
        <v>2011</v>
      </c>
      <c r="CM1" t="s">
        <v>2338</v>
      </c>
    </row>
    <row r="2" spans="1:91">
      <c r="A2">
        <v>25130134</v>
      </c>
      <c r="B2" s="2" t="str">
        <f>HYPERLINK("http://www.redfin.com/stingray/do/printable-listing?listing-id=132369","Active")</f>
        <v>Active</v>
      </c>
      <c r="D2" t="s">
        <v>4004</v>
      </c>
      <c r="E2" t="s">
        <v>4199</v>
      </c>
      <c r="F2">
        <v>10200000</v>
      </c>
      <c r="G2">
        <v>1993</v>
      </c>
      <c r="H2">
        <v>0</v>
      </c>
      <c r="I2">
        <v>27382</v>
      </c>
      <c r="J2">
        <v>5</v>
      </c>
      <c r="K2">
        <v>5.5</v>
      </c>
      <c r="M2" s="2" t="str">
        <f>HYPERLINK("http://maps.live.com/default.aspx?v=2&amp;lvl=15&amp;sp=Point.47.618263_-122.282187_120 39 Ave E&amp;cp=47.618263~-122.282187","Map")</f>
        <v>Map</v>
      </c>
      <c r="N2" s="2" t="str">
        <f>HYPERLINK("http://i-0.rfimg.us/photo/1/bigphoto/134/25130134_3.jpg","Photo")</f>
        <v>Photo</v>
      </c>
      <c r="AG2">
        <v>47.618262999999999</v>
      </c>
      <c r="AH2">
        <v>-122.28218699999999</v>
      </c>
      <c r="AI2" t="s">
        <v>66</v>
      </c>
      <c r="AJ2">
        <v>98112</v>
      </c>
      <c r="AN2">
        <v>950000</v>
      </c>
      <c r="BC2" s="22">
        <v>38594.958333333336</v>
      </c>
      <c r="BI2" s="22">
        <v>39549.294907407406</v>
      </c>
      <c r="BK2" t="s">
        <v>1412</v>
      </c>
      <c r="BL2">
        <v>204000</v>
      </c>
      <c r="BM2">
        <v>132369</v>
      </c>
      <c r="BN2" t="s">
        <v>2556</v>
      </c>
      <c r="BO2" s="17">
        <f t="shared" ref="BO2:BO65" ca="1" si="0">NOW()-BC2</f>
        <v>954.3510725694432</v>
      </c>
      <c r="BP2" t="b">
        <v>0</v>
      </c>
      <c r="BQ2">
        <v>1</v>
      </c>
      <c r="BR2" t="s">
        <v>1667</v>
      </c>
      <c r="BS2">
        <v>39</v>
      </c>
      <c r="BT2" t="b">
        <v>0</v>
      </c>
      <c r="BV2" t="s">
        <v>1668</v>
      </c>
      <c r="BW2">
        <v>120</v>
      </c>
      <c r="BX2" t="s">
        <v>2436</v>
      </c>
      <c r="BY2">
        <v>140082</v>
      </c>
      <c r="BZ2" t="s">
        <v>4200</v>
      </c>
      <c r="CA2">
        <v>1</v>
      </c>
      <c r="CB2" t="b">
        <v>1</v>
      </c>
      <c r="CC2">
        <v>0</v>
      </c>
      <c r="CD2" t="b">
        <v>0</v>
      </c>
      <c r="CE2" t="b">
        <v>0</v>
      </c>
      <c r="CF2" t="b">
        <v>1</v>
      </c>
      <c r="CG2">
        <v>2835580</v>
      </c>
      <c r="CH2" t="s">
        <v>1681</v>
      </c>
      <c r="CI2" s="10">
        <v>10200000</v>
      </c>
      <c r="CJ2" s="7">
        <v>33422</v>
      </c>
      <c r="CK2" t="s">
        <v>6265</v>
      </c>
    </row>
    <row r="3" spans="1:91">
      <c r="A3">
        <v>26046854</v>
      </c>
      <c r="B3" s="2" t="str">
        <f>HYPERLINK("http://www.redfin.com/stingray/do/printable-listing?listing-id=149502","Active")</f>
        <v>Active</v>
      </c>
      <c r="D3" t="s">
        <v>3839</v>
      </c>
      <c r="E3" t="s">
        <v>6118</v>
      </c>
      <c r="F3">
        <v>875000</v>
      </c>
      <c r="G3">
        <v>2007</v>
      </c>
      <c r="H3">
        <v>3966</v>
      </c>
      <c r="I3">
        <v>8150</v>
      </c>
      <c r="J3">
        <v>4</v>
      </c>
      <c r="K3">
        <v>2.5</v>
      </c>
      <c r="M3" s="2" t="str">
        <f>HYPERLINK("http://maps.live.com/default.aspx?v=2&amp;lvl=15&amp;sp=Point.47.507537119358_-122.14708300893_1708 Kitsap Pl NE&amp;cp=47.507537119358~-122.14708300893","Map")</f>
        <v>Map</v>
      </c>
      <c r="N3" s="2" t="str">
        <f>HYPERLINK("http://i-0.rfimg.us/photo/1/bigphoto/854/26046854_9.jpg","Photo")</f>
        <v>Photo</v>
      </c>
      <c r="AG3">
        <v>47.507537119357998</v>
      </c>
      <c r="AH3">
        <v>-122.14708300893</v>
      </c>
      <c r="AI3" t="s">
        <v>1077</v>
      </c>
      <c r="AJ3">
        <v>98059</v>
      </c>
      <c r="BC3" s="7">
        <v>38807</v>
      </c>
      <c r="BI3" s="22">
        <v>39549.294907407406</v>
      </c>
      <c r="BL3">
        <v>17500</v>
      </c>
      <c r="BM3">
        <v>149502</v>
      </c>
      <c r="BN3" t="s">
        <v>3236</v>
      </c>
      <c r="BO3" s="17">
        <f t="shared" ca="1" si="0"/>
        <v>742.30940590277896</v>
      </c>
      <c r="BP3" t="b">
        <v>0</v>
      </c>
      <c r="BQ3">
        <v>1</v>
      </c>
      <c r="BR3" t="s">
        <v>1842</v>
      </c>
      <c r="BS3" t="s">
        <v>3842</v>
      </c>
      <c r="BT3" t="b">
        <v>0</v>
      </c>
      <c r="BV3" t="s">
        <v>1668</v>
      </c>
      <c r="BW3">
        <v>1708</v>
      </c>
      <c r="BX3" t="s">
        <v>1738</v>
      </c>
      <c r="BY3">
        <v>8188201</v>
      </c>
      <c r="BZ3" t="s">
        <v>6119</v>
      </c>
      <c r="CA3">
        <v>1</v>
      </c>
      <c r="CB3" t="b">
        <v>1</v>
      </c>
      <c r="CC3">
        <v>0</v>
      </c>
      <c r="CD3" t="b">
        <v>0</v>
      </c>
      <c r="CE3" t="b">
        <v>0</v>
      </c>
      <c r="CF3" t="b">
        <v>1</v>
      </c>
      <c r="CG3">
        <v>2944376</v>
      </c>
      <c r="CH3" t="s">
        <v>1681</v>
      </c>
      <c r="CI3" s="10">
        <v>875000</v>
      </c>
    </row>
    <row r="4" spans="1:91">
      <c r="A4">
        <v>26047377</v>
      </c>
      <c r="B4" s="2" t="str">
        <f>HYPERLINK("http://www.redfin.com/stingray/do/printable-listing?listing-id=149657","Active")</f>
        <v>Active</v>
      </c>
      <c r="D4" t="s">
        <v>3839</v>
      </c>
      <c r="E4" t="s">
        <v>6120</v>
      </c>
      <c r="F4">
        <v>829000</v>
      </c>
      <c r="G4">
        <v>2007</v>
      </c>
      <c r="H4">
        <v>3495</v>
      </c>
      <c r="I4">
        <v>7040</v>
      </c>
      <c r="J4">
        <v>4</v>
      </c>
      <c r="K4">
        <v>4.5</v>
      </c>
      <c r="M4" s="2" t="str">
        <f>HYPERLINK("http://maps.live.com/default.aspx?v=2&amp;lvl=15&amp;sp=Point.47.507739304969_-122.14714475682_1710 Kitsap Pl NE&amp;cp=47.507739304969~-122.14714475682","Map")</f>
        <v>Map</v>
      </c>
      <c r="N4" s="2" t="str">
        <f>HYPERLINK("http://i-0.rfimg.us/photo/1/bigphoto/377/26047377_8.jpg","Photo")</f>
        <v>Photo</v>
      </c>
      <c r="AG4">
        <v>47.507739304969</v>
      </c>
      <c r="AH4">
        <v>-122.14714475682</v>
      </c>
      <c r="AI4" t="s">
        <v>1077</v>
      </c>
      <c r="AJ4">
        <v>98059</v>
      </c>
      <c r="BC4" s="7">
        <v>38808</v>
      </c>
      <c r="BI4" s="22">
        <v>39549.294907407406</v>
      </c>
      <c r="BL4">
        <v>16580</v>
      </c>
      <c r="BM4">
        <v>149657</v>
      </c>
      <c r="BN4" t="s">
        <v>3236</v>
      </c>
      <c r="BO4" s="17">
        <f t="shared" ca="1" si="0"/>
        <v>741.30940590277896</v>
      </c>
      <c r="BP4" t="b">
        <v>0</v>
      </c>
      <c r="BQ4">
        <v>1</v>
      </c>
      <c r="BR4" t="s">
        <v>1842</v>
      </c>
      <c r="BS4" t="s">
        <v>3842</v>
      </c>
      <c r="BT4" t="b">
        <v>0</v>
      </c>
      <c r="BV4" t="s">
        <v>1668</v>
      </c>
      <c r="BW4">
        <v>1710</v>
      </c>
      <c r="BX4" t="s">
        <v>1738</v>
      </c>
      <c r="BY4">
        <v>8188359</v>
      </c>
      <c r="BZ4" t="s">
        <v>6808</v>
      </c>
      <c r="CA4">
        <v>1</v>
      </c>
      <c r="CB4" t="b">
        <v>1</v>
      </c>
      <c r="CC4">
        <v>0</v>
      </c>
      <c r="CD4" t="b">
        <v>0</v>
      </c>
      <c r="CE4" t="b">
        <v>0</v>
      </c>
      <c r="CF4" t="b">
        <v>1</v>
      </c>
      <c r="CG4">
        <v>2948959</v>
      </c>
      <c r="CH4" t="s">
        <v>1681</v>
      </c>
      <c r="CI4" s="10">
        <v>829000</v>
      </c>
    </row>
    <row r="5" spans="1:91">
      <c r="A5">
        <v>26060501</v>
      </c>
      <c r="B5" s="2" t="str">
        <f>HYPERLINK("http://www.redfin.com/stingray/do/printable-listing?listing-id=153432","Subject To Inspection")</f>
        <v>Subject To Inspection</v>
      </c>
      <c r="D5" t="s">
        <v>188</v>
      </c>
      <c r="E5" t="s">
        <v>1127</v>
      </c>
      <c r="F5">
        <v>430000</v>
      </c>
      <c r="G5">
        <v>1908</v>
      </c>
      <c r="H5">
        <v>0</v>
      </c>
      <c r="I5">
        <v>13680</v>
      </c>
      <c r="J5">
        <v>3</v>
      </c>
      <c r="K5">
        <v>1</v>
      </c>
      <c r="M5" s="2" t="str">
        <f>HYPERLINK("http://maps.live.com/default.aspx?v=2&amp;lvl=15&amp;sp=Point.47.705062_-122.29007_3512 NE 105th&amp;cp=47.705062~-122.29007","Map")</f>
        <v>Map</v>
      </c>
      <c r="N5" s="2" t="str">
        <f>HYPERLINK("http://i-0.rfimg.us/photo/1/bigphoto/501/26060501_.jpg","Photo")</f>
        <v>Photo</v>
      </c>
      <c r="AG5">
        <v>47.705061999999998</v>
      </c>
      <c r="AH5">
        <v>-122.29007</v>
      </c>
      <c r="AI5" t="s">
        <v>66</v>
      </c>
      <c r="AJ5">
        <v>98125</v>
      </c>
      <c r="BC5" s="22">
        <v>38831.958333333336</v>
      </c>
      <c r="BI5" s="22">
        <v>39549.294907407406</v>
      </c>
      <c r="BK5" t="s">
        <v>1412</v>
      </c>
      <c r="BL5">
        <v>8600</v>
      </c>
      <c r="BM5">
        <v>153432</v>
      </c>
      <c r="BN5" t="s">
        <v>1817</v>
      </c>
      <c r="BO5" s="17">
        <f t="shared" ca="1" si="0"/>
        <v>717.3510725694432</v>
      </c>
      <c r="BP5" t="b">
        <v>0</v>
      </c>
      <c r="BQ5">
        <v>2</v>
      </c>
      <c r="BS5" t="s">
        <v>2705</v>
      </c>
      <c r="BT5" t="b">
        <v>0</v>
      </c>
      <c r="BU5" t="s">
        <v>1738</v>
      </c>
      <c r="BV5" t="s">
        <v>1668</v>
      </c>
      <c r="BW5">
        <v>3512</v>
      </c>
      <c r="BY5">
        <v>113370</v>
      </c>
      <c r="CA5">
        <v>1</v>
      </c>
      <c r="CB5" t="b">
        <v>1</v>
      </c>
      <c r="CC5">
        <v>0</v>
      </c>
      <c r="CD5" t="b">
        <v>0</v>
      </c>
      <c r="CE5" t="b">
        <v>0</v>
      </c>
      <c r="CF5" t="b">
        <v>1</v>
      </c>
      <c r="CG5">
        <v>2387720</v>
      </c>
      <c r="CH5" t="s">
        <v>1681</v>
      </c>
      <c r="CI5" s="10">
        <v>430000</v>
      </c>
    </row>
    <row r="6" spans="1:91">
      <c r="A6">
        <v>26089766</v>
      </c>
      <c r="B6" s="2" t="str">
        <f>HYPERLINK("http://www.redfin.com/stingray/do/printable-listing?listing-id=189995","Active")</f>
        <v>Active</v>
      </c>
      <c r="D6" t="s">
        <v>1077</v>
      </c>
      <c r="E6" t="s">
        <v>6120</v>
      </c>
      <c r="F6" s="19">
        <v>829000</v>
      </c>
      <c r="G6">
        <v>2007</v>
      </c>
      <c r="H6">
        <v>3495</v>
      </c>
      <c r="I6">
        <v>7040</v>
      </c>
      <c r="J6">
        <v>4</v>
      </c>
      <c r="K6">
        <v>4.5</v>
      </c>
      <c r="M6" s="2" t="str">
        <f>HYPERLINK("http://maps.live.com/default.aspx?v=2&amp;lvl=15&amp;sp=Point.47.507739304969_-122.14714475682_1710 Kitsap Pl NE&amp;cp=47.507739304969~-122.14714475682","Map")</f>
        <v>Map</v>
      </c>
      <c r="N6" s="2" t="str">
        <f>HYPERLINK("http://i-0.rfimg.us/photo/1/bigphoto/766/26089766_7.jpg","Photo")</f>
        <v>Photo</v>
      </c>
      <c r="AG6">
        <v>47.507739304969</v>
      </c>
      <c r="AH6">
        <v>-122.14714475682</v>
      </c>
      <c r="AI6" t="s">
        <v>1077</v>
      </c>
      <c r="AJ6">
        <v>98059</v>
      </c>
      <c r="BC6" s="22">
        <v>38873.958333333336</v>
      </c>
      <c r="BI6" s="22">
        <v>39549.294907407406</v>
      </c>
      <c r="BL6">
        <v>17180</v>
      </c>
      <c r="BM6">
        <v>189995</v>
      </c>
      <c r="BN6" t="s">
        <v>3236</v>
      </c>
      <c r="BO6" s="17">
        <f t="shared" ca="1" si="0"/>
        <v>675.3510725694432</v>
      </c>
      <c r="BP6" t="b">
        <v>0</v>
      </c>
      <c r="BQ6">
        <v>1</v>
      </c>
      <c r="BR6" t="s">
        <v>1842</v>
      </c>
      <c r="BS6" t="s">
        <v>3842</v>
      </c>
      <c r="BT6" t="b">
        <v>0</v>
      </c>
      <c r="BV6" t="s">
        <v>1668</v>
      </c>
      <c r="BW6">
        <v>1710</v>
      </c>
      <c r="BX6" t="s">
        <v>1738</v>
      </c>
      <c r="BY6">
        <v>8188359</v>
      </c>
      <c r="BZ6" t="s">
        <v>6121</v>
      </c>
      <c r="CA6">
        <v>1</v>
      </c>
      <c r="CB6" t="b">
        <v>1</v>
      </c>
      <c r="CC6">
        <v>0</v>
      </c>
      <c r="CD6" t="b">
        <v>0</v>
      </c>
      <c r="CE6" t="b">
        <v>0</v>
      </c>
      <c r="CF6" t="b">
        <v>1</v>
      </c>
      <c r="CG6">
        <v>2948959</v>
      </c>
      <c r="CH6" t="s">
        <v>1681</v>
      </c>
      <c r="CI6" s="10">
        <v>859000</v>
      </c>
    </row>
    <row r="7" spans="1:91">
      <c r="A7">
        <v>26109283</v>
      </c>
      <c r="B7" s="2" t="str">
        <f>HYPERLINK("http://www.redfin.com/stingray/do/printable-listing?listing-id=210786","Active")</f>
        <v>Active</v>
      </c>
      <c r="D7" t="s">
        <v>3249</v>
      </c>
      <c r="E7" t="s">
        <v>4333</v>
      </c>
      <c r="F7">
        <v>1195000</v>
      </c>
      <c r="G7">
        <v>2007</v>
      </c>
      <c r="H7">
        <v>1959</v>
      </c>
      <c r="I7">
        <v>0</v>
      </c>
      <c r="J7">
        <v>2</v>
      </c>
      <c r="K7">
        <v>2.5</v>
      </c>
      <c r="M7" s="2" t="str">
        <f>HYPERLINK("http://maps.live.com/default.aspx?v=2&amp;lvl=15&amp;sp=Point.47.626818_-122.364161_505 W Olympic Pl nB&amp;cp=47.626818~-122.364161","Map")</f>
        <v>Map</v>
      </c>
      <c r="N7" s="2" t="str">
        <f>HYPERLINK("http://i-0.rfimg.us/photo/1/bigphoto/283/26109283_H.jpg","Photo")</f>
        <v>Photo</v>
      </c>
      <c r="AG7">
        <v>47.626818</v>
      </c>
      <c r="AH7">
        <v>-122.364161</v>
      </c>
      <c r="AI7" t="s">
        <v>66</v>
      </c>
      <c r="AJ7">
        <v>98119</v>
      </c>
      <c r="AM7" t="s">
        <v>1699</v>
      </c>
      <c r="BC7" s="22">
        <v>38903.958333333336</v>
      </c>
      <c r="BI7" s="22">
        <v>39549.294907407406</v>
      </c>
      <c r="BK7" t="s">
        <v>1412</v>
      </c>
      <c r="BL7">
        <v>23900</v>
      </c>
      <c r="BM7">
        <v>210786</v>
      </c>
      <c r="BN7" t="s">
        <v>1688</v>
      </c>
      <c r="BO7" s="17">
        <f t="shared" ca="1" si="0"/>
        <v>645.3510725694432</v>
      </c>
      <c r="BP7" t="b">
        <v>0</v>
      </c>
      <c r="BQ7">
        <v>1</v>
      </c>
      <c r="BR7" t="s">
        <v>1842</v>
      </c>
      <c r="BS7" t="s">
        <v>4318</v>
      </c>
      <c r="BT7" t="b">
        <v>0</v>
      </c>
      <c r="BU7" t="s">
        <v>2423</v>
      </c>
      <c r="BV7" t="s">
        <v>1668</v>
      </c>
      <c r="BW7">
        <v>505</v>
      </c>
      <c r="BY7">
        <v>12175171</v>
      </c>
      <c r="BZ7" t="s">
        <v>4334</v>
      </c>
      <c r="CA7">
        <v>1</v>
      </c>
      <c r="CB7" t="b">
        <v>1</v>
      </c>
      <c r="CC7">
        <v>0</v>
      </c>
      <c r="CD7" t="b">
        <v>0</v>
      </c>
      <c r="CE7" t="b">
        <v>0</v>
      </c>
      <c r="CF7" t="b">
        <v>1</v>
      </c>
      <c r="CG7">
        <v>15405779</v>
      </c>
      <c r="CH7" t="s">
        <v>1681</v>
      </c>
      <c r="CI7" s="10">
        <v>1195000</v>
      </c>
    </row>
    <row r="8" spans="1:91">
      <c r="A8">
        <v>26109295</v>
      </c>
      <c r="B8" s="2" t="str">
        <f>HYPERLINK("http://www.redfin.com/stingray/do/printable-listing?listing-id=210787","Active")</f>
        <v>Active</v>
      </c>
      <c r="D8" t="s">
        <v>3249</v>
      </c>
      <c r="E8" t="s">
        <v>4331</v>
      </c>
      <c r="F8">
        <v>1495000</v>
      </c>
      <c r="G8">
        <v>2007</v>
      </c>
      <c r="H8">
        <v>2322</v>
      </c>
      <c r="I8">
        <v>0</v>
      </c>
      <c r="J8">
        <v>3</v>
      </c>
      <c r="K8">
        <v>2.5</v>
      </c>
      <c r="M8" s="2" t="str">
        <f>HYPERLINK("http://maps.live.com/default.aspx?v=2&amp;lvl=15&amp;sp=Point.47.626818_-122.364161_505 W Olympic Pl nC&amp;cp=47.626818~-122.364161","Map")</f>
        <v>Map</v>
      </c>
      <c r="N8" s="2" t="str">
        <f>HYPERLINK("http://i-0.rfimg.us/photo/1/bigphoto/295/26109295_9.jpg","Photo")</f>
        <v>Photo</v>
      </c>
      <c r="AG8">
        <v>47.626818</v>
      </c>
      <c r="AH8">
        <v>-122.364161</v>
      </c>
      <c r="AI8" t="s">
        <v>66</v>
      </c>
      <c r="AJ8">
        <v>98119</v>
      </c>
      <c r="AM8" t="s">
        <v>2341</v>
      </c>
      <c r="BC8" s="22">
        <v>38903.958333333336</v>
      </c>
      <c r="BI8" s="22">
        <v>39549.294907407406</v>
      </c>
      <c r="BK8" t="s">
        <v>1412</v>
      </c>
      <c r="BL8">
        <v>29900</v>
      </c>
      <c r="BM8">
        <v>210787</v>
      </c>
      <c r="BN8" t="s">
        <v>1688</v>
      </c>
      <c r="BO8" s="17">
        <f t="shared" ca="1" si="0"/>
        <v>645.3510725694432</v>
      </c>
      <c r="BP8" t="b">
        <v>0</v>
      </c>
      <c r="BQ8">
        <v>1</v>
      </c>
      <c r="BR8" t="s">
        <v>1842</v>
      </c>
      <c r="BS8" t="s">
        <v>4318</v>
      </c>
      <c r="BT8" t="b">
        <v>0</v>
      </c>
      <c r="BU8" t="s">
        <v>2423</v>
      </c>
      <c r="BV8" t="s">
        <v>1668</v>
      </c>
      <c r="BW8">
        <v>505</v>
      </c>
      <c r="BY8">
        <v>12175172</v>
      </c>
      <c r="BZ8" t="s">
        <v>4332</v>
      </c>
      <c r="CA8">
        <v>1</v>
      </c>
      <c r="CB8" t="b">
        <v>1</v>
      </c>
      <c r="CC8">
        <v>0</v>
      </c>
      <c r="CD8" t="b">
        <v>0</v>
      </c>
      <c r="CE8" t="b">
        <v>0</v>
      </c>
      <c r="CF8" t="b">
        <v>1</v>
      </c>
      <c r="CG8">
        <v>15405778</v>
      </c>
      <c r="CH8" t="s">
        <v>1681</v>
      </c>
      <c r="CI8" s="10">
        <v>1495000</v>
      </c>
    </row>
    <row r="9" spans="1:91">
      <c r="A9">
        <v>26161437</v>
      </c>
      <c r="B9" s="15" t="str">
        <f>HYPERLINK("http://www.redfin.com/stingray/do/printable-listing?listing-id=274929","Subject To Inspection")</f>
        <v>Subject To Inspection</v>
      </c>
      <c r="D9" t="s">
        <v>5280</v>
      </c>
      <c r="E9" t="s">
        <v>5749</v>
      </c>
      <c r="F9">
        <v>1249000</v>
      </c>
      <c r="G9">
        <v>2006</v>
      </c>
      <c r="H9">
        <v>4630</v>
      </c>
      <c r="I9">
        <v>10768</v>
      </c>
      <c r="J9">
        <v>4</v>
      </c>
      <c r="K9">
        <v>3.5</v>
      </c>
      <c r="M9" s="2" t="str">
        <f>HYPERLINK("http://maps.live.com/default.aspx?v=2&amp;lvl=15&amp;sp=Point.47.552112_-122.078402_1675 Pine View Dr NW&amp;cp=47.552112~-122.078402","Map")</f>
        <v>Map</v>
      </c>
      <c r="N9" s="2" t="str">
        <f>HYPERLINK("http://i-0.rfimg.us/photo/1/bigphoto/437/26161437_5.jpg","Photo")</f>
        <v>Photo</v>
      </c>
      <c r="AG9">
        <v>47.552112000000001</v>
      </c>
      <c r="AH9">
        <v>-122.078402</v>
      </c>
      <c r="AI9" t="s">
        <v>5280</v>
      </c>
      <c r="AJ9">
        <v>98027</v>
      </c>
      <c r="BC9" s="22">
        <v>38984.958333333336</v>
      </c>
      <c r="BI9" s="7">
        <v>39543</v>
      </c>
      <c r="BK9" t="s">
        <v>1412</v>
      </c>
      <c r="BL9">
        <v>24980</v>
      </c>
      <c r="BM9">
        <v>274929</v>
      </c>
      <c r="BN9" t="s">
        <v>1688</v>
      </c>
      <c r="BO9" s="17">
        <f t="shared" ca="1" si="0"/>
        <v>564.3510725694432</v>
      </c>
      <c r="BP9" t="b">
        <v>0</v>
      </c>
      <c r="BQ9">
        <v>1</v>
      </c>
      <c r="BR9" t="s">
        <v>1816</v>
      </c>
      <c r="BS9" t="s">
        <v>5750</v>
      </c>
      <c r="BT9" t="b">
        <v>0</v>
      </c>
      <c r="BV9" t="s">
        <v>1668</v>
      </c>
      <c r="BW9">
        <v>1675</v>
      </c>
      <c r="BX9" t="s">
        <v>1669</v>
      </c>
      <c r="BY9">
        <v>12317678</v>
      </c>
      <c r="BZ9" t="s">
        <v>5751</v>
      </c>
      <c r="CA9">
        <v>1</v>
      </c>
      <c r="CB9" t="b">
        <v>1</v>
      </c>
      <c r="CC9">
        <v>0</v>
      </c>
      <c r="CD9" t="b">
        <v>0</v>
      </c>
      <c r="CE9" t="b">
        <v>0</v>
      </c>
      <c r="CF9" t="b">
        <v>1</v>
      </c>
      <c r="CG9">
        <v>2950604</v>
      </c>
      <c r="CH9" t="s">
        <v>1681</v>
      </c>
      <c r="CI9" s="10">
        <v>1249000</v>
      </c>
    </row>
    <row r="10" spans="1:91">
      <c r="A10">
        <v>26164306</v>
      </c>
      <c r="B10" s="2" t="str">
        <f>HYPERLINK("http://www.redfin.com/stingray/do/printable-listing?listing-id=278795","Active")</f>
        <v>Active</v>
      </c>
      <c r="D10" t="s">
        <v>3066</v>
      </c>
      <c r="E10" t="s">
        <v>4767</v>
      </c>
      <c r="F10">
        <v>739000</v>
      </c>
      <c r="G10">
        <v>2008</v>
      </c>
      <c r="H10">
        <v>2860</v>
      </c>
      <c r="I10">
        <v>7912</v>
      </c>
      <c r="J10">
        <v>4</v>
      </c>
      <c r="K10">
        <v>3.5</v>
      </c>
      <c r="M10" s="2" t="str">
        <f>HYPERLINK("http://maps.live.com/default.aspx?v=2&amp;lvl=15&amp;sp=Point.47.6753_-122.1639_12412 NE 80th Way&amp;cp=47.6753~-122.1639","Map")</f>
        <v>Map</v>
      </c>
      <c r="N10" s="2" t="str">
        <f>HYPERLINK("http://i-0.rfimg.us/photo/1/bigphoto/306/26164306_J.jpg","Photo")</f>
        <v>Photo</v>
      </c>
      <c r="AG10">
        <v>47.6753</v>
      </c>
      <c r="AH10">
        <v>-122.1639</v>
      </c>
      <c r="AI10" t="s">
        <v>1058</v>
      </c>
      <c r="AJ10">
        <v>98033</v>
      </c>
      <c r="BC10" s="22">
        <v>38988.958333333336</v>
      </c>
      <c r="BI10" s="22">
        <v>39549.294907407406</v>
      </c>
      <c r="BK10" t="s">
        <v>1412</v>
      </c>
      <c r="BL10">
        <v>14780</v>
      </c>
      <c r="BM10">
        <v>278795</v>
      </c>
      <c r="BN10" t="s">
        <v>4766</v>
      </c>
      <c r="BO10" s="17">
        <f t="shared" ca="1" si="0"/>
        <v>560.3510725694432</v>
      </c>
      <c r="BP10" t="b">
        <v>0</v>
      </c>
      <c r="BQ10">
        <v>1</v>
      </c>
      <c r="BR10" t="s">
        <v>2463</v>
      </c>
      <c r="BS10" t="s">
        <v>1711</v>
      </c>
      <c r="BT10" t="b">
        <v>0</v>
      </c>
      <c r="BU10" t="s">
        <v>1738</v>
      </c>
      <c r="BV10" t="s">
        <v>1668</v>
      </c>
      <c r="BW10">
        <v>12412</v>
      </c>
      <c r="BY10">
        <v>12094271</v>
      </c>
      <c r="BZ10" t="s">
        <v>4768</v>
      </c>
      <c r="CA10">
        <v>1</v>
      </c>
      <c r="CB10" t="b">
        <v>1</v>
      </c>
      <c r="CC10">
        <v>0</v>
      </c>
      <c r="CD10" t="b">
        <v>0</v>
      </c>
      <c r="CE10" t="b">
        <v>0</v>
      </c>
      <c r="CF10" t="b">
        <v>1</v>
      </c>
      <c r="CG10">
        <v>15347823</v>
      </c>
      <c r="CH10" t="s">
        <v>1681</v>
      </c>
      <c r="CI10" s="10">
        <v>739000</v>
      </c>
    </row>
    <row r="11" spans="1:91">
      <c r="A11">
        <v>26174661</v>
      </c>
      <c r="B11" s="2" t="str">
        <f>HYPERLINK("http://www.redfin.com/stingray/do/printable-listing?listing-id=290156","Active")</f>
        <v>Active</v>
      </c>
      <c r="D11" t="s">
        <v>4710</v>
      </c>
      <c r="E11" t="s">
        <v>4772</v>
      </c>
      <c r="F11" s="19">
        <v>1229000</v>
      </c>
      <c r="G11">
        <v>2007</v>
      </c>
      <c r="H11">
        <v>0</v>
      </c>
      <c r="I11">
        <v>0</v>
      </c>
      <c r="J11">
        <v>4</v>
      </c>
      <c r="K11">
        <v>3.25</v>
      </c>
      <c r="M11" s="2" t="str">
        <f>HYPERLINK("http://maps.live.com/default.aspx?v=2&amp;lvl=15&amp;sp=Point.47.667107_-122.201695_1002 State St&amp;cp=47.667107~-122.201695","Map")</f>
        <v>Map</v>
      </c>
      <c r="N11" s="2" t="str">
        <f>HYPERLINK("http://i-0.rfimg.us/photo/1/bigphoto/661/26174661_3.jpg","Photo")</f>
        <v>Photo</v>
      </c>
      <c r="AG11">
        <v>47.667107000000001</v>
      </c>
      <c r="AH11">
        <v>-122.201695</v>
      </c>
      <c r="AI11" t="s">
        <v>1058</v>
      </c>
      <c r="AJ11">
        <v>98033</v>
      </c>
      <c r="BC11" s="22">
        <v>39006.958333333336</v>
      </c>
      <c r="BI11" s="22">
        <v>39549.294907407406</v>
      </c>
      <c r="BK11" t="s">
        <v>1412</v>
      </c>
      <c r="BL11">
        <v>24580</v>
      </c>
      <c r="BM11">
        <v>290156</v>
      </c>
      <c r="BN11" t="s">
        <v>1715</v>
      </c>
      <c r="BO11" s="17">
        <f t="shared" ca="1" si="0"/>
        <v>542.3510725694432</v>
      </c>
      <c r="BP11" t="b">
        <v>0</v>
      </c>
      <c r="BQ11">
        <v>1</v>
      </c>
      <c r="BR11" t="s">
        <v>1686</v>
      </c>
      <c r="BS11" t="s">
        <v>1036</v>
      </c>
      <c r="BT11" t="b">
        <v>0</v>
      </c>
      <c r="BV11" t="s">
        <v>1668</v>
      </c>
      <c r="BW11">
        <v>1002</v>
      </c>
      <c r="BY11">
        <v>2115898</v>
      </c>
      <c r="BZ11" t="s">
        <v>4773</v>
      </c>
      <c r="CA11">
        <v>1</v>
      </c>
      <c r="CB11" t="b">
        <v>1</v>
      </c>
      <c r="CC11">
        <v>0</v>
      </c>
      <c r="CD11" t="b">
        <v>0</v>
      </c>
      <c r="CE11" t="b">
        <v>0</v>
      </c>
      <c r="CF11" t="b">
        <v>1</v>
      </c>
      <c r="CG11">
        <v>2478258</v>
      </c>
      <c r="CH11" t="s">
        <v>1681</v>
      </c>
      <c r="CI11" s="10">
        <v>1229000</v>
      </c>
    </row>
    <row r="12" spans="1:91">
      <c r="A12">
        <v>26182627</v>
      </c>
      <c r="B12" s="2" t="str">
        <f>HYPERLINK("http://www.redfin.com/stingray/do/printable-listing?listing-id=300992","Active")</f>
        <v>Active</v>
      </c>
      <c r="D12" t="s">
        <v>60</v>
      </c>
      <c r="E12" t="s">
        <v>2513</v>
      </c>
      <c r="F12">
        <v>1100000</v>
      </c>
      <c r="G12">
        <v>1998</v>
      </c>
      <c r="H12">
        <v>4500</v>
      </c>
      <c r="I12">
        <v>5450</v>
      </c>
      <c r="J12">
        <v>5</v>
      </c>
      <c r="K12">
        <v>3</v>
      </c>
      <c r="M12" s="2" t="str">
        <f>HYPERLINK("http://maps.live.com/default.aspx?v=2&amp;lvl=15&amp;sp=Point.47.668452_-122.337022_1631 N 55th St&amp;cp=47.668452~-122.337022","Map")</f>
        <v>Map</v>
      </c>
      <c r="N12" s="2" t="str">
        <f>HYPERLINK("http://i-0.rfimg.us/photo/1/bigphoto/627/26182627_2.jpg","Photo")</f>
        <v>Photo</v>
      </c>
      <c r="AG12">
        <v>47.668452000000002</v>
      </c>
      <c r="AH12">
        <v>-122.337022</v>
      </c>
      <c r="AI12" t="s">
        <v>66</v>
      </c>
      <c r="AJ12">
        <v>98103</v>
      </c>
      <c r="AN12">
        <v>176000</v>
      </c>
      <c r="BC12" s="7">
        <v>39027</v>
      </c>
      <c r="BI12" s="22">
        <v>39549.294907407406</v>
      </c>
      <c r="BK12" t="s">
        <v>1412</v>
      </c>
      <c r="BL12">
        <v>22000</v>
      </c>
      <c r="BM12">
        <v>300992</v>
      </c>
      <c r="BN12" t="s">
        <v>2512</v>
      </c>
      <c r="BO12" s="17">
        <f t="shared" ca="1" si="0"/>
        <v>522.30940601851762</v>
      </c>
      <c r="BP12" t="b">
        <v>0</v>
      </c>
      <c r="BQ12">
        <v>1</v>
      </c>
      <c r="BR12" t="s">
        <v>1686</v>
      </c>
      <c r="BS12" t="s">
        <v>2514</v>
      </c>
      <c r="BT12" t="b">
        <v>0</v>
      </c>
      <c r="BU12" t="s">
        <v>1712</v>
      </c>
      <c r="BV12" t="s">
        <v>1668</v>
      </c>
      <c r="BW12">
        <v>1631</v>
      </c>
      <c r="BY12">
        <v>304592</v>
      </c>
      <c r="BZ12" t="s">
        <v>2515</v>
      </c>
      <c r="CA12">
        <v>1</v>
      </c>
      <c r="CB12" t="b">
        <v>1</v>
      </c>
      <c r="CC12">
        <v>0</v>
      </c>
      <c r="CD12" t="b">
        <v>0</v>
      </c>
      <c r="CE12" t="b">
        <v>0</v>
      </c>
      <c r="CF12" t="b">
        <v>1</v>
      </c>
      <c r="CG12">
        <v>2656454</v>
      </c>
      <c r="CH12" t="s">
        <v>1681</v>
      </c>
      <c r="CI12" s="10">
        <v>1100000</v>
      </c>
      <c r="CJ12" s="7">
        <v>33847</v>
      </c>
    </row>
    <row r="13" spans="1:91">
      <c r="A13">
        <v>26184063</v>
      </c>
      <c r="B13" s="2" t="str">
        <f>HYPERLINK("http://www.redfin.com/stingray/do/printable-listing?listing-id=300246","Active")</f>
        <v>Active</v>
      </c>
      <c r="D13" t="s">
        <v>1238</v>
      </c>
      <c r="E13" t="s">
        <v>4231</v>
      </c>
      <c r="F13">
        <v>3400000</v>
      </c>
      <c r="G13">
        <v>1906</v>
      </c>
      <c r="H13">
        <v>6970</v>
      </c>
      <c r="I13">
        <v>7128</v>
      </c>
      <c r="J13">
        <v>6</v>
      </c>
      <c r="K13">
        <v>3.75</v>
      </c>
      <c r="M13" s="2" t="str">
        <f>HYPERLINK("http://maps.live.com/default.aspx?v=2&amp;lvl=15&amp;sp=Point.47.62848_-122.303895_957 22nd Ave E&amp;cp=47.62848~-122.303895","Map")</f>
        <v>Map</v>
      </c>
      <c r="N13" s="2" t="str">
        <f>HYPERLINK("http://i-0.rfimg.us/photo/1/bigphoto/063/26184063_6.jpg","Photo")</f>
        <v>Photo</v>
      </c>
      <c r="AG13">
        <v>47.628480000000003</v>
      </c>
      <c r="AH13">
        <v>-122.303895</v>
      </c>
      <c r="AI13" t="s">
        <v>66</v>
      </c>
      <c r="AJ13">
        <v>98112</v>
      </c>
      <c r="AN13">
        <v>131000</v>
      </c>
      <c r="BC13" s="7">
        <v>39025</v>
      </c>
      <c r="BI13" s="22">
        <v>39549.294907407406</v>
      </c>
      <c r="BK13" t="s">
        <v>1412</v>
      </c>
      <c r="BL13">
        <v>68000</v>
      </c>
      <c r="BM13">
        <v>300246</v>
      </c>
      <c r="BN13" t="s">
        <v>1674</v>
      </c>
      <c r="BO13" s="17">
        <f t="shared" ca="1" si="0"/>
        <v>524.30940590277896</v>
      </c>
      <c r="BP13" t="b">
        <v>0</v>
      </c>
      <c r="BQ13">
        <v>1</v>
      </c>
      <c r="BR13" t="s">
        <v>1667</v>
      </c>
      <c r="BS13" t="s">
        <v>1692</v>
      </c>
      <c r="BT13" t="b">
        <v>0</v>
      </c>
      <c r="BV13" t="s">
        <v>1668</v>
      </c>
      <c r="BW13">
        <v>957</v>
      </c>
      <c r="BX13" t="s">
        <v>2436</v>
      </c>
      <c r="BY13">
        <v>137370</v>
      </c>
      <c r="BZ13" t="s">
        <v>4232</v>
      </c>
      <c r="CA13">
        <v>1</v>
      </c>
      <c r="CB13" t="b">
        <v>1</v>
      </c>
      <c r="CC13">
        <v>0</v>
      </c>
      <c r="CD13" t="b">
        <v>0</v>
      </c>
      <c r="CE13" t="b">
        <v>0</v>
      </c>
      <c r="CF13" t="b">
        <v>1</v>
      </c>
      <c r="CG13">
        <v>2812900</v>
      </c>
      <c r="CH13" t="s">
        <v>1681</v>
      </c>
      <c r="CI13" s="10">
        <v>3400000</v>
      </c>
      <c r="CJ13" s="7">
        <v>31243</v>
      </c>
    </row>
    <row r="14" spans="1:91">
      <c r="A14">
        <v>26186942</v>
      </c>
      <c r="B14" s="2" t="str">
        <f>HYPERLINK("http://www.redfin.com/stingray/do/printable-listing?listing-id=304874","Active")</f>
        <v>Active</v>
      </c>
      <c r="D14" t="s">
        <v>4777</v>
      </c>
      <c r="E14" t="s">
        <v>4980</v>
      </c>
      <c r="F14">
        <v>969000</v>
      </c>
      <c r="G14">
        <v>2006</v>
      </c>
      <c r="H14">
        <v>2567</v>
      </c>
      <c r="I14">
        <v>9470</v>
      </c>
      <c r="J14">
        <v>4</v>
      </c>
      <c r="K14">
        <v>2.5</v>
      </c>
      <c r="M14" s="2" t="str">
        <f>HYPERLINK("http://maps.live.com/default.aspx?v=2&amp;lvl=15&amp;sp=Point.47.654881_-122.190347_5048 112th Ave NE&amp;cp=47.654881~-122.190347","Map")</f>
        <v>Map</v>
      </c>
      <c r="N14" s="2" t="str">
        <f>HYPERLINK("http://i-0.rfimg.us/photo/1/bigphoto/942/26186942_2.jpg","Photo")</f>
        <v>Photo</v>
      </c>
      <c r="AG14">
        <v>47.654881000000003</v>
      </c>
      <c r="AH14">
        <v>-122.190347</v>
      </c>
      <c r="AI14" t="s">
        <v>1058</v>
      </c>
      <c r="AJ14">
        <v>98033</v>
      </c>
      <c r="BC14" s="7">
        <v>39035</v>
      </c>
      <c r="BI14" s="22">
        <v>39549.294907407406</v>
      </c>
      <c r="BK14" t="s">
        <v>1412</v>
      </c>
      <c r="BL14">
        <v>19380</v>
      </c>
      <c r="BM14">
        <v>304874</v>
      </c>
      <c r="BN14" t="s">
        <v>2203</v>
      </c>
      <c r="BO14" s="17">
        <f t="shared" ca="1" si="0"/>
        <v>514.30940590277896</v>
      </c>
      <c r="BP14" t="b">
        <v>0</v>
      </c>
      <c r="BQ14">
        <v>1</v>
      </c>
      <c r="BR14" t="s">
        <v>1667</v>
      </c>
      <c r="BS14" t="s">
        <v>4382</v>
      </c>
      <c r="BT14" t="b">
        <v>0</v>
      </c>
      <c r="BV14" t="s">
        <v>1668</v>
      </c>
      <c r="BW14">
        <v>5048</v>
      </c>
      <c r="BX14" t="s">
        <v>1738</v>
      </c>
      <c r="BY14">
        <v>8186739</v>
      </c>
      <c r="BZ14" t="s">
        <v>1730</v>
      </c>
      <c r="CA14">
        <v>1</v>
      </c>
      <c r="CB14" t="b">
        <v>1</v>
      </c>
      <c r="CC14">
        <v>0</v>
      </c>
      <c r="CD14" t="b">
        <v>0</v>
      </c>
      <c r="CE14" t="b">
        <v>0</v>
      </c>
      <c r="CF14" t="b">
        <v>1</v>
      </c>
      <c r="CG14">
        <v>2555754</v>
      </c>
      <c r="CH14" t="s">
        <v>1681</v>
      </c>
      <c r="CI14" s="10">
        <v>969000</v>
      </c>
    </row>
    <row r="15" spans="1:91">
      <c r="A15">
        <v>26196691</v>
      </c>
      <c r="B15" s="2" t="str">
        <f>HYPERLINK("http://www.redfin.com/stingray/do/printable-listing?listing-id=312512","Active")</f>
        <v>Active</v>
      </c>
      <c r="D15" t="s">
        <v>4363</v>
      </c>
      <c r="E15" t="s">
        <v>4931</v>
      </c>
      <c r="F15">
        <v>569950</v>
      </c>
      <c r="G15">
        <v>2007</v>
      </c>
      <c r="H15">
        <v>2117</v>
      </c>
      <c r="I15">
        <v>0</v>
      </c>
      <c r="J15">
        <v>3</v>
      </c>
      <c r="K15">
        <v>2.5</v>
      </c>
      <c r="M15" s="2" t="str">
        <f>HYPERLINK("http://maps.live.com/default.aspx?v=2&amp;lvl=15&amp;sp=Point.47.6612_-122.1412_7916 150th Ct NE&amp;cp=47.6612~-122.1412","Map")</f>
        <v>Map</v>
      </c>
      <c r="N15" s="2" t="str">
        <f>HYPERLINK("http://i-0.rfimg.us/photo/1/bigphoto/691/26196691_3.jpg","Photo")</f>
        <v>Photo</v>
      </c>
      <c r="AG15">
        <v>47.661200000000001</v>
      </c>
      <c r="AH15">
        <v>-122.1412</v>
      </c>
      <c r="AI15" t="s">
        <v>4363</v>
      </c>
      <c r="AJ15">
        <v>98052</v>
      </c>
      <c r="BC15" s="7">
        <v>39058</v>
      </c>
      <c r="BI15" s="22">
        <v>39549.294907407406</v>
      </c>
      <c r="BK15" t="s">
        <v>1412</v>
      </c>
      <c r="BL15">
        <v>11399</v>
      </c>
      <c r="BM15">
        <v>312512</v>
      </c>
      <c r="BN15" t="s">
        <v>1688</v>
      </c>
      <c r="BO15" s="17">
        <f t="shared" ca="1" si="0"/>
        <v>491.30940590277896</v>
      </c>
      <c r="BP15" t="b">
        <v>0</v>
      </c>
      <c r="BQ15">
        <v>1</v>
      </c>
      <c r="BR15" t="s">
        <v>3768</v>
      </c>
      <c r="BS15" t="s">
        <v>4926</v>
      </c>
      <c r="BT15" t="b">
        <v>0</v>
      </c>
      <c r="BV15" t="s">
        <v>1668</v>
      </c>
      <c r="BW15">
        <v>7916</v>
      </c>
      <c r="BX15" t="s">
        <v>1738</v>
      </c>
      <c r="BY15">
        <v>12165940</v>
      </c>
      <c r="BZ15" t="s">
        <v>4932</v>
      </c>
      <c r="CA15">
        <v>1</v>
      </c>
      <c r="CB15" t="b">
        <v>1</v>
      </c>
      <c r="CC15">
        <v>0</v>
      </c>
      <c r="CD15" t="b">
        <v>0</v>
      </c>
      <c r="CE15" t="b">
        <v>0</v>
      </c>
      <c r="CF15" t="b">
        <v>1</v>
      </c>
      <c r="CG15">
        <v>15396658</v>
      </c>
      <c r="CH15" t="s">
        <v>1681</v>
      </c>
      <c r="CI15" s="10">
        <v>569950</v>
      </c>
    </row>
    <row r="16" spans="1:91">
      <c r="A16">
        <v>26197778</v>
      </c>
      <c r="B16" s="2" t="str">
        <f>HYPERLINK("http://www.redfin.com/stingray/do/printable-listing?listing-id=314454","Active")</f>
        <v>Active</v>
      </c>
      <c r="D16" t="s">
        <v>1077</v>
      </c>
      <c r="E16" t="s">
        <v>6155</v>
      </c>
      <c r="F16">
        <v>759888</v>
      </c>
      <c r="G16">
        <v>2007</v>
      </c>
      <c r="H16">
        <v>3342</v>
      </c>
      <c r="I16">
        <v>7320</v>
      </c>
      <c r="J16">
        <v>4</v>
      </c>
      <c r="K16">
        <v>2.75</v>
      </c>
      <c r="M16" s="2" t="str">
        <f>HYPERLINK("http://maps.live.com/default.aspx?v=2&amp;lvl=15&amp;sp=Point.47.514818_-122.2013_1220 N 26th St&amp;cp=47.514818~-122.2013","Map")</f>
        <v>Map</v>
      </c>
      <c r="N16" s="2" t="str">
        <f>HYPERLINK("http://i-0.rfimg.us/photo/1/bigphoto/778/26197778_5.jpg","Photo")</f>
        <v>Photo</v>
      </c>
      <c r="AG16">
        <v>47.514817999999998</v>
      </c>
      <c r="AH16">
        <v>-122.2013</v>
      </c>
      <c r="AI16" t="s">
        <v>1077</v>
      </c>
      <c r="AJ16">
        <v>98056</v>
      </c>
      <c r="BC16" s="7">
        <v>39062</v>
      </c>
      <c r="BI16" s="7">
        <v>39533</v>
      </c>
      <c r="BL16">
        <v>15198</v>
      </c>
      <c r="BM16">
        <v>314454</v>
      </c>
      <c r="BN16" t="s">
        <v>3062</v>
      </c>
      <c r="BO16" s="17">
        <f t="shared" ca="1" si="0"/>
        <v>487.30940590277896</v>
      </c>
      <c r="BP16" t="b">
        <v>0</v>
      </c>
      <c r="BQ16">
        <v>1</v>
      </c>
      <c r="BR16" t="s">
        <v>1686</v>
      </c>
      <c r="BS16" t="s">
        <v>1769</v>
      </c>
      <c r="BT16" t="b">
        <v>0</v>
      </c>
      <c r="BU16" t="s">
        <v>1712</v>
      </c>
      <c r="BV16" t="s">
        <v>1668</v>
      </c>
      <c r="BW16">
        <v>1220</v>
      </c>
      <c r="BY16">
        <v>11894527</v>
      </c>
      <c r="BZ16" t="s">
        <v>6156</v>
      </c>
      <c r="CA16">
        <v>1</v>
      </c>
      <c r="CB16" t="b">
        <v>1</v>
      </c>
      <c r="CC16">
        <v>0</v>
      </c>
      <c r="CD16" t="b">
        <v>0</v>
      </c>
      <c r="CE16" t="b">
        <v>0</v>
      </c>
      <c r="CF16" t="b">
        <v>1</v>
      </c>
      <c r="CG16">
        <v>15148752</v>
      </c>
      <c r="CH16" t="s">
        <v>1681</v>
      </c>
      <c r="CI16" s="10">
        <v>759888</v>
      </c>
    </row>
    <row r="17" spans="1:90">
      <c r="A17">
        <v>26199618</v>
      </c>
      <c r="B17" s="2" t="str">
        <f>HYPERLINK("http://www.redfin.com/stingray/do/printable-listing?listing-id=316391","Active")</f>
        <v>Active</v>
      </c>
      <c r="D17" t="s">
        <v>3685</v>
      </c>
      <c r="E17" t="s">
        <v>3806</v>
      </c>
      <c r="F17" s="19">
        <v>2595000</v>
      </c>
      <c r="G17">
        <v>2000</v>
      </c>
      <c r="H17">
        <v>4970</v>
      </c>
      <c r="I17">
        <v>12581</v>
      </c>
      <c r="J17">
        <v>5</v>
      </c>
      <c r="K17">
        <v>4.5</v>
      </c>
      <c r="M17" s="2" t="str">
        <f>HYPERLINK("http://maps.live.com/default.aspx?v=2&amp;lvl=15&amp;sp=Point.47.641702_-122.282523_2530 39th Ave E&amp;cp=47.641702~-122.282523","Map")</f>
        <v>Map</v>
      </c>
      <c r="N17" s="2" t="str">
        <f>HYPERLINK("http://i-0.rfimg.us/photo/1/bigphoto/618/26199618_1.jpg","Photo")</f>
        <v>Photo</v>
      </c>
      <c r="AG17">
        <v>47.641702000000002</v>
      </c>
      <c r="AH17">
        <v>-122.282523</v>
      </c>
      <c r="AI17" t="s">
        <v>66</v>
      </c>
      <c r="AJ17">
        <v>98112</v>
      </c>
      <c r="AN17">
        <v>2780000</v>
      </c>
      <c r="BC17" s="7">
        <v>39070</v>
      </c>
      <c r="BI17" s="22">
        <v>39549.294907407406</v>
      </c>
      <c r="BK17" t="s">
        <v>1412</v>
      </c>
      <c r="BL17">
        <v>59000</v>
      </c>
      <c r="BM17">
        <v>316391</v>
      </c>
      <c r="BN17" t="s">
        <v>1678</v>
      </c>
      <c r="BO17" s="17">
        <f t="shared" ca="1" si="0"/>
        <v>479.30940590277896</v>
      </c>
      <c r="BP17" t="b">
        <v>0</v>
      </c>
      <c r="BQ17">
        <v>1</v>
      </c>
      <c r="BR17" t="s">
        <v>1667</v>
      </c>
      <c r="BS17" t="s">
        <v>3124</v>
      </c>
      <c r="BT17" t="b">
        <v>0</v>
      </c>
      <c r="BV17" t="s">
        <v>1668</v>
      </c>
      <c r="BW17">
        <v>2530</v>
      </c>
      <c r="BX17" t="s">
        <v>2436</v>
      </c>
      <c r="BY17">
        <v>139157</v>
      </c>
      <c r="BZ17" t="s">
        <v>1704</v>
      </c>
      <c r="CA17">
        <v>1</v>
      </c>
      <c r="CB17" t="b">
        <v>1</v>
      </c>
      <c r="CC17">
        <v>0</v>
      </c>
      <c r="CD17" t="b">
        <v>0</v>
      </c>
      <c r="CE17" t="b">
        <v>0</v>
      </c>
      <c r="CF17" t="b">
        <v>1</v>
      </c>
      <c r="CG17">
        <v>2597419</v>
      </c>
      <c r="CH17" t="s">
        <v>1681</v>
      </c>
      <c r="CI17" s="10">
        <v>2950000</v>
      </c>
      <c r="CJ17" s="7">
        <v>37925</v>
      </c>
    </row>
    <row r="18" spans="1:90">
      <c r="A18">
        <v>27003390</v>
      </c>
      <c r="B18" s="2" t="str">
        <f>HYPERLINK("http://www.redfin.com/stingray/do/printable-listing?listing-id=319857","Active")</f>
        <v>Active</v>
      </c>
      <c r="D18" t="s">
        <v>1077</v>
      </c>
      <c r="E18" t="s">
        <v>6162</v>
      </c>
      <c r="F18">
        <v>749888</v>
      </c>
      <c r="G18">
        <v>2007</v>
      </c>
      <c r="H18">
        <v>3016</v>
      </c>
      <c r="I18">
        <v>7200</v>
      </c>
      <c r="J18">
        <v>3</v>
      </c>
      <c r="K18">
        <v>2.75</v>
      </c>
      <c r="M18" s="2" t="str">
        <f>HYPERLINK("http://maps.live.com/default.aspx?v=2&amp;lvl=15&amp;sp=Point.47.514807_-122.201334_1214 N 26th St&amp;cp=47.514807~-122.201334","Map")</f>
        <v>Map</v>
      </c>
      <c r="N18" s="2" t="str">
        <f>HYPERLINK("http://i-0.rfimg.us/photo/1/bigphoto/390/27003390_1.jpg","Photo")</f>
        <v>Photo</v>
      </c>
      <c r="AG18">
        <v>47.514806999999998</v>
      </c>
      <c r="AH18">
        <v>-122.201334</v>
      </c>
      <c r="AI18" t="s">
        <v>1077</v>
      </c>
      <c r="AJ18">
        <v>98056</v>
      </c>
      <c r="BC18" s="7">
        <v>39086</v>
      </c>
      <c r="BI18" s="22">
        <v>39549.294907407406</v>
      </c>
      <c r="BL18">
        <v>14998</v>
      </c>
      <c r="BM18">
        <v>319857</v>
      </c>
      <c r="BN18" t="s">
        <v>3062</v>
      </c>
      <c r="BO18" s="17">
        <f t="shared" ca="1" si="0"/>
        <v>463.30940590277896</v>
      </c>
      <c r="BP18" t="b">
        <v>0</v>
      </c>
      <c r="BQ18">
        <v>1</v>
      </c>
      <c r="BR18" t="s">
        <v>1686</v>
      </c>
      <c r="BS18" t="s">
        <v>1769</v>
      </c>
      <c r="BT18" t="b">
        <v>0</v>
      </c>
      <c r="BU18" t="s">
        <v>1712</v>
      </c>
      <c r="BV18" t="s">
        <v>1668</v>
      </c>
      <c r="BW18">
        <v>1214</v>
      </c>
      <c r="BY18">
        <v>12303017</v>
      </c>
      <c r="BZ18" t="s">
        <v>6163</v>
      </c>
      <c r="CA18">
        <v>1</v>
      </c>
      <c r="CB18" t="b">
        <v>1</v>
      </c>
      <c r="CC18">
        <v>0</v>
      </c>
      <c r="CD18" t="b">
        <v>0</v>
      </c>
      <c r="CE18" t="b">
        <v>0</v>
      </c>
      <c r="CF18" t="b">
        <v>1</v>
      </c>
      <c r="CG18">
        <v>2684471</v>
      </c>
      <c r="CH18" t="s">
        <v>1681</v>
      </c>
      <c r="CI18" s="10">
        <v>749888</v>
      </c>
    </row>
    <row r="19" spans="1:90">
      <c r="A19">
        <v>27011489</v>
      </c>
      <c r="B19" s="15" t="str">
        <f>HYPERLINK("http://www.redfin.com/stingray/do/printable-listing?listing-id=358735","Contingent")</f>
        <v>Contingent</v>
      </c>
      <c r="D19" t="s">
        <v>3929</v>
      </c>
      <c r="E19" t="s">
        <v>6089</v>
      </c>
      <c r="F19">
        <v>519950</v>
      </c>
      <c r="G19">
        <v>2007</v>
      </c>
      <c r="H19">
        <v>2246</v>
      </c>
      <c r="I19">
        <v>4028</v>
      </c>
      <c r="J19">
        <v>3</v>
      </c>
      <c r="K19">
        <v>2.5</v>
      </c>
      <c r="M19" s="2" t="str">
        <f>HYPERLINK("http://maps.live.com/default.aspx?v=2&amp;lvl=15&amp;sp=Point.47.493143922881_-122.14551082471_12254 146th Ave SE&amp;cp=47.493143922881~-122.14551082471","Map")</f>
        <v>Map</v>
      </c>
      <c r="N19" s="2" t="str">
        <f>HYPERLINK("http://i-0.rfimg.us/photo/1/bigphoto/489/27011489_1.jpg","Photo")</f>
        <v>Photo</v>
      </c>
      <c r="AG19">
        <v>47.493143922881004</v>
      </c>
      <c r="AH19">
        <v>-122.14551082471</v>
      </c>
      <c r="AI19" t="s">
        <v>1077</v>
      </c>
      <c r="AJ19">
        <v>98059</v>
      </c>
      <c r="BC19" s="22">
        <v>39101.704386574071</v>
      </c>
      <c r="BI19" s="22">
        <v>39549.294907407406</v>
      </c>
      <c r="BL19">
        <v>10399</v>
      </c>
      <c r="BM19">
        <v>358735</v>
      </c>
      <c r="BN19" t="s">
        <v>1768</v>
      </c>
      <c r="BO19" s="17">
        <f t="shared" ca="1" si="0"/>
        <v>447.60501932870829</v>
      </c>
      <c r="BP19" t="b">
        <v>0</v>
      </c>
      <c r="BQ19">
        <v>1</v>
      </c>
      <c r="BR19" t="s">
        <v>1667</v>
      </c>
      <c r="BS19" t="s">
        <v>5404</v>
      </c>
      <c r="BT19" t="b">
        <v>0</v>
      </c>
      <c r="BV19" t="s">
        <v>1668</v>
      </c>
      <c r="BW19">
        <v>12254</v>
      </c>
      <c r="BX19" t="s">
        <v>3856</v>
      </c>
      <c r="BY19">
        <v>12089015</v>
      </c>
      <c r="BZ19" t="s">
        <v>4706</v>
      </c>
      <c r="CA19">
        <v>1</v>
      </c>
      <c r="CB19" t="b">
        <v>1</v>
      </c>
      <c r="CC19">
        <v>0</v>
      </c>
      <c r="CD19" t="b">
        <v>0</v>
      </c>
      <c r="CE19" t="b">
        <v>0</v>
      </c>
      <c r="CF19" t="b">
        <v>1</v>
      </c>
      <c r="CG19">
        <v>3026172</v>
      </c>
      <c r="CH19" t="s">
        <v>1681</v>
      </c>
      <c r="CI19" s="10">
        <v>519950</v>
      </c>
      <c r="CK19" t="s">
        <v>6455</v>
      </c>
    </row>
    <row r="20" spans="1:90">
      <c r="A20">
        <v>27012562</v>
      </c>
      <c r="B20" s="2" t="str">
        <f>HYPERLINK("http://www.redfin.com/stingray/do/printable-listing?listing-id=360019","Active")</f>
        <v>Active</v>
      </c>
      <c r="D20" t="s">
        <v>369</v>
      </c>
      <c r="E20" t="s">
        <v>5682</v>
      </c>
      <c r="F20">
        <v>734950</v>
      </c>
      <c r="G20">
        <v>1973</v>
      </c>
      <c r="H20">
        <v>2200</v>
      </c>
      <c r="I20">
        <v>58806</v>
      </c>
      <c r="J20">
        <v>3</v>
      </c>
      <c r="K20">
        <v>2</v>
      </c>
      <c r="M20" s="2" t="str">
        <f>HYPERLINK("http://maps.live.com/default.aspx?v=2&amp;lvl=15&amp;sp=Point.47.56434_-122.173771_4549 125th Ave SE&amp;cp=47.56434~-122.173771","Map")</f>
        <v>Map</v>
      </c>
      <c r="N20" s="2" t="str">
        <f>HYPERLINK("http://i-0.rfimg.us/photo/1/bigphoto/562/27012562_7.jpg","Photo")</f>
        <v>Photo</v>
      </c>
      <c r="AG20">
        <v>47.564340000000001</v>
      </c>
      <c r="AH20">
        <v>-122.173771</v>
      </c>
      <c r="AI20" t="s">
        <v>369</v>
      </c>
      <c r="AJ20">
        <v>98006</v>
      </c>
      <c r="BC20" s="22">
        <v>39104.692650462966</v>
      </c>
      <c r="BI20" s="22">
        <v>39549.294907407406</v>
      </c>
      <c r="BK20" t="s">
        <v>1412</v>
      </c>
      <c r="BL20">
        <v>14699</v>
      </c>
      <c r="BM20">
        <v>360019</v>
      </c>
      <c r="BN20" t="s">
        <v>1674</v>
      </c>
      <c r="BO20" s="17">
        <f t="shared" ca="1" si="0"/>
        <v>444.61675543981255</v>
      </c>
      <c r="BP20" t="b">
        <v>0</v>
      </c>
      <c r="BQ20">
        <v>1</v>
      </c>
      <c r="BR20" t="s">
        <v>1667</v>
      </c>
      <c r="BS20" t="s">
        <v>2677</v>
      </c>
      <c r="BT20" t="b">
        <v>0</v>
      </c>
      <c r="BV20" t="s">
        <v>1668</v>
      </c>
      <c r="BW20">
        <v>4549</v>
      </c>
      <c r="BX20" t="s">
        <v>3856</v>
      </c>
      <c r="BY20">
        <v>417235</v>
      </c>
      <c r="BZ20" t="s">
        <v>5683</v>
      </c>
      <c r="CA20">
        <v>1</v>
      </c>
      <c r="CB20" t="b">
        <v>1</v>
      </c>
      <c r="CC20">
        <v>0</v>
      </c>
      <c r="CD20" t="b">
        <v>0</v>
      </c>
      <c r="CE20" t="b">
        <v>0</v>
      </c>
      <c r="CF20" t="b">
        <v>1</v>
      </c>
      <c r="CG20">
        <v>2684354</v>
      </c>
      <c r="CH20" t="s">
        <v>1681</v>
      </c>
      <c r="CI20" s="10">
        <v>734950</v>
      </c>
    </row>
    <row r="21" spans="1:90">
      <c r="A21">
        <v>27014458</v>
      </c>
      <c r="B21" s="2" t="str">
        <f>HYPERLINK("http://www.redfin.com/stingray/do/printable-listing?listing-id=361905","Active")</f>
        <v>Active</v>
      </c>
      <c r="D21" t="s">
        <v>3064</v>
      </c>
      <c r="E21" t="s">
        <v>6030</v>
      </c>
      <c r="F21" s="19">
        <v>539950</v>
      </c>
      <c r="G21">
        <v>2007</v>
      </c>
      <c r="H21">
        <v>2840</v>
      </c>
      <c r="I21">
        <v>7637</v>
      </c>
      <c r="J21">
        <v>4</v>
      </c>
      <c r="K21">
        <v>2.5</v>
      </c>
      <c r="M21" s="2" t="str">
        <f>HYPERLINK("http://maps.live.com/default.aspx?v=2&amp;lvl=15&amp;sp=Point.47.4997_-122.1557_753 Duvall Pl NE&amp;cp=47.4997~-122.1557","Map")</f>
        <v>Map</v>
      </c>
      <c r="N21" s="2" t="str">
        <f>HYPERLINK("http://i-0.rfimg.us/photo/1/bigphoto/458/27014458_2.jpg","Photo")</f>
        <v>Photo</v>
      </c>
      <c r="AG21">
        <v>47.499699999999997</v>
      </c>
      <c r="AH21">
        <v>-122.1557</v>
      </c>
      <c r="AI21" t="s">
        <v>1077</v>
      </c>
      <c r="AJ21">
        <v>98059</v>
      </c>
      <c r="BC21" s="22">
        <v>39107.692094907405</v>
      </c>
      <c r="BI21" s="22">
        <v>39549.294907407406</v>
      </c>
      <c r="BL21">
        <v>11399</v>
      </c>
      <c r="BM21">
        <v>361905</v>
      </c>
      <c r="BN21" t="s">
        <v>1768</v>
      </c>
      <c r="BO21" s="17">
        <f t="shared" ca="1" si="0"/>
        <v>441.61731099537428</v>
      </c>
      <c r="BP21" t="b">
        <v>0</v>
      </c>
      <c r="BQ21">
        <v>1</v>
      </c>
      <c r="BR21" t="s">
        <v>1842</v>
      </c>
      <c r="BS21" t="s">
        <v>3899</v>
      </c>
      <c r="BT21" t="b">
        <v>0</v>
      </c>
      <c r="BV21" t="s">
        <v>1668</v>
      </c>
      <c r="BW21">
        <v>753</v>
      </c>
      <c r="BX21" t="s">
        <v>1738</v>
      </c>
      <c r="BY21">
        <v>11894423</v>
      </c>
      <c r="BZ21" t="s">
        <v>6031</v>
      </c>
      <c r="CA21">
        <v>1</v>
      </c>
      <c r="CB21" t="b">
        <v>1</v>
      </c>
      <c r="CC21">
        <v>0</v>
      </c>
      <c r="CD21" t="b">
        <v>0</v>
      </c>
      <c r="CE21" t="b">
        <v>0</v>
      </c>
      <c r="CF21" t="b">
        <v>1</v>
      </c>
      <c r="CG21">
        <v>15454792</v>
      </c>
      <c r="CH21" t="s">
        <v>1681</v>
      </c>
      <c r="CI21" s="10">
        <v>569950</v>
      </c>
    </row>
    <row r="22" spans="1:90">
      <c r="A22">
        <v>27024288</v>
      </c>
      <c r="B22" s="2" t="str">
        <f>HYPERLINK("http://www.redfin.com/stingray/do/printable-listing?listing-id=1229278","Active")</f>
        <v>Active</v>
      </c>
      <c r="D22" t="s">
        <v>3839</v>
      </c>
      <c r="E22" t="s">
        <v>6090</v>
      </c>
      <c r="F22">
        <v>579950</v>
      </c>
      <c r="G22">
        <v>2007</v>
      </c>
      <c r="H22">
        <v>2872</v>
      </c>
      <c r="I22">
        <v>8360</v>
      </c>
      <c r="J22">
        <v>4</v>
      </c>
      <c r="K22">
        <v>3.25</v>
      </c>
      <c r="M22" s="2" t="str">
        <f>HYPERLINK("http://maps.live.com/default.aspx?v=2&amp;lvl=15&amp;sp=Point.47.492875793353_-122.14427424316_12302 147th Ave SE&amp;cp=47.492875793353~-122.14427424316","Map")</f>
        <v>Map</v>
      </c>
      <c r="N22" s="2" t="str">
        <f>HYPERLINK("http://i-0.rfimg.us/photo/1/bigphoto/288/27024288_1.jpg","Photo")</f>
        <v>Photo</v>
      </c>
      <c r="AG22">
        <v>47.492875793353001</v>
      </c>
      <c r="AH22">
        <v>-122.14427424316</v>
      </c>
      <c r="AI22" t="s">
        <v>1077</v>
      </c>
      <c r="AJ22">
        <v>98059</v>
      </c>
      <c r="BC22" s="22">
        <v>39375.559467592589</v>
      </c>
      <c r="BI22" s="22">
        <v>39545.917314814818</v>
      </c>
      <c r="BL22">
        <v>11599</v>
      </c>
      <c r="BM22">
        <v>1229278</v>
      </c>
      <c r="BN22" t="s">
        <v>1768</v>
      </c>
      <c r="BO22" s="17">
        <f t="shared" ca="1" si="0"/>
        <v>173.74993831018946</v>
      </c>
      <c r="BP22" t="b">
        <v>0</v>
      </c>
      <c r="BQ22">
        <v>1</v>
      </c>
      <c r="BR22" t="s">
        <v>1667</v>
      </c>
      <c r="BS22" t="s">
        <v>4610</v>
      </c>
      <c r="BT22" t="b">
        <v>0</v>
      </c>
      <c r="BV22" t="s">
        <v>1668</v>
      </c>
      <c r="BW22">
        <v>12302</v>
      </c>
      <c r="BX22" t="s">
        <v>3856</v>
      </c>
      <c r="BY22">
        <v>12303551</v>
      </c>
      <c r="BZ22" t="s">
        <v>2646</v>
      </c>
      <c r="CA22">
        <v>1</v>
      </c>
      <c r="CB22" t="b">
        <v>1</v>
      </c>
      <c r="CC22">
        <v>0</v>
      </c>
      <c r="CD22" t="b">
        <v>0</v>
      </c>
      <c r="CE22" t="b">
        <v>0</v>
      </c>
      <c r="CF22" t="b">
        <v>1</v>
      </c>
      <c r="CG22">
        <v>3023683</v>
      </c>
      <c r="CH22" t="s">
        <v>1681</v>
      </c>
      <c r="CI22" s="10">
        <v>579950</v>
      </c>
    </row>
    <row r="23" spans="1:90">
      <c r="A23">
        <v>27025899</v>
      </c>
      <c r="B23" s="2" t="str">
        <f>HYPERLINK("http://www.redfin.com/stingray/do/printable-listing?listing-id=518766","Active")</f>
        <v>Active</v>
      </c>
      <c r="D23" t="s">
        <v>3066</v>
      </c>
      <c r="E23" t="s">
        <v>4906</v>
      </c>
      <c r="F23" s="19">
        <v>839950</v>
      </c>
      <c r="G23">
        <v>2007</v>
      </c>
      <c r="H23">
        <v>3360</v>
      </c>
      <c r="I23">
        <v>8509</v>
      </c>
      <c r="J23">
        <v>5</v>
      </c>
      <c r="K23">
        <v>2.5</v>
      </c>
      <c r="M23" s="2" t="str">
        <f>HYPERLINK("http://maps.live.com/default.aspx?v=2&amp;lvl=15&amp;sp=Point.47.668063_-122.179458_12023 NE 70th St&amp;cp=47.668063~-122.179458","Map")</f>
        <v>Map</v>
      </c>
      <c r="N23" s="2" t="str">
        <f>HYPERLINK("http://i-0.rfimg.us/photo/1/bigphoto/899/27025899_8.jpg","Photo")</f>
        <v>Photo</v>
      </c>
      <c r="AG23">
        <v>47.668062999999997</v>
      </c>
      <c r="AH23">
        <v>-122.179458</v>
      </c>
      <c r="AI23" t="s">
        <v>1058</v>
      </c>
      <c r="AJ23">
        <v>98033</v>
      </c>
      <c r="AN23">
        <v>1750000</v>
      </c>
      <c r="BC23" s="22">
        <v>39128.634664351855</v>
      </c>
      <c r="BI23" s="22">
        <v>39549.294907407406</v>
      </c>
      <c r="BK23" t="s">
        <v>1412</v>
      </c>
      <c r="BL23">
        <v>17399</v>
      </c>
      <c r="BM23">
        <v>518766</v>
      </c>
      <c r="BN23" t="s">
        <v>1674</v>
      </c>
      <c r="BO23" s="17">
        <f t="shared" ca="1" si="0"/>
        <v>420.6747415509235</v>
      </c>
      <c r="BP23" t="b">
        <v>0</v>
      </c>
      <c r="BQ23">
        <v>1</v>
      </c>
      <c r="BR23" t="s">
        <v>1686</v>
      </c>
      <c r="BS23" t="s">
        <v>1703</v>
      </c>
      <c r="BT23" t="b">
        <v>0</v>
      </c>
      <c r="BU23" t="s">
        <v>1738</v>
      </c>
      <c r="BV23" t="s">
        <v>1668</v>
      </c>
      <c r="BW23">
        <v>12023</v>
      </c>
      <c r="BY23">
        <v>514286</v>
      </c>
      <c r="BZ23" t="s">
        <v>4907</v>
      </c>
      <c r="CA23">
        <v>1</v>
      </c>
      <c r="CB23" t="b">
        <v>1</v>
      </c>
      <c r="CC23">
        <v>0</v>
      </c>
      <c r="CD23" t="b">
        <v>0</v>
      </c>
      <c r="CE23" t="b">
        <v>0</v>
      </c>
      <c r="CF23" t="b">
        <v>1</v>
      </c>
      <c r="CG23">
        <v>2536219</v>
      </c>
      <c r="CH23" t="s">
        <v>1681</v>
      </c>
      <c r="CI23" s="10">
        <v>869950</v>
      </c>
      <c r="CJ23" s="7">
        <v>38534</v>
      </c>
    </row>
    <row r="24" spans="1:90">
      <c r="A24">
        <v>27029118</v>
      </c>
      <c r="B24" s="2" t="str">
        <f>HYPERLINK("http://www.redfin.com/stingray/do/printable-listing?listing-id=542452","Active")</f>
        <v>Active</v>
      </c>
      <c r="D24" t="s">
        <v>5191</v>
      </c>
      <c r="E24" t="s">
        <v>5832</v>
      </c>
      <c r="F24">
        <v>699000</v>
      </c>
      <c r="G24">
        <v>1971</v>
      </c>
      <c r="H24">
        <v>3100</v>
      </c>
      <c r="I24">
        <v>8200</v>
      </c>
      <c r="J24">
        <v>4</v>
      </c>
      <c r="K24">
        <v>2.5</v>
      </c>
      <c r="M24" s="2" t="str">
        <f>HYPERLINK("http://maps.live.com/default.aspx?v=2&amp;lvl=15&amp;sp=Point.47.56585_-122.146671_4452 145th Ave SE&amp;cp=47.56585~-122.146671","Map")</f>
        <v>Map</v>
      </c>
      <c r="N24" s="2" t="str">
        <f>HYPERLINK("http://i-0.rfimg.us/photo/1/bigphoto/118/27029118_1.jpg","Photo")</f>
        <v>Photo</v>
      </c>
      <c r="AG24">
        <v>47.565849999999998</v>
      </c>
      <c r="AH24">
        <v>-122.146671</v>
      </c>
      <c r="AI24" t="s">
        <v>369</v>
      </c>
      <c r="AJ24">
        <v>98006</v>
      </c>
      <c r="BC24" s="22">
        <v>39137.358217592591</v>
      </c>
      <c r="BI24" s="22">
        <v>39549.294907407406</v>
      </c>
      <c r="BK24" t="s">
        <v>1412</v>
      </c>
      <c r="BL24">
        <v>13980</v>
      </c>
      <c r="BM24">
        <v>542452</v>
      </c>
      <c r="BN24" t="s">
        <v>5831</v>
      </c>
      <c r="BO24" s="17">
        <f t="shared" ca="1" si="0"/>
        <v>411.95118831018772</v>
      </c>
      <c r="BP24" t="b">
        <v>0</v>
      </c>
      <c r="BQ24">
        <v>1</v>
      </c>
      <c r="BR24" t="s">
        <v>1667</v>
      </c>
      <c r="BS24" t="s">
        <v>4646</v>
      </c>
      <c r="BT24" t="b">
        <v>0</v>
      </c>
      <c r="BV24" t="s">
        <v>1668</v>
      </c>
      <c r="BW24">
        <v>4452</v>
      </c>
      <c r="BX24" t="s">
        <v>3856</v>
      </c>
      <c r="BY24">
        <v>238533</v>
      </c>
      <c r="BZ24" t="s">
        <v>1704</v>
      </c>
      <c r="CA24">
        <v>1</v>
      </c>
      <c r="CB24" t="b">
        <v>1</v>
      </c>
      <c r="CC24">
        <v>0</v>
      </c>
      <c r="CD24" t="b">
        <v>0</v>
      </c>
      <c r="CE24" t="b">
        <v>0</v>
      </c>
      <c r="CF24" t="b">
        <v>1</v>
      </c>
      <c r="CG24">
        <v>2763793</v>
      </c>
      <c r="CH24" t="s">
        <v>1681</v>
      </c>
      <c r="CI24" s="10">
        <v>699000</v>
      </c>
    </row>
    <row r="25" spans="1:90">
      <c r="A25">
        <v>27030449</v>
      </c>
      <c r="B25" s="2" t="str">
        <f>HYPERLINK("http://www.redfin.com/stingray/do/printable-listing?listing-id=542183","Active")</f>
        <v>Active</v>
      </c>
      <c r="D25" t="s">
        <v>3066</v>
      </c>
      <c r="E25" t="s">
        <v>4742</v>
      </c>
      <c r="F25">
        <v>1108950</v>
      </c>
      <c r="G25">
        <v>2007</v>
      </c>
      <c r="H25">
        <v>4383</v>
      </c>
      <c r="I25">
        <v>8805</v>
      </c>
      <c r="J25">
        <v>4</v>
      </c>
      <c r="K25">
        <v>3.5</v>
      </c>
      <c r="M25" s="2" t="str">
        <f>HYPERLINK("http://maps.live.com/default.aspx?v=2&amp;lvl=15&amp;sp=Point.47.680938_-122.166422_12916 NE 87th St&amp;cp=47.680938~-122.166422","Map")</f>
        <v>Map</v>
      </c>
      <c r="N25" s="2" t="str">
        <f>HYPERLINK("http://i-0.rfimg.us/photo/1/bigphoto/449/27030449_5.jpg","Photo")</f>
        <v>Photo</v>
      </c>
      <c r="AG25">
        <v>47.680937999999998</v>
      </c>
      <c r="AH25">
        <v>-122.166422</v>
      </c>
      <c r="AI25" t="s">
        <v>1058</v>
      </c>
      <c r="AJ25">
        <v>98033</v>
      </c>
      <c r="AN25">
        <v>283750</v>
      </c>
      <c r="BC25" s="22">
        <v>39136.684039351851</v>
      </c>
      <c r="BI25" s="22">
        <v>39549.294907407406</v>
      </c>
      <c r="BK25" t="s">
        <v>1412</v>
      </c>
      <c r="BL25">
        <v>22179</v>
      </c>
      <c r="BM25">
        <v>542183</v>
      </c>
      <c r="BN25" t="s">
        <v>4741</v>
      </c>
      <c r="BO25" s="17">
        <f t="shared" ca="1" si="0"/>
        <v>412.62536655092845</v>
      </c>
      <c r="BP25" t="b">
        <v>0</v>
      </c>
      <c r="BQ25">
        <v>1</v>
      </c>
      <c r="BR25" t="s">
        <v>1686</v>
      </c>
      <c r="BS25" t="s">
        <v>1856</v>
      </c>
      <c r="BT25" t="b">
        <v>0</v>
      </c>
      <c r="BU25" t="s">
        <v>1738</v>
      </c>
      <c r="BV25" t="s">
        <v>1668</v>
      </c>
      <c r="BW25">
        <v>12916</v>
      </c>
      <c r="BY25">
        <v>8187243</v>
      </c>
      <c r="BZ25" t="s">
        <v>4743</v>
      </c>
      <c r="CA25">
        <v>1</v>
      </c>
      <c r="CB25" t="b">
        <v>1</v>
      </c>
      <c r="CC25">
        <v>0</v>
      </c>
      <c r="CD25" t="b">
        <v>0</v>
      </c>
      <c r="CE25" t="b">
        <v>0</v>
      </c>
      <c r="CF25" t="b">
        <v>1</v>
      </c>
      <c r="CG25">
        <v>2625044</v>
      </c>
      <c r="CH25" t="s">
        <v>1681</v>
      </c>
      <c r="CI25" s="10">
        <v>1108950</v>
      </c>
      <c r="CJ25" s="7">
        <v>38714</v>
      </c>
      <c r="CL25" t="s">
        <v>5283</v>
      </c>
    </row>
    <row r="26" spans="1:90">
      <c r="A26">
        <v>27034529</v>
      </c>
      <c r="B26" s="2" t="str">
        <f>HYPERLINK("http://www.redfin.com/stingray/do/printable-listing?listing-id=555718","Active")</f>
        <v>Active</v>
      </c>
      <c r="D26" t="s">
        <v>6041</v>
      </c>
      <c r="E26" t="s">
        <v>6138</v>
      </c>
      <c r="F26">
        <v>559950</v>
      </c>
      <c r="G26">
        <v>2007</v>
      </c>
      <c r="H26">
        <v>3189</v>
      </c>
      <c r="I26">
        <v>4850</v>
      </c>
      <c r="J26">
        <v>5</v>
      </c>
      <c r="K26">
        <v>2.5</v>
      </c>
      <c r="M26" s="2" t="str">
        <f>HYPERLINK("http://maps.live.com/default.aspx?v=2&amp;lvl=15&amp;sp=Point.47.507796124983_-122.16883639641_1810 Queen Pl NE&amp;cp=47.507796124983~-122.16883639641","Map")</f>
        <v>Map</v>
      </c>
      <c r="N26" s="2" t="str">
        <f>HYPERLINK("http://i-0.rfimg.us/photo/1/bigphoto/529/27034529_F.jpg","Photo")</f>
        <v>Photo</v>
      </c>
      <c r="AG26">
        <v>47.507796124983003</v>
      </c>
      <c r="AH26">
        <v>-122.16883639641</v>
      </c>
      <c r="AI26" t="s">
        <v>1077</v>
      </c>
      <c r="AJ26">
        <v>98056</v>
      </c>
      <c r="BC26" s="22">
        <v>39143.713518518518</v>
      </c>
      <c r="BI26" s="22">
        <v>39549.294907407406</v>
      </c>
      <c r="BL26">
        <v>11199</v>
      </c>
      <c r="BM26">
        <v>555718</v>
      </c>
      <c r="BN26" t="s">
        <v>3236</v>
      </c>
      <c r="BO26" s="17">
        <f t="shared" ca="1" si="0"/>
        <v>405.595887384261</v>
      </c>
      <c r="BP26" t="b">
        <v>0</v>
      </c>
      <c r="BQ26">
        <v>1</v>
      </c>
      <c r="BR26" t="s">
        <v>1842</v>
      </c>
      <c r="BS26" t="s">
        <v>6139</v>
      </c>
      <c r="BT26" t="b">
        <v>0</v>
      </c>
      <c r="BV26" t="s">
        <v>1668</v>
      </c>
      <c r="BW26">
        <v>1810</v>
      </c>
      <c r="BX26" t="s">
        <v>1738</v>
      </c>
      <c r="BY26">
        <v>12317701</v>
      </c>
      <c r="BZ26" t="s">
        <v>6140</v>
      </c>
      <c r="CA26">
        <v>1</v>
      </c>
      <c r="CB26" t="b">
        <v>1</v>
      </c>
      <c r="CC26">
        <v>0</v>
      </c>
      <c r="CD26" t="b">
        <v>0</v>
      </c>
      <c r="CE26" t="b">
        <v>0</v>
      </c>
      <c r="CF26" t="b">
        <v>1</v>
      </c>
      <c r="CG26">
        <v>3023794</v>
      </c>
      <c r="CH26" t="s">
        <v>1681</v>
      </c>
      <c r="CI26" s="10">
        <v>559950</v>
      </c>
    </row>
    <row r="27" spans="1:90">
      <c r="A27">
        <v>27035706</v>
      </c>
      <c r="B27" s="2" t="str">
        <f>HYPERLINK("http://www.redfin.com/stingray/do/printable-listing?listing-id=557904","Active")</f>
        <v>Active</v>
      </c>
      <c r="D27" t="s">
        <v>3721</v>
      </c>
      <c r="E27" t="s">
        <v>4118</v>
      </c>
      <c r="F27">
        <v>800000</v>
      </c>
      <c r="G27">
        <v>1911</v>
      </c>
      <c r="H27">
        <v>2457</v>
      </c>
      <c r="I27">
        <v>4000</v>
      </c>
      <c r="J27">
        <v>3</v>
      </c>
      <c r="K27">
        <v>2.75</v>
      </c>
      <c r="M27" s="2" t="str">
        <f>HYPERLINK("http://maps.live.com/default.aspx?v=2&amp;lvl=15&amp;sp=Point.47.625693_-122.291298_621 32nd Ave E&amp;cp=47.625693~-122.291298","Map")</f>
        <v>Map</v>
      </c>
      <c r="N27" s="2" t="str">
        <f>HYPERLINK("http://i-0.rfimg.us/photo/1/bigphoto/706/27035706_4.jpg","Photo")</f>
        <v>Photo</v>
      </c>
      <c r="AG27">
        <v>47.625692999999998</v>
      </c>
      <c r="AH27">
        <v>-122.291298</v>
      </c>
      <c r="AI27" t="s">
        <v>66</v>
      </c>
      <c r="AJ27">
        <v>98112</v>
      </c>
      <c r="AN27">
        <v>517500</v>
      </c>
      <c r="BC27" s="22">
        <v>39146.518750000003</v>
      </c>
      <c r="BI27" s="22">
        <v>39549.294907407406</v>
      </c>
      <c r="BK27" t="s">
        <v>1412</v>
      </c>
      <c r="BL27">
        <v>16000</v>
      </c>
      <c r="BM27">
        <v>557904</v>
      </c>
      <c r="BN27" t="s">
        <v>1674</v>
      </c>
      <c r="BO27" s="17">
        <f t="shared" ca="1" si="0"/>
        <v>402.79065590277605</v>
      </c>
      <c r="BP27" t="b">
        <v>0</v>
      </c>
      <c r="BQ27">
        <v>1</v>
      </c>
      <c r="BR27" t="s">
        <v>1667</v>
      </c>
      <c r="BS27" t="s">
        <v>1733</v>
      </c>
      <c r="BT27" t="b">
        <v>0</v>
      </c>
      <c r="BV27" t="s">
        <v>1668</v>
      </c>
      <c r="BW27">
        <v>621</v>
      </c>
      <c r="BX27" t="s">
        <v>2436</v>
      </c>
      <c r="BY27">
        <v>139692</v>
      </c>
      <c r="BZ27" t="s">
        <v>3696</v>
      </c>
      <c r="CA27">
        <v>1</v>
      </c>
      <c r="CB27" t="b">
        <v>1</v>
      </c>
      <c r="CC27">
        <v>0</v>
      </c>
      <c r="CD27" t="b">
        <v>0</v>
      </c>
      <c r="CE27" t="b">
        <v>0</v>
      </c>
      <c r="CF27" t="b">
        <v>1</v>
      </c>
      <c r="CG27">
        <v>2637920</v>
      </c>
      <c r="CH27" t="s">
        <v>1681</v>
      </c>
      <c r="CI27" s="10">
        <v>800000</v>
      </c>
      <c r="CJ27" s="7">
        <v>38426</v>
      </c>
    </row>
    <row r="28" spans="1:90">
      <c r="A28">
        <v>27038985</v>
      </c>
      <c r="B28" s="2" t="str">
        <f>HYPERLINK("http://www.redfin.com/stingray/do/printable-listing?listing-id=571079","Active")</f>
        <v>Active</v>
      </c>
      <c r="D28" t="s">
        <v>3064</v>
      </c>
      <c r="E28" t="s">
        <v>6003</v>
      </c>
      <c r="F28">
        <v>489950</v>
      </c>
      <c r="G28">
        <v>2008</v>
      </c>
      <c r="H28">
        <v>2959</v>
      </c>
      <c r="I28">
        <v>6226</v>
      </c>
      <c r="J28">
        <v>4</v>
      </c>
      <c r="K28">
        <v>2.5</v>
      </c>
      <c r="M28" s="2" t="str">
        <f>HYPERLINK("http://maps.live.com/default.aspx?v=2&amp;lvl=15&amp;sp=adr.3915 NE 9th Pl nLot 1 (Unable to map),98056","Map")</f>
        <v>Map</v>
      </c>
      <c r="N28" s="2" t="str">
        <f>HYPERLINK("http://i-0.rfimg.us/photo/1/bigphoto/985/27038985_3.jpg","Photo")</f>
        <v>Photo</v>
      </c>
      <c r="AI28" t="s">
        <v>1077</v>
      </c>
      <c r="AJ28">
        <v>98056</v>
      </c>
      <c r="AM28" t="s">
        <v>6004</v>
      </c>
      <c r="BC28" s="22">
        <v>39150.59039351852</v>
      </c>
      <c r="BI28" s="22">
        <v>39549.294907407406</v>
      </c>
      <c r="BL28">
        <v>9799</v>
      </c>
      <c r="BM28">
        <v>571079</v>
      </c>
      <c r="BN28" t="s">
        <v>3092</v>
      </c>
      <c r="BO28" s="17">
        <f t="shared" ca="1" si="0"/>
        <v>398.71901238425926</v>
      </c>
      <c r="BP28" t="b">
        <v>0</v>
      </c>
      <c r="BQ28">
        <v>1</v>
      </c>
      <c r="BR28" t="s">
        <v>1842</v>
      </c>
      <c r="BS28" t="s">
        <v>1785</v>
      </c>
      <c r="BT28" t="b">
        <v>0</v>
      </c>
      <c r="BU28" t="s">
        <v>1738</v>
      </c>
      <c r="BV28" t="s">
        <v>1668</v>
      </c>
      <c r="BW28">
        <v>3915</v>
      </c>
      <c r="BY28">
        <v>0</v>
      </c>
      <c r="BZ28" t="s">
        <v>6005</v>
      </c>
      <c r="CA28">
        <v>1</v>
      </c>
      <c r="CB28" t="b">
        <v>1</v>
      </c>
      <c r="CC28">
        <v>0</v>
      </c>
      <c r="CD28" t="b">
        <v>0</v>
      </c>
      <c r="CE28" t="b">
        <v>0</v>
      </c>
      <c r="CF28" t="b">
        <v>1</v>
      </c>
      <c r="CG28" t="s">
        <v>1870</v>
      </c>
      <c r="CH28" t="s">
        <v>1681</v>
      </c>
      <c r="CI28" s="10">
        <v>489950</v>
      </c>
    </row>
    <row r="29" spans="1:90">
      <c r="A29">
        <v>27039515</v>
      </c>
      <c r="B29" s="2" t="str">
        <f>HYPERLINK("http://www.redfin.com/stingray/do/printable-listing?listing-id=573402","Active")</f>
        <v>Active</v>
      </c>
      <c r="D29" t="s">
        <v>3929</v>
      </c>
      <c r="E29" t="s">
        <v>6022</v>
      </c>
      <c r="F29">
        <v>479950</v>
      </c>
      <c r="G29">
        <v>2007</v>
      </c>
      <c r="H29">
        <v>1933</v>
      </c>
      <c r="I29">
        <v>4693</v>
      </c>
      <c r="J29">
        <v>3</v>
      </c>
      <c r="K29">
        <v>2.5</v>
      </c>
      <c r="M29" s="2" t="str">
        <f>HYPERLINK("http://maps.live.com/default.aspx?v=2&amp;lvl=15&amp;sp=Point.47.5012_-122.1455_12248 146th Ave SE&amp;cp=47.5012~-122.1455","Map")</f>
        <v>Map</v>
      </c>
      <c r="N29" s="2" t="str">
        <f>HYPERLINK("http://i-0.rfimg.us/photo/1/bigphoto/515/27039515_3.jpg","Photo")</f>
        <v>Photo</v>
      </c>
      <c r="AG29">
        <v>47.501199999999997</v>
      </c>
      <c r="AH29">
        <v>-122.1455</v>
      </c>
      <c r="AI29" t="s">
        <v>1077</v>
      </c>
      <c r="AJ29">
        <v>98059</v>
      </c>
      <c r="BC29" s="22">
        <v>39151.483368055553</v>
      </c>
      <c r="BI29" s="22">
        <v>39545.917314814818</v>
      </c>
      <c r="BL29">
        <v>9599</v>
      </c>
      <c r="BM29">
        <v>573402</v>
      </c>
      <c r="BN29" t="s">
        <v>1768</v>
      </c>
      <c r="BO29" s="17">
        <f t="shared" ca="1" si="0"/>
        <v>397.82603784722596</v>
      </c>
      <c r="BP29" t="b">
        <v>0</v>
      </c>
      <c r="BQ29">
        <v>1</v>
      </c>
      <c r="BR29" t="s">
        <v>1667</v>
      </c>
      <c r="BS29" t="s">
        <v>5404</v>
      </c>
      <c r="BT29" t="b">
        <v>0</v>
      </c>
      <c r="BV29" t="s">
        <v>1668</v>
      </c>
      <c r="BW29">
        <v>12248</v>
      </c>
      <c r="BX29" t="s">
        <v>3856</v>
      </c>
      <c r="BY29">
        <v>11897803</v>
      </c>
      <c r="BZ29" t="s">
        <v>6023</v>
      </c>
      <c r="CA29">
        <v>1</v>
      </c>
      <c r="CB29" t="b">
        <v>1</v>
      </c>
      <c r="CC29">
        <v>0</v>
      </c>
      <c r="CD29" t="b">
        <v>0</v>
      </c>
      <c r="CE29" t="b">
        <v>0</v>
      </c>
      <c r="CF29" t="b">
        <v>1</v>
      </c>
      <c r="CG29">
        <v>15152028</v>
      </c>
      <c r="CH29" t="s">
        <v>1681</v>
      </c>
      <c r="CI29" s="10">
        <v>479950</v>
      </c>
    </row>
    <row r="30" spans="1:90">
      <c r="A30">
        <v>27040589</v>
      </c>
      <c r="B30" s="2" t="str">
        <f>HYPERLINK("http://www.redfin.com/stingray/do/printable-listing?listing-id=576422","Active")</f>
        <v>Active</v>
      </c>
      <c r="D30" t="s">
        <v>2552</v>
      </c>
      <c r="E30" t="s">
        <v>3358</v>
      </c>
      <c r="F30">
        <v>4250000</v>
      </c>
      <c r="G30">
        <v>2007</v>
      </c>
      <c r="H30">
        <v>5700</v>
      </c>
      <c r="I30">
        <v>5670</v>
      </c>
      <c r="J30">
        <v>5</v>
      </c>
      <c r="K30">
        <v>7</v>
      </c>
      <c r="M30" s="2" t="str">
        <f>HYPERLINK("http://maps.live.com/default.aspx?v=2&amp;lvl=15&amp;sp=Point.47.641075_-122.405337_2480 Crestmont Pl W&amp;cp=47.641075~-122.405337","Map")</f>
        <v>Map</v>
      </c>
      <c r="N30" s="2" t="str">
        <f>HYPERLINK("http://i-0.rfimg.us/photo/1/bigphoto/589/27040589_1.jpg","Photo")</f>
        <v>Photo</v>
      </c>
      <c r="AG30">
        <v>47.641075000000001</v>
      </c>
      <c r="AH30">
        <v>-122.405337</v>
      </c>
      <c r="AI30" t="s">
        <v>66</v>
      </c>
      <c r="AJ30">
        <v>98199</v>
      </c>
      <c r="AN30">
        <v>1250000</v>
      </c>
      <c r="BC30" s="22">
        <v>39153.625983796293</v>
      </c>
      <c r="BI30" s="22">
        <v>39549.294907407406</v>
      </c>
      <c r="BK30" t="s">
        <v>1412</v>
      </c>
      <c r="BL30">
        <v>85000</v>
      </c>
      <c r="BM30">
        <v>576422</v>
      </c>
      <c r="BN30" t="s">
        <v>1678</v>
      </c>
      <c r="BO30" s="17">
        <f t="shared" ca="1" si="0"/>
        <v>395.68342210648552</v>
      </c>
      <c r="BP30" t="b">
        <v>0</v>
      </c>
      <c r="BQ30">
        <v>1</v>
      </c>
      <c r="BR30" t="s">
        <v>1842</v>
      </c>
      <c r="BS30" t="s">
        <v>3359</v>
      </c>
      <c r="BT30" t="b">
        <v>0</v>
      </c>
      <c r="BV30" t="s">
        <v>1668</v>
      </c>
      <c r="BW30">
        <v>2480</v>
      </c>
      <c r="BX30" t="s">
        <v>2423</v>
      </c>
      <c r="BY30">
        <v>126060</v>
      </c>
      <c r="BZ30" t="s">
        <v>3360</v>
      </c>
      <c r="CA30">
        <v>1</v>
      </c>
      <c r="CB30" t="b">
        <v>1</v>
      </c>
      <c r="CC30">
        <v>0</v>
      </c>
      <c r="CD30" t="b">
        <v>0</v>
      </c>
      <c r="CE30" t="b">
        <v>0</v>
      </c>
      <c r="CF30" t="b">
        <v>1</v>
      </c>
      <c r="CG30">
        <v>2592497</v>
      </c>
      <c r="CH30" t="s">
        <v>1681</v>
      </c>
      <c r="CI30" s="10">
        <v>4250000</v>
      </c>
      <c r="CJ30" s="7">
        <v>38100</v>
      </c>
    </row>
    <row r="31" spans="1:90">
      <c r="A31">
        <v>27041125</v>
      </c>
      <c r="B31" s="2" t="str">
        <f>HYPERLINK("http://www.redfin.com/stingray/do/printable-listing?listing-id=584630","Active")</f>
        <v>Active</v>
      </c>
      <c r="D31" t="s">
        <v>60</v>
      </c>
      <c r="E31" t="s">
        <v>2416</v>
      </c>
      <c r="F31">
        <v>559000</v>
      </c>
      <c r="G31">
        <v>1910</v>
      </c>
      <c r="H31">
        <v>2558</v>
      </c>
      <c r="I31">
        <v>4122</v>
      </c>
      <c r="J31">
        <v>4</v>
      </c>
      <c r="K31">
        <v>3</v>
      </c>
      <c r="M31" s="2" t="str">
        <f>HYPERLINK("http://maps.live.com/default.aspx?v=2&amp;lvl=15&amp;sp=Point.47.672655_-122.347551_820 N 60th St&amp;cp=47.672655~-122.347551","Map")</f>
        <v>Map</v>
      </c>
      <c r="N31" s="2" t="str">
        <f>HYPERLINK("http://i-0.rfimg.us/photo/1/bigphoto/125/27041125_2.jpg","Photo")</f>
        <v>Photo</v>
      </c>
      <c r="AG31">
        <v>47.672654999999999</v>
      </c>
      <c r="AH31">
        <v>-122.347551</v>
      </c>
      <c r="AI31" t="s">
        <v>66</v>
      </c>
      <c r="AJ31">
        <v>98103</v>
      </c>
      <c r="AN31">
        <v>395000</v>
      </c>
      <c r="BC31" s="22">
        <v>39157.317164351851</v>
      </c>
      <c r="BI31" s="22">
        <v>39549.294907407406</v>
      </c>
      <c r="BK31" t="s">
        <v>1412</v>
      </c>
      <c r="BL31">
        <v>11180</v>
      </c>
      <c r="BM31">
        <v>584630</v>
      </c>
      <c r="BN31" t="s">
        <v>1798</v>
      </c>
      <c r="BO31" s="17">
        <f t="shared" ca="1" si="0"/>
        <v>391.99224166666681</v>
      </c>
      <c r="BP31" t="b">
        <v>0</v>
      </c>
      <c r="BQ31">
        <v>1</v>
      </c>
      <c r="BR31" t="s">
        <v>1686</v>
      </c>
      <c r="BS31" t="s">
        <v>2417</v>
      </c>
      <c r="BT31" t="b">
        <v>0</v>
      </c>
      <c r="BU31" t="s">
        <v>1712</v>
      </c>
      <c r="BV31" t="s">
        <v>1668</v>
      </c>
      <c r="BW31">
        <v>820</v>
      </c>
      <c r="BY31">
        <v>298865</v>
      </c>
      <c r="BZ31" t="s">
        <v>2418</v>
      </c>
      <c r="CA31">
        <v>1</v>
      </c>
      <c r="CB31" t="b">
        <v>1</v>
      </c>
      <c r="CC31">
        <v>0</v>
      </c>
      <c r="CD31" t="b">
        <v>0</v>
      </c>
      <c r="CE31" t="b">
        <v>0</v>
      </c>
      <c r="CF31" t="b">
        <v>1</v>
      </c>
      <c r="CG31">
        <v>2899865</v>
      </c>
      <c r="CH31" t="s">
        <v>1681</v>
      </c>
      <c r="CI31" s="10">
        <v>559000</v>
      </c>
      <c r="CJ31" s="7">
        <v>38044</v>
      </c>
    </row>
    <row r="32" spans="1:90">
      <c r="A32">
        <v>27044966</v>
      </c>
      <c r="B32" s="2" t="str">
        <f>HYPERLINK("http://www.redfin.com/stingray/do/printable-listing?listing-id=591754","Active")</f>
        <v>Active</v>
      </c>
      <c r="D32" t="s">
        <v>3249</v>
      </c>
      <c r="E32" t="s">
        <v>4327</v>
      </c>
      <c r="F32" s="19">
        <v>809000</v>
      </c>
      <c r="G32">
        <v>2007</v>
      </c>
      <c r="H32">
        <v>1467</v>
      </c>
      <c r="I32">
        <v>0</v>
      </c>
      <c r="J32">
        <v>3</v>
      </c>
      <c r="K32">
        <v>2.5</v>
      </c>
      <c r="M32" s="2" t="str">
        <f>HYPERLINK("http://maps.live.com/default.aspx?v=2&amp;lvl=15&amp;sp=Point.47.626827_-122.364185_509 W Olympic Pl nC&amp;cp=47.626827~-122.364185","Map")</f>
        <v>Map</v>
      </c>
      <c r="N32" s="2" t="str">
        <f>HYPERLINK("http://i-0.rfimg.us/photo/1/bigphoto/966/27044966_B.jpg","Photo")</f>
        <v>Photo</v>
      </c>
      <c r="AG32">
        <v>47.626826999999999</v>
      </c>
      <c r="AH32">
        <v>-122.36418500000001</v>
      </c>
      <c r="AI32" t="s">
        <v>66</v>
      </c>
      <c r="AJ32">
        <v>98119</v>
      </c>
      <c r="AM32" t="s">
        <v>2341</v>
      </c>
      <c r="BC32" s="22">
        <v>39161.557199074072</v>
      </c>
      <c r="BI32" s="22">
        <v>39549.294907407406</v>
      </c>
      <c r="BK32" t="s">
        <v>1412</v>
      </c>
      <c r="BL32">
        <v>16500</v>
      </c>
      <c r="BM32">
        <v>591754</v>
      </c>
      <c r="BN32" t="s">
        <v>1688</v>
      </c>
      <c r="BO32" s="17">
        <f t="shared" ca="1" si="0"/>
        <v>387.75220682870713</v>
      </c>
      <c r="BP32" t="b">
        <v>0</v>
      </c>
      <c r="BQ32">
        <v>1</v>
      </c>
      <c r="BR32" t="s">
        <v>1842</v>
      </c>
      <c r="BS32" t="s">
        <v>4318</v>
      </c>
      <c r="BT32" t="b">
        <v>0</v>
      </c>
      <c r="BU32" t="s">
        <v>2423</v>
      </c>
      <c r="BV32" t="s">
        <v>1668</v>
      </c>
      <c r="BW32">
        <v>509</v>
      </c>
      <c r="BY32">
        <v>12175170</v>
      </c>
      <c r="BZ32" t="s">
        <v>4328</v>
      </c>
      <c r="CA32">
        <v>1</v>
      </c>
      <c r="CB32" t="b">
        <v>1</v>
      </c>
      <c r="CC32">
        <v>0</v>
      </c>
      <c r="CD32" t="b">
        <v>0</v>
      </c>
      <c r="CE32" t="b">
        <v>0</v>
      </c>
      <c r="CF32" t="b">
        <v>1</v>
      </c>
      <c r="CG32">
        <v>15405701</v>
      </c>
      <c r="CH32" t="s">
        <v>1681</v>
      </c>
      <c r="CI32" s="10">
        <v>825000</v>
      </c>
    </row>
    <row r="33" spans="1:88">
      <c r="A33">
        <v>27045510</v>
      </c>
      <c r="B33" s="2" t="str">
        <f>HYPERLINK("http://www.redfin.com/stingray/do/printable-listing?listing-id=591777","Active")</f>
        <v>Active</v>
      </c>
      <c r="D33" t="s">
        <v>3249</v>
      </c>
      <c r="E33" t="s">
        <v>4325</v>
      </c>
      <c r="F33">
        <v>1495000</v>
      </c>
      <c r="G33">
        <v>2007</v>
      </c>
      <c r="H33">
        <v>2322</v>
      </c>
      <c r="I33">
        <v>0</v>
      </c>
      <c r="J33">
        <v>3</v>
      </c>
      <c r="K33">
        <v>2.5</v>
      </c>
      <c r="M33" s="2" t="str">
        <f>HYPERLINK("http://maps.live.com/default.aspx?v=2&amp;lvl=15&amp;sp=Point.47.626822_-122.364173_507 W Olympic Pl nA&amp;cp=47.626822~-122.364173","Map")</f>
        <v>Map</v>
      </c>
      <c r="N33" s="2" t="str">
        <f>HYPERLINK("http://i-0.rfimg.us/photo/1/bigphoto/510/27045510_8.jpg","Photo")</f>
        <v>Photo</v>
      </c>
      <c r="AG33">
        <v>47.626821999999997</v>
      </c>
      <c r="AH33">
        <v>-122.36417299999999</v>
      </c>
      <c r="AI33" t="s">
        <v>66</v>
      </c>
      <c r="AJ33">
        <v>98119</v>
      </c>
      <c r="AM33" t="s">
        <v>1722</v>
      </c>
      <c r="BC33" s="22">
        <v>39161.567175925928</v>
      </c>
      <c r="BI33" s="22">
        <v>39549.294907407406</v>
      </c>
      <c r="BK33" t="s">
        <v>1412</v>
      </c>
      <c r="BL33">
        <v>29900</v>
      </c>
      <c r="BM33">
        <v>591777</v>
      </c>
      <c r="BN33" t="s">
        <v>1688</v>
      </c>
      <c r="BO33" s="17">
        <f t="shared" ca="1" si="0"/>
        <v>387.74222997685138</v>
      </c>
      <c r="BP33" t="b">
        <v>0</v>
      </c>
      <c r="BQ33">
        <v>1</v>
      </c>
      <c r="BR33" t="s">
        <v>1842</v>
      </c>
      <c r="BS33" t="s">
        <v>4318</v>
      </c>
      <c r="BT33" t="b">
        <v>0</v>
      </c>
      <c r="BU33" t="s">
        <v>2423</v>
      </c>
      <c r="BV33" t="s">
        <v>1668</v>
      </c>
      <c r="BW33">
        <v>507</v>
      </c>
      <c r="BY33">
        <v>12175095</v>
      </c>
      <c r="BZ33" t="s">
        <v>4326</v>
      </c>
      <c r="CA33">
        <v>1</v>
      </c>
      <c r="CB33" t="b">
        <v>1</v>
      </c>
      <c r="CC33">
        <v>0</v>
      </c>
      <c r="CD33" t="b">
        <v>0</v>
      </c>
      <c r="CE33" t="b">
        <v>0</v>
      </c>
      <c r="CF33" t="b">
        <v>1</v>
      </c>
      <c r="CG33">
        <v>15405700</v>
      </c>
      <c r="CH33" t="s">
        <v>1681</v>
      </c>
      <c r="CI33" s="10">
        <v>1495000</v>
      </c>
    </row>
    <row r="34" spans="1:88">
      <c r="A34">
        <v>27045538</v>
      </c>
      <c r="B34" s="2" t="str">
        <f>HYPERLINK("http://www.redfin.com/stingray/do/printable-listing?listing-id=591778","Active")</f>
        <v>Active</v>
      </c>
      <c r="D34" t="s">
        <v>3249</v>
      </c>
      <c r="E34" t="s">
        <v>4323</v>
      </c>
      <c r="F34">
        <v>1495000</v>
      </c>
      <c r="G34">
        <v>2007</v>
      </c>
      <c r="H34">
        <v>0</v>
      </c>
      <c r="I34">
        <v>0</v>
      </c>
      <c r="J34">
        <v>3</v>
      </c>
      <c r="K34">
        <v>2.5</v>
      </c>
      <c r="M34" s="2" t="str">
        <f>HYPERLINK("http://maps.live.com/default.aspx?v=2&amp;lvl=15&amp;sp=Point.47.626822_-122.364173_507 SW Olympic Pl nC&amp;cp=47.626822~-122.364173","Map")</f>
        <v>Map</v>
      </c>
      <c r="N34" s="2" t="str">
        <f>HYPERLINK("http://i-0.rfimg.us/photo/1/bigphoto/538/27045538_7.jpg","Photo")</f>
        <v>Photo</v>
      </c>
      <c r="AG34">
        <v>47.626821999999997</v>
      </c>
      <c r="AH34">
        <v>-122.36417299999999</v>
      </c>
      <c r="AI34" t="s">
        <v>66</v>
      </c>
      <c r="AJ34">
        <v>98119</v>
      </c>
      <c r="AM34" t="s">
        <v>2341</v>
      </c>
      <c r="BC34" s="22">
        <v>39161.567175925928</v>
      </c>
      <c r="BI34" s="22">
        <v>39549.294907407406</v>
      </c>
      <c r="BK34" t="s">
        <v>1412</v>
      </c>
      <c r="BL34">
        <v>29900</v>
      </c>
      <c r="BM34">
        <v>591778</v>
      </c>
      <c r="BN34" t="s">
        <v>1688</v>
      </c>
      <c r="BO34" s="17">
        <f t="shared" ca="1" si="0"/>
        <v>387.74222997685138</v>
      </c>
      <c r="BP34" t="b">
        <v>0</v>
      </c>
      <c r="BQ34">
        <v>1</v>
      </c>
      <c r="BR34" t="s">
        <v>1842</v>
      </c>
      <c r="BS34" t="s">
        <v>4318</v>
      </c>
      <c r="BT34" t="b">
        <v>0</v>
      </c>
      <c r="BU34" t="s">
        <v>1869</v>
      </c>
      <c r="BV34" t="s">
        <v>1668</v>
      </c>
      <c r="BW34">
        <v>507</v>
      </c>
      <c r="BY34">
        <v>12175093</v>
      </c>
      <c r="BZ34" t="s">
        <v>4324</v>
      </c>
      <c r="CA34">
        <v>1</v>
      </c>
      <c r="CB34" t="b">
        <v>1</v>
      </c>
      <c r="CC34">
        <v>0</v>
      </c>
      <c r="CD34" t="b">
        <v>0</v>
      </c>
      <c r="CE34" t="b">
        <v>0</v>
      </c>
      <c r="CF34" t="b">
        <v>1</v>
      </c>
      <c r="CG34">
        <v>15405702</v>
      </c>
      <c r="CH34" t="s">
        <v>1681</v>
      </c>
      <c r="CI34" s="10">
        <v>1495000</v>
      </c>
    </row>
    <row r="35" spans="1:88">
      <c r="A35">
        <v>27046872</v>
      </c>
      <c r="B35" s="2" t="str">
        <f>HYPERLINK("http://www.redfin.com/stingray/do/printable-listing?listing-id=594526","Active")</f>
        <v>Active</v>
      </c>
      <c r="D35" t="s">
        <v>3249</v>
      </c>
      <c r="E35" t="s">
        <v>4319</v>
      </c>
      <c r="F35">
        <v>819000</v>
      </c>
      <c r="G35">
        <v>2007</v>
      </c>
      <c r="H35">
        <v>1467</v>
      </c>
      <c r="I35">
        <v>0</v>
      </c>
      <c r="J35">
        <v>3</v>
      </c>
      <c r="K35">
        <v>2.5</v>
      </c>
      <c r="M35" s="2" t="str">
        <f>HYPERLINK("http://maps.live.com/default.aspx?v=2&amp;lvl=15&amp;sp=Point.47.626809_-122.364137_501 W Olympic Pl nC&amp;cp=47.626809~-122.364137","Map")</f>
        <v>Map</v>
      </c>
      <c r="N35" s="2" t="str">
        <f>HYPERLINK("http://i-0.rfimg.us/photo/1/bigphoto/872/27046872_B.jpg","Photo")</f>
        <v>Photo</v>
      </c>
      <c r="AG35">
        <v>47.626809000000002</v>
      </c>
      <c r="AH35">
        <v>-122.364137</v>
      </c>
      <c r="AI35" t="s">
        <v>66</v>
      </c>
      <c r="AJ35">
        <v>98119</v>
      </c>
      <c r="AM35" t="s">
        <v>2341</v>
      </c>
      <c r="BC35" s="22">
        <v>39163.412303240744</v>
      </c>
      <c r="BI35" s="22">
        <v>39549.294907407406</v>
      </c>
      <c r="BK35" t="s">
        <v>1412</v>
      </c>
      <c r="BL35">
        <v>16380</v>
      </c>
      <c r="BM35">
        <v>594526</v>
      </c>
      <c r="BN35" t="s">
        <v>1688</v>
      </c>
      <c r="BO35" s="17">
        <f t="shared" ca="1" si="0"/>
        <v>385.89710266203474</v>
      </c>
      <c r="BP35" t="b">
        <v>0</v>
      </c>
      <c r="BQ35">
        <v>1</v>
      </c>
      <c r="BR35" t="s">
        <v>1842</v>
      </c>
      <c r="BS35" t="s">
        <v>4318</v>
      </c>
      <c r="BT35" t="b">
        <v>0</v>
      </c>
      <c r="BU35" t="s">
        <v>2423</v>
      </c>
      <c r="BV35" t="s">
        <v>1668</v>
      </c>
      <c r="BW35">
        <v>501</v>
      </c>
      <c r="BY35">
        <v>12175096</v>
      </c>
      <c r="BZ35" t="s">
        <v>4320</v>
      </c>
      <c r="CA35">
        <v>1</v>
      </c>
      <c r="CB35" t="b">
        <v>1</v>
      </c>
      <c r="CC35">
        <v>0</v>
      </c>
      <c r="CD35" t="b">
        <v>0</v>
      </c>
      <c r="CE35" t="b">
        <v>0</v>
      </c>
      <c r="CF35" t="b">
        <v>1</v>
      </c>
      <c r="CG35">
        <v>15405781</v>
      </c>
      <c r="CH35" t="s">
        <v>1681</v>
      </c>
      <c r="CI35" s="10">
        <v>819000</v>
      </c>
    </row>
    <row r="36" spans="1:88">
      <c r="A36">
        <v>27046886</v>
      </c>
      <c r="B36" s="2" t="str">
        <f>HYPERLINK("http://www.redfin.com/stingray/do/printable-listing?listing-id=594527","Active")</f>
        <v>Active</v>
      </c>
      <c r="D36" t="s">
        <v>3249</v>
      </c>
      <c r="E36" t="s">
        <v>6929</v>
      </c>
      <c r="F36">
        <v>798000</v>
      </c>
      <c r="G36">
        <v>2007</v>
      </c>
      <c r="H36">
        <v>1467</v>
      </c>
      <c r="I36">
        <v>0</v>
      </c>
      <c r="J36">
        <v>3</v>
      </c>
      <c r="K36">
        <v>2.5</v>
      </c>
      <c r="M36" s="2" t="str">
        <f>HYPERLINK("http://maps.live.com/default.aspx?v=2&amp;lvl=15&amp;sp=Point.47.626809_-122.364137_501 W Olympic Pl nB&amp;cp=47.626809~-122.364137","Map")</f>
        <v>Map</v>
      </c>
      <c r="N36" s="2" t="str">
        <f>HYPERLINK("http://i-0.rfimg.us/photo/1/bigphoto/886/27046886_K.jpg","Photo")</f>
        <v>Photo</v>
      </c>
      <c r="AG36">
        <v>47.626809000000002</v>
      </c>
      <c r="AH36">
        <v>-122.364137</v>
      </c>
      <c r="AI36" t="s">
        <v>66</v>
      </c>
      <c r="AJ36">
        <v>98119</v>
      </c>
      <c r="AM36" t="s">
        <v>1699</v>
      </c>
      <c r="BC36" s="22">
        <v>39163.412303240744</v>
      </c>
      <c r="BI36" s="22">
        <v>39549.294907407406</v>
      </c>
      <c r="BL36">
        <v>15960</v>
      </c>
      <c r="BM36">
        <v>594527</v>
      </c>
      <c r="BN36" t="s">
        <v>1688</v>
      </c>
      <c r="BO36" s="17">
        <f t="shared" ca="1" si="0"/>
        <v>385.89710266203474</v>
      </c>
      <c r="BP36" t="b">
        <v>0</v>
      </c>
      <c r="BQ36">
        <v>1</v>
      </c>
      <c r="BR36" t="s">
        <v>1842</v>
      </c>
      <c r="BS36" t="s">
        <v>4318</v>
      </c>
      <c r="BT36" t="b">
        <v>0</v>
      </c>
      <c r="BU36" t="s">
        <v>2423</v>
      </c>
      <c r="BV36" t="s">
        <v>1668</v>
      </c>
      <c r="BW36">
        <v>501</v>
      </c>
      <c r="BY36">
        <v>12175173</v>
      </c>
      <c r="BZ36" t="s">
        <v>6974</v>
      </c>
      <c r="CA36">
        <v>1</v>
      </c>
      <c r="CB36" t="b">
        <v>1</v>
      </c>
      <c r="CC36">
        <v>0</v>
      </c>
      <c r="CD36" t="b">
        <v>0</v>
      </c>
      <c r="CE36" t="b">
        <v>0</v>
      </c>
      <c r="CF36" t="b">
        <v>1</v>
      </c>
      <c r="CG36">
        <v>15405781</v>
      </c>
      <c r="CH36" t="s">
        <v>1681</v>
      </c>
      <c r="CI36" s="10">
        <v>798000</v>
      </c>
    </row>
    <row r="37" spans="1:88">
      <c r="A37">
        <v>27046894</v>
      </c>
      <c r="B37" s="2" t="str">
        <f>HYPERLINK("http://www.redfin.com/stingray/do/printable-listing?listing-id=594570","Active")</f>
        <v>Active</v>
      </c>
      <c r="D37" t="s">
        <v>3249</v>
      </c>
      <c r="E37" t="s">
        <v>4321</v>
      </c>
      <c r="F37">
        <v>897000</v>
      </c>
      <c r="G37">
        <v>2007</v>
      </c>
      <c r="H37">
        <v>1586</v>
      </c>
      <c r="I37">
        <v>0</v>
      </c>
      <c r="J37">
        <v>3</v>
      </c>
      <c r="K37">
        <v>2.5</v>
      </c>
      <c r="M37" s="2" t="str">
        <f>HYPERLINK("http://maps.live.com/default.aspx?v=2&amp;lvl=15&amp;sp=Point.47.626809_-122.364137_501 W Olympic Pl nD&amp;cp=47.626809~-122.364137","Map")</f>
        <v>Map</v>
      </c>
      <c r="N37" s="2" t="str">
        <f>HYPERLINK("http://i-0.rfimg.us/photo/1/bigphoto/894/27046894_A.jpg","Photo")</f>
        <v>Photo</v>
      </c>
      <c r="AG37">
        <v>47.626809000000002</v>
      </c>
      <c r="AH37">
        <v>-122.364137</v>
      </c>
      <c r="AI37" t="s">
        <v>66</v>
      </c>
      <c r="AJ37">
        <v>98119</v>
      </c>
      <c r="AM37" t="s">
        <v>2685</v>
      </c>
      <c r="BC37" s="22">
        <v>39163.433217592596</v>
      </c>
      <c r="BI37" s="22">
        <v>39549.294907407406</v>
      </c>
      <c r="BK37" t="s">
        <v>1412</v>
      </c>
      <c r="BL37">
        <v>17940</v>
      </c>
      <c r="BM37">
        <v>594570</v>
      </c>
      <c r="BN37" t="s">
        <v>1688</v>
      </c>
      <c r="BO37" s="17">
        <f t="shared" ca="1" si="0"/>
        <v>385.87618831018335</v>
      </c>
      <c r="BP37" t="b">
        <v>0</v>
      </c>
      <c r="BQ37">
        <v>1</v>
      </c>
      <c r="BR37" t="s">
        <v>1842</v>
      </c>
      <c r="BS37" t="s">
        <v>4318</v>
      </c>
      <c r="BT37" t="b">
        <v>0</v>
      </c>
      <c r="BU37" t="s">
        <v>2423</v>
      </c>
      <c r="BV37" t="s">
        <v>1668</v>
      </c>
      <c r="BW37">
        <v>501</v>
      </c>
      <c r="BY37">
        <v>12175174</v>
      </c>
      <c r="BZ37" t="s">
        <v>4322</v>
      </c>
      <c r="CA37">
        <v>1</v>
      </c>
      <c r="CB37" t="b">
        <v>1</v>
      </c>
      <c r="CC37">
        <v>0</v>
      </c>
      <c r="CD37" t="b">
        <v>0</v>
      </c>
      <c r="CE37" t="b">
        <v>0</v>
      </c>
      <c r="CF37" t="b">
        <v>1</v>
      </c>
      <c r="CG37">
        <v>15405780</v>
      </c>
      <c r="CH37" t="s">
        <v>1681</v>
      </c>
      <c r="CI37" s="10">
        <v>897000</v>
      </c>
    </row>
    <row r="38" spans="1:88">
      <c r="A38">
        <v>27046914</v>
      </c>
      <c r="B38" s="2" t="str">
        <f>HYPERLINK("http://www.redfin.com/stingray/do/printable-listing?listing-id=594569","Active")</f>
        <v>Active</v>
      </c>
      <c r="D38" t="s">
        <v>3249</v>
      </c>
      <c r="E38" t="s">
        <v>4329</v>
      </c>
      <c r="F38">
        <v>875000</v>
      </c>
      <c r="G38">
        <v>2007</v>
      </c>
      <c r="H38">
        <v>1586</v>
      </c>
      <c r="I38">
        <v>0</v>
      </c>
      <c r="J38">
        <v>3</v>
      </c>
      <c r="K38">
        <v>2.5</v>
      </c>
      <c r="M38" s="2" t="str">
        <f>HYPERLINK("http://maps.live.com/default.aspx?v=2&amp;lvl=15&amp;sp=Point.47.626827_-122.364185_509 W Olympic Pl nD&amp;cp=47.626827~-122.364185","Map")</f>
        <v>Map</v>
      </c>
      <c r="N38" s="2" t="str">
        <f>HYPERLINK("http://i-0.rfimg.us/photo/1/bigphoto/914/27046914_J.jpg","Photo")</f>
        <v>Photo</v>
      </c>
      <c r="AG38">
        <v>47.626826999999999</v>
      </c>
      <c r="AH38">
        <v>-122.36418500000001</v>
      </c>
      <c r="AI38" t="s">
        <v>66</v>
      </c>
      <c r="AJ38">
        <v>98119</v>
      </c>
      <c r="AM38" t="s">
        <v>2685</v>
      </c>
      <c r="BC38" s="22">
        <v>39163.433206018519</v>
      </c>
      <c r="BI38" s="22">
        <v>39549.294907407406</v>
      </c>
      <c r="BK38" t="s">
        <v>1412</v>
      </c>
      <c r="BL38">
        <v>17500</v>
      </c>
      <c r="BM38">
        <v>594569</v>
      </c>
      <c r="BN38" t="s">
        <v>1688</v>
      </c>
      <c r="BO38" s="17">
        <f t="shared" ca="1" si="0"/>
        <v>385.87619988426013</v>
      </c>
      <c r="BP38" t="b">
        <v>0</v>
      </c>
      <c r="BQ38">
        <v>1</v>
      </c>
      <c r="BR38" t="s">
        <v>1842</v>
      </c>
      <c r="BS38" t="s">
        <v>4318</v>
      </c>
      <c r="BT38" t="b">
        <v>0</v>
      </c>
      <c r="BU38" t="s">
        <v>2423</v>
      </c>
      <c r="BV38" t="s">
        <v>1668</v>
      </c>
      <c r="BW38">
        <v>509</v>
      </c>
      <c r="BY38">
        <v>12175094</v>
      </c>
      <c r="BZ38" t="s">
        <v>4330</v>
      </c>
      <c r="CA38">
        <v>1</v>
      </c>
      <c r="CB38" t="b">
        <v>1</v>
      </c>
      <c r="CC38">
        <v>0</v>
      </c>
      <c r="CD38" t="b">
        <v>0</v>
      </c>
      <c r="CE38" t="b">
        <v>0</v>
      </c>
      <c r="CF38" t="b">
        <v>1</v>
      </c>
      <c r="CG38">
        <v>15405777</v>
      </c>
      <c r="CH38" t="s">
        <v>1681</v>
      </c>
      <c r="CI38" s="10">
        <v>875000</v>
      </c>
    </row>
    <row r="39" spans="1:88">
      <c r="A39">
        <v>27048797</v>
      </c>
      <c r="B39" s="2" t="str">
        <f>HYPERLINK("http://www.redfin.com/stingray/do/printable-listing?listing-id=606080","Active")</f>
        <v>Active</v>
      </c>
      <c r="D39" t="s">
        <v>6207</v>
      </c>
      <c r="E39" t="s">
        <v>6206</v>
      </c>
      <c r="F39">
        <v>759950</v>
      </c>
      <c r="G39">
        <v>2008</v>
      </c>
      <c r="H39">
        <v>3402</v>
      </c>
      <c r="I39">
        <v>24975</v>
      </c>
      <c r="J39">
        <v>4</v>
      </c>
      <c r="K39">
        <v>3.5</v>
      </c>
      <c r="M39" s="2" t="str">
        <f>HYPERLINK("http://maps.live.com/default.aspx?v=2&amp;lvl=15&amp;sp=adr.20005 116th Ave SE (Unable to map),98055","Map")</f>
        <v>Map</v>
      </c>
      <c r="N39" s="2" t="str">
        <f>HYPERLINK("http://i-0.rfimg.us/photo/1/bigphoto/797/27048797_2.jpg","Photo")</f>
        <v>Photo</v>
      </c>
      <c r="AI39" t="s">
        <v>1077</v>
      </c>
      <c r="AJ39">
        <v>98055</v>
      </c>
      <c r="BC39" s="22">
        <v>39167.359791666669</v>
      </c>
      <c r="BI39" s="7">
        <v>39542</v>
      </c>
      <c r="BK39" t="s">
        <v>1412</v>
      </c>
      <c r="BL39">
        <v>15199</v>
      </c>
      <c r="BM39">
        <v>606080</v>
      </c>
      <c r="BN39" t="s">
        <v>3121</v>
      </c>
      <c r="BO39" s="17">
        <f t="shared" ca="1" si="0"/>
        <v>381.94961423610948</v>
      </c>
      <c r="BP39" t="b">
        <v>0</v>
      </c>
      <c r="BQ39">
        <v>1</v>
      </c>
      <c r="BR39" t="s">
        <v>1667</v>
      </c>
      <c r="BS39" t="s">
        <v>4441</v>
      </c>
      <c r="BT39" t="b">
        <v>0</v>
      </c>
      <c r="BV39" t="s">
        <v>1668</v>
      </c>
      <c r="BW39">
        <v>20005</v>
      </c>
      <c r="BX39" t="s">
        <v>3856</v>
      </c>
      <c r="BY39">
        <v>0</v>
      </c>
      <c r="BZ39" t="s">
        <v>5993</v>
      </c>
      <c r="CA39">
        <v>1</v>
      </c>
      <c r="CB39" t="b">
        <v>1</v>
      </c>
      <c r="CC39">
        <v>0</v>
      </c>
      <c r="CD39" t="b">
        <v>0</v>
      </c>
      <c r="CE39" t="b">
        <v>0</v>
      </c>
      <c r="CF39" t="b">
        <v>1</v>
      </c>
      <c r="CG39" t="s">
        <v>1870</v>
      </c>
      <c r="CH39" t="s">
        <v>1681</v>
      </c>
      <c r="CI39" s="10">
        <v>759950</v>
      </c>
    </row>
    <row r="40" spans="1:88">
      <c r="A40">
        <v>27049642</v>
      </c>
      <c r="B40" s="2" t="str">
        <f>HYPERLINK("http://www.redfin.com/stingray/do/printable-listing?listing-id=609744","Active")</f>
        <v>Active</v>
      </c>
      <c r="D40" t="s">
        <v>63</v>
      </c>
      <c r="E40" t="s">
        <v>1171</v>
      </c>
      <c r="F40">
        <v>525000</v>
      </c>
      <c r="G40">
        <v>1929</v>
      </c>
      <c r="H40">
        <v>3000</v>
      </c>
      <c r="I40">
        <v>4230</v>
      </c>
      <c r="J40">
        <v>5</v>
      </c>
      <c r="K40">
        <v>1.5</v>
      </c>
      <c r="M40" s="2" t="str">
        <f>HYPERLINK("http://maps.live.com/default.aspx?v=2&amp;lvl=15&amp;sp=Point.47.687377_-122.368018_8012 9th Ave NW&amp;cp=47.687377~-122.368018","Map")</f>
        <v>Map</v>
      </c>
      <c r="N40" s="2" t="str">
        <f>HYPERLINK("http://i-0.rfimg.us/photo/1/bigphoto/642/27049642_5.jpg","Photo")</f>
        <v>Photo</v>
      </c>
      <c r="AG40">
        <v>47.687376999999998</v>
      </c>
      <c r="AH40">
        <v>-122.36801800000001</v>
      </c>
      <c r="AI40" t="s">
        <v>66</v>
      </c>
      <c r="AJ40">
        <v>98117</v>
      </c>
      <c r="BC40" s="25">
        <v>39169.433715277781</v>
      </c>
      <c r="BI40" s="7">
        <v>39517</v>
      </c>
      <c r="BL40">
        <v>10500</v>
      </c>
      <c r="BM40">
        <v>609744</v>
      </c>
      <c r="BN40" t="s">
        <v>1688</v>
      </c>
      <c r="BO40" s="17">
        <f t="shared" ca="1" si="0"/>
        <v>379.8756907407369</v>
      </c>
      <c r="BP40" t="b">
        <v>0</v>
      </c>
      <c r="BQ40">
        <v>1</v>
      </c>
      <c r="BR40" t="s">
        <v>1667</v>
      </c>
      <c r="BS40" t="s">
        <v>1785</v>
      </c>
      <c r="BT40" t="b">
        <v>0</v>
      </c>
      <c r="BV40" t="s">
        <v>1668</v>
      </c>
      <c r="BW40">
        <v>8012</v>
      </c>
      <c r="BX40" t="s">
        <v>1669</v>
      </c>
      <c r="BY40">
        <v>496571</v>
      </c>
      <c r="BZ40" t="s">
        <v>2115</v>
      </c>
      <c r="CA40">
        <v>1</v>
      </c>
      <c r="CB40" t="b">
        <v>1</v>
      </c>
      <c r="CC40">
        <v>0</v>
      </c>
      <c r="CD40" t="b">
        <v>0</v>
      </c>
      <c r="CE40" t="b">
        <v>0</v>
      </c>
      <c r="CF40" t="b">
        <v>1</v>
      </c>
      <c r="CG40">
        <v>2784319</v>
      </c>
      <c r="CH40" t="s">
        <v>1681</v>
      </c>
      <c r="CI40" s="10">
        <v>525000</v>
      </c>
    </row>
    <row r="41" spans="1:88">
      <c r="A41">
        <v>27054009</v>
      </c>
      <c r="B41" s="2" t="str">
        <f>HYPERLINK("http://www.redfin.com/stingray/do/printable-listing?listing-id=630158","Active")</f>
        <v>Active</v>
      </c>
      <c r="D41" t="s">
        <v>3685</v>
      </c>
      <c r="E41" t="s">
        <v>3682</v>
      </c>
      <c r="F41">
        <v>1625000</v>
      </c>
      <c r="G41">
        <v>1941</v>
      </c>
      <c r="H41">
        <v>3460</v>
      </c>
      <c r="I41">
        <v>8000</v>
      </c>
      <c r="J41">
        <v>4</v>
      </c>
      <c r="K41">
        <v>4</v>
      </c>
      <c r="M41" s="2" t="str">
        <f>HYPERLINK("http://maps.live.com/default.aspx?v=2&amp;lvl=15&amp;sp=Point.47.640004_-122.280406_2328 McGilvra Blvd E n2330&amp;cp=47.640004~-122.280406","Map")</f>
        <v>Map</v>
      </c>
      <c r="N41" s="2" t="str">
        <f>HYPERLINK("http://i-0.rfimg.us/photo/1/bigphoto/009/27054009_0.jpg","Photo")</f>
        <v>Photo</v>
      </c>
      <c r="AG41">
        <v>47.640003999999998</v>
      </c>
      <c r="AH41">
        <v>-122.280406</v>
      </c>
      <c r="AI41" t="s">
        <v>66</v>
      </c>
      <c r="AJ41">
        <v>98112</v>
      </c>
      <c r="AM41" t="s">
        <v>3683</v>
      </c>
      <c r="BC41" s="22">
        <v>39175.601446759261</v>
      </c>
      <c r="BI41" s="22">
        <v>39546.925937499997</v>
      </c>
      <c r="BL41">
        <v>32500</v>
      </c>
      <c r="BM41">
        <v>630158</v>
      </c>
      <c r="BN41" t="s">
        <v>1829</v>
      </c>
      <c r="BO41" s="17">
        <f t="shared" ca="1" si="0"/>
        <v>373.70795914351766</v>
      </c>
      <c r="BP41" t="b">
        <v>0</v>
      </c>
      <c r="BQ41">
        <v>1</v>
      </c>
      <c r="BR41" t="s">
        <v>3141</v>
      </c>
      <c r="BS41" t="s">
        <v>3684</v>
      </c>
      <c r="BT41" t="b">
        <v>0</v>
      </c>
      <c r="BV41" t="s">
        <v>1668</v>
      </c>
      <c r="BW41">
        <v>2328</v>
      </c>
      <c r="BX41" t="s">
        <v>2436</v>
      </c>
      <c r="BY41">
        <v>12175004</v>
      </c>
      <c r="BZ41" t="s">
        <v>1672</v>
      </c>
      <c r="CA41">
        <v>1</v>
      </c>
      <c r="CB41" t="b">
        <v>1</v>
      </c>
      <c r="CC41">
        <v>0</v>
      </c>
      <c r="CD41" t="b">
        <v>0</v>
      </c>
      <c r="CE41" t="b">
        <v>0</v>
      </c>
      <c r="CF41" t="b">
        <v>1</v>
      </c>
      <c r="CG41">
        <v>15405611</v>
      </c>
      <c r="CH41" t="s">
        <v>1681</v>
      </c>
      <c r="CI41" s="10">
        <v>1625000</v>
      </c>
    </row>
    <row r="42" spans="1:88">
      <c r="A42">
        <v>27054471</v>
      </c>
      <c r="B42" s="2" t="str">
        <f>HYPERLINK("http://www.redfin.com/stingray/do/printable-listing?listing-id=630133","Active")</f>
        <v>Active</v>
      </c>
      <c r="D42" t="s">
        <v>5164</v>
      </c>
      <c r="E42" t="s">
        <v>5534</v>
      </c>
      <c r="F42" s="19">
        <v>710000</v>
      </c>
      <c r="G42">
        <v>1968</v>
      </c>
      <c r="H42">
        <v>0</v>
      </c>
      <c r="I42">
        <v>8402</v>
      </c>
      <c r="J42">
        <v>2</v>
      </c>
      <c r="K42">
        <v>1.75</v>
      </c>
      <c r="M42" s="2" t="str">
        <f>HYPERLINK("http://maps.live.com/default.aspx?v=2&amp;lvl=15&amp;sp=Point.47.571421_-122.211629_9520 Mercerwood Dr&amp;cp=47.571421~-122.211629","Map")</f>
        <v>Map</v>
      </c>
      <c r="N42" s="2" t="str">
        <f>HYPERLINK("http://i-0.rfimg.us/photo/1/bigphoto/471/27054471_3.jpg","Photo")</f>
        <v>Photo</v>
      </c>
      <c r="AG42">
        <v>47.571421000000001</v>
      </c>
      <c r="AH42">
        <v>-122.211629</v>
      </c>
      <c r="AI42" t="s">
        <v>5139</v>
      </c>
      <c r="AJ42">
        <v>98040</v>
      </c>
      <c r="AN42">
        <v>365000</v>
      </c>
      <c r="BC42" s="22">
        <v>39175.590578703705</v>
      </c>
      <c r="BI42" s="22">
        <v>39549.294907407406</v>
      </c>
      <c r="BL42">
        <v>14400</v>
      </c>
      <c r="BM42">
        <v>630133</v>
      </c>
      <c r="BN42" t="s">
        <v>1674</v>
      </c>
      <c r="BO42" s="17">
        <f t="shared" ca="1" si="0"/>
        <v>373.71882719907444</v>
      </c>
      <c r="BP42" t="b">
        <v>0</v>
      </c>
      <c r="BQ42">
        <v>1</v>
      </c>
      <c r="BR42" t="s">
        <v>1816</v>
      </c>
      <c r="BS42" t="s">
        <v>5164</v>
      </c>
      <c r="BT42" t="b">
        <v>0</v>
      </c>
      <c r="BV42" t="s">
        <v>1668</v>
      </c>
      <c r="BW42">
        <v>9520</v>
      </c>
      <c r="BY42">
        <v>255054</v>
      </c>
      <c r="BZ42" t="s">
        <v>5535</v>
      </c>
      <c r="CA42">
        <v>1</v>
      </c>
      <c r="CB42" t="b">
        <v>1</v>
      </c>
      <c r="CC42">
        <v>0</v>
      </c>
      <c r="CD42" t="b">
        <v>0</v>
      </c>
      <c r="CE42" t="b">
        <v>0</v>
      </c>
      <c r="CF42" t="b">
        <v>1</v>
      </c>
      <c r="CG42">
        <v>2849935</v>
      </c>
      <c r="CH42" t="s">
        <v>1681</v>
      </c>
      <c r="CI42" s="10">
        <v>720000</v>
      </c>
      <c r="CJ42" s="7">
        <v>37119</v>
      </c>
    </row>
    <row r="43" spans="1:88">
      <c r="A43">
        <v>27055008</v>
      </c>
      <c r="B43" s="2" t="str">
        <f>HYPERLINK("http://www.redfin.com/stingray/do/printable-listing?listing-id=630304","Subject To Inspection")</f>
        <v>Subject To Inspection</v>
      </c>
      <c r="D43" t="s">
        <v>5552</v>
      </c>
      <c r="E43" t="s">
        <v>5548</v>
      </c>
      <c r="F43">
        <v>730000</v>
      </c>
      <c r="G43">
        <v>2007</v>
      </c>
      <c r="H43">
        <v>3055</v>
      </c>
      <c r="I43">
        <v>17140</v>
      </c>
      <c r="J43">
        <v>5</v>
      </c>
      <c r="K43">
        <v>2.5</v>
      </c>
      <c r="M43" s="2" t="str">
        <f>HYPERLINK("http://maps.live.com/default.aspx?v=2&amp;lvl=15&amp;sp=adr.0 SE Darst St n440 (Unable to map),98027","Map")</f>
        <v>Map</v>
      </c>
      <c r="N43" s="2" t="str">
        <f>HYPERLINK("http://i-0.rfimg.us/photo/1/bigphoto/008/27055008_2.jpg","Photo")</f>
        <v>Photo</v>
      </c>
      <c r="AI43" t="s">
        <v>5280</v>
      </c>
      <c r="AJ43">
        <v>98027</v>
      </c>
      <c r="AM43" t="s">
        <v>5549</v>
      </c>
      <c r="BC43" s="22">
        <v>39175.703067129631</v>
      </c>
      <c r="BI43" s="7">
        <v>39535</v>
      </c>
      <c r="BL43">
        <v>14600</v>
      </c>
      <c r="BM43">
        <v>630304</v>
      </c>
      <c r="BN43" t="s">
        <v>1768</v>
      </c>
      <c r="BO43" s="17">
        <f t="shared" ca="1" si="0"/>
        <v>373.60633877314831</v>
      </c>
      <c r="BP43" t="b">
        <v>0</v>
      </c>
      <c r="BQ43">
        <v>2</v>
      </c>
      <c r="BR43" t="s">
        <v>1686</v>
      </c>
      <c r="BS43" t="s">
        <v>5550</v>
      </c>
      <c r="BT43" t="b">
        <v>0</v>
      </c>
      <c r="BU43" t="s">
        <v>3856</v>
      </c>
      <c r="BV43" t="s">
        <v>1668</v>
      </c>
      <c r="BW43">
        <v>0</v>
      </c>
      <c r="BY43">
        <v>0</v>
      </c>
      <c r="BZ43" t="s">
        <v>5551</v>
      </c>
      <c r="CA43">
        <v>1</v>
      </c>
      <c r="CB43" t="b">
        <v>1</v>
      </c>
      <c r="CC43">
        <v>0</v>
      </c>
      <c r="CD43" t="b">
        <v>0</v>
      </c>
      <c r="CE43" t="b">
        <v>0</v>
      </c>
      <c r="CF43" t="b">
        <v>1</v>
      </c>
      <c r="CG43" t="s">
        <v>1870</v>
      </c>
      <c r="CH43" t="s">
        <v>1681</v>
      </c>
      <c r="CI43" s="10">
        <v>730000</v>
      </c>
    </row>
    <row r="44" spans="1:88">
      <c r="A44">
        <v>27055138</v>
      </c>
      <c r="B44" s="2" t="str">
        <f>HYPERLINK("http://www.redfin.com/stingray/do/printable-listing?listing-id=630305","Active")</f>
        <v>Active</v>
      </c>
      <c r="D44" t="s">
        <v>5552</v>
      </c>
      <c r="E44" t="s">
        <v>5576</v>
      </c>
      <c r="F44">
        <v>715000</v>
      </c>
      <c r="G44">
        <v>2007</v>
      </c>
      <c r="H44">
        <v>2810</v>
      </c>
      <c r="I44">
        <v>17160</v>
      </c>
      <c r="J44">
        <v>5</v>
      </c>
      <c r="K44">
        <v>2.5</v>
      </c>
      <c r="M44" s="2" t="str">
        <f>HYPERLINK("http://maps.live.com/default.aspx?v=2&amp;lvl=15&amp;sp=adr.0 SE Darst St n4XX (Unable to map),98027","Map")</f>
        <v>Map</v>
      </c>
      <c r="N44" s="2" t="str">
        <f>HYPERLINK("http://i-0.rfimg.us/photo/1/bigphoto/138/27055138_4.jpg","Photo")</f>
        <v>Photo</v>
      </c>
      <c r="AI44" t="s">
        <v>5280</v>
      </c>
      <c r="AJ44">
        <v>98027</v>
      </c>
      <c r="AM44" t="s">
        <v>5557</v>
      </c>
      <c r="BC44" s="22">
        <v>39175.703067129631</v>
      </c>
      <c r="BI44" s="22">
        <v>39549.294907407406</v>
      </c>
      <c r="BL44">
        <v>14300</v>
      </c>
      <c r="BM44">
        <v>630305</v>
      </c>
      <c r="BN44" t="s">
        <v>1768</v>
      </c>
      <c r="BO44" s="17">
        <f t="shared" ca="1" si="0"/>
        <v>373.60633877314831</v>
      </c>
      <c r="BP44" t="b">
        <v>0</v>
      </c>
      <c r="BQ44">
        <v>1</v>
      </c>
      <c r="BR44" t="s">
        <v>1686</v>
      </c>
      <c r="BS44" t="s">
        <v>5550</v>
      </c>
      <c r="BT44" t="b">
        <v>0</v>
      </c>
      <c r="BU44" t="s">
        <v>3856</v>
      </c>
      <c r="BV44" t="s">
        <v>1668</v>
      </c>
      <c r="BW44">
        <v>0</v>
      </c>
      <c r="BY44">
        <v>0</v>
      </c>
      <c r="BZ44" t="s">
        <v>5577</v>
      </c>
      <c r="CA44">
        <v>1</v>
      </c>
      <c r="CB44" t="b">
        <v>1</v>
      </c>
      <c r="CC44">
        <v>0</v>
      </c>
      <c r="CD44" t="b">
        <v>0</v>
      </c>
      <c r="CE44" t="b">
        <v>0</v>
      </c>
      <c r="CF44" t="b">
        <v>1</v>
      </c>
      <c r="CG44" t="s">
        <v>1870</v>
      </c>
      <c r="CH44" t="s">
        <v>1681</v>
      </c>
      <c r="CI44" s="10">
        <v>715000</v>
      </c>
    </row>
    <row r="45" spans="1:88">
      <c r="A45">
        <v>27061276</v>
      </c>
      <c r="B45" s="2" t="str">
        <f>HYPERLINK("http://www.redfin.com/stingray/do/printable-listing?listing-id=650944","Active")</f>
        <v>Active</v>
      </c>
      <c r="D45" t="s">
        <v>3959</v>
      </c>
      <c r="E45" t="s">
        <v>4256</v>
      </c>
      <c r="F45">
        <v>459950</v>
      </c>
      <c r="G45">
        <v>1906</v>
      </c>
      <c r="H45">
        <v>2120</v>
      </c>
      <c r="I45">
        <v>2400</v>
      </c>
      <c r="J45">
        <v>5</v>
      </c>
      <c r="K45">
        <v>2</v>
      </c>
      <c r="M45" s="2" t="str">
        <f>HYPERLINK("http://maps.live.com/default.aspx?v=2&amp;lvl=15&amp;sp=Point.47.597877_-122.297131_2705 S King St&amp;cp=47.597877~-122.297131","Map")</f>
        <v>Map</v>
      </c>
      <c r="N45" s="2" t="str">
        <f>HYPERLINK("http://i-0.rfimg.us/photo/1/bigphoto/276/27061276_6.jpg","Photo")</f>
        <v>Photo</v>
      </c>
      <c r="AG45">
        <v>47.597876999999997</v>
      </c>
      <c r="AH45">
        <v>-122.29713099999999</v>
      </c>
      <c r="AI45" t="s">
        <v>66</v>
      </c>
      <c r="AJ45">
        <v>98144</v>
      </c>
      <c r="AN45">
        <v>185000</v>
      </c>
      <c r="BC45" s="22">
        <v>39184.58829861111</v>
      </c>
      <c r="BI45" s="22">
        <v>39549.294907407406</v>
      </c>
      <c r="BL45">
        <v>9199</v>
      </c>
      <c r="BM45">
        <v>650944</v>
      </c>
      <c r="BN45" t="s">
        <v>4254</v>
      </c>
      <c r="BO45" s="17">
        <f t="shared" ca="1" si="0"/>
        <v>364.72110729166889</v>
      </c>
      <c r="BP45" t="b">
        <v>0</v>
      </c>
      <c r="BQ45">
        <v>1</v>
      </c>
      <c r="BR45" t="s">
        <v>1686</v>
      </c>
      <c r="BS45" t="s">
        <v>41</v>
      </c>
      <c r="BT45" t="b">
        <v>0</v>
      </c>
      <c r="BU45" t="s">
        <v>1881</v>
      </c>
      <c r="BV45" t="s">
        <v>1668</v>
      </c>
      <c r="BW45">
        <v>2705</v>
      </c>
      <c r="BY45">
        <v>148514</v>
      </c>
      <c r="BZ45" s="21">
        <v>6.9444444444444447E-4</v>
      </c>
      <c r="CA45">
        <v>1</v>
      </c>
      <c r="CB45" t="b">
        <v>1</v>
      </c>
      <c r="CC45">
        <v>0</v>
      </c>
      <c r="CD45" t="b">
        <v>0</v>
      </c>
      <c r="CE45" t="b">
        <v>0</v>
      </c>
      <c r="CF45" t="b">
        <v>1</v>
      </c>
      <c r="CG45">
        <v>2674881</v>
      </c>
      <c r="CH45" t="s">
        <v>1681</v>
      </c>
      <c r="CI45" s="10">
        <v>459950</v>
      </c>
      <c r="CJ45" s="7">
        <v>36768</v>
      </c>
    </row>
    <row r="46" spans="1:88">
      <c r="A46">
        <v>27063169</v>
      </c>
      <c r="B46" s="2" t="str">
        <f>HYPERLINK("http://www.redfin.com/stingray/do/printable-listing?listing-id=659389","Active")</f>
        <v>Active</v>
      </c>
      <c r="D46" t="s">
        <v>5139</v>
      </c>
      <c r="E46" t="s">
        <v>5344</v>
      </c>
      <c r="F46">
        <v>1150000</v>
      </c>
      <c r="G46">
        <v>1963</v>
      </c>
      <c r="H46">
        <v>3690</v>
      </c>
      <c r="I46">
        <v>9450</v>
      </c>
      <c r="J46">
        <v>5</v>
      </c>
      <c r="K46">
        <v>3</v>
      </c>
      <c r="M46" s="2" t="str">
        <f>HYPERLINK("http://maps.live.com/default.aspx?v=2&amp;lvl=15&amp;sp=Point.47.566709_-122.225516_7 Maple Ln&amp;cp=47.566709~-122.225516","Map")</f>
        <v>Map</v>
      </c>
      <c r="N46" s="2" t="str">
        <f>HYPERLINK("http://i-0.rfimg.us/photo/1/bigphoto/169/27063169_5.jpg","Photo")</f>
        <v>Photo</v>
      </c>
      <c r="AG46">
        <v>47.566709000000003</v>
      </c>
      <c r="AH46">
        <v>-122.225516</v>
      </c>
      <c r="AI46" t="s">
        <v>5139</v>
      </c>
      <c r="AJ46">
        <v>98040</v>
      </c>
      <c r="BC46" s="22">
        <v>39188.495324074072</v>
      </c>
      <c r="BI46" s="22">
        <v>39549.294907407406</v>
      </c>
      <c r="BL46">
        <v>23000</v>
      </c>
      <c r="BM46">
        <v>659389</v>
      </c>
      <c r="BN46" t="s">
        <v>1688</v>
      </c>
      <c r="BO46" s="17">
        <f t="shared" ca="1" si="0"/>
        <v>360.81408182870655</v>
      </c>
      <c r="BP46" t="b">
        <v>0</v>
      </c>
      <c r="BQ46">
        <v>1</v>
      </c>
      <c r="BR46" t="s">
        <v>2963</v>
      </c>
      <c r="BS46" t="s">
        <v>5345</v>
      </c>
      <c r="BT46" t="b">
        <v>0</v>
      </c>
      <c r="BV46" t="s">
        <v>1668</v>
      </c>
      <c r="BW46">
        <v>7</v>
      </c>
      <c r="BY46">
        <v>255678</v>
      </c>
      <c r="BZ46" t="s">
        <v>5346</v>
      </c>
      <c r="CA46">
        <v>1</v>
      </c>
      <c r="CB46" t="b">
        <v>1</v>
      </c>
      <c r="CC46">
        <v>0</v>
      </c>
      <c r="CD46" t="b">
        <v>0</v>
      </c>
      <c r="CE46" t="b">
        <v>0</v>
      </c>
      <c r="CF46" t="b">
        <v>1</v>
      </c>
      <c r="CG46">
        <v>2344853</v>
      </c>
      <c r="CH46" t="s">
        <v>1681</v>
      </c>
      <c r="CI46" s="10">
        <v>1150000</v>
      </c>
    </row>
    <row r="47" spans="1:88">
      <c r="A47">
        <v>27065870</v>
      </c>
      <c r="B47" s="2" t="str">
        <f>HYPERLINK("http://www.redfin.com/stingray/do/printable-listing?listing-id=667793","Subject To Inspection")</f>
        <v>Subject To Inspection</v>
      </c>
      <c r="D47" t="s">
        <v>3885</v>
      </c>
      <c r="E47" t="s">
        <v>5931</v>
      </c>
      <c r="F47">
        <v>1170000</v>
      </c>
      <c r="G47">
        <v>2005</v>
      </c>
      <c r="H47">
        <v>4450</v>
      </c>
      <c r="I47">
        <v>9582</v>
      </c>
      <c r="J47">
        <v>4</v>
      </c>
      <c r="K47">
        <v>4</v>
      </c>
      <c r="M47" s="2" t="str">
        <f>HYPERLINK("http://maps.live.com/default.aspx?v=2&amp;lvl=15&amp;sp=Point.47.528153126208_-122.13184286624_8264 154th Ave SE&amp;cp=47.528153126208~-122.13184286624","Map")</f>
        <v>Map</v>
      </c>
      <c r="N47" s="2" t="str">
        <f>HYPERLINK("http://i-0.rfimg.us/photo/1/bigphoto/870/27065870_7.jpg","Photo")</f>
        <v>Photo</v>
      </c>
      <c r="AG47">
        <v>47.528153126207997</v>
      </c>
      <c r="AH47">
        <v>-122.13184286624001</v>
      </c>
      <c r="AI47" t="s">
        <v>3885</v>
      </c>
      <c r="AJ47">
        <v>98059</v>
      </c>
      <c r="AN47">
        <v>1450000</v>
      </c>
      <c r="BC47" s="22">
        <v>39191.694803240738</v>
      </c>
      <c r="BI47" s="22">
        <v>39549.294907407406</v>
      </c>
      <c r="BL47">
        <v>23400</v>
      </c>
      <c r="BM47">
        <v>667793</v>
      </c>
      <c r="BN47" t="s">
        <v>1688</v>
      </c>
      <c r="BO47" s="17">
        <f t="shared" ca="1" si="0"/>
        <v>357.61460266204085</v>
      </c>
      <c r="BP47" t="b">
        <v>0</v>
      </c>
      <c r="BQ47">
        <v>2</v>
      </c>
      <c r="BR47" t="s">
        <v>1667</v>
      </c>
      <c r="BS47" t="s">
        <v>5244</v>
      </c>
      <c r="BT47" t="b">
        <v>0</v>
      </c>
      <c r="BV47" t="s">
        <v>1668</v>
      </c>
      <c r="BW47">
        <v>8264</v>
      </c>
      <c r="BX47" t="s">
        <v>3856</v>
      </c>
      <c r="BY47">
        <v>2082526</v>
      </c>
      <c r="BZ47" t="s">
        <v>5932</v>
      </c>
      <c r="CA47">
        <v>1</v>
      </c>
      <c r="CB47" t="b">
        <v>1</v>
      </c>
      <c r="CC47">
        <v>0</v>
      </c>
      <c r="CD47" t="b">
        <v>0</v>
      </c>
      <c r="CE47" t="b">
        <v>0</v>
      </c>
      <c r="CF47" t="b">
        <v>1</v>
      </c>
      <c r="CG47">
        <v>2754042</v>
      </c>
      <c r="CH47" t="s">
        <v>1681</v>
      </c>
      <c r="CI47" s="10">
        <v>1170000</v>
      </c>
      <c r="CJ47" s="7">
        <v>38471</v>
      </c>
    </row>
    <row r="48" spans="1:88">
      <c r="A48">
        <v>27066818</v>
      </c>
      <c r="B48" s="2" t="str">
        <f>HYPERLINK("http://www.redfin.com/stingray/do/printable-listing?listing-id=669695","Active")</f>
        <v>Active</v>
      </c>
      <c r="D48" t="s">
        <v>6382</v>
      </c>
      <c r="E48" t="s">
        <v>6380</v>
      </c>
      <c r="F48">
        <v>499950</v>
      </c>
      <c r="G48">
        <v>2007</v>
      </c>
      <c r="H48">
        <v>2590</v>
      </c>
      <c r="I48">
        <v>6238</v>
      </c>
      <c r="J48">
        <v>4</v>
      </c>
      <c r="K48">
        <v>2.5</v>
      </c>
      <c r="M48" s="2" t="str">
        <f>HYPERLINK("http://maps.live.com/default.aspx?v=2&amp;lvl=15&amp;sp=adr.6331 S 126th Pl (Unable to map),98178","Map")</f>
        <v>Map</v>
      </c>
      <c r="N48" s="2" t="str">
        <f>HYPERLINK("http://i-0.rfimg.us/photo/1/bigphoto/818/27066818_5.jpg","Photo")</f>
        <v>Photo</v>
      </c>
      <c r="AI48" t="s">
        <v>66</v>
      </c>
      <c r="AJ48">
        <v>98178</v>
      </c>
      <c r="BC48" s="22">
        <v>39192.456226851849</v>
      </c>
      <c r="BI48" s="7">
        <v>39542</v>
      </c>
      <c r="BL48">
        <v>9999</v>
      </c>
      <c r="BM48">
        <v>669695</v>
      </c>
      <c r="BN48" t="s">
        <v>2136</v>
      </c>
      <c r="BO48" s="17">
        <f t="shared" ca="1" si="0"/>
        <v>356.85317905092961</v>
      </c>
      <c r="BP48" t="b">
        <v>0</v>
      </c>
      <c r="BQ48">
        <v>1</v>
      </c>
      <c r="BR48" t="s">
        <v>1842</v>
      </c>
      <c r="BS48" t="s">
        <v>4544</v>
      </c>
      <c r="BT48" t="b">
        <v>0</v>
      </c>
      <c r="BU48" t="s">
        <v>1881</v>
      </c>
      <c r="BV48" t="s">
        <v>1668</v>
      </c>
      <c r="BW48">
        <v>6331</v>
      </c>
      <c r="BY48">
        <v>0</v>
      </c>
      <c r="BZ48" t="s">
        <v>6381</v>
      </c>
      <c r="CA48">
        <v>1</v>
      </c>
      <c r="CB48" t="b">
        <v>1</v>
      </c>
      <c r="CC48">
        <v>0</v>
      </c>
      <c r="CD48" t="b">
        <v>0</v>
      </c>
      <c r="CE48" t="b">
        <v>0</v>
      </c>
      <c r="CF48" t="b">
        <v>1</v>
      </c>
      <c r="CG48" t="s">
        <v>1870</v>
      </c>
      <c r="CH48" t="s">
        <v>1681</v>
      </c>
      <c r="CI48" s="10">
        <v>499950</v>
      </c>
    </row>
    <row r="49" spans="1:89">
      <c r="A49">
        <v>27066841</v>
      </c>
      <c r="B49" s="2" t="str">
        <f>HYPERLINK("http://www.redfin.com/stingray/do/printable-listing?listing-id=670020","Subject To Inspection")</f>
        <v>Subject To Inspection</v>
      </c>
      <c r="D49" t="s">
        <v>6382</v>
      </c>
      <c r="E49" t="s">
        <v>6383</v>
      </c>
      <c r="F49">
        <v>549950</v>
      </c>
      <c r="G49">
        <v>2007</v>
      </c>
      <c r="H49">
        <v>2820</v>
      </c>
      <c r="I49">
        <v>6227</v>
      </c>
      <c r="J49">
        <v>4</v>
      </c>
      <c r="K49">
        <v>2.5</v>
      </c>
      <c r="M49" s="2" t="str">
        <f>HYPERLINK("http://maps.live.com/default.aspx?v=2&amp;lvl=15&amp;sp=adr.6325 S 126th Pl (Unable to map),98178","Map")</f>
        <v>Map</v>
      </c>
      <c r="N49" s="2" t="str">
        <f>HYPERLINK("http://i-0.rfimg.us/photo/1/bigphoto/841/27066841_2.jpg","Photo")</f>
        <v>Photo</v>
      </c>
      <c r="AI49" t="s">
        <v>66</v>
      </c>
      <c r="AJ49">
        <v>98178</v>
      </c>
      <c r="BC49" s="22">
        <v>39192.501122685186</v>
      </c>
      <c r="BI49" s="7">
        <v>39542</v>
      </c>
      <c r="BL49">
        <v>10999</v>
      </c>
      <c r="BM49">
        <v>670020</v>
      </c>
      <c r="BN49" t="s">
        <v>2136</v>
      </c>
      <c r="BO49" s="17">
        <f t="shared" ca="1" si="0"/>
        <v>356.80828321759327</v>
      </c>
      <c r="BP49" t="b">
        <v>0</v>
      </c>
      <c r="BQ49">
        <v>2</v>
      </c>
      <c r="BR49" t="s">
        <v>1842</v>
      </c>
      <c r="BS49" t="s">
        <v>4544</v>
      </c>
      <c r="BT49" t="b">
        <v>0</v>
      </c>
      <c r="BU49" t="s">
        <v>1881</v>
      </c>
      <c r="BV49" t="s">
        <v>1668</v>
      </c>
      <c r="BW49">
        <v>6325</v>
      </c>
      <c r="BY49">
        <v>0</v>
      </c>
      <c r="BZ49" t="s">
        <v>4343</v>
      </c>
      <c r="CA49">
        <v>1</v>
      </c>
      <c r="CB49" t="b">
        <v>1</v>
      </c>
      <c r="CC49">
        <v>0</v>
      </c>
      <c r="CD49" t="b">
        <v>0</v>
      </c>
      <c r="CE49" t="b">
        <v>0</v>
      </c>
      <c r="CF49" t="b">
        <v>1</v>
      </c>
      <c r="CG49" t="s">
        <v>1870</v>
      </c>
      <c r="CH49" t="s">
        <v>1681</v>
      </c>
      <c r="CI49" s="10">
        <v>549950</v>
      </c>
    </row>
    <row r="50" spans="1:89">
      <c r="A50">
        <v>27066877</v>
      </c>
      <c r="B50" s="2" t="str">
        <f>HYPERLINK("http://www.redfin.com/stingray/do/printable-listing?listing-id=670018","Active")</f>
        <v>Active</v>
      </c>
      <c r="D50" t="s">
        <v>6382</v>
      </c>
      <c r="E50" t="s">
        <v>6404</v>
      </c>
      <c r="F50">
        <v>499950</v>
      </c>
      <c r="G50">
        <v>2007</v>
      </c>
      <c r="H50">
        <v>2590</v>
      </c>
      <c r="I50">
        <v>6227</v>
      </c>
      <c r="J50">
        <v>4</v>
      </c>
      <c r="K50">
        <v>2.5</v>
      </c>
      <c r="M50" s="2" t="str">
        <f>HYPERLINK("http://maps.live.com/default.aspx?v=2&amp;lvl=15&amp;sp=adr.6326 S 126th Pl (Unable to map),98178","Map")</f>
        <v>Map</v>
      </c>
      <c r="N50" s="2" t="str">
        <f>HYPERLINK("http://i-0.rfimg.us/photo/1/bigphoto/877/27066877_4.jpg","Photo")</f>
        <v>Photo</v>
      </c>
      <c r="AI50" t="s">
        <v>66</v>
      </c>
      <c r="AJ50">
        <v>98178</v>
      </c>
      <c r="BC50" s="22">
        <v>39192.501006944447</v>
      </c>
      <c r="BI50" s="7">
        <v>39542</v>
      </c>
      <c r="BL50">
        <v>9999</v>
      </c>
      <c r="BM50">
        <v>670018</v>
      </c>
      <c r="BN50" t="s">
        <v>2136</v>
      </c>
      <c r="BO50" s="17">
        <f t="shared" ca="1" si="0"/>
        <v>356.80839895833196</v>
      </c>
      <c r="BP50" t="b">
        <v>0</v>
      </c>
      <c r="BQ50">
        <v>1</v>
      </c>
      <c r="BR50" t="s">
        <v>1842</v>
      </c>
      <c r="BS50" t="s">
        <v>4544</v>
      </c>
      <c r="BT50" t="b">
        <v>0</v>
      </c>
      <c r="BU50" t="s">
        <v>1881</v>
      </c>
      <c r="BV50" t="s">
        <v>1668</v>
      </c>
      <c r="BW50">
        <v>6326</v>
      </c>
      <c r="BY50">
        <v>0</v>
      </c>
      <c r="BZ50" t="s">
        <v>6405</v>
      </c>
      <c r="CA50">
        <v>1</v>
      </c>
      <c r="CB50" t="b">
        <v>1</v>
      </c>
      <c r="CC50">
        <v>0</v>
      </c>
      <c r="CD50" t="b">
        <v>0</v>
      </c>
      <c r="CE50" t="b">
        <v>0</v>
      </c>
      <c r="CF50" t="b">
        <v>1</v>
      </c>
      <c r="CG50" t="s">
        <v>1870</v>
      </c>
      <c r="CH50" t="s">
        <v>1681</v>
      </c>
      <c r="CI50" s="10">
        <v>499950</v>
      </c>
    </row>
    <row r="51" spans="1:89">
      <c r="A51">
        <v>27072216</v>
      </c>
      <c r="B51" s="2" t="str">
        <f>HYPERLINK("http://www.redfin.com/stingray/do/printable-listing?listing-id=720699","Active")</f>
        <v>Active</v>
      </c>
      <c r="D51" t="s">
        <v>3066</v>
      </c>
      <c r="E51" t="s">
        <v>4885</v>
      </c>
      <c r="F51">
        <v>839950</v>
      </c>
      <c r="G51">
        <v>2007</v>
      </c>
      <c r="H51">
        <v>2966</v>
      </c>
      <c r="I51">
        <v>7242</v>
      </c>
      <c r="J51">
        <v>4</v>
      </c>
      <c r="K51">
        <v>2.5</v>
      </c>
      <c r="M51" s="2" t="str">
        <f>HYPERLINK("http://maps.live.com/default.aspx?v=2&amp;lvl=15&amp;sp=Point.47.676547_-122.176101_8021 124th Ave NE&amp;cp=47.676547~-122.176101","Map")</f>
        <v>Map</v>
      </c>
      <c r="N51" s="2" t="str">
        <f>HYPERLINK("http://i-0.rfimg.us/photo/1/bigphoto/216/27072216_E.jpg","Photo")</f>
        <v>Photo</v>
      </c>
      <c r="AG51">
        <v>47.676546999999999</v>
      </c>
      <c r="AH51">
        <v>-122.176101</v>
      </c>
      <c r="AI51" t="s">
        <v>1058</v>
      </c>
      <c r="AJ51">
        <v>98033</v>
      </c>
      <c r="BC51" s="22">
        <v>39203.666516203702</v>
      </c>
      <c r="BI51" s="22">
        <v>39549.294907407406</v>
      </c>
      <c r="BL51">
        <v>16799</v>
      </c>
      <c r="BM51">
        <v>720699</v>
      </c>
      <c r="BN51" t="s">
        <v>1798</v>
      </c>
      <c r="BO51" s="17">
        <f t="shared" ca="1" si="0"/>
        <v>345.64288969907648</v>
      </c>
      <c r="BP51" t="b">
        <v>0</v>
      </c>
      <c r="BQ51">
        <v>1</v>
      </c>
      <c r="BR51" t="s">
        <v>1667</v>
      </c>
      <c r="BS51" t="s">
        <v>4507</v>
      </c>
      <c r="BT51" t="b">
        <v>0</v>
      </c>
      <c r="BV51" t="s">
        <v>1668</v>
      </c>
      <c r="BW51">
        <v>8021</v>
      </c>
      <c r="BX51" t="s">
        <v>1738</v>
      </c>
      <c r="BY51">
        <v>12328088</v>
      </c>
      <c r="BZ51" t="s">
        <v>4886</v>
      </c>
      <c r="CA51">
        <v>1</v>
      </c>
      <c r="CB51" t="b">
        <v>1</v>
      </c>
      <c r="CC51">
        <v>0</v>
      </c>
      <c r="CD51" t="b">
        <v>0</v>
      </c>
      <c r="CE51" t="b">
        <v>0</v>
      </c>
      <c r="CF51" t="b">
        <v>1</v>
      </c>
      <c r="CG51">
        <v>15534098</v>
      </c>
      <c r="CH51" t="s">
        <v>1681</v>
      </c>
      <c r="CI51" s="10">
        <v>839950</v>
      </c>
    </row>
    <row r="52" spans="1:89">
      <c r="A52">
        <v>27075321</v>
      </c>
      <c r="B52" s="2" t="str">
        <f>HYPERLINK("http://www.redfin.com/stingray/do/printable-listing?listing-id=727505","Active")</f>
        <v>Active</v>
      </c>
      <c r="D52" t="s">
        <v>3066</v>
      </c>
      <c r="E52" t="s">
        <v>4722</v>
      </c>
      <c r="F52">
        <v>834000</v>
      </c>
      <c r="G52">
        <v>2007</v>
      </c>
      <c r="H52">
        <v>2897</v>
      </c>
      <c r="I52">
        <v>7436</v>
      </c>
      <c r="J52">
        <v>3</v>
      </c>
      <c r="K52">
        <v>2.5</v>
      </c>
      <c r="M52" s="2" t="str">
        <f>HYPERLINK("http://maps.live.com/default.aspx?v=2&amp;lvl=15&amp;sp=Point.47.681524_-122.167403_12905 NE 88th St&amp;cp=47.681524~-122.167403","Map")</f>
        <v>Map</v>
      </c>
      <c r="N52" s="2" t="str">
        <f>HYPERLINK("http://i-0.rfimg.us/photo/1/bigphoto/321/27075321_D.jpg","Photo")</f>
        <v>Photo</v>
      </c>
      <c r="AG52">
        <v>47.681524000000003</v>
      </c>
      <c r="AH52">
        <v>-122.16740299999999</v>
      </c>
      <c r="AI52" t="s">
        <v>1058</v>
      </c>
      <c r="AJ52">
        <v>98033</v>
      </c>
      <c r="BC52" s="22">
        <v>39205.614131944443</v>
      </c>
      <c r="BI52" s="22">
        <v>39549.294907407406</v>
      </c>
      <c r="BL52">
        <v>16680</v>
      </c>
      <c r="BM52">
        <v>727505</v>
      </c>
      <c r="BN52" t="s">
        <v>1798</v>
      </c>
      <c r="BO52" s="17">
        <f t="shared" ca="1" si="0"/>
        <v>343.69527395833575</v>
      </c>
      <c r="BP52" t="b">
        <v>0</v>
      </c>
      <c r="BQ52">
        <v>1</v>
      </c>
      <c r="BR52" t="s">
        <v>1686</v>
      </c>
      <c r="BS52" t="s">
        <v>1719</v>
      </c>
      <c r="BT52" t="b">
        <v>0</v>
      </c>
      <c r="BU52" t="s">
        <v>1738</v>
      </c>
      <c r="BV52" t="s">
        <v>1668</v>
      </c>
      <c r="BW52">
        <v>12905</v>
      </c>
      <c r="BY52">
        <v>11901315</v>
      </c>
      <c r="BZ52" t="s">
        <v>4723</v>
      </c>
      <c r="CA52">
        <v>1</v>
      </c>
      <c r="CB52" t="b">
        <v>1</v>
      </c>
      <c r="CC52">
        <v>0</v>
      </c>
      <c r="CD52" t="b">
        <v>0</v>
      </c>
      <c r="CE52" t="b">
        <v>0</v>
      </c>
      <c r="CF52" t="b">
        <v>1</v>
      </c>
      <c r="CG52">
        <v>15155540</v>
      </c>
      <c r="CH52" t="s">
        <v>1681</v>
      </c>
      <c r="CI52" s="10">
        <v>834000</v>
      </c>
    </row>
    <row r="53" spans="1:89">
      <c r="A53">
        <v>27075329</v>
      </c>
      <c r="B53" s="2" t="str">
        <f>HYPERLINK("http://www.redfin.com/stingray/do/printable-listing?listing-id=729491","Active")</f>
        <v>Active</v>
      </c>
      <c r="D53" t="s">
        <v>3064</v>
      </c>
      <c r="E53" t="s">
        <v>4793</v>
      </c>
      <c r="F53">
        <v>1200000</v>
      </c>
      <c r="G53">
        <v>2003</v>
      </c>
      <c r="H53">
        <v>3760</v>
      </c>
      <c r="I53">
        <v>9958</v>
      </c>
      <c r="J53">
        <v>4</v>
      </c>
      <c r="K53">
        <v>3.5</v>
      </c>
      <c r="M53" s="2" t="str">
        <f>HYPERLINK("http://maps.live.com/default.aspx?v=2&amp;lvl=15&amp;sp=Point.47.692956_-122.192652_11019 NE 104th St&amp;cp=47.692956~-122.192652","Map")</f>
        <v>Map</v>
      </c>
      <c r="N53" s="2" t="str">
        <f>HYPERLINK("http://i-0.rfimg.us/photo/1/bigphoto/329/27075329_4.jpg","Photo")</f>
        <v>Photo</v>
      </c>
      <c r="AG53">
        <v>47.692956000000002</v>
      </c>
      <c r="AH53">
        <v>-122.192652</v>
      </c>
      <c r="AI53" t="s">
        <v>1058</v>
      </c>
      <c r="AJ53">
        <v>98033</v>
      </c>
      <c r="AN53">
        <v>750000</v>
      </c>
      <c r="BC53" s="22">
        <v>39206.42696759259</v>
      </c>
      <c r="BI53" s="7">
        <v>39534</v>
      </c>
      <c r="BL53">
        <v>24000</v>
      </c>
      <c r="BM53">
        <v>729491</v>
      </c>
      <c r="BN53" t="s">
        <v>1674</v>
      </c>
      <c r="BO53" s="17">
        <f t="shared" ca="1" si="0"/>
        <v>342.88243831018917</v>
      </c>
      <c r="BP53" t="b">
        <v>0</v>
      </c>
      <c r="BQ53">
        <v>1</v>
      </c>
      <c r="BR53" t="s">
        <v>1686</v>
      </c>
      <c r="BS53" t="s">
        <v>2910</v>
      </c>
      <c r="BT53" t="b">
        <v>0</v>
      </c>
      <c r="BU53" t="s">
        <v>1738</v>
      </c>
      <c r="BV53" t="s">
        <v>1668</v>
      </c>
      <c r="BW53">
        <v>11019</v>
      </c>
      <c r="BY53">
        <v>462715</v>
      </c>
      <c r="BZ53" t="s">
        <v>2015</v>
      </c>
      <c r="CA53">
        <v>1</v>
      </c>
      <c r="CB53" t="b">
        <v>1</v>
      </c>
      <c r="CC53">
        <v>0</v>
      </c>
      <c r="CD53" t="b">
        <v>0</v>
      </c>
      <c r="CE53" t="b">
        <v>0</v>
      </c>
      <c r="CF53" t="b">
        <v>1</v>
      </c>
      <c r="CG53">
        <v>2813833</v>
      </c>
      <c r="CH53" t="s">
        <v>1681</v>
      </c>
      <c r="CI53" s="10">
        <v>1200000</v>
      </c>
      <c r="CJ53" s="7">
        <v>38177</v>
      </c>
    </row>
    <row r="54" spans="1:89">
      <c r="A54">
        <v>27076033</v>
      </c>
      <c r="B54" s="2" t="str">
        <f>HYPERLINK("http://www.redfin.com/stingray/do/printable-listing?listing-id=725823","Active")</f>
        <v>Active</v>
      </c>
      <c r="D54" t="s">
        <v>369</v>
      </c>
      <c r="E54" t="s">
        <v>5410</v>
      </c>
      <c r="F54">
        <v>534950</v>
      </c>
      <c r="G54">
        <v>1957</v>
      </c>
      <c r="H54">
        <v>2176</v>
      </c>
      <c r="I54">
        <v>8585</v>
      </c>
      <c r="J54">
        <v>5</v>
      </c>
      <c r="K54">
        <v>2.5</v>
      </c>
      <c r="M54" s="2" t="str">
        <f>HYPERLINK("http://maps.live.com/default.aspx?v=2&amp;lvl=15&amp;sp=Point.47.60296_-122.121913_803 164th Ave SE&amp;cp=47.60296~-122.121913","Map")</f>
        <v>Map</v>
      </c>
      <c r="N54" s="2" t="str">
        <f>HYPERLINK("http://i-0.rfimg.us/photo/1/bigphoto/033/27076033_3.jpg","Photo")</f>
        <v>Photo</v>
      </c>
      <c r="AG54">
        <v>47.602960000000003</v>
      </c>
      <c r="AH54">
        <v>-122.12191300000001</v>
      </c>
      <c r="AI54" t="s">
        <v>369</v>
      </c>
      <c r="AJ54">
        <v>98008</v>
      </c>
      <c r="AN54">
        <v>340000</v>
      </c>
      <c r="BC54" s="22">
        <v>39205.393125000002</v>
      </c>
      <c r="BI54" s="22">
        <v>39549.294907407406</v>
      </c>
      <c r="BL54">
        <v>10699</v>
      </c>
      <c r="BM54">
        <v>725823</v>
      </c>
      <c r="BN54" t="s">
        <v>1823</v>
      </c>
      <c r="BO54" s="17">
        <f t="shared" ca="1" si="0"/>
        <v>343.91628090277663</v>
      </c>
      <c r="BP54" t="b">
        <v>0</v>
      </c>
      <c r="BQ54">
        <v>1</v>
      </c>
      <c r="BR54" t="s">
        <v>1667</v>
      </c>
      <c r="BS54" t="s">
        <v>5306</v>
      </c>
      <c r="BT54" t="b">
        <v>0</v>
      </c>
      <c r="BV54" t="s">
        <v>1668</v>
      </c>
      <c r="BW54">
        <v>803</v>
      </c>
      <c r="BX54" t="s">
        <v>3856</v>
      </c>
      <c r="BY54">
        <v>426624</v>
      </c>
      <c r="BZ54" t="s">
        <v>5411</v>
      </c>
      <c r="CA54">
        <v>1</v>
      </c>
      <c r="CB54" t="b">
        <v>1</v>
      </c>
      <c r="CC54">
        <v>0</v>
      </c>
      <c r="CD54" t="b">
        <v>0</v>
      </c>
      <c r="CE54" t="b">
        <v>0</v>
      </c>
      <c r="CF54" t="b">
        <v>1</v>
      </c>
      <c r="CG54">
        <v>2441794</v>
      </c>
      <c r="CH54" t="s">
        <v>1681</v>
      </c>
      <c r="CI54" s="10">
        <v>534950</v>
      </c>
      <c r="CJ54" s="7">
        <v>39036</v>
      </c>
    </row>
    <row r="55" spans="1:89">
      <c r="A55">
        <v>27077024</v>
      </c>
      <c r="B55" s="2" t="str">
        <f>HYPERLINK("http://www.redfin.com/stingray/do/printable-listing?listing-id=729389","Active")</f>
        <v>Active</v>
      </c>
      <c r="D55" t="s">
        <v>4611</v>
      </c>
      <c r="E55" t="s">
        <v>5437</v>
      </c>
      <c r="F55">
        <v>910000</v>
      </c>
      <c r="G55">
        <v>2007</v>
      </c>
      <c r="H55">
        <v>2844</v>
      </c>
      <c r="I55">
        <v>5870</v>
      </c>
      <c r="J55">
        <v>4</v>
      </c>
      <c r="K55">
        <v>2.5</v>
      </c>
      <c r="M55" s="2" t="str">
        <f>HYPERLINK("http://maps.live.com/default.aspx?v=2&amp;lvl=15&amp;sp=Point.47.625255_-122.124603_16165 Northup Way&amp;cp=47.625255~-122.124603","Map")</f>
        <v>Map</v>
      </c>
      <c r="N55" s="2" t="str">
        <f>HYPERLINK("http://i-0.rfimg.us/photo/1/bigphoto/024/27077024_4.jpg","Photo")</f>
        <v>Photo</v>
      </c>
      <c r="AG55">
        <v>47.625255000000003</v>
      </c>
      <c r="AH55">
        <v>-122.12460299999999</v>
      </c>
      <c r="AI55" t="s">
        <v>369</v>
      </c>
      <c r="AJ55">
        <v>98008</v>
      </c>
      <c r="BC55" s="22">
        <v>39206.404247685183</v>
      </c>
      <c r="BI55" s="7">
        <v>39535</v>
      </c>
      <c r="BL55">
        <v>18200</v>
      </c>
      <c r="BM55">
        <v>729389</v>
      </c>
      <c r="BN55" t="s">
        <v>1798</v>
      </c>
      <c r="BO55" s="17">
        <f t="shared" ca="1" si="0"/>
        <v>342.90515821759618</v>
      </c>
      <c r="BP55" t="b">
        <v>0</v>
      </c>
      <c r="BQ55">
        <v>1</v>
      </c>
      <c r="BR55" t="s">
        <v>2463</v>
      </c>
      <c r="BS55" t="s">
        <v>5135</v>
      </c>
      <c r="BT55" t="b">
        <v>0</v>
      </c>
      <c r="BV55" t="s">
        <v>1668</v>
      </c>
      <c r="BW55">
        <v>16165</v>
      </c>
      <c r="BY55">
        <v>12423474</v>
      </c>
      <c r="BZ55" t="s">
        <v>5438</v>
      </c>
      <c r="CA55">
        <v>1</v>
      </c>
      <c r="CB55" t="b">
        <v>1</v>
      </c>
      <c r="CC55">
        <v>0</v>
      </c>
      <c r="CD55" t="b">
        <v>0</v>
      </c>
      <c r="CE55" t="b">
        <v>0</v>
      </c>
      <c r="CF55" t="b">
        <v>1</v>
      </c>
      <c r="CG55">
        <v>15627222</v>
      </c>
      <c r="CH55" t="s">
        <v>1681</v>
      </c>
      <c r="CI55" s="10">
        <v>910000</v>
      </c>
    </row>
    <row r="56" spans="1:89">
      <c r="A56">
        <v>27077080</v>
      </c>
      <c r="B56" s="2" t="str">
        <f>HYPERLINK("http://www.redfin.com/stingray/do/printable-listing?listing-id=729492","Active")</f>
        <v>Active</v>
      </c>
      <c r="D56" t="s">
        <v>4611</v>
      </c>
      <c r="E56" t="s">
        <v>5422</v>
      </c>
      <c r="F56" s="19">
        <v>914800</v>
      </c>
      <c r="G56">
        <v>2007</v>
      </c>
      <c r="H56">
        <v>3201</v>
      </c>
      <c r="I56">
        <v>5257</v>
      </c>
      <c r="J56">
        <v>3</v>
      </c>
      <c r="K56">
        <v>4</v>
      </c>
      <c r="M56" s="2" t="str">
        <f>HYPERLINK("http://maps.live.com/default.aspx?v=2&amp;lvl=15&amp;sp=Point.47.625251_-122.124586_16169 Northup Way&amp;cp=47.625251~-122.124586","Map")</f>
        <v>Map</v>
      </c>
      <c r="N56" s="2" t="str">
        <f>HYPERLINK("http://i-0.rfimg.us/photo/1/bigphoto/080/27077080_M.jpg","Photo")</f>
        <v>Photo</v>
      </c>
      <c r="AG56">
        <v>47.625250999999999</v>
      </c>
      <c r="AH56">
        <v>-122.12458599999999</v>
      </c>
      <c r="AI56" t="s">
        <v>369</v>
      </c>
      <c r="AJ56">
        <v>98008</v>
      </c>
      <c r="BC56" s="22">
        <v>39206.426979166667</v>
      </c>
      <c r="BI56" s="22">
        <v>39549.294907407406</v>
      </c>
      <c r="BL56">
        <v>18696</v>
      </c>
      <c r="BM56">
        <v>729492</v>
      </c>
      <c r="BN56" t="s">
        <v>1798</v>
      </c>
      <c r="BO56" s="17">
        <f t="shared" ca="1" si="0"/>
        <v>342.88242673611239</v>
      </c>
      <c r="BP56" t="b">
        <v>0</v>
      </c>
      <c r="BQ56">
        <v>1</v>
      </c>
      <c r="BR56" t="s">
        <v>2463</v>
      </c>
      <c r="BS56" t="s">
        <v>5135</v>
      </c>
      <c r="BT56" t="b">
        <v>0</v>
      </c>
      <c r="BV56" t="s">
        <v>1668</v>
      </c>
      <c r="BW56">
        <v>16169</v>
      </c>
      <c r="BY56">
        <v>12258135</v>
      </c>
      <c r="BZ56" t="s">
        <v>5423</v>
      </c>
      <c r="CA56">
        <v>1</v>
      </c>
      <c r="CB56" t="b">
        <v>1</v>
      </c>
      <c r="CC56">
        <v>0</v>
      </c>
      <c r="CD56" t="b">
        <v>0</v>
      </c>
      <c r="CE56" t="b">
        <v>0</v>
      </c>
      <c r="CF56" t="b">
        <v>1</v>
      </c>
      <c r="CG56">
        <v>15483372</v>
      </c>
      <c r="CH56" t="s">
        <v>1681</v>
      </c>
      <c r="CI56" s="10">
        <v>934800</v>
      </c>
    </row>
    <row r="57" spans="1:89">
      <c r="A57">
        <v>27079954</v>
      </c>
      <c r="B57" s="2" t="str">
        <f>HYPERLINK("http://www.redfin.com/stingray/do/printable-listing?listing-id=739846","Active")</f>
        <v>Active</v>
      </c>
      <c r="D57" t="s">
        <v>4974</v>
      </c>
      <c r="E57" t="s">
        <v>5101</v>
      </c>
      <c r="F57">
        <v>1195000</v>
      </c>
      <c r="G57">
        <v>2005</v>
      </c>
      <c r="H57">
        <v>2690</v>
      </c>
      <c r="I57">
        <v>8400</v>
      </c>
      <c r="J57">
        <v>4</v>
      </c>
      <c r="K57">
        <v>3.5</v>
      </c>
      <c r="M57" s="2" t="str">
        <f>HYPERLINK("http://maps.live.com/default.aspx?v=2&amp;lvl=15&amp;sp=Point.47.632427_-122.19647_2418 108th Ave NE&amp;cp=47.632427~-122.19647","Map")</f>
        <v>Map</v>
      </c>
      <c r="N57" s="2" t="str">
        <f>HYPERLINK("http://i-0.rfimg.us/photo/1/bigphoto/954/27079954_6.jpg","Photo")</f>
        <v>Photo</v>
      </c>
      <c r="AG57">
        <v>47.632427</v>
      </c>
      <c r="AH57">
        <v>-122.19647000000001</v>
      </c>
      <c r="AI57" t="s">
        <v>369</v>
      </c>
      <c r="AJ57">
        <v>98004</v>
      </c>
      <c r="AN57">
        <v>325000</v>
      </c>
      <c r="BC57" s="22">
        <v>39210.6874537037</v>
      </c>
      <c r="BI57" s="7">
        <v>39539</v>
      </c>
      <c r="BL57">
        <v>23900</v>
      </c>
      <c r="BM57">
        <v>739846</v>
      </c>
      <c r="BN57" t="s">
        <v>1768</v>
      </c>
      <c r="BO57" s="17">
        <f t="shared" ca="1" si="0"/>
        <v>338.62195219907881</v>
      </c>
      <c r="BP57" t="b">
        <v>0</v>
      </c>
      <c r="BQ57">
        <v>1</v>
      </c>
      <c r="BR57" t="s">
        <v>1667</v>
      </c>
      <c r="BS57" t="s">
        <v>4355</v>
      </c>
      <c r="BT57" t="b">
        <v>0</v>
      </c>
      <c r="BV57" t="s">
        <v>1668</v>
      </c>
      <c r="BW57">
        <v>2418</v>
      </c>
      <c r="BX57" t="s">
        <v>1738</v>
      </c>
      <c r="BY57">
        <v>506913</v>
      </c>
      <c r="BZ57" t="s">
        <v>5102</v>
      </c>
      <c r="CA57">
        <v>1</v>
      </c>
      <c r="CB57" t="b">
        <v>1</v>
      </c>
      <c r="CC57">
        <v>0</v>
      </c>
      <c r="CD57" t="b">
        <v>0</v>
      </c>
      <c r="CE57" t="b">
        <v>0</v>
      </c>
      <c r="CF57" t="b">
        <v>1</v>
      </c>
      <c r="CG57">
        <v>2875106</v>
      </c>
      <c r="CH57" t="s">
        <v>1681</v>
      </c>
      <c r="CI57" s="10">
        <v>1195000</v>
      </c>
      <c r="CJ57" s="7">
        <v>38196</v>
      </c>
    </row>
    <row r="58" spans="1:89">
      <c r="A58">
        <v>27080075</v>
      </c>
      <c r="B58" s="2" t="str">
        <f>HYPERLINK("http://www.redfin.com/stingray/do/printable-listing?listing-id=747424","Active")</f>
        <v>Active</v>
      </c>
      <c r="D58" t="s">
        <v>5125</v>
      </c>
      <c r="E58" t="s">
        <v>5296</v>
      </c>
      <c r="F58">
        <v>625000</v>
      </c>
      <c r="G58">
        <v>1961</v>
      </c>
      <c r="H58">
        <v>1330</v>
      </c>
      <c r="I58">
        <v>6682</v>
      </c>
      <c r="J58">
        <v>3</v>
      </c>
      <c r="K58">
        <v>1.75</v>
      </c>
      <c r="M58" s="2" t="str">
        <f>HYPERLINK("http://maps.live.com/default.aspx?v=2&amp;lvl=15&amp;sp=Point.47.605063_-122.193012_442 110th Ave SE&amp;cp=47.605063~-122.193012","Map")</f>
        <v>Map</v>
      </c>
      <c r="N58" s="2" t="str">
        <f>HYPERLINK("http://i-0.rfimg.us/photo/1/bigphoto/075/27080075_4.jpg","Photo")</f>
        <v>Photo</v>
      </c>
      <c r="AG58">
        <v>47.605063000000001</v>
      </c>
      <c r="AH58">
        <v>-122.193012</v>
      </c>
      <c r="AI58" t="s">
        <v>369</v>
      </c>
      <c r="AJ58">
        <v>98004</v>
      </c>
      <c r="AN58">
        <v>223000</v>
      </c>
      <c r="BC58" s="22">
        <v>39213.287673611114</v>
      </c>
      <c r="BI58" s="22">
        <v>39549.294907407406</v>
      </c>
      <c r="BL58">
        <v>12500</v>
      </c>
      <c r="BM58">
        <v>747424</v>
      </c>
      <c r="BN58" t="s">
        <v>1768</v>
      </c>
      <c r="BO58" s="17">
        <f t="shared" ca="1" si="0"/>
        <v>336.0217322916651</v>
      </c>
      <c r="BP58" t="b">
        <v>0</v>
      </c>
      <c r="BQ58">
        <v>1</v>
      </c>
      <c r="BR58" t="s">
        <v>1667</v>
      </c>
      <c r="BS58" t="s">
        <v>4369</v>
      </c>
      <c r="BT58" t="b">
        <v>0</v>
      </c>
      <c r="BV58" t="s">
        <v>1668</v>
      </c>
      <c r="BW58">
        <v>442</v>
      </c>
      <c r="BX58" t="s">
        <v>3856</v>
      </c>
      <c r="BY58">
        <v>510002</v>
      </c>
      <c r="BZ58" t="s">
        <v>5297</v>
      </c>
      <c r="CA58">
        <v>1</v>
      </c>
      <c r="CB58" t="b">
        <v>1</v>
      </c>
      <c r="CC58">
        <v>0</v>
      </c>
      <c r="CD58" t="b">
        <v>0</v>
      </c>
      <c r="CE58" t="b">
        <v>0</v>
      </c>
      <c r="CF58" t="b">
        <v>1</v>
      </c>
      <c r="CG58">
        <v>2484124</v>
      </c>
      <c r="CH58" t="s">
        <v>1681</v>
      </c>
      <c r="CI58" s="10">
        <v>625000</v>
      </c>
      <c r="CJ58" s="7">
        <v>36175</v>
      </c>
    </row>
    <row r="59" spans="1:89">
      <c r="A59">
        <v>27082129</v>
      </c>
      <c r="B59" s="2" t="str">
        <f>HYPERLINK("http://www.redfin.com/stingray/do/printable-listing?listing-id=747422","Active")</f>
        <v>Active</v>
      </c>
      <c r="D59" t="s">
        <v>5153</v>
      </c>
      <c r="E59" t="s">
        <v>5405</v>
      </c>
      <c r="F59">
        <v>639000</v>
      </c>
      <c r="G59">
        <v>1955</v>
      </c>
      <c r="H59">
        <v>3060</v>
      </c>
      <c r="I59">
        <v>9574</v>
      </c>
      <c r="J59">
        <v>5</v>
      </c>
      <c r="K59">
        <v>2.5</v>
      </c>
      <c r="M59" s="2" t="str">
        <f>HYPERLINK("http://maps.live.com/default.aspx?v=2&amp;lvl=15&amp;sp=Point.47.578058_-122.155115_13664 SE 37th St&amp;cp=47.578058~-122.155115","Map")</f>
        <v>Map</v>
      </c>
      <c r="N59" s="2" t="str">
        <f>HYPERLINK("http://i-0.rfimg.us/photo/1/bigphoto/129/27082129_5.jpg","Photo")</f>
        <v>Photo</v>
      </c>
      <c r="AG59">
        <v>47.578057999999999</v>
      </c>
      <c r="AH59">
        <v>-122.155115</v>
      </c>
      <c r="AI59" t="s">
        <v>369</v>
      </c>
      <c r="AJ59">
        <v>98006</v>
      </c>
      <c r="AN59">
        <v>135500</v>
      </c>
      <c r="BC59" s="22">
        <v>39213.287638888891</v>
      </c>
      <c r="BI59" s="22">
        <v>39549.294907407406</v>
      </c>
      <c r="BL59">
        <v>12780</v>
      </c>
      <c r="BM59">
        <v>747422</v>
      </c>
      <c r="BN59" t="s">
        <v>3236</v>
      </c>
      <c r="BO59" s="17">
        <f t="shared" ca="1" si="0"/>
        <v>336.02176701388817</v>
      </c>
      <c r="BP59" t="b">
        <v>0</v>
      </c>
      <c r="BQ59">
        <v>1</v>
      </c>
      <c r="BR59" t="s">
        <v>1686</v>
      </c>
      <c r="BS59" t="s">
        <v>2192</v>
      </c>
      <c r="BT59" t="b">
        <v>0</v>
      </c>
      <c r="BU59" t="s">
        <v>3856</v>
      </c>
      <c r="BV59" t="s">
        <v>1668</v>
      </c>
      <c r="BW59">
        <v>13664</v>
      </c>
      <c r="BY59">
        <v>234025</v>
      </c>
      <c r="BZ59" t="s">
        <v>5406</v>
      </c>
      <c r="CA59">
        <v>1</v>
      </c>
      <c r="CB59" t="b">
        <v>1</v>
      </c>
      <c r="CC59">
        <v>0</v>
      </c>
      <c r="CD59" t="b">
        <v>0</v>
      </c>
      <c r="CE59" t="b">
        <v>0</v>
      </c>
      <c r="CF59" t="b">
        <v>1</v>
      </c>
      <c r="CG59">
        <v>2968866</v>
      </c>
      <c r="CH59" t="s">
        <v>1681</v>
      </c>
      <c r="CI59" s="10">
        <v>639000</v>
      </c>
      <c r="CJ59" s="7">
        <v>33996</v>
      </c>
    </row>
    <row r="60" spans="1:89">
      <c r="A60">
        <v>27082179</v>
      </c>
      <c r="B60" s="2" t="str">
        <f>HYPERLINK("http://www.redfin.com/stingray/do/printable-listing?listing-id=748291","Active")</f>
        <v>Active</v>
      </c>
      <c r="D60" t="s">
        <v>3249</v>
      </c>
      <c r="E60" t="s">
        <v>3339</v>
      </c>
      <c r="F60">
        <v>549950</v>
      </c>
      <c r="G60">
        <v>1909</v>
      </c>
      <c r="H60">
        <v>2030</v>
      </c>
      <c r="I60">
        <v>0</v>
      </c>
      <c r="J60">
        <v>3</v>
      </c>
      <c r="K60">
        <v>1</v>
      </c>
      <c r="M60" s="2" t="str">
        <f>HYPERLINK("http://maps.live.com/default.aspx?v=2&amp;lvl=15&amp;sp=Point.47.647594_-122.359568_43 W Etruria&amp;cp=47.647594~-122.359568","Map")</f>
        <v>Map</v>
      </c>
      <c r="N60" s="2" t="str">
        <f>HYPERLINK("http://i-0.rfimg.us/photo/1/bigphoto/179/27082179_5.jpg","Photo")</f>
        <v>Photo</v>
      </c>
      <c r="AG60">
        <v>47.647593999999998</v>
      </c>
      <c r="AH60">
        <v>-122.359568</v>
      </c>
      <c r="AI60" t="s">
        <v>66</v>
      </c>
      <c r="AJ60">
        <v>98119</v>
      </c>
      <c r="AN60">
        <v>435000</v>
      </c>
      <c r="BC60" s="22">
        <v>39213.561979166669</v>
      </c>
      <c r="BI60" s="22">
        <v>39549.294907407406</v>
      </c>
      <c r="BL60">
        <v>10999</v>
      </c>
      <c r="BM60">
        <v>748291</v>
      </c>
      <c r="BN60" t="s">
        <v>1678</v>
      </c>
      <c r="BO60" s="17">
        <f t="shared" ca="1" si="0"/>
        <v>335.74742673611036</v>
      </c>
      <c r="BP60" t="b">
        <v>0</v>
      </c>
      <c r="BQ60">
        <v>1</v>
      </c>
      <c r="BS60" t="s">
        <v>3268</v>
      </c>
      <c r="BT60" t="b">
        <v>0</v>
      </c>
      <c r="BU60" t="s">
        <v>2423</v>
      </c>
      <c r="BV60" t="s">
        <v>1668</v>
      </c>
      <c r="BW60">
        <v>43</v>
      </c>
      <c r="BY60">
        <v>130567</v>
      </c>
      <c r="BZ60" t="s">
        <v>3340</v>
      </c>
      <c r="CA60">
        <v>1</v>
      </c>
      <c r="CB60" t="b">
        <v>1</v>
      </c>
      <c r="CC60">
        <v>0</v>
      </c>
      <c r="CD60" t="b">
        <v>0</v>
      </c>
      <c r="CE60" t="b">
        <v>0</v>
      </c>
      <c r="CF60" t="b">
        <v>1</v>
      </c>
      <c r="CG60">
        <v>2941028</v>
      </c>
      <c r="CH60" t="s">
        <v>1681</v>
      </c>
      <c r="CI60" s="10">
        <v>549950</v>
      </c>
      <c r="CJ60" s="7">
        <v>38789</v>
      </c>
    </row>
    <row r="61" spans="1:89">
      <c r="A61">
        <v>27089888</v>
      </c>
      <c r="B61" s="2" t="str">
        <f>HYPERLINK("http://www.redfin.com/stingray/do/printable-listing?listing-id=774663","Subject To Inspection")</f>
        <v>Subject To Inspection</v>
      </c>
      <c r="D61" t="s">
        <v>4363</v>
      </c>
      <c r="E61" t="s">
        <v>4925</v>
      </c>
      <c r="F61">
        <v>599950</v>
      </c>
      <c r="G61">
        <v>2007</v>
      </c>
      <c r="H61">
        <v>2462</v>
      </c>
      <c r="I61">
        <v>0</v>
      </c>
      <c r="J61">
        <v>3</v>
      </c>
      <c r="K61">
        <v>3.5</v>
      </c>
      <c r="M61" s="2" t="str">
        <f>HYPERLINK("http://maps.live.com/default.aspx?v=2&amp;lvl=15&amp;sp=Point.47.6612_-122.1412_7928 150th Ct NE&amp;cp=47.6612~-122.1412","Map")</f>
        <v>Map</v>
      </c>
      <c r="N61" s="2" t="str">
        <f>HYPERLINK("http://i-0.rfimg.us/photo/1/bigphoto/888/27089888_4.jpg","Photo")</f>
        <v>Photo</v>
      </c>
      <c r="AG61">
        <v>47.661200000000001</v>
      </c>
      <c r="AH61">
        <v>-122.1412</v>
      </c>
      <c r="AI61" t="s">
        <v>4363</v>
      </c>
      <c r="AJ61">
        <v>98052</v>
      </c>
      <c r="BC61" s="22">
        <v>39224.607071759259</v>
      </c>
      <c r="BI61" s="22">
        <v>39549.294907407406</v>
      </c>
      <c r="BL61">
        <v>11999</v>
      </c>
      <c r="BM61">
        <v>774663</v>
      </c>
      <c r="BN61" t="s">
        <v>1688</v>
      </c>
      <c r="BO61" s="17">
        <f t="shared" ca="1" si="0"/>
        <v>324.70233414351969</v>
      </c>
      <c r="BP61" t="b">
        <v>0</v>
      </c>
      <c r="BQ61">
        <v>2</v>
      </c>
      <c r="BR61" t="s">
        <v>3768</v>
      </c>
      <c r="BS61" t="s">
        <v>4926</v>
      </c>
      <c r="BT61" t="b">
        <v>0</v>
      </c>
      <c r="BV61" t="s">
        <v>1668</v>
      </c>
      <c r="BW61">
        <v>7928</v>
      </c>
      <c r="BX61" t="s">
        <v>1738</v>
      </c>
      <c r="BY61">
        <v>12165942</v>
      </c>
      <c r="BZ61" t="s">
        <v>4927</v>
      </c>
      <c r="CA61">
        <v>1</v>
      </c>
      <c r="CB61" t="b">
        <v>1</v>
      </c>
      <c r="CC61">
        <v>0</v>
      </c>
      <c r="CD61" t="b">
        <v>0</v>
      </c>
      <c r="CE61" t="b">
        <v>0</v>
      </c>
      <c r="CF61" t="b">
        <v>1</v>
      </c>
      <c r="CG61">
        <v>15396663</v>
      </c>
      <c r="CH61" t="s">
        <v>1681</v>
      </c>
      <c r="CI61" s="10">
        <v>599950</v>
      </c>
    </row>
    <row r="62" spans="1:89">
      <c r="A62">
        <v>27090152</v>
      </c>
      <c r="B62" s="2" t="str">
        <f>HYPERLINK("http://www.redfin.com/stingray/do/printable-listing?listing-id=781253","Active")</f>
        <v>Active</v>
      </c>
      <c r="D62" t="s">
        <v>4542</v>
      </c>
      <c r="E62" t="s">
        <v>4855</v>
      </c>
      <c r="F62">
        <v>1249950</v>
      </c>
      <c r="G62">
        <v>2007</v>
      </c>
      <c r="H62">
        <v>3220</v>
      </c>
      <c r="I62">
        <v>8753</v>
      </c>
      <c r="J62">
        <v>4</v>
      </c>
      <c r="K62">
        <v>2.5</v>
      </c>
      <c r="M62" s="2" t="str">
        <f>HYPERLINK("http://maps.live.com/default.aspx?v=2&amp;lvl=15&amp;sp=Point.47.684837_-122.199503_1103 5th St&amp;cp=47.684837~-122.199503","Map")</f>
        <v>Map</v>
      </c>
      <c r="N62" s="2" t="str">
        <f>HYPERLINK("http://i-0.rfimg.us/photo/1/bigphoto/152/27090152_9.jpg","Photo")</f>
        <v>Photo</v>
      </c>
      <c r="AG62">
        <v>47.684837000000002</v>
      </c>
      <c r="AH62">
        <v>-122.19950300000001</v>
      </c>
      <c r="AI62" t="s">
        <v>1058</v>
      </c>
      <c r="AJ62">
        <v>98033</v>
      </c>
      <c r="BC62" s="22">
        <v>39226.485474537039</v>
      </c>
      <c r="BI62" s="22">
        <v>39549.294907407406</v>
      </c>
      <c r="BL62">
        <v>24999</v>
      </c>
      <c r="BM62">
        <v>781253</v>
      </c>
      <c r="BN62" t="s">
        <v>1798</v>
      </c>
      <c r="BO62" s="17">
        <f t="shared" ca="1" si="0"/>
        <v>322.82393136573955</v>
      </c>
      <c r="BP62" t="b">
        <v>0</v>
      </c>
      <c r="BQ62">
        <v>1</v>
      </c>
      <c r="BR62" t="s">
        <v>1686</v>
      </c>
      <c r="BS62" t="s">
        <v>1832</v>
      </c>
      <c r="BT62" t="b">
        <v>0</v>
      </c>
      <c r="BV62" t="s">
        <v>1668</v>
      </c>
      <c r="BW62">
        <v>1103</v>
      </c>
      <c r="BY62">
        <v>11896766</v>
      </c>
      <c r="BZ62" t="s">
        <v>4856</v>
      </c>
      <c r="CA62">
        <v>1</v>
      </c>
      <c r="CB62" t="b">
        <v>1</v>
      </c>
      <c r="CC62">
        <v>0</v>
      </c>
      <c r="CD62" t="b">
        <v>0</v>
      </c>
      <c r="CE62" t="b">
        <v>0</v>
      </c>
      <c r="CF62" t="b">
        <v>1</v>
      </c>
      <c r="CG62">
        <v>15150991</v>
      </c>
      <c r="CH62" t="s">
        <v>1681</v>
      </c>
      <c r="CI62" s="10">
        <v>1249950</v>
      </c>
    </row>
    <row r="63" spans="1:89">
      <c r="A63">
        <v>27091504</v>
      </c>
      <c r="B63" s="2" t="str">
        <f>HYPERLINK("http://www.redfin.com/stingray/do/printable-listing?listing-id=778930","Active")</f>
        <v>Active</v>
      </c>
      <c r="D63" t="s">
        <v>70</v>
      </c>
      <c r="E63" t="s">
        <v>150</v>
      </c>
      <c r="F63">
        <v>455000</v>
      </c>
      <c r="G63">
        <v>1929</v>
      </c>
      <c r="H63">
        <v>2800</v>
      </c>
      <c r="I63">
        <v>6591</v>
      </c>
      <c r="J63">
        <v>5</v>
      </c>
      <c r="K63">
        <v>1.75</v>
      </c>
      <c r="M63" s="2" t="str">
        <f>HYPERLINK("http://maps.live.com/default.aspx?v=2&amp;lvl=15&amp;sp=Point.47.716393_-122.353285_12011 Dayton Ave N&amp;cp=47.716393~-122.353285","Map")</f>
        <v>Map</v>
      </c>
      <c r="N63" s="2" t="str">
        <f>HYPERLINK("http://i-0.rfimg.us/photo/1/bigphoto/504/27091504_B.jpg","Photo")</f>
        <v>Photo</v>
      </c>
      <c r="AG63">
        <v>47.716392999999997</v>
      </c>
      <c r="AH63">
        <v>-122.353285</v>
      </c>
      <c r="AI63" t="s">
        <v>66</v>
      </c>
      <c r="AJ63">
        <v>98133</v>
      </c>
      <c r="BC63" s="22">
        <v>39225.77076388889</v>
      </c>
      <c r="BI63" s="22">
        <v>39549.294907407406</v>
      </c>
      <c r="BL63">
        <v>9100</v>
      </c>
      <c r="BM63">
        <v>778930</v>
      </c>
      <c r="BN63" t="s">
        <v>2708</v>
      </c>
      <c r="BO63" s="17">
        <f t="shared" ca="1" si="0"/>
        <v>323.53864212962799</v>
      </c>
      <c r="BP63" t="b">
        <v>0</v>
      </c>
      <c r="BQ63">
        <v>1</v>
      </c>
      <c r="BR63" t="s">
        <v>1667</v>
      </c>
      <c r="BS63" t="s">
        <v>2640</v>
      </c>
      <c r="BT63" t="b">
        <v>0</v>
      </c>
      <c r="BV63" t="s">
        <v>1668</v>
      </c>
      <c r="BW63">
        <v>12011</v>
      </c>
      <c r="BX63" t="s">
        <v>1712</v>
      </c>
      <c r="BY63">
        <v>97962</v>
      </c>
      <c r="BZ63" t="s">
        <v>2709</v>
      </c>
      <c r="CA63">
        <v>1</v>
      </c>
      <c r="CB63" t="b">
        <v>1</v>
      </c>
      <c r="CC63">
        <v>0</v>
      </c>
      <c r="CD63" t="b">
        <v>0</v>
      </c>
      <c r="CE63" t="b">
        <v>0</v>
      </c>
      <c r="CF63" t="b">
        <v>1</v>
      </c>
      <c r="CG63">
        <v>2640212</v>
      </c>
      <c r="CH63" t="s">
        <v>1681</v>
      </c>
      <c r="CI63" s="10">
        <v>455000</v>
      </c>
    </row>
    <row r="64" spans="1:89">
      <c r="A64">
        <v>27092332</v>
      </c>
      <c r="B64" s="2" t="str">
        <f>HYPERLINK("http://www.redfin.com/stingray/do/printable-listing?listing-id=783732","Active")</f>
        <v>Active</v>
      </c>
      <c r="D64" t="s">
        <v>3704</v>
      </c>
      <c r="E64" t="s">
        <v>4028</v>
      </c>
      <c r="F64" s="19">
        <v>499950</v>
      </c>
      <c r="G64">
        <v>2007</v>
      </c>
      <c r="H64">
        <v>1353</v>
      </c>
      <c r="I64">
        <v>0</v>
      </c>
      <c r="J64">
        <v>2</v>
      </c>
      <c r="K64">
        <v>2.5</v>
      </c>
      <c r="M64" s="2" t="str">
        <f>HYPERLINK("http://maps.live.com/default.aspx?v=2&amp;lvl=15&amp;sp=Point.47.616637_-122.314007_1408 E Olive St&amp;cp=47.616637~-122.314007","Map")</f>
        <v>Map</v>
      </c>
      <c r="N64" s="2" t="str">
        <f>HYPERLINK("http://i-0.rfimg.us/photo/1/bigphoto/332/27092332_6.jpg","Photo")</f>
        <v>Photo</v>
      </c>
      <c r="AG64">
        <v>47.616636999999997</v>
      </c>
      <c r="AH64">
        <v>-122.314007</v>
      </c>
      <c r="AI64" t="s">
        <v>66</v>
      </c>
      <c r="AJ64">
        <v>98122</v>
      </c>
      <c r="BC64" s="22">
        <v>39227.668692129628</v>
      </c>
      <c r="BI64" s="22">
        <v>39549.294907407406</v>
      </c>
      <c r="BL64">
        <v>10199</v>
      </c>
      <c r="BM64">
        <v>783732</v>
      </c>
      <c r="BN64" t="s">
        <v>1768</v>
      </c>
      <c r="BO64" s="17">
        <f t="shared" ca="1" si="0"/>
        <v>321.64071377315122</v>
      </c>
      <c r="BP64" t="b">
        <v>0</v>
      </c>
      <c r="BQ64">
        <v>1</v>
      </c>
      <c r="BR64" t="s">
        <v>1686</v>
      </c>
      <c r="BS64" t="s">
        <v>4029</v>
      </c>
      <c r="BT64" t="b">
        <v>0</v>
      </c>
      <c r="BU64" t="s">
        <v>2436</v>
      </c>
      <c r="BV64" t="s">
        <v>1668</v>
      </c>
      <c r="BW64">
        <v>1408</v>
      </c>
      <c r="BY64">
        <v>11895591</v>
      </c>
      <c r="BZ64" s="21">
        <v>6.9444444444444447E-4</v>
      </c>
      <c r="CA64">
        <v>1</v>
      </c>
      <c r="CB64" t="b">
        <v>1</v>
      </c>
      <c r="CC64">
        <v>0</v>
      </c>
      <c r="CD64" t="b">
        <v>0</v>
      </c>
      <c r="CE64" t="b">
        <v>0</v>
      </c>
      <c r="CF64" t="b">
        <v>1</v>
      </c>
      <c r="CG64">
        <v>15149816</v>
      </c>
      <c r="CH64" t="s">
        <v>1681</v>
      </c>
      <c r="CI64" s="10">
        <v>509950</v>
      </c>
      <c r="CK64" t="s">
        <v>6895</v>
      </c>
    </row>
    <row r="65" spans="1:89">
      <c r="A65">
        <v>27092426</v>
      </c>
      <c r="B65" s="2" t="str">
        <f>HYPERLINK("http://www.redfin.com/stingray/do/printable-listing?listing-id=782517","Active")</f>
        <v>Active</v>
      </c>
      <c r="D65" t="s">
        <v>5291</v>
      </c>
      <c r="E65" t="s">
        <v>5875</v>
      </c>
      <c r="F65">
        <v>1100000</v>
      </c>
      <c r="G65">
        <v>1981</v>
      </c>
      <c r="H65">
        <v>3260</v>
      </c>
      <c r="I65">
        <v>43560</v>
      </c>
      <c r="J65">
        <v>4</v>
      </c>
      <c r="K65">
        <v>2.5</v>
      </c>
      <c r="M65" s="2" t="str">
        <f>HYPERLINK("http://maps.live.com/default.aspx?v=2&amp;lvl=15&amp;sp=Point.47.544377_-122.125542_6505 161st Pl SE&amp;cp=47.544377~-122.125542","Map")</f>
        <v>Map</v>
      </c>
      <c r="N65" s="2" t="str">
        <f>HYPERLINK("http://i-0.rfimg.us/photo/1/bigphoto/426/27092426_3.jpg","Photo")</f>
        <v>Photo</v>
      </c>
      <c r="AG65">
        <v>47.544376999999997</v>
      </c>
      <c r="AH65">
        <v>-122.125542</v>
      </c>
      <c r="AI65" t="s">
        <v>369</v>
      </c>
      <c r="AJ65">
        <v>98006</v>
      </c>
      <c r="BC65" s="22">
        <v>39227.433553240742</v>
      </c>
      <c r="BI65" s="22">
        <v>39549.294907407406</v>
      </c>
      <c r="BL65">
        <v>22000</v>
      </c>
      <c r="BM65">
        <v>782517</v>
      </c>
      <c r="BN65" t="s">
        <v>4882</v>
      </c>
      <c r="BO65" s="17">
        <f t="shared" ca="1" si="0"/>
        <v>321.87585266203678</v>
      </c>
      <c r="BP65" t="b">
        <v>0</v>
      </c>
      <c r="BQ65">
        <v>1</v>
      </c>
      <c r="BR65" t="s">
        <v>1842</v>
      </c>
      <c r="BS65" t="s">
        <v>5334</v>
      </c>
      <c r="BT65" t="b">
        <v>0</v>
      </c>
      <c r="BV65" t="s">
        <v>1668</v>
      </c>
      <c r="BW65">
        <v>6505</v>
      </c>
      <c r="BX65" t="s">
        <v>3856</v>
      </c>
      <c r="BY65">
        <v>419601</v>
      </c>
      <c r="BZ65" t="s">
        <v>3318</v>
      </c>
      <c r="CA65">
        <v>1</v>
      </c>
      <c r="CB65" t="b">
        <v>1</v>
      </c>
      <c r="CC65">
        <v>0</v>
      </c>
      <c r="CD65" t="b">
        <v>0</v>
      </c>
      <c r="CE65" t="b">
        <v>0</v>
      </c>
      <c r="CF65" t="b">
        <v>1</v>
      </c>
      <c r="CG65">
        <v>2648316</v>
      </c>
      <c r="CH65" t="s">
        <v>1681</v>
      </c>
      <c r="CI65" s="10">
        <v>1100000</v>
      </c>
    </row>
    <row r="66" spans="1:89">
      <c r="A66">
        <v>27094157</v>
      </c>
      <c r="B66" s="2" t="str">
        <f>HYPERLINK("http://www.redfin.com/stingray/do/printable-listing?listing-id=788960","Active")</f>
        <v>Active</v>
      </c>
      <c r="D66" t="s">
        <v>4401</v>
      </c>
      <c r="E66" t="s">
        <v>4570</v>
      </c>
      <c r="F66">
        <v>434950</v>
      </c>
      <c r="G66">
        <v>1931</v>
      </c>
      <c r="H66">
        <v>2170</v>
      </c>
      <c r="I66">
        <v>12605</v>
      </c>
      <c r="J66">
        <v>4</v>
      </c>
      <c r="K66">
        <v>1.5</v>
      </c>
      <c r="M66" s="2" t="str">
        <f>HYPERLINK("http://maps.live.com/default.aspx?v=2&amp;lvl=15&amp;sp=Point.47.724653_-122.179855_12028 NE 138th Pl&amp;cp=47.724653~-122.179855","Map")</f>
        <v>Map</v>
      </c>
      <c r="N66" s="2" t="str">
        <f>HYPERLINK("http://i-0.rfimg.us/photo/1/bigphoto/157/27094157_B.jpg","Photo")</f>
        <v>Photo</v>
      </c>
      <c r="AG66">
        <v>47.724653000000004</v>
      </c>
      <c r="AH66">
        <v>-122.179855</v>
      </c>
      <c r="AI66" t="s">
        <v>1058</v>
      </c>
      <c r="AJ66">
        <v>98034</v>
      </c>
      <c r="BC66" s="22">
        <v>39230.900150462963</v>
      </c>
      <c r="BI66" s="22">
        <v>39549.294907407406</v>
      </c>
      <c r="BL66">
        <v>8699</v>
      </c>
      <c r="BM66">
        <v>788960</v>
      </c>
      <c r="BN66" t="s">
        <v>4569</v>
      </c>
      <c r="BO66" s="17">
        <f t="shared" ref="BO66:BO129" ca="1" si="1">NOW()-BC66</f>
        <v>318.40925543981575</v>
      </c>
      <c r="BP66" t="b">
        <v>0</v>
      </c>
      <c r="BQ66">
        <v>1</v>
      </c>
      <c r="BR66" t="s">
        <v>1842</v>
      </c>
      <c r="BS66" t="s">
        <v>4421</v>
      </c>
      <c r="BT66" t="b">
        <v>0</v>
      </c>
      <c r="BU66" t="s">
        <v>1738</v>
      </c>
      <c r="BV66" t="s">
        <v>1668</v>
      </c>
      <c r="BW66">
        <v>12028</v>
      </c>
      <c r="BY66">
        <v>456418</v>
      </c>
      <c r="BZ66" t="s">
        <v>4571</v>
      </c>
      <c r="CA66">
        <v>1</v>
      </c>
      <c r="CB66" t="b">
        <v>1</v>
      </c>
      <c r="CC66">
        <v>0</v>
      </c>
      <c r="CD66" t="b">
        <v>0</v>
      </c>
      <c r="CE66" t="b">
        <v>0</v>
      </c>
      <c r="CF66" t="b">
        <v>1</v>
      </c>
      <c r="CG66">
        <v>2514626</v>
      </c>
      <c r="CH66" t="s">
        <v>1681</v>
      </c>
      <c r="CI66" s="10">
        <v>434950</v>
      </c>
    </row>
    <row r="67" spans="1:89">
      <c r="A67">
        <v>27096150</v>
      </c>
      <c r="B67" s="2" t="str">
        <f>HYPERLINK("http://www.redfin.com/stingray/do/printable-listing?listing-id=795065","Active")</f>
        <v>Active</v>
      </c>
      <c r="D67" t="s">
        <v>4663</v>
      </c>
      <c r="E67" t="s">
        <v>5000</v>
      </c>
      <c r="F67">
        <v>925900</v>
      </c>
      <c r="G67">
        <v>1965</v>
      </c>
      <c r="H67">
        <v>2500</v>
      </c>
      <c r="I67">
        <v>35000</v>
      </c>
      <c r="J67">
        <v>4</v>
      </c>
      <c r="K67">
        <v>2.25</v>
      </c>
      <c r="M67" s="2" t="str">
        <f>HYPERLINK("http://maps.live.com/default.aspx?v=2&amp;lvl=15&amp;sp=Point.47.662516_-122.162934_6125 133rd Ave NE&amp;cp=47.662516~-122.162934","Map")</f>
        <v>Map</v>
      </c>
      <c r="N67" s="2" t="str">
        <f>HYPERLINK("http://i-0.rfimg.us/photo/1/bigphoto/150/27096150_3.jpg","Photo")</f>
        <v>Photo</v>
      </c>
      <c r="AG67">
        <v>47.662515999999997</v>
      </c>
      <c r="AH67">
        <v>-122.16293400000001</v>
      </c>
      <c r="AI67" t="s">
        <v>1058</v>
      </c>
      <c r="AJ67">
        <v>98033</v>
      </c>
      <c r="BC67" s="22">
        <v>39233.404305555552</v>
      </c>
      <c r="BI67" s="22">
        <v>39549.294907407406</v>
      </c>
      <c r="BL67">
        <v>18518</v>
      </c>
      <c r="BM67">
        <v>795065</v>
      </c>
      <c r="BN67" t="s">
        <v>1737</v>
      </c>
      <c r="BO67" s="17">
        <f t="shared" ca="1" si="1"/>
        <v>315.90510034722683</v>
      </c>
      <c r="BP67" t="b">
        <v>0</v>
      </c>
      <c r="BQ67">
        <v>1</v>
      </c>
      <c r="BR67" t="s">
        <v>1667</v>
      </c>
      <c r="BS67" t="s">
        <v>4416</v>
      </c>
      <c r="BT67" t="b">
        <v>0</v>
      </c>
      <c r="BV67" t="s">
        <v>1668</v>
      </c>
      <c r="BW67">
        <v>6125</v>
      </c>
      <c r="BX67" t="s">
        <v>1738</v>
      </c>
      <c r="BY67">
        <v>431250</v>
      </c>
      <c r="BZ67" t="s">
        <v>5001</v>
      </c>
      <c r="CA67">
        <v>1</v>
      </c>
      <c r="CB67" t="b">
        <v>1</v>
      </c>
      <c r="CC67">
        <v>0</v>
      </c>
      <c r="CD67" t="b">
        <v>0</v>
      </c>
      <c r="CE67" t="b">
        <v>0</v>
      </c>
      <c r="CF67" t="b">
        <v>1</v>
      </c>
      <c r="CG67">
        <v>2698603</v>
      </c>
      <c r="CH67" t="s">
        <v>1681</v>
      </c>
      <c r="CI67" s="10">
        <v>925900</v>
      </c>
    </row>
    <row r="68" spans="1:89">
      <c r="A68">
        <v>27096159</v>
      </c>
      <c r="B68" s="2" t="str">
        <f>HYPERLINK("http://www.redfin.com/stingray/do/printable-listing?listing-id=795067","Active")</f>
        <v>Active</v>
      </c>
      <c r="D68" t="s">
        <v>88</v>
      </c>
      <c r="E68" t="s">
        <v>1987</v>
      </c>
      <c r="F68">
        <v>749990</v>
      </c>
      <c r="G68">
        <v>2007</v>
      </c>
      <c r="H68">
        <v>1269</v>
      </c>
      <c r="I68">
        <v>0</v>
      </c>
      <c r="J68">
        <v>2</v>
      </c>
      <c r="K68">
        <v>2</v>
      </c>
      <c r="M68" s="2" t="str">
        <f>HYPERLINK("http://maps.live.com/default.aspx?v=2&amp;lvl=15&amp;sp=Point.47.678846_-122.355503_6801 Greenwood Ave N n308&amp;cp=47.678846~-122.355503","Map")</f>
        <v>Map</v>
      </c>
      <c r="N68" s="2" t="str">
        <f>HYPERLINK("http://i-0.rfimg.us/photo/1/bigphoto/159/27096159_1.jpg","Photo")</f>
        <v>Photo</v>
      </c>
      <c r="AG68">
        <v>47.678846</v>
      </c>
      <c r="AH68">
        <v>-122.355503</v>
      </c>
      <c r="AI68" t="s">
        <v>66</v>
      </c>
      <c r="AJ68">
        <v>98103</v>
      </c>
      <c r="AM68" t="s">
        <v>1988</v>
      </c>
      <c r="BC68" s="22">
        <v>39233.404386574075</v>
      </c>
      <c r="BI68" s="7">
        <v>39530</v>
      </c>
      <c r="BL68">
        <v>15000</v>
      </c>
      <c r="BM68">
        <v>795067</v>
      </c>
      <c r="BN68" t="s">
        <v>1833</v>
      </c>
      <c r="BO68" s="17">
        <f t="shared" ca="1" si="1"/>
        <v>315.90501944444259</v>
      </c>
      <c r="BP68" t="b">
        <v>0</v>
      </c>
      <c r="BQ68">
        <v>1</v>
      </c>
      <c r="BR68" t="s">
        <v>1667</v>
      </c>
      <c r="BS68" t="s">
        <v>55</v>
      </c>
      <c r="BT68" t="b">
        <v>0</v>
      </c>
      <c r="BV68" t="s">
        <v>1668</v>
      </c>
      <c r="BW68">
        <v>6801</v>
      </c>
      <c r="BX68" t="s">
        <v>1712</v>
      </c>
      <c r="BY68">
        <v>12421387</v>
      </c>
      <c r="BZ68" t="s">
        <v>1845</v>
      </c>
      <c r="CA68">
        <v>1</v>
      </c>
      <c r="CB68" t="b">
        <v>1</v>
      </c>
      <c r="CC68">
        <v>0</v>
      </c>
      <c r="CD68" t="b">
        <v>0</v>
      </c>
      <c r="CE68" t="b">
        <v>0</v>
      </c>
      <c r="CF68" t="b">
        <v>1</v>
      </c>
      <c r="CG68">
        <v>15161050</v>
      </c>
      <c r="CH68" t="s">
        <v>1666</v>
      </c>
      <c r="CI68" s="10">
        <v>749990</v>
      </c>
      <c r="CK68" t="s">
        <v>1998</v>
      </c>
    </row>
    <row r="69" spans="1:89">
      <c r="A69">
        <v>27096179</v>
      </c>
      <c r="B69" s="2" t="str">
        <f>HYPERLINK("http://www.redfin.com/stingray/do/printable-listing?listing-id=795559","Active")</f>
        <v>Active</v>
      </c>
      <c r="D69" t="s">
        <v>3929</v>
      </c>
      <c r="E69" t="s">
        <v>3927</v>
      </c>
      <c r="F69">
        <v>639888</v>
      </c>
      <c r="G69">
        <v>2007</v>
      </c>
      <c r="H69">
        <v>3635</v>
      </c>
      <c r="I69">
        <v>7968</v>
      </c>
      <c r="J69">
        <v>4</v>
      </c>
      <c r="K69">
        <v>3.5</v>
      </c>
      <c r="M69" s="2" t="str">
        <f>HYPERLINK("http://maps.live.com/default.aspx?v=2&amp;lvl=15&amp;sp=adr.6100 NE 3rd Ct (Unable to map),98059","Map")</f>
        <v>Map</v>
      </c>
      <c r="N69" s="2" t="str">
        <f>HYPERLINK("http://i-0.rfimg.us/photo/1/bigphoto/179/27096179_6.jpg","Photo")</f>
        <v>Photo</v>
      </c>
      <c r="AI69" t="s">
        <v>1077</v>
      </c>
      <c r="AJ69">
        <v>98059</v>
      </c>
      <c r="BC69" s="22">
        <v>39233.465833333335</v>
      </c>
      <c r="BI69" s="22">
        <v>39549.294907407406</v>
      </c>
      <c r="BL69">
        <v>12798</v>
      </c>
      <c r="BM69">
        <v>795559</v>
      </c>
      <c r="BN69" t="s">
        <v>3236</v>
      </c>
      <c r="BO69" s="17">
        <f t="shared" ca="1" si="1"/>
        <v>315.8435725694435</v>
      </c>
      <c r="BP69" t="b">
        <v>0</v>
      </c>
      <c r="BQ69">
        <v>1</v>
      </c>
      <c r="BR69" t="s">
        <v>3768</v>
      </c>
      <c r="BS69" t="s">
        <v>1796</v>
      </c>
      <c r="BT69" t="b">
        <v>0</v>
      </c>
      <c r="BU69" t="s">
        <v>1738</v>
      </c>
      <c r="BV69" t="s">
        <v>1668</v>
      </c>
      <c r="BW69">
        <v>6100</v>
      </c>
      <c r="BY69">
        <v>0</v>
      </c>
      <c r="BZ69" t="s">
        <v>3928</v>
      </c>
      <c r="CA69">
        <v>1</v>
      </c>
      <c r="CB69" t="b">
        <v>1</v>
      </c>
      <c r="CC69">
        <v>0</v>
      </c>
      <c r="CD69" t="b">
        <v>0</v>
      </c>
      <c r="CE69" t="b">
        <v>0</v>
      </c>
      <c r="CF69" t="b">
        <v>1</v>
      </c>
      <c r="CG69" t="s">
        <v>1870</v>
      </c>
      <c r="CH69" t="s">
        <v>1681</v>
      </c>
      <c r="CI69" s="10">
        <v>639888</v>
      </c>
    </row>
    <row r="70" spans="1:89">
      <c r="A70">
        <v>27096449</v>
      </c>
      <c r="B70" s="2" t="str">
        <f>HYPERLINK("http://www.redfin.com/stingray/do/printable-listing?listing-id=800294","Contingent")</f>
        <v>Contingent</v>
      </c>
      <c r="D70" t="s">
        <v>5776</v>
      </c>
      <c r="E70" t="s">
        <v>5921</v>
      </c>
      <c r="F70">
        <v>679888</v>
      </c>
      <c r="G70">
        <v>2007</v>
      </c>
      <c r="H70">
        <v>3158</v>
      </c>
      <c r="I70">
        <v>6599</v>
      </c>
      <c r="J70">
        <v>4</v>
      </c>
      <c r="K70">
        <v>3</v>
      </c>
      <c r="M70" s="2" t="str">
        <f>HYPERLINK("http://maps.live.com/default.aspx?v=2&amp;lvl=15&amp;sp=Point.47.527702_-122.199625_1426 N 40th St&amp;cp=47.527702~-122.199625","Map")</f>
        <v>Map</v>
      </c>
      <c r="N70" s="2" t="str">
        <f>HYPERLINK("http://i-0.rfimg.us/photo/1/bigphoto/449/27096449_8.jpg","Photo")</f>
        <v>Photo</v>
      </c>
      <c r="AG70">
        <v>47.527701999999998</v>
      </c>
      <c r="AH70">
        <v>-122.199625</v>
      </c>
      <c r="AI70" t="s">
        <v>1077</v>
      </c>
      <c r="AJ70">
        <v>98056</v>
      </c>
      <c r="BC70" s="22">
        <v>39234.768009259256</v>
      </c>
      <c r="BI70" s="22">
        <v>39549.294907407406</v>
      </c>
      <c r="BL70">
        <v>13598</v>
      </c>
      <c r="BM70">
        <v>800294</v>
      </c>
      <c r="BN70" t="s">
        <v>3907</v>
      </c>
      <c r="BO70" s="17">
        <f t="shared" ca="1" si="1"/>
        <v>314.5413966435226</v>
      </c>
      <c r="BP70" t="b">
        <v>0</v>
      </c>
      <c r="BQ70">
        <v>2</v>
      </c>
      <c r="BR70" t="s">
        <v>1686</v>
      </c>
      <c r="BS70" t="s">
        <v>2832</v>
      </c>
      <c r="BT70" t="b">
        <v>0</v>
      </c>
      <c r="BU70" t="s">
        <v>1712</v>
      </c>
      <c r="BV70" t="s">
        <v>1668</v>
      </c>
      <c r="BW70">
        <v>1426</v>
      </c>
      <c r="BY70">
        <v>11901976</v>
      </c>
      <c r="BZ70" t="s">
        <v>5922</v>
      </c>
      <c r="CA70">
        <v>1</v>
      </c>
      <c r="CB70" t="b">
        <v>1</v>
      </c>
      <c r="CC70">
        <v>0</v>
      </c>
      <c r="CD70" t="b">
        <v>0</v>
      </c>
      <c r="CE70" t="b">
        <v>0</v>
      </c>
      <c r="CF70" t="b">
        <v>1</v>
      </c>
      <c r="CG70">
        <v>15156201</v>
      </c>
      <c r="CH70" t="s">
        <v>1681</v>
      </c>
      <c r="CI70" s="10">
        <v>679888</v>
      </c>
    </row>
    <row r="71" spans="1:89">
      <c r="A71">
        <v>27096989</v>
      </c>
      <c r="B71" s="2" t="str">
        <f>HYPERLINK("http://www.redfin.com/stingray/do/printable-listing?listing-id=797855","Active")</f>
        <v>Active</v>
      </c>
      <c r="D71" t="s">
        <v>4363</v>
      </c>
      <c r="E71" t="s">
        <v>4928</v>
      </c>
      <c r="F71" s="19">
        <v>669950</v>
      </c>
      <c r="G71">
        <v>2007</v>
      </c>
      <c r="H71">
        <v>3320</v>
      </c>
      <c r="I71">
        <v>0</v>
      </c>
      <c r="J71">
        <v>3</v>
      </c>
      <c r="K71">
        <v>2.5</v>
      </c>
      <c r="M71" s="2" t="str">
        <f>HYPERLINK("http://maps.live.com/default.aspx?v=2&amp;lvl=15&amp;sp=Point.47.6612_-122.1412_7920 150th Ct NE&amp;cp=47.6612~-122.1412","Map")</f>
        <v>Map</v>
      </c>
      <c r="N71" s="2" t="str">
        <f>HYPERLINK("http://i-0.rfimg.us/photo/1/bigphoto/989/27096989_6.jpg","Photo")</f>
        <v>Photo</v>
      </c>
      <c r="AG71">
        <v>47.661200000000001</v>
      </c>
      <c r="AH71">
        <v>-122.1412</v>
      </c>
      <c r="AI71" t="s">
        <v>4363</v>
      </c>
      <c r="AJ71">
        <v>98052</v>
      </c>
      <c r="BC71" s="22">
        <v>39234.296435185184</v>
      </c>
      <c r="BI71" s="22">
        <v>39549.294907407406</v>
      </c>
      <c r="BL71">
        <v>13999</v>
      </c>
      <c r="BM71">
        <v>797855</v>
      </c>
      <c r="BN71" t="s">
        <v>1688</v>
      </c>
      <c r="BO71" s="17">
        <f t="shared" ca="1" si="1"/>
        <v>315.01297071759473</v>
      </c>
      <c r="BP71" t="b">
        <v>0</v>
      </c>
      <c r="BQ71">
        <v>1</v>
      </c>
      <c r="BR71" t="s">
        <v>3768</v>
      </c>
      <c r="BS71" t="s">
        <v>4926</v>
      </c>
      <c r="BT71" t="b">
        <v>0</v>
      </c>
      <c r="BV71" t="s">
        <v>1668</v>
      </c>
      <c r="BW71">
        <v>7920</v>
      </c>
      <c r="BX71" t="s">
        <v>1738</v>
      </c>
      <c r="BY71">
        <v>12165947</v>
      </c>
      <c r="BZ71" t="s">
        <v>4929</v>
      </c>
      <c r="CA71">
        <v>1</v>
      </c>
      <c r="CB71" t="b">
        <v>1</v>
      </c>
      <c r="CC71">
        <v>0</v>
      </c>
      <c r="CD71" t="b">
        <v>0</v>
      </c>
      <c r="CE71" t="b">
        <v>0</v>
      </c>
      <c r="CF71" t="b">
        <v>1</v>
      </c>
      <c r="CG71">
        <v>15396663</v>
      </c>
      <c r="CH71" t="s">
        <v>1681</v>
      </c>
      <c r="CI71" s="10">
        <v>699950</v>
      </c>
    </row>
    <row r="72" spans="1:89">
      <c r="A72">
        <v>27097996</v>
      </c>
      <c r="B72" s="2" t="str">
        <f>HYPERLINK("http://www.redfin.com/stingray/do/printable-listing?listing-id=803781","Active")</f>
        <v>Active</v>
      </c>
      <c r="D72" t="s">
        <v>3929</v>
      </c>
      <c r="E72" t="s">
        <v>6933</v>
      </c>
      <c r="F72">
        <v>584950</v>
      </c>
      <c r="G72">
        <v>2007</v>
      </c>
      <c r="H72">
        <v>2481</v>
      </c>
      <c r="I72">
        <v>5515</v>
      </c>
      <c r="J72">
        <v>3</v>
      </c>
      <c r="K72">
        <v>2.5</v>
      </c>
      <c r="M72" s="2" t="str">
        <f>HYPERLINK("http://maps.live.com/default.aspx?v=2&amp;lvl=15&amp;sp=Point.47.4939_-122.1524_14502 SE 122nd Pl&amp;cp=47.4939~-122.1524","Map")</f>
        <v>Map</v>
      </c>
      <c r="N72" s="2" t="str">
        <f>HYPERLINK("http://i-0.rfimg.us/photo/1/bigphoto/996/27097996_6.jpg","Photo")</f>
        <v>Photo</v>
      </c>
      <c r="AG72">
        <v>47.493899999999996</v>
      </c>
      <c r="AH72">
        <v>-122.1524</v>
      </c>
      <c r="AI72" t="s">
        <v>1077</v>
      </c>
      <c r="AJ72">
        <v>98059</v>
      </c>
      <c r="BC72" s="22">
        <v>39236.379988425928</v>
      </c>
      <c r="BI72" s="22">
        <v>39549.294907407406</v>
      </c>
      <c r="BL72">
        <v>11699</v>
      </c>
      <c r="BM72">
        <v>803781</v>
      </c>
      <c r="BN72" t="s">
        <v>1768</v>
      </c>
      <c r="BO72" s="17">
        <f t="shared" ca="1" si="1"/>
        <v>312.92941747685109</v>
      </c>
      <c r="BP72" t="b">
        <v>0</v>
      </c>
      <c r="BQ72">
        <v>1</v>
      </c>
      <c r="BR72" t="s">
        <v>1842</v>
      </c>
      <c r="BS72" t="s">
        <v>2672</v>
      </c>
      <c r="BT72" t="b">
        <v>0</v>
      </c>
      <c r="BU72" t="s">
        <v>3856</v>
      </c>
      <c r="BV72" t="s">
        <v>1668</v>
      </c>
      <c r="BW72">
        <v>14502</v>
      </c>
      <c r="BY72">
        <v>11899966</v>
      </c>
      <c r="BZ72" t="s">
        <v>6934</v>
      </c>
      <c r="CA72">
        <v>1</v>
      </c>
      <c r="CB72" t="b">
        <v>1</v>
      </c>
      <c r="CC72">
        <v>0</v>
      </c>
      <c r="CD72" t="b">
        <v>0</v>
      </c>
      <c r="CE72" t="b">
        <v>0</v>
      </c>
      <c r="CF72" t="b">
        <v>1</v>
      </c>
      <c r="CG72">
        <v>15372021</v>
      </c>
      <c r="CH72" t="s">
        <v>1681</v>
      </c>
      <c r="CI72" s="10">
        <v>584950</v>
      </c>
    </row>
    <row r="73" spans="1:89">
      <c r="A73">
        <v>27098168</v>
      </c>
      <c r="B73" s="2" t="str">
        <f>HYPERLINK("http://www.redfin.com/stingray/do/printable-listing?listing-id=802012","Active")</f>
        <v>Active</v>
      </c>
      <c r="D73" t="s">
        <v>3066</v>
      </c>
      <c r="E73" t="s">
        <v>4784</v>
      </c>
      <c r="F73">
        <v>710000</v>
      </c>
      <c r="G73">
        <v>2008</v>
      </c>
      <c r="H73">
        <v>2480</v>
      </c>
      <c r="I73">
        <v>8324</v>
      </c>
      <c r="J73">
        <v>4</v>
      </c>
      <c r="K73">
        <v>2.5</v>
      </c>
      <c r="M73" s="2" t="str">
        <f>HYPERLINK("http://maps.live.com/default.aspx?v=2&amp;lvl=15&amp;sp=Point.47.676_-122.1702_12407 NE 80th Ln&amp;cp=47.676~-122.1702","Map")</f>
        <v>Map</v>
      </c>
      <c r="N73" s="2" t="str">
        <f>HYPERLINK("http://i-0.rfimg.us/photo/1/bigphoto/168/27098168_5.jpg","Photo")</f>
        <v>Photo</v>
      </c>
      <c r="AG73">
        <v>47.676000000000002</v>
      </c>
      <c r="AH73">
        <v>-122.17019999999999</v>
      </c>
      <c r="AI73" t="s">
        <v>1058</v>
      </c>
      <c r="AJ73">
        <v>98033</v>
      </c>
      <c r="BC73" s="22">
        <v>39235.411817129629</v>
      </c>
      <c r="BI73" s="22">
        <v>39549.294907407406</v>
      </c>
      <c r="BL73">
        <v>14200</v>
      </c>
      <c r="BM73">
        <v>802012</v>
      </c>
      <c r="BN73" t="s">
        <v>4766</v>
      </c>
      <c r="BO73" s="17">
        <f t="shared" ca="1" si="1"/>
        <v>313.89758877315035</v>
      </c>
      <c r="BP73" t="b">
        <v>0</v>
      </c>
      <c r="BQ73">
        <v>1</v>
      </c>
      <c r="BR73" t="s">
        <v>2963</v>
      </c>
      <c r="BS73" t="s">
        <v>1711</v>
      </c>
      <c r="BT73" t="b">
        <v>0</v>
      </c>
      <c r="BU73" t="s">
        <v>1738</v>
      </c>
      <c r="BV73" t="s">
        <v>1668</v>
      </c>
      <c r="BW73">
        <v>12407</v>
      </c>
      <c r="BY73">
        <v>12094273</v>
      </c>
      <c r="BZ73" t="s">
        <v>4785</v>
      </c>
      <c r="CA73">
        <v>1</v>
      </c>
      <c r="CB73" t="b">
        <v>1</v>
      </c>
      <c r="CC73">
        <v>0</v>
      </c>
      <c r="CD73" t="b">
        <v>0</v>
      </c>
      <c r="CE73" t="b">
        <v>0</v>
      </c>
      <c r="CF73" t="b">
        <v>1</v>
      </c>
      <c r="CG73">
        <v>15588545</v>
      </c>
      <c r="CH73" t="s">
        <v>1681</v>
      </c>
      <c r="CI73" s="10">
        <v>710000</v>
      </c>
    </row>
    <row r="74" spans="1:89">
      <c r="A74">
        <v>27100412</v>
      </c>
      <c r="B74" s="2" t="str">
        <f>HYPERLINK("http://www.redfin.com/stingray/do/printable-listing?listing-id=809172","Active")</f>
        <v>Active</v>
      </c>
      <c r="D74" t="s">
        <v>5563</v>
      </c>
      <c r="E74" t="s">
        <v>5560</v>
      </c>
      <c r="F74" s="19">
        <v>769950</v>
      </c>
      <c r="G74">
        <v>2007</v>
      </c>
      <c r="H74">
        <v>3675</v>
      </c>
      <c r="I74">
        <v>5000</v>
      </c>
      <c r="J74">
        <v>4</v>
      </c>
      <c r="K74">
        <v>2.5</v>
      </c>
      <c r="M74" s="2" t="str">
        <f>HYPERLINK("http://maps.live.com/default.aspx?v=2&amp;lvl=15&amp;sp=adr.1621 208th Pl SE (Unable to map),98075","Map")</f>
        <v>Map</v>
      </c>
      <c r="N74" s="2" t="str">
        <f>HYPERLINK("http://i-0.rfimg.us/photo/1/bigphoto/412/27100412_6.jpg","Photo")</f>
        <v>Photo</v>
      </c>
      <c r="AI74" t="s">
        <v>5273</v>
      </c>
      <c r="AJ74">
        <v>98075</v>
      </c>
      <c r="BC74" s="22">
        <v>39238.59207175926</v>
      </c>
      <c r="BI74" s="22">
        <v>39549.294907407406</v>
      </c>
      <c r="BL74">
        <v>15999</v>
      </c>
      <c r="BM74">
        <v>809172</v>
      </c>
      <c r="BN74" t="s">
        <v>5540</v>
      </c>
      <c r="BO74" s="17">
        <f t="shared" ca="1" si="1"/>
        <v>310.71733414351911</v>
      </c>
      <c r="BP74" t="b">
        <v>0</v>
      </c>
      <c r="BQ74">
        <v>1</v>
      </c>
      <c r="BR74" t="s">
        <v>1842</v>
      </c>
      <c r="BS74" t="s">
        <v>5561</v>
      </c>
      <c r="BT74" t="b">
        <v>0</v>
      </c>
      <c r="BV74" t="s">
        <v>1668</v>
      </c>
      <c r="BW74">
        <v>1621</v>
      </c>
      <c r="BX74" t="s">
        <v>3856</v>
      </c>
      <c r="BY74">
        <v>0</v>
      </c>
      <c r="BZ74" t="s">
        <v>5562</v>
      </c>
      <c r="CA74">
        <v>1</v>
      </c>
      <c r="CB74" t="b">
        <v>1</v>
      </c>
      <c r="CC74">
        <v>0</v>
      </c>
      <c r="CD74" t="b">
        <v>0</v>
      </c>
      <c r="CE74" t="b">
        <v>0</v>
      </c>
      <c r="CF74" t="b">
        <v>1</v>
      </c>
      <c r="CG74" t="s">
        <v>1870</v>
      </c>
      <c r="CH74" t="s">
        <v>1681</v>
      </c>
      <c r="CI74" s="10">
        <v>799950</v>
      </c>
    </row>
    <row r="75" spans="1:89">
      <c r="A75">
        <v>27101608</v>
      </c>
      <c r="B75" s="2" t="str">
        <f>HYPERLINK("http://www.redfin.com/stingray/do/printable-listing?listing-id=815270","Active")</f>
        <v>Active</v>
      </c>
      <c r="D75" t="s">
        <v>3066</v>
      </c>
      <c r="E75" t="s">
        <v>4738</v>
      </c>
      <c r="F75">
        <v>999950</v>
      </c>
      <c r="G75">
        <v>2007</v>
      </c>
      <c r="H75">
        <v>3496</v>
      </c>
      <c r="I75">
        <v>6638</v>
      </c>
      <c r="J75">
        <v>5</v>
      </c>
      <c r="K75">
        <v>3.5</v>
      </c>
      <c r="M75" s="2" t="str">
        <f>HYPERLINK("http://maps.live.com/default.aspx?v=2&amp;lvl=15&amp;sp=Point.47.680938_-122.166404_12920 NE 87th St&amp;cp=47.680938~-122.166404","Map")</f>
        <v>Map</v>
      </c>
      <c r="N75" s="2" t="str">
        <f>HYPERLINK("http://i-0.rfimg.us/photo/1/bigphoto/608/27101608_5.jpg","Photo")</f>
        <v>Photo</v>
      </c>
      <c r="AG75">
        <v>47.680937999999998</v>
      </c>
      <c r="AH75">
        <v>-122.166404</v>
      </c>
      <c r="AI75" t="s">
        <v>1058</v>
      </c>
      <c r="AJ75">
        <v>98033</v>
      </c>
      <c r="BC75" s="22">
        <v>39240.612754629627</v>
      </c>
      <c r="BI75" s="22">
        <v>39549.294907407406</v>
      </c>
      <c r="BL75">
        <v>19999</v>
      </c>
      <c r="BM75">
        <v>815270</v>
      </c>
      <c r="BN75" t="s">
        <v>1674</v>
      </c>
      <c r="BO75" s="17">
        <f t="shared" ca="1" si="1"/>
        <v>308.69665127315238</v>
      </c>
      <c r="BP75" t="b">
        <v>0</v>
      </c>
      <c r="BQ75">
        <v>1</v>
      </c>
      <c r="BR75" t="s">
        <v>1686</v>
      </c>
      <c r="BS75" t="s">
        <v>1856</v>
      </c>
      <c r="BT75" t="b">
        <v>0</v>
      </c>
      <c r="BU75" t="s">
        <v>1738</v>
      </c>
      <c r="BV75" t="s">
        <v>1668</v>
      </c>
      <c r="BW75">
        <v>12920</v>
      </c>
      <c r="BY75">
        <v>12088522</v>
      </c>
      <c r="BZ75" t="s">
        <v>4739</v>
      </c>
      <c r="CA75">
        <v>1</v>
      </c>
      <c r="CB75" t="b">
        <v>1</v>
      </c>
      <c r="CC75">
        <v>0</v>
      </c>
      <c r="CD75" t="b">
        <v>0</v>
      </c>
      <c r="CE75" t="b">
        <v>0</v>
      </c>
      <c r="CF75" t="b">
        <v>1</v>
      </c>
      <c r="CG75">
        <v>2799021</v>
      </c>
      <c r="CH75" t="s">
        <v>1681</v>
      </c>
      <c r="CI75" s="10">
        <v>999950</v>
      </c>
    </row>
    <row r="76" spans="1:89">
      <c r="A76">
        <v>27103337</v>
      </c>
      <c r="B76" s="2" t="str">
        <f>HYPERLINK("http://www.redfin.com/stingray/do/printable-listing?listing-id=817283","Active")</f>
        <v>Active</v>
      </c>
      <c r="D76" t="s">
        <v>5191</v>
      </c>
      <c r="E76" t="s">
        <v>5845</v>
      </c>
      <c r="F76">
        <v>899000</v>
      </c>
      <c r="G76">
        <v>2006</v>
      </c>
      <c r="H76">
        <v>3100</v>
      </c>
      <c r="I76">
        <v>8800</v>
      </c>
      <c r="J76">
        <v>5</v>
      </c>
      <c r="K76">
        <v>3.5</v>
      </c>
      <c r="M76" s="2" t="str">
        <f>HYPERLINK("http://maps.live.com/default.aspx?v=2&amp;lvl=15&amp;sp=Point.47.564041_-122.145379_4550 146th Ave SE&amp;cp=47.564041~-122.145379","Map")</f>
        <v>Map</v>
      </c>
      <c r="N76" s="2" t="str">
        <f>HYPERLINK("http://i-0.rfimg.us/photo/1/bigphoto/337/27103337_A.jpg","Photo")</f>
        <v>Photo</v>
      </c>
      <c r="AG76">
        <v>47.564041000000003</v>
      </c>
      <c r="AH76">
        <v>-122.14537900000001</v>
      </c>
      <c r="AI76" t="s">
        <v>369</v>
      </c>
      <c r="AJ76">
        <v>98006</v>
      </c>
      <c r="AN76">
        <v>469500</v>
      </c>
      <c r="BC76" s="22">
        <v>39241.716446759259</v>
      </c>
      <c r="BI76" s="22">
        <v>39549.294907407406</v>
      </c>
      <c r="BL76">
        <v>17980</v>
      </c>
      <c r="BM76">
        <v>817283</v>
      </c>
      <c r="BN76" t="s">
        <v>1823</v>
      </c>
      <c r="BO76" s="17">
        <f t="shared" ca="1" si="1"/>
        <v>307.59295914351969</v>
      </c>
      <c r="BP76" t="b">
        <v>0</v>
      </c>
      <c r="BQ76">
        <v>1</v>
      </c>
      <c r="BR76" t="s">
        <v>1667</v>
      </c>
      <c r="BS76" t="s">
        <v>5404</v>
      </c>
      <c r="BT76" t="b">
        <v>0</v>
      </c>
      <c r="BV76" t="s">
        <v>1668</v>
      </c>
      <c r="BW76">
        <v>4550</v>
      </c>
      <c r="BX76" t="s">
        <v>3856</v>
      </c>
      <c r="BY76">
        <v>239787</v>
      </c>
      <c r="BZ76" t="s">
        <v>5846</v>
      </c>
      <c r="CA76">
        <v>1</v>
      </c>
      <c r="CB76" t="b">
        <v>1</v>
      </c>
      <c r="CC76">
        <v>0</v>
      </c>
      <c r="CD76" t="b">
        <v>0</v>
      </c>
      <c r="CE76" t="b">
        <v>0</v>
      </c>
      <c r="CF76" t="b">
        <v>1</v>
      </c>
      <c r="CG76">
        <v>2373846</v>
      </c>
      <c r="CH76" t="s">
        <v>1681</v>
      </c>
      <c r="CI76" s="10">
        <v>899000</v>
      </c>
      <c r="CJ76" s="7">
        <v>38825</v>
      </c>
    </row>
    <row r="77" spans="1:89">
      <c r="A77">
        <v>27103465</v>
      </c>
      <c r="B77" s="2" t="str">
        <f>HYPERLINK("http://www.redfin.com/stingray/do/printable-listing?listing-id=817321","Active")</f>
        <v>Active</v>
      </c>
      <c r="D77" t="s">
        <v>6218</v>
      </c>
      <c r="E77" t="s">
        <v>6232</v>
      </c>
      <c r="F77">
        <v>416950</v>
      </c>
      <c r="G77">
        <v>2008</v>
      </c>
      <c r="H77">
        <v>2740</v>
      </c>
      <c r="I77">
        <v>0</v>
      </c>
      <c r="J77">
        <v>4</v>
      </c>
      <c r="K77">
        <v>3</v>
      </c>
      <c r="M77" s="2" t="str">
        <f>HYPERLINK("http://maps.live.com/default.aspx?v=2&amp;lvl=15&amp;sp=adr.11627 SE 189th Pl (Unable to map),98055","Map")</f>
        <v>Map</v>
      </c>
      <c r="N77" s="2" t="str">
        <f>HYPERLINK("http://i-0.rfimg.us/photo/1/bigphoto/465/27103465_2.jpg","Photo")</f>
        <v>Photo</v>
      </c>
      <c r="AI77" t="s">
        <v>1077</v>
      </c>
      <c r="AJ77">
        <v>98055</v>
      </c>
      <c r="BC77" s="22">
        <v>39241.720543981479</v>
      </c>
      <c r="BI77" s="7">
        <v>39542</v>
      </c>
      <c r="BL77">
        <v>8339</v>
      </c>
      <c r="BM77">
        <v>817321</v>
      </c>
      <c r="BN77" t="s">
        <v>6215</v>
      </c>
      <c r="BO77" s="17">
        <f t="shared" ca="1" si="1"/>
        <v>307.58886192130012</v>
      </c>
      <c r="BP77" t="b">
        <v>0</v>
      </c>
      <c r="BQ77">
        <v>1</v>
      </c>
      <c r="BR77" t="s">
        <v>1842</v>
      </c>
      <c r="BS77" t="s">
        <v>6217</v>
      </c>
      <c r="BT77" t="b">
        <v>0</v>
      </c>
      <c r="BU77" t="s">
        <v>3856</v>
      </c>
      <c r="BV77" t="s">
        <v>1668</v>
      </c>
      <c r="BW77">
        <v>11627</v>
      </c>
      <c r="BY77">
        <v>0</v>
      </c>
      <c r="BZ77" s="21">
        <v>2.0833333333333333E-3</v>
      </c>
      <c r="CA77">
        <v>1</v>
      </c>
      <c r="CB77" t="b">
        <v>1</v>
      </c>
      <c r="CC77">
        <v>0</v>
      </c>
      <c r="CD77" t="b">
        <v>0</v>
      </c>
      <c r="CE77" t="b">
        <v>0</v>
      </c>
      <c r="CF77" t="b">
        <v>1</v>
      </c>
      <c r="CG77" t="s">
        <v>1870</v>
      </c>
      <c r="CH77" t="s">
        <v>1681</v>
      </c>
      <c r="CI77" s="10">
        <v>416950</v>
      </c>
    </row>
    <row r="78" spans="1:89">
      <c r="A78">
        <v>27103476</v>
      </c>
      <c r="B78" s="2" t="str">
        <f>HYPERLINK("http://www.redfin.com/stingray/do/printable-listing?listing-id=817322","Active")</f>
        <v>Active</v>
      </c>
      <c r="D78" t="s">
        <v>6218</v>
      </c>
      <c r="E78" t="s">
        <v>6229</v>
      </c>
      <c r="F78">
        <v>409950</v>
      </c>
      <c r="G78">
        <v>2008</v>
      </c>
      <c r="H78">
        <v>2660</v>
      </c>
      <c r="I78">
        <v>0</v>
      </c>
      <c r="J78">
        <v>3</v>
      </c>
      <c r="K78">
        <v>2.5</v>
      </c>
      <c r="M78" s="2" t="str">
        <f>HYPERLINK("http://maps.live.com/default.aspx?v=2&amp;lvl=15&amp;sp=adr.11731 SE 191st St (Unable to map),98055","Map")</f>
        <v>Map</v>
      </c>
      <c r="N78" s="2" t="str">
        <f>HYPERLINK("http://i-0.rfimg.us/photo/1/bigphoto/476/27103476_6.jpg","Photo")</f>
        <v>Photo</v>
      </c>
      <c r="AI78" t="s">
        <v>1077</v>
      </c>
      <c r="AJ78">
        <v>98055</v>
      </c>
      <c r="BC78" s="22">
        <v>39241.720543981479</v>
      </c>
      <c r="BI78" s="7">
        <v>39542</v>
      </c>
      <c r="BL78">
        <v>8199</v>
      </c>
      <c r="BM78">
        <v>817322</v>
      </c>
      <c r="BN78" t="s">
        <v>6215</v>
      </c>
      <c r="BO78" s="17">
        <f t="shared" ca="1" si="1"/>
        <v>307.58886192130012</v>
      </c>
      <c r="BP78" t="b">
        <v>0</v>
      </c>
      <c r="BQ78">
        <v>1</v>
      </c>
      <c r="BR78" t="s">
        <v>1686</v>
      </c>
      <c r="BS78" t="s">
        <v>5279</v>
      </c>
      <c r="BT78" t="b">
        <v>0</v>
      </c>
      <c r="BU78" t="s">
        <v>3856</v>
      </c>
      <c r="BV78" t="s">
        <v>1668</v>
      </c>
      <c r="BW78">
        <v>11731</v>
      </c>
      <c r="BY78">
        <v>0</v>
      </c>
      <c r="BZ78" s="21">
        <v>6.9444444444444447E-4</v>
      </c>
      <c r="CA78">
        <v>1</v>
      </c>
      <c r="CB78" t="b">
        <v>1</v>
      </c>
      <c r="CC78">
        <v>0</v>
      </c>
      <c r="CD78" t="b">
        <v>0</v>
      </c>
      <c r="CE78" t="b">
        <v>0</v>
      </c>
      <c r="CF78" t="b">
        <v>1</v>
      </c>
      <c r="CG78" t="s">
        <v>1870</v>
      </c>
      <c r="CH78" t="s">
        <v>1681</v>
      </c>
      <c r="CI78" s="10">
        <v>409950</v>
      </c>
    </row>
    <row r="79" spans="1:89">
      <c r="A79">
        <v>27103485</v>
      </c>
      <c r="B79" s="2" t="str">
        <f>HYPERLINK("http://www.redfin.com/stingray/do/printable-listing?listing-id=817411","Active")</f>
        <v>Active</v>
      </c>
      <c r="D79" t="s">
        <v>6218</v>
      </c>
      <c r="E79" t="s">
        <v>6219</v>
      </c>
      <c r="F79">
        <v>374950</v>
      </c>
      <c r="G79">
        <v>2008</v>
      </c>
      <c r="H79">
        <v>2130</v>
      </c>
      <c r="I79">
        <v>0</v>
      </c>
      <c r="J79">
        <v>3</v>
      </c>
      <c r="K79">
        <v>2.5</v>
      </c>
      <c r="M79" s="2" t="str">
        <f>HYPERLINK("http://maps.live.com/default.aspx?v=2&amp;lvl=15&amp;sp=adr.11633 SE 189th Pl (Unable to map),98055","Map")</f>
        <v>Map</v>
      </c>
      <c r="N79" s="2" t="str">
        <f>HYPERLINK("http://i-0.rfimg.us/photo/1/bigphoto/485/27103485_2.jpg","Photo")</f>
        <v>Photo</v>
      </c>
      <c r="AI79" t="s">
        <v>1077</v>
      </c>
      <c r="AJ79">
        <v>98055</v>
      </c>
      <c r="BC79" s="22">
        <v>39241.735509259262</v>
      </c>
      <c r="BI79" s="7">
        <v>39542</v>
      </c>
      <c r="BL79">
        <v>7499</v>
      </c>
      <c r="BM79">
        <v>817411</v>
      </c>
      <c r="BN79" t="s">
        <v>6215</v>
      </c>
      <c r="BO79" s="17">
        <f t="shared" ca="1" si="1"/>
        <v>307.57389664351649</v>
      </c>
      <c r="BP79" t="b">
        <v>0</v>
      </c>
      <c r="BQ79">
        <v>1</v>
      </c>
      <c r="BR79" t="s">
        <v>1842</v>
      </c>
      <c r="BS79" t="s">
        <v>6217</v>
      </c>
      <c r="BT79" t="b">
        <v>0</v>
      </c>
      <c r="BU79" t="s">
        <v>3856</v>
      </c>
      <c r="BV79" t="s">
        <v>1668</v>
      </c>
      <c r="BW79">
        <v>11633</v>
      </c>
      <c r="BY79">
        <v>0</v>
      </c>
      <c r="BZ79" s="21">
        <v>2.0833333333333333E-3</v>
      </c>
      <c r="CA79">
        <v>1</v>
      </c>
      <c r="CB79" t="b">
        <v>1</v>
      </c>
      <c r="CC79">
        <v>0</v>
      </c>
      <c r="CD79" t="b">
        <v>0</v>
      </c>
      <c r="CE79" t="b">
        <v>0</v>
      </c>
      <c r="CF79" t="b">
        <v>1</v>
      </c>
      <c r="CG79" t="s">
        <v>1870</v>
      </c>
      <c r="CH79" t="s">
        <v>1681</v>
      </c>
      <c r="CI79" s="10">
        <v>374950</v>
      </c>
    </row>
    <row r="80" spans="1:89">
      <c r="A80">
        <v>27103487</v>
      </c>
      <c r="B80" s="2" t="str">
        <f>HYPERLINK("http://www.redfin.com/stingray/do/printable-listing?listing-id=817412","Active")</f>
        <v>Active</v>
      </c>
      <c r="D80" t="s">
        <v>6218</v>
      </c>
      <c r="E80" t="s">
        <v>6226</v>
      </c>
      <c r="F80">
        <v>379950</v>
      </c>
      <c r="G80">
        <v>2008</v>
      </c>
      <c r="H80">
        <v>2207</v>
      </c>
      <c r="I80">
        <v>0</v>
      </c>
      <c r="J80">
        <v>3</v>
      </c>
      <c r="K80">
        <v>2.5</v>
      </c>
      <c r="M80" s="2" t="str">
        <f>HYPERLINK("http://maps.live.com/default.aspx?v=2&amp;lvl=15&amp;sp=adr.11639 SE 189th Pl (Unable to map),98055","Map")</f>
        <v>Map</v>
      </c>
      <c r="N80" s="2" t="str">
        <f>HYPERLINK("http://i-0.rfimg.us/photo/1/bigphoto/487/27103487_2.jpg","Photo")</f>
        <v>Photo</v>
      </c>
      <c r="AI80" t="s">
        <v>1077</v>
      </c>
      <c r="AJ80">
        <v>98055</v>
      </c>
      <c r="BC80" s="22">
        <v>39241.735509259262</v>
      </c>
      <c r="BI80" s="7">
        <v>39542</v>
      </c>
      <c r="BL80">
        <v>7599</v>
      </c>
      <c r="BM80">
        <v>817412</v>
      </c>
      <c r="BN80" t="s">
        <v>6215</v>
      </c>
      <c r="BO80" s="17">
        <f t="shared" ca="1" si="1"/>
        <v>307.57389664351649</v>
      </c>
      <c r="BP80" t="b">
        <v>0</v>
      </c>
      <c r="BQ80">
        <v>1</v>
      </c>
      <c r="BR80" t="s">
        <v>1842</v>
      </c>
      <c r="BS80" t="s">
        <v>6217</v>
      </c>
      <c r="BT80" t="b">
        <v>0</v>
      </c>
      <c r="BU80" t="s">
        <v>3856</v>
      </c>
      <c r="BV80" t="s">
        <v>1668</v>
      </c>
      <c r="BW80">
        <v>11639</v>
      </c>
      <c r="BY80">
        <v>0</v>
      </c>
      <c r="BZ80" s="21">
        <v>2.0833333333333333E-3</v>
      </c>
      <c r="CA80">
        <v>1</v>
      </c>
      <c r="CB80" t="b">
        <v>1</v>
      </c>
      <c r="CC80">
        <v>0</v>
      </c>
      <c r="CD80" t="b">
        <v>0</v>
      </c>
      <c r="CE80" t="b">
        <v>0</v>
      </c>
      <c r="CF80" t="b">
        <v>1</v>
      </c>
      <c r="CG80" t="s">
        <v>1870</v>
      </c>
      <c r="CH80" t="s">
        <v>1681</v>
      </c>
      <c r="CI80" s="10">
        <v>379950</v>
      </c>
    </row>
    <row r="81" spans="1:89">
      <c r="A81">
        <v>27103499</v>
      </c>
      <c r="B81" s="2" t="str">
        <f>HYPERLINK("http://www.redfin.com/stingray/do/printable-listing?listing-id=817440","Active")</f>
        <v>Active</v>
      </c>
      <c r="D81" t="s">
        <v>6218</v>
      </c>
      <c r="E81" t="s">
        <v>6233</v>
      </c>
      <c r="F81">
        <v>419950</v>
      </c>
      <c r="G81">
        <v>2008</v>
      </c>
      <c r="H81">
        <v>2740</v>
      </c>
      <c r="I81">
        <v>0</v>
      </c>
      <c r="J81">
        <v>4</v>
      </c>
      <c r="K81">
        <v>3</v>
      </c>
      <c r="M81" s="2" t="str">
        <f>HYPERLINK("http://maps.live.com/default.aspx?v=2&amp;lvl=15&amp;sp=adr.11725 SE 191st St (Unable to map),98055","Map")</f>
        <v>Map</v>
      </c>
      <c r="N81" s="2" t="str">
        <f>HYPERLINK("http://i-0.rfimg.us/photo/1/bigphoto/499/27103499_2.jpg","Photo")</f>
        <v>Photo</v>
      </c>
      <c r="AI81" t="s">
        <v>1077</v>
      </c>
      <c r="AJ81">
        <v>98055</v>
      </c>
      <c r="BC81" s="22">
        <v>39241.747835648152</v>
      </c>
      <c r="BI81" s="7">
        <v>39542</v>
      </c>
      <c r="BL81">
        <v>8399</v>
      </c>
      <c r="BM81">
        <v>817440</v>
      </c>
      <c r="BN81" t="s">
        <v>6215</v>
      </c>
      <c r="BO81" s="17">
        <f t="shared" ca="1" si="1"/>
        <v>307.56157025462744</v>
      </c>
      <c r="BP81" t="b">
        <v>0</v>
      </c>
      <c r="BQ81">
        <v>1</v>
      </c>
      <c r="BR81" t="s">
        <v>1686</v>
      </c>
      <c r="BS81" t="s">
        <v>5279</v>
      </c>
      <c r="BT81" t="b">
        <v>0</v>
      </c>
      <c r="BU81" t="s">
        <v>3856</v>
      </c>
      <c r="BV81" t="s">
        <v>1668</v>
      </c>
      <c r="BW81">
        <v>11725</v>
      </c>
      <c r="BY81">
        <v>0</v>
      </c>
      <c r="BZ81" s="21">
        <v>2.0833333333333333E-3</v>
      </c>
      <c r="CA81">
        <v>1</v>
      </c>
      <c r="CB81" t="b">
        <v>1</v>
      </c>
      <c r="CC81">
        <v>0</v>
      </c>
      <c r="CD81" t="b">
        <v>0</v>
      </c>
      <c r="CE81" t="b">
        <v>0</v>
      </c>
      <c r="CF81" t="b">
        <v>1</v>
      </c>
      <c r="CG81" t="s">
        <v>1870</v>
      </c>
      <c r="CH81" t="s">
        <v>1681</v>
      </c>
      <c r="CI81" s="10">
        <v>419950</v>
      </c>
    </row>
    <row r="82" spans="1:89">
      <c r="A82">
        <v>27103503</v>
      </c>
      <c r="B82" s="2" t="str">
        <f>HYPERLINK("http://www.redfin.com/stingray/do/printable-listing?listing-id=817458","Active")</f>
        <v>Active</v>
      </c>
      <c r="D82" t="s">
        <v>6218</v>
      </c>
      <c r="E82" t="s">
        <v>6234</v>
      </c>
      <c r="F82">
        <v>419950</v>
      </c>
      <c r="G82">
        <v>2008</v>
      </c>
      <c r="H82">
        <v>2740</v>
      </c>
      <c r="I82">
        <v>0</v>
      </c>
      <c r="J82">
        <v>4</v>
      </c>
      <c r="K82">
        <v>3</v>
      </c>
      <c r="M82" s="2" t="str">
        <f>HYPERLINK("http://maps.live.com/default.aspx?v=2&amp;lvl=15&amp;sp=adr.11737 SE 191st St (Unable to map),98055","Map")</f>
        <v>Map</v>
      </c>
      <c r="N82" s="2" t="str">
        <f>HYPERLINK("http://i-0.rfimg.us/photo/1/bigphoto/503/27103503_2.jpg","Photo")</f>
        <v>Photo</v>
      </c>
      <c r="AI82" t="s">
        <v>1077</v>
      </c>
      <c r="AJ82">
        <v>98055</v>
      </c>
      <c r="BC82" s="22">
        <v>39241.755925925929</v>
      </c>
      <c r="BI82" s="7">
        <v>39542</v>
      </c>
      <c r="BL82">
        <v>8399</v>
      </c>
      <c r="BM82">
        <v>817458</v>
      </c>
      <c r="BN82" t="s">
        <v>6215</v>
      </c>
      <c r="BO82" s="17">
        <f t="shared" ca="1" si="1"/>
        <v>307.55347997685021</v>
      </c>
      <c r="BP82" t="b">
        <v>0</v>
      </c>
      <c r="BQ82">
        <v>1</v>
      </c>
      <c r="BR82" t="s">
        <v>1686</v>
      </c>
      <c r="BS82" t="s">
        <v>5279</v>
      </c>
      <c r="BT82" t="b">
        <v>0</v>
      </c>
      <c r="BU82" t="s">
        <v>3856</v>
      </c>
      <c r="BV82" t="s">
        <v>1668</v>
      </c>
      <c r="BW82">
        <v>11737</v>
      </c>
      <c r="BY82">
        <v>0</v>
      </c>
      <c r="BZ82" s="21">
        <v>2.0833333333333333E-3</v>
      </c>
      <c r="CA82">
        <v>1</v>
      </c>
      <c r="CB82" t="b">
        <v>1</v>
      </c>
      <c r="CC82">
        <v>0</v>
      </c>
      <c r="CD82" t="b">
        <v>0</v>
      </c>
      <c r="CE82" t="b">
        <v>0</v>
      </c>
      <c r="CF82" t="b">
        <v>1</v>
      </c>
      <c r="CG82" t="s">
        <v>1870</v>
      </c>
      <c r="CH82" t="s">
        <v>1681</v>
      </c>
      <c r="CI82" s="10">
        <v>419950</v>
      </c>
    </row>
    <row r="83" spans="1:89">
      <c r="A83">
        <v>27103675</v>
      </c>
      <c r="B83" s="2" t="str">
        <f>HYPERLINK("http://www.redfin.com/stingray/do/printable-listing?listing-id=817724","Active")</f>
        <v>Active</v>
      </c>
      <c r="D83" t="s">
        <v>6218</v>
      </c>
      <c r="E83" t="s">
        <v>6235</v>
      </c>
      <c r="F83">
        <v>419950</v>
      </c>
      <c r="G83">
        <v>2008</v>
      </c>
      <c r="H83">
        <v>2740</v>
      </c>
      <c r="I83">
        <v>0</v>
      </c>
      <c r="J83">
        <v>4</v>
      </c>
      <c r="K83">
        <v>3</v>
      </c>
      <c r="M83" s="2" t="str">
        <f>HYPERLINK("http://maps.live.com/default.aspx?v=2&amp;lvl=15&amp;sp=adr.11817 SE 191st St (Unable to map),98055","Map")</f>
        <v>Map</v>
      </c>
      <c r="N83" s="2" t="str">
        <f>HYPERLINK("http://i-0.rfimg.us/photo/1/bigphoto/675/27103675_2.jpg","Photo")</f>
        <v>Photo</v>
      </c>
      <c r="AI83" t="s">
        <v>1077</v>
      </c>
      <c r="AJ83">
        <v>98055</v>
      </c>
      <c r="BC83" s="22">
        <v>39242.443078703705</v>
      </c>
      <c r="BI83" s="7">
        <v>39542</v>
      </c>
      <c r="BL83">
        <v>8399</v>
      </c>
      <c r="BM83">
        <v>817724</v>
      </c>
      <c r="BN83" t="s">
        <v>6215</v>
      </c>
      <c r="BO83" s="17">
        <f t="shared" ca="1" si="1"/>
        <v>306.86632719907357</v>
      </c>
      <c r="BP83" t="b">
        <v>0</v>
      </c>
      <c r="BQ83">
        <v>1</v>
      </c>
      <c r="BR83" t="s">
        <v>1686</v>
      </c>
      <c r="BS83" t="s">
        <v>5279</v>
      </c>
      <c r="BT83" t="b">
        <v>0</v>
      </c>
      <c r="BU83" t="s">
        <v>3856</v>
      </c>
      <c r="BV83" t="s">
        <v>1668</v>
      </c>
      <c r="BW83">
        <v>11817</v>
      </c>
      <c r="BY83">
        <v>0</v>
      </c>
      <c r="BZ83" s="21">
        <v>2.0833333333333333E-3</v>
      </c>
      <c r="CA83">
        <v>1</v>
      </c>
      <c r="CB83" t="b">
        <v>1</v>
      </c>
      <c r="CC83">
        <v>0</v>
      </c>
      <c r="CD83" t="b">
        <v>0</v>
      </c>
      <c r="CE83" t="b">
        <v>0</v>
      </c>
      <c r="CF83" t="b">
        <v>1</v>
      </c>
      <c r="CG83" t="s">
        <v>1870</v>
      </c>
      <c r="CH83" t="s">
        <v>1681</v>
      </c>
      <c r="CI83" s="10">
        <v>419950</v>
      </c>
    </row>
    <row r="84" spans="1:89">
      <c r="A84">
        <v>27103677</v>
      </c>
      <c r="B84" s="2" t="str">
        <f>HYPERLINK("http://www.redfin.com/stingray/do/printable-listing?listing-id=817725","Active")</f>
        <v>Active</v>
      </c>
      <c r="D84" t="s">
        <v>6218</v>
      </c>
      <c r="E84" t="s">
        <v>6236</v>
      </c>
      <c r="F84">
        <v>419950</v>
      </c>
      <c r="G84">
        <v>2008</v>
      </c>
      <c r="H84">
        <v>2740</v>
      </c>
      <c r="I84">
        <v>0</v>
      </c>
      <c r="J84">
        <v>4</v>
      </c>
      <c r="K84">
        <v>3</v>
      </c>
      <c r="M84" s="2" t="str">
        <f>HYPERLINK("http://maps.live.com/default.aspx?v=2&amp;lvl=15&amp;sp=adr.11841 SE 191st St (Unable to map),98055","Map")</f>
        <v>Map</v>
      </c>
      <c r="N84" s="2" t="str">
        <f>HYPERLINK("http://i-0.rfimg.us/photo/1/bigphoto/677/27103677_2.jpg","Photo")</f>
        <v>Photo</v>
      </c>
      <c r="AI84" t="s">
        <v>1077</v>
      </c>
      <c r="AJ84">
        <v>98055</v>
      </c>
      <c r="BC84" s="22">
        <v>39242.443078703705</v>
      </c>
      <c r="BI84" s="7">
        <v>39542</v>
      </c>
      <c r="BL84">
        <v>8399</v>
      </c>
      <c r="BM84">
        <v>817725</v>
      </c>
      <c r="BN84" t="s">
        <v>6215</v>
      </c>
      <c r="BO84" s="17">
        <f t="shared" ca="1" si="1"/>
        <v>306.86632719907357</v>
      </c>
      <c r="BP84" t="b">
        <v>0</v>
      </c>
      <c r="BQ84">
        <v>1</v>
      </c>
      <c r="BR84" t="s">
        <v>1686</v>
      </c>
      <c r="BS84" t="s">
        <v>5279</v>
      </c>
      <c r="BT84" t="b">
        <v>0</v>
      </c>
      <c r="BU84" t="s">
        <v>3856</v>
      </c>
      <c r="BV84" t="s">
        <v>1668</v>
      </c>
      <c r="BW84">
        <v>11841</v>
      </c>
      <c r="BY84">
        <v>0</v>
      </c>
      <c r="BZ84" s="21">
        <v>2.0833333333333333E-3</v>
      </c>
      <c r="CA84">
        <v>1</v>
      </c>
      <c r="CB84" t="b">
        <v>1</v>
      </c>
      <c r="CC84">
        <v>0</v>
      </c>
      <c r="CD84" t="b">
        <v>0</v>
      </c>
      <c r="CE84" t="b">
        <v>0</v>
      </c>
      <c r="CF84" t="b">
        <v>1</v>
      </c>
      <c r="CG84" t="s">
        <v>1870</v>
      </c>
      <c r="CH84" t="s">
        <v>1681</v>
      </c>
      <c r="CI84" s="10">
        <v>419950</v>
      </c>
    </row>
    <row r="85" spans="1:89">
      <c r="A85">
        <v>27103686</v>
      </c>
      <c r="B85" s="2" t="str">
        <f>HYPERLINK("http://www.redfin.com/stingray/do/printable-listing?listing-id=817742","Active")</f>
        <v>Active</v>
      </c>
      <c r="D85" t="s">
        <v>6218</v>
      </c>
      <c r="E85" t="s">
        <v>6228</v>
      </c>
      <c r="F85" s="19">
        <v>414650</v>
      </c>
      <c r="G85">
        <v>2008</v>
      </c>
      <c r="H85">
        <v>2660</v>
      </c>
      <c r="I85">
        <v>0</v>
      </c>
      <c r="J85">
        <v>4</v>
      </c>
      <c r="K85">
        <v>2.5</v>
      </c>
      <c r="M85" s="2" t="str">
        <f>HYPERLINK("http://maps.live.com/default.aspx?v=2&amp;lvl=15&amp;sp=adr.11811 SE 191st St (Unable to map),98055","Map")</f>
        <v>Map</v>
      </c>
      <c r="N85" s="2" t="str">
        <f>HYPERLINK("http://i-0.rfimg.us/photo/1/bigphoto/686/27103686_6.jpg","Photo")</f>
        <v>Photo</v>
      </c>
      <c r="AI85" t="s">
        <v>1077</v>
      </c>
      <c r="AJ85">
        <v>98055</v>
      </c>
      <c r="BC85" s="22">
        <v>39242.474594907406</v>
      </c>
      <c r="BI85" s="7">
        <v>39542</v>
      </c>
      <c r="BL85">
        <v>8199</v>
      </c>
      <c r="BM85">
        <v>817742</v>
      </c>
      <c r="BN85" t="s">
        <v>6215</v>
      </c>
      <c r="BO85" s="17">
        <f t="shared" ca="1" si="1"/>
        <v>306.83481099537312</v>
      </c>
      <c r="BP85" t="b">
        <v>0</v>
      </c>
      <c r="BQ85">
        <v>1</v>
      </c>
      <c r="BR85" t="s">
        <v>1686</v>
      </c>
      <c r="BS85" t="s">
        <v>5279</v>
      </c>
      <c r="BT85" t="b">
        <v>0</v>
      </c>
      <c r="BU85" t="s">
        <v>3856</v>
      </c>
      <c r="BV85" t="s">
        <v>1668</v>
      </c>
      <c r="BW85">
        <v>11811</v>
      </c>
      <c r="BY85">
        <v>0</v>
      </c>
      <c r="BZ85" s="21">
        <v>6.9444444444444447E-4</v>
      </c>
      <c r="CA85">
        <v>1</v>
      </c>
      <c r="CB85" t="b">
        <v>1</v>
      </c>
      <c r="CC85">
        <v>0</v>
      </c>
      <c r="CD85" t="b">
        <v>0</v>
      </c>
      <c r="CE85" t="b">
        <v>0</v>
      </c>
      <c r="CF85" t="b">
        <v>1</v>
      </c>
      <c r="CG85" t="s">
        <v>1870</v>
      </c>
      <c r="CH85" t="s">
        <v>1681</v>
      </c>
      <c r="CI85" s="10">
        <v>409950</v>
      </c>
    </row>
    <row r="86" spans="1:89">
      <c r="A86">
        <v>27103704</v>
      </c>
      <c r="B86" s="2" t="str">
        <f>HYPERLINK("http://www.redfin.com/stingray/do/printable-listing?listing-id=817752","Active")</f>
        <v>Active</v>
      </c>
      <c r="D86" t="s">
        <v>6218</v>
      </c>
      <c r="E86" t="s">
        <v>6225</v>
      </c>
      <c r="F86" s="19">
        <v>409808</v>
      </c>
      <c r="G86">
        <v>2008</v>
      </c>
      <c r="H86">
        <v>2315</v>
      </c>
      <c r="I86">
        <v>0</v>
      </c>
      <c r="J86">
        <v>4</v>
      </c>
      <c r="K86">
        <v>2.5</v>
      </c>
      <c r="M86" s="2" t="str">
        <f>HYPERLINK("http://maps.live.com/default.aspx?v=2&amp;lvl=15&amp;sp=adr.11829 SE 191st St (Unable to map),98055","Map")</f>
        <v>Map</v>
      </c>
      <c r="N86" s="2" t="str">
        <f>HYPERLINK("http://i-0.rfimg.us/photo/1/bigphoto/704/27103704_2.jpg","Photo")</f>
        <v>Photo</v>
      </c>
      <c r="AI86" t="s">
        <v>1077</v>
      </c>
      <c r="AJ86">
        <v>98055</v>
      </c>
      <c r="BC86" s="22">
        <v>39242.478564814817</v>
      </c>
      <c r="BI86" s="7">
        <v>39542</v>
      </c>
      <c r="BL86">
        <v>7999</v>
      </c>
      <c r="BM86">
        <v>817752</v>
      </c>
      <c r="BN86" t="s">
        <v>6215</v>
      </c>
      <c r="BO86" s="17">
        <f t="shared" ca="1" si="1"/>
        <v>306.83084108796174</v>
      </c>
      <c r="BP86" t="b">
        <v>0</v>
      </c>
      <c r="BQ86">
        <v>1</v>
      </c>
      <c r="BR86" t="s">
        <v>1686</v>
      </c>
      <c r="BS86" t="s">
        <v>5279</v>
      </c>
      <c r="BT86" t="b">
        <v>0</v>
      </c>
      <c r="BU86" t="s">
        <v>3856</v>
      </c>
      <c r="BV86" t="s">
        <v>1668</v>
      </c>
      <c r="BW86">
        <v>11829</v>
      </c>
      <c r="BY86">
        <v>0</v>
      </c>
      <c r="BZ86" s="21">
        <v>2.7777777777777779E-3</v>
      </c>
      <c r="CA86">
        <v>1</v>
      </c>
      <c r="CB86" t="b">
        <v>1</v>
      </c>
      <c r="CC86">
        <v>0</v>
      </c>
      <c r="CD86" t="b">
        <v>0</v>
      </c>
      <c r="CE86" t="b">
        <v>0</v>
      </c>
      <c r="CF86" t="b">
        <v>1</v>
      </c>
      <c r="CG86" t="s">
        <v>1870</v>
      </c>
      <c r="CH86" t="s">
        <v>1681</v>
      </c>
      <c r="CI86" s="10">
        <v>399950</v>
      </c>
    </row>
    <row r="87" spans="1:89">
      <c r="A87">
        <v>27105286</v>
      </c>
      <c r="B87" s="2" t="str">
        <f>HYPERLINK("http://www.redfin.com/stingray/do/printable-listing?listing-id=825185","Subject To Inspection")</f>
        <v>Subject To Inspection</v>
      </c>
      <c r="D87" t="s">
        <v>63</v>
      </c>
      <c r="E87" t="s">
        <v>295</v>
      </c>
      <c r="F87">
        <v>409000</v>
      </c>
      <c r="G87">
        <v>1922</v>
      </c>
      <c r="H87">
        <v>0</v>
      </c>
      <c r="I87">
        <v>3311</v>
      </c>
      <c r="J87">
        <v>4</v>
      </c>
      <c r="K87">
        <v>1</v>
      </c>
      <c r="M87" s="2" t="str">
        <f>HYPERLINK("http://maps.live.com/default.aspx?v=2&amp;lvl=15&amp;sp=Point.47.678302_-122.361184_6718 4th Ave NW&amp;cp=47.678302~-122.361184","Map")</f>
        <v>Map</v>
      </c>
      <c r="N87" s="2" t="str">
        <f>HYPERLINK("http://i-0.rfimg.us/photo/1/bigphoto/286/27105286_1.jpg","Photo")</f>
        <v>Photo</v>
      </c>
      <c r="AG87">
        <v>47.678302000000002</v>
      </c>
      <c r="AH87">
        <v>-122.36118399999999</v>
      </c>
      <c r="AI87" t="s">
        <v>66</v>
      </c>
      <c r="AJ87">
        <v>98117</v>
      </c>
      <c r="BC87" s="22">
        <v>39245.359143518515</v>
      </c>
      <c r="BI87" s="7">
        <v>39541</v>
      </c>
      <c r="BL87">
        <v>8180</v>
      </c>
      <c r="BM87">
        <v>825185</v>
      </c>
      <c r="BN87" t="s">
        <v>1774</v>
      </c>
      <c r="BO87" s="17">
        <f t="shared" ca="1" si="1"/>
        <v>303.95026250000228</v>
      </c>
      <c r="BP87" t="b">
        <v>0</v>
      </c>
      <c r="BQ87">
        <v>2</v>
      </c>
      <c r="BR87" t="s">
        <v>1667</v>
      </c>
      <c r="BS87" t="s">
        <v>1724</v>
      </c>
      <c r="BT87" t="b">
        <v>0</v>
      </c>
      <c r="BV87" t="s">
        <v>1668</v>
      </c>
      <c r="BW87">
        <v>6718</v>
      </c>
      <c r="BX87" t="s">
        <v>1669</v>
      </c>
      <c r="BY87">
        <v>495993</v>
      </c>
      <c r="BZ87" t="s">
        <v>1957</v>
      </c>
      <c r="CA87">
        <v>1</v>
      </c>
      <c r="CB87" t="b">
        <v>1</v>
      </c>
      <c r="CC87">
        <v>0</v>
      </c>
      <c r="CD87" t="b">
        <v>0</v>
      </c>
      <c r="CE87" t="b">
        <v>0</v>
      </c>
      <c r="CF87" t="b">
        <v>1</v>
      </c>
      <c r="CG87">
        <v>2935961</v>
      </c>
      <c r="CH87" t="s">
        <v>1681</v>
      </c>
      <c r="CI87" s="10">
        <v>409000</v>
      </c>
      <c r="CK87" t="s">
        <v>2056</v>
      </c>
    </row>
    <row r="88" spans="1:89">
      <c r="A88">
        <v>27105783</v>
      </c>
      <c r="B88" s="2" t="str">
        <f>HYPERLINK("http://www.redfin.com/stingray/do/printable-listing?listing-id=825504","Active")</f>
        <v>Active</v>
      </c>
      <c r="D88" t="s">
        <v>3704</v>
      </c>
      <c r="E88" t="s">
        <v>4195</v>
      </c>
      <c r="F88">
        <v>589950</v>
      </c>
      <c r="G88">
        <v>2007</v>
      </c>
      <c r="H88">
        <v>1420</v>
      </c>
      <c r="I88">
        <v>0</v>
      </c>
      <c r="J88">
        <v>2</v>
      </c>
      <c r="K88">
        <v>2.5</v>
      </c>
      <c r="M88" s="2" t="str">
        <f>HYPERLINK("http://maps.live.com/default.aspx?v=2&amp;lvl=15&amp;sp=Point.47.616722_-122.314095_1710 14TH Ave&amp;cp=47.616722~-122.314095","Map")</f>
        <v>Map</v>
      </c>
      <c r="N88" s="2" t="str">
        <f>HYPERLINK("http://i-0.rfimg.us/photo/1/bigphoto/783/27105783_2.jpg","Photo")</f>
        <v>Photo</v>
      </c>
      <c r="AG88">
        <v>47.616722000000003</v>
      </c>
      <c r="AH88">
        <v>-122.31409499999999</v>
      </c>
      <c r="AI88" t="s">
        <v>66</v>
      </c>
      <c r="AJ88">
        <v>98122</v>
      </c>
      <c r="BC88" s="22">
        <v>39245.621608796297</v>
      </c>
      <c r="BI88" s="22">
        <v>39549.294907407406</v>
      </c>
      <c r="BL88">
        <v>11799</v>
      </c>
      <c r="BM88">
        <v>825504</v>
      </c>
      <c r="BN88" t="s">
        <v>1768</v>
      </c>
      <c r="BO88" s="17">
        <f t="shared" ca="1" si="1"/>
        <v>303.68779710648232</v>
      </c>
      <c r="BP88" t="b">
        <v>0</v>
      </c>
      <c r="BQ88">
        <v>1</v>
      </c>
      <c r="BR88" t="s">
        <v>1667</v>
      </c>
      <c r="BS88" t="s">
        <v>2939</v>
      </c>
      <c r="BT88" t="b">
        <v>0</v>
      </c>
      <c r="BV88" t="s">
        <v>1668</v>
      </c>
      <c r="BW88">
        <v>1710</v>
      </c>
      <c r="BY88">
        <v>11898440</v>
      </c>
      <c r="BZ88" t="s">
        <v>4196</v>
      </c>
      <c r="CA88">
        <v>1</v>
      </c>
      <c r="CB88" t="b">
        <v>1</v>
      </c>
      <c r="CC88">
        <v>0</v>
      </c>
      <c r="CD88" t="b">
        <v>0</v>
      </c>
      <c r="CE88" t="b">
        <v>0</v>
      </c>
      <c r="CF88" t="b">
        <v>1</v>
      </c>
      <c r="CG88">
        <v>15152665</v>
      </c>
      <c r="CH88" t="s">
        <v>1681</v>
      </c>
      <c r="CI88" s="10">
        <v>589950</v>
      </c>
    </row>
    <row r="89" spans="1:89">
      <c r="A89">
        <v>27107147</v>
      </c>
      <c r="B89" s="2" t="str">
        <f>HYPERLINK("http://www.redfin.com/stingray/do/printable-listing?listing-id=834150","Active")</f>
        <v>Active</v>
      </c>
      <c r="D89" t="s">
        <v>3249</v>
      </c>
      <c r="E89" t="s">
        <v>1657</v>
      </c>
      <c r="F89">
        <v>8500000</v>
      </c>
      <c r="G89">
        <v>1999</v>
      </c>
      <c r="H89">
        <v>6129</v>
      </c>
      <c r="I89">
        <v>9365</v>
      </c>
      <c r="J89">
        <v>4</v>
      </c>
      <c r="K89">
        <v>3.25</v>
      </c>
      <c r="M89" s="2" t="str">
        <f>HYPERLINK("http://maps.live.com/default.aspx?v=2&amp;lvl=15&amp;sp=adr.Undisclosed,98109","Map")</f>
        <v>Map</v>
      </c>
      <c r="N89" s="2" t="str">
        <f>HYPERLINK("http://i-0.rfimg.us/photo/1/bigphoto/147/27107147_4.jpg","Photo")</f>
        <v>Photo</v>
      </c>
      <c r="AI89" t="s">
        <v>66</v>
      </c>
      <c r="AJ89">
        <v>98109</v>
      </c>
      <c r="BC89" s="22">
        <v>39248.30672453704</v>
      </c>
      <c r="BI89" s="22">
        <v>39549.294907407406</v>
      </c>
      <c r="BL89">
        <v>170000</v>
      </c>
      <c r="BM89">
        <v>834150</v>
      </c>
      <c r="BN89" t="s">
        <v>1768</v>
      </c>
      <c r="BO89" s="17">
        <f t="shared" ca="1" si="1"/>
        <v>301.00268136573868</v>
      </c>
      <c r="BP89" t="b">
        <v>0</v>
      </c>
      <c r="BQ89">
        <v>1</v>
      </c>
      <c r="BT89" t="b">
        <v>1</v>
      </c>
      <c r="BV89" t="s">
        <v>1668</v>
      </c>
      <c r="BY89">
        <v>0</v>
      </c>
      <c r="BZ89" t="s">
        <v>2379</v>
      </c>
      <c r="CA89">
        <v>1</v>
      </c>
      <c r="CB89" t="b">
        <v>1</v>
      </c>
      <c r="CC89">
        <v>0</v>
      </c>
      <c r="CD89" t="b">
        <v>0</v>
      </c>
      <c r="CE89" t="b">
        <v>0</v>
      </c>
      <c r="CF89" t="b">
        <v>1</v>
      </c>
      <c r="CG89" t="s">
        <v>1870</v>
      </c>
      <c r="CH89" t="s">
        <v>1681</v>
      </c>
      <c r="CI89" s="10">
        <v>8500000</v>
      </c>
    </row>
    <row r="90" spans="1:89">
      <c r="A90">
        <v>27107977</v>
      </c>
      <c r="B90" s="2" t="str">
        <f>HYPERLINK("http://www.redfin.com/stingray/do/printable-listing?listing-id=835822","Active")</f>
        <v>Active</v>
      </c>
      <c r="D90" t="s">
        <v>66</v>
      </c>
      <c r="E90" t="s">
        <v>3009</v>
      </c>
      <c r="F90" s="19">
        <v>778000</v>
      </c>
      <c r="G90">
        <v>1936</v>
      </c>
      <c r="H90">
        <v>3078</v>
      </c>
      <c r="I90">
        <v>9656</v>
      </c>
      <c r="J90">
        <v>5</v>
      </c>
      <c r="K90">
        <v>2.75</v>
      </c>
      <c r="M90" s="2" t="str">
        <f>HYPERLINK("http://maps.live.com/default.aspx?v=2&amp;lvl=15&amp;sp=Point.47.699967_-122.294803_3025 NE 98th St&amp;cp=47.699967~-122.294803","Map")</f>
        <v>Map</v>
      </c>
      <c r="N90" s="2" t="str">
        <f>HYPERLINK("http://i-0.rfimg.us/photo/1/bigphoto/977/27107977_5.jpg","Photo")</f>
        <v>Photo</v>
      </c>
      <c r="AG90">
        <v>47.699967000000001</v>
      </c>
      <c r="AH90">
        <v>-122.294803</v>
      </c>
      <c r="AI90" t="s">
        <v>66</v>
      </c>
      <c r="AJ90">
        <v>98115</v>
      </c>
      <c r="BC90" s="22">
        <v>39248.448333333334</v>
      </c>
      <c r="BI90" s="22">
        <v>39549.294907407406</v>
      </c>
      <c r="BL90">
        <v>15955</v>
      </c>
      <c r="BM90">
        <v>835822</v>
      </c>
      <c r="BN90" t="s">
        <v>1823</v>
      </c>
      <c r="BO90" s="17">
        <f t="shared" ca="1" si="1"/>
        <v>300.86107256944524</v>
      </c>
      <c r="BP90" t="b">
        <v>0</v>
      </c>
      <c r="BQ90">
        <v>1</v>
      </c>
      <c r="BR90" t="s">
        <v>1686</v>
      </c>
      <c r="BS90" t="s">
        <v>3007</v>
      </c>
      <c r="BT90" t="b">
        <v>0</v>
      </c>
      <c r="BU90" t="s">
        <v>1738</v>
      </c>
      <c r="BV90" t="s">
        <v>1668</v>
      </c>
      <c r="BW90">
        <v>3025</v>
      </c>
      <c r="BY90">
        <v>114004</v>
      </c>
      <c r="BZ90" t="s">
        <v>3010</v>
      </c>
      <c r="CA90">
        <v>1</v>
      </c>
      <c r="CB90" t="b">
        <v>1</v>
      </c>
      <c r="CC90">
        <v>0</v>
      </c>
      <c r="CD90" t="b">
        <v>0</v>
      </c>
      <c r="CE90" t="b">
        <v>0</v>
      </c>
      <c r="CF90" t="b">
        <v>1</v>
      </c>
      <c r="CG90">
        <v>2611264</v>
      </c>
      <c r="CH90" t="s">
        <v>1681</v>
      </c>
      <c r="CI90" s="10">
        <v>797750</v>
      </c>
    </row>
    <row r="91" spans="1:89">
      <c r="A91">
        <v>27109001</v>
      </c>
      <c r="B91" s="2" t="str">
        <f>HYPERLINK("http://www.redfin.com/stingray/do/printable-listing?listing-id=839919","Active")</f>
        <v>Active</v>
      </c>
      <c r="D91" t="s">
        <v>5709</v>
      </c>
      <c r="E91" t="s">
        <v>5708</v>
      </c>
      <c r="F91">
        <v>1149950</v>
      </c>
      <c r="G91">
        <v>1975</v>
      </c>
      <c r="H91">
        <v>3720</v>
      </c>
      <c r="I91">
        <v>9900</v>
      </c>
      <c r="J91">
        <v>4</v>
      </c>
      <c r="K91">
        <v>2.25</v>
      </c>
      <c r="M91" s="2" t="str">
        <f>HYPERLINK("http://maps.live.com/default.aspx?v=2&amp;lvl=15&amp;sp=Point.47.533384_-122.221007_7801 89th Pl SE&amp;cp=47.533384~-122.221007","Map")</f>
        <v>Map</v>
      </c>
      <c r="N91" s="2" t="str">
        <f>HYPERLINK("http://i-0.rfimg.us/photo/1/bigphoto/001/27109001_1.jpg","Photo")</f>
        <v>Photo</v>
      </c>
      <c r="AG91">
        <v>47.533383999999998</v>
      </c>
      <c r="AH91">
        <v>-122.221007</v>
      </c>
      <c r="AI91" t="s">
        <v>5139</v>
      </c>
      <c r="AJ91">
        <v>98040</v>
      </c>
      <c r="AN91">
        <v>890000</v>
      </c>
      <c r="BC91" s="22">
        <v>39251.794895833336</v>
      </c>
      <c r="BI91" s="22">
        <v>39549.294907407406</v>
      </c>
      <c r="BL91">
        <v>22999</v>
      </c>
      <c r="BM91">
        <v>839919</v>
      </c>
      <c r="BN91" t="s">
        <v>1688</v>
      </c>
      <c r="BO91" s="17">
        <f t="shared" ca="1" si="1"/>
        <v>297.51451006944262</v>
      </c>
      <c r="BP91" t="b">
        <v>0</v>
      </c>
      <c r="BQ91">
        <v>1</v>
      </c>
      <c r="BR91" t="s">
        <v>1842</v>
      </c>
      <c r="BS91" t="s">
        <v>2741</v>
      </c>
      <c r="BT91" t="b">
        <v>0</v>
      </c>
      <c r="BV91" t="s">
        <v>1668</v>
      </c>
      <c r="BW91">
        <v>7801</v>
      </c>
      <c r="BX91" t="s">
        <v>3856</v>
      </c>
      <c r="BY91">
        <v>256124</v>
      </c>
      <c r="BZ91" t="s">
        <v>2799</v>
      </c>
      <c r="CA91">
        <v>1</v>
      </c>
      <c r="CB91" t="b">
        <v>1</v>
      </c>
      <c r="CC91">
        <v>0</v>
      </c>
      <c r="CD91" t="b">
        <v>0</v>
      </c>
      <c r="CE91" t="b">
        <v>0</v>
      </c>
      <c r="CF91" t="b">
        <v>1</v>
      </c>
      <c r="CG91">
        <v>2623841</v>
      </c>
      <c r="CH91" t="s">
        <v>1681</v>
      </c>
      <c r="CI91" s="10">
        <v>1149950</v>
      </c>
      <c r="CJ91" s="7">
        <v>38498</v>
      </c>
    </row>
    <row r="92" spans="1:89">
      <c r="A92">
        <v>27109502</v>
      </c>
      <c r="B92" s="2" t="str">
        <f>HYPERLINK("http://www.redfin.com/stingray/do/printable-listing?listing-id=838943","Active")</f>
        <v>Active</v>
      </c>
      <c r="D92" t="s">
        <v>5490</v>
      </c>
      <c r="E92" t="s">
        <v>5651</v>
      </c>
      <c r="F92">
        <v>699950</v>
      </c>
      <c r="G92">
        <v>2000</v>
      </c>
      <c r="H92">
        <v>2947</v>
      </c>
      <c r="I92">
        <v>5431</v>
      </c>
      <c r="J92">
        <v>4</v>
      </c>
      <c r="K92">
        <v>2.75</v>
      </c>
      <c r="M92" s="2" t="str">
        <f>HYPERLINK("http://maps.live.com/default.aspx?v=2&amp;lvl=15&amp;sp=Point.47.565363_-122.125492_16101 SE 45th St&amp;cp=47.565363~-122.125492","Map")</f>
        <v>Map</v>
      </c>
      <c r="N92" s="2" t="str">
        <f>HYPERLINK("http://i-0.rfimg.us/photo/1/bigphoto/502/27109502_5.jpg","Photo")</f>
        <v>Photo</v>
      </c>
      <c r="AG92">
        <v>47.565362999999998</v>
      </c>
      <c r="AH92">
        <v>-122.12549199999999</v>
      </c>
      <c r="AI92" t="s">
        <v>5280</v>
      </c>
      <c r="AJ92">
        <v>98027</v>
      </c>
      <c r="AN92">
        <v>579950</v>
      </c>
      <c r="BC92" s="22">
        <v>39251.607858796298</v>
      </c>
      <c r="BI92" s="22">
        <v>39549.294907407406</v>
      </c>
      <c r="BL92">
        <v>13999</v>
      </c>
      <c r="BM92">
        <v>838943</v>
      </c>
      <c r="BN92" t="s">
        <v>1768</v>
      </c>
      <c r="BO92" s="17">
        <f t="shared" ca="1" si="1"/>
        <v>297.70154710648058</v>
      </c>
      <c r="BP92" t="b">
        <v>0</v>
      </c>
      <c r="BQ92">
        <v>1</v>
      </c>
      <c r="BR92" t="s">
        <v>1686</v>
      </c>
      <c r="BS92" t="s">
        <v>2667</v>
      </c>
      <c r="BT92" t="b">
        <v>0</v>
      </c>
      <c r="BU92" t="s">
        <v>3856</v>
      </c>
      <c r="BV92" t="s">
        <v>1668</v>
      </c>
      <c r="BW92">
        <v>16101</v>
      </c>
      <c r="BY92">
        <v>239068</v>
      </c>
      <c r="BZ92" t="s">
        <v>5652</v>
      </c>
      <c r="CA92">
        <v>1</v>
      </c>
      <c r="CB92" t="b">
        <v>1</v>
      </c>
      <c r="CC92">
        <v>0</v>
      </c>
      <c r="CD92" t="b">
        <v>0</v>
      </c>
      <c r="CE92" t="b">
        <v>0</v>
      </c>
      <c r="CF92" t="b">
        <v>1</v>
      </c>
      <c r="CG92">
        <v>2448730</v>
      </c>
      <c r="CH92" t="s">
        <v>1681</v>
      </c>
      <c r="CI92" s="10">
        <v>699950</v>
      </c>
      <c r="CJ92" s="7">
        <v>38411</v>
      </c>
    </row>
    <row r="93" spans="1:89">
      <c r="A93">
        <v>27109576</v>
      </c>
      <c r="B93" s="2" t="str">
        <f>HYPERLINK("http://www.redfin.com/stingray/do/printable-listing?listing-id=851049","Active")</f>
        <v>Active</v>
      </c>
      <c r="D93" t="s">
        <v>3885</v>
      </c>
      <c r="E93" t="s">
        <v>5844</v>
      </c>
      <c r="F93">
        <v>999950</v>
      </c>
      <c r="G93">
        <v>1994</v>
      </c>
      <c r="H93">
        <v>3831</v>
      </c>
      <c r="I93">
        <v>11494</v>
      </c>
      <c r="J93">
        <v>3</v>
      </c>
      <c r="K93">
        <v>2.75</v>
      </c>
      <c r="M93" s="2" t="str">
        <f>HYPERLINK("http://maps.live.com/default.aspx?v=2&amp;lvl=15&amp;sp=Point.47.5289_-122.152554_14125 SE 83 St&amp;cp=47.5289~-122.152554","Map")</f>
        <v>Map</v>
      </c>
      <c r="N93" s="2" t="str">
        <f>HYPERLINK("http://i-0.rfimg.us/photo/1/bigphoto/576/27109576_2.jpg","Photo")</f>
        <v>Photo</v>
      </c>
      <c r="AG93">
        <v>47.5289</v>
      </c>
      <c r="AH93">
        <v>-122.15255399999999</v>
      </c>
      <c r="AI93" t="s">
        <v>3885</v>
      </c>
      <c r="AJ93">
        <v>98059</v>
      </c>
      <c r="AN93">
        <v>605000</v>
      </c>
      <c r="BC93" s="22">
        <v>39254.655023148145</v>
      </c>
      <c r="BI93" s="22">
        <v>39549.294907407406</v>
      </c>
      <c r="BL93">
        <v>19999</v>
      </c>
      <c r="BM93">
        <v>851049</v>
      </c>
      <c r="BN93" t="s">
        <v>1688</v>
      </c>
      <c r="BO93" s="17">
        <f t="shared" ca="1" si="1"/>
        <v>294.65438275463384</v>
      </c>
      <c r="BP93" t="b">
        <v>0</v>
      </c>
      <c r="BQ93">
        <v>1</v>
      </c>
      <c r="BR93" t="s">
        <v>1686</v>
      </c>
      <c r="BS93">
        <v>83</v>
      </c>
      <c r="BT93" t="b">
        <v>0</v>
      </c>
      <c r="BU93" t="s">
        <v>3856</v>
      </c>
      <c r="BV93" t="s">
        <v>1668</v>
      </c>
      <c r="BW93">
        <v>14125</v>
      </c>
      <c r="BY93">
        <v>417695</v>
      </c>
      <c r="BZ93" t="s">
        <v>1730</v>
      </c>
      <c r="CA93">
        <v>1</v>
      </c>
      <c r="CB93" t="b">
        <v>1</v>
      </c>
      <c r="CC93">
        <v>0</v>
      </c>
      <c r="CD93" t="b">
        <v>0</v>
      </c>
      <c r="CE93" t="b">
        <v>0</v>
      </c>
      <c r="CF93" t="b">
        <v>1</v>
      </c>
      <c r="CG93">
        <v>2600140</v>
      </c>
      <c r="CH93" t="s">
        <v>1681</v>
      </c>
      <c r="CI93" s="10">
        <v>999950</v>
      </c>
      <c r="CJ93" s="7">
        <v>37880</v>
      </c>
    </row>
    <row r="94" spans="1:89">
      <c r="A94">
        <v>27110125</v>
      </c>
      <c r="B94" s="2" t="str">
        <f>HYPERLINK("http://www.redfin.com/stingray/do/printable-listing?listing-id=842353","Active")</f>
        <v>Active</v>
      </c>
      <c r="D94" t="s">
        <v>5552</v>
      </c>
      <c r="E94" t="s">
        <v>5556</v>
      </c>
      <c r="F94">
        <v>655000</v>
      </c>
      <c r="G94">
        <v>2007</v>
      </c>
      <c r="H94">
        <v>2535</v>
      </c>
      <c r="I94">
        <v>8040</v>
      </c>
      <c r="J94">
        <v>4</v>
      </c>
      <c r="K94">
        <v>3</v>
      </c>
      <c r="M94" s="2" t="str">
        <f>HYPERLINK("http://maps.live.com/default.aspx?v=2&amp;lvl=15&amp;sp=adr.0 SE Clark St n4XX (Unable to map),98027","Map")</f>
        <v>Map</v>
      </c>
      <c r="N94" s="2" t="str">
        <f>HYPERLINK("http://i-0.rfimg.us/photo/1/bigphoto/125/27110125_4.jpg","Photo")</f>
        <v>Photo</v>
      </c>
      <c r="AI94" t="s">
        <v>5280</v>
      </c>
      <c r="AJ94">
        <v>98027</v>
      </c>
      <c r="AM94" t="s">
        <v>5557</v>
      </c>
      <c r="BC94" s="22">
        <v>39252.296481481484</v>
      </c>
      <c r="BI94" s="22">
        <v>39549.294907407406</v>
      </c>
      <c r="BL94">
        <v>13100</v>
      </c>
      <c r="BM94">
        <v>842353</v>
      </c>
      <c r="BN94" t="s">
        <v>1768</v>
      </c>
      <c r="BO94" s="17">
        <f t="shared" ca="1" si="1"/>
        <v>297.01292442129488</v>
      </c>
      <c r="BP94" t="b">
        <v>0</v>
      </c>
      <c r="BQ94">
        <v>1</v>
      </c>
      <c r="BR94" t="s">
        <v>1686</v>
      </c>
      <c r="BS94" t="s">
        <v>5558</v>
      </c>
      <c r="BT94" t="b">
        <v>0</v>
      </c>
      <c r="BU94" t="s">
        <v>3856</v>
      </c>
      <c r="BV94" t="s">
        <v>1668</v>
      </c>
      <c r="BW94">
        <v>0</v>
      </c>
      <c r="BY94">
        <v>0</v>
      </c>
      <c r="BZ94" t="s">
        <v>5559</v>
      </c>
      <c r="CA94">
        <v>1</v>
      </c>
      <c r="CB94" t="b">
        <v>1</v>
      </c>
      <c r="CC94">
        <v>0</v>
      </c>
      <c r="CD94" t="b">
        <v>0</v>
      </c>
      <c r="CE94" t="b">
        <v>0</v>
      </c>
      <c r="CF94" t="b">
        <v>1</v>
      </c>
      <c r="CG94" t="s">
        <v>1870</v>
      </c>
      <c r="CH94" t="s">
        <v>1681</v>
      </c>
      <c r="CI94" s="10">
        <v>655000</v>
      </c>
    </row>
    <row r="95" spans="1:89">
      <c r="A95">
        <v>27111492</v>
      </c>
      <c r="B95" s="2" t="str">
        <f>HYPERLINK("http://www.redfin.com/stingray/do/printable-listing?listing-id=852202","Subject To Inspection")</f>
        <v>Subject To Inspection</v>
      </c>
      <c r="D95" t="s">
        <v>5490</v>
      </c>
      <c r="E95" t="s">
        <v>5895</v>
      </c>
      <c r="F95">
        <v>745000</v>
      </c>
      <c r="G95">
        <v>1992</v>
      </c>
      <c r="H95">
        <v>2340</v>
      </c>
      <c r="I95">
        <v>10737</v>
      </c>
      <c r="J95">
        <v>3</v>
      </c>
      <c r="K95">
        <v>2.5</v>
      </c>
      <c r="M95" s="2" t="str">
        <f>HYPERLINK("http://maps.live.com/default.aspx?v=2&amp;lvl=15&amp;sp=Point.47.559361_-122.109728_17262 SE 49th Pl&amp;cp=47.559361~-122.109728","Map")</f>
        <v>Map</v>
      </c>
      <c r="N95" s="2" t="str">
        <f>HYPERLINK("http://i-0.rfimg.us/photo/1/bigphoto/492/27111492_1.jpg","Photo")</f>
        <v>Photo</v>
      </c>
      <c r="AG95">
        <v>47.559361000000003</v>
      </c>
      <c r="AH95">
        <v>-122.109728</v>
      </c>
      <c r="AI95" t="s">
        <v>369</v>
      </c>
      <c r="AJ95">
        <v>98006</v>
      </c>
      <c r="AN95">
        <v>343500</v>
      </c>
      <c r="BC95" s="22">
        <v>39255.264768518522</v>
      </c>
      <c r="BI95" s="7">
        <v>39533</v>
      </c>
      <c r="BL95">
        <v>14900</v>
      </c>
      <c r="BM95">
        <v>852202</v>
      </c>
      <c r="BN95" t="s">
        <v>1688</v>
      </c>
      <c r="BO95" s="17">
        <f t="shared" ca="1" si="1"/>
        <v>294.04463738425693</v>
      </c>
      <c r="BP95" t="b">
        <v>0</v>
      </c>
      <c r="BQ95">
        <v>2</v>
      </c>
      <c r="BR95" t="s">
        <v>1842</v>
      </c>
      <c r="BS95" t="s">
        <v>2446</v>
      </c>
      <c r="BT95" t="b">
        <v>0</v>
      </c>
      <c r="BU95" t="s">
        <v>3856</v>
      </c>
      <c r="BV95" t="s">
        <v>1668</v>
      </c>
      <c r="BW95">
        <v>17262</v>
      </c>
      <c r="BY95">
        <v>418293</v>
      </c>
      <c r="BZ95" t="s">
        <v>1963</v>
      </c>
      <c r="CA95">
        <v>1</v>
      </c>
      <c r="CB95" t="b">
        <v>1</v>
      </c>
      <c r="CC95">
        <v>0</v>
      </c>
      <c r="CD95" t="b">
        <v>0</v>
      </c>
      <c r="CE95" t="b">
        <v>0</v>
      </c>
      <c r="CF95" t="b">
        <v>1</v>
      </c>
      <c r="CG95">
        <v>2344391</v>
      </c>
      <c r="CH95" t="s">
        <v>1681</v>
      </c>
      <c r="CI95" s="10">
        <v>745000</v>
      </c>
      <c r="CJ95" s="7">
        <v>35692</v>
      </c>
    </row>
    <row r="96" spans="1:89">
      <c r="A96">
        <v>27112337</v>
      </c>
      <c r="B96" s="2" t="str">
        <f>HYPERLINK("http://www.redfin.com/stingray/do/printable-listing?listing-id=850908","Active")</f>
        <v>Active</v>
      </c>
      <c r="D96" t="s">
        <v>4363</v>
      </c>
      <c r="E96" t="s">
        <v>4896</v>
      </c>
      <c r="F96">
        <v>725000</v>
      </c>
      <c r="G96">
        <v>1959</v>
      </c>
      <c r="H96">
        <v>1350</v>
      </c>
      <c r="I96">
        <v>16485</v>
      </c>
      <c r="J96">
        <v>5</v>
      </c>
      <c r="K96">
        <v>3.5</v>
      </c>
      <c r="M96" s="2" t="str">
        <f>HYPERLINK("http://maps.live.com/default.aspx?v=2&amp;lvl=15&amp;sp=Point.47.676532_-122.163695_8032 132nd Ave NE&amp;cp=47.676532~-122.163695","Map")</f>
        <v>Map</v>
      </c>
      <c r="N96" s="2" t="str">
        <f>HYPERLINK("http://i-0.rfimg.us/photo/1/bigphoto/337/27112337_1.jpg","Photo")</f>
        <v>Photo</v>
      </c>
      <c r="AG96">
        <v>47.676532000000002</v>
      </c>
      <c r="AH96">
        <v>-122.163695</v>
      </c>
      <c r="AI96" t="s">
        <v>4363</v>
      </c>
      <c r="AJ96">
        <v>98052</v>
      </c>
      <c r="BC96" s="22">
        <v>39254.593842592592</v>
      </c>
      <c r="BI96" s="22">
        <v>39549.294907407406</v>
      </c>
      <c r="BL96">
        <v>14500</v>
      </c>
      <c r="BM96">
        <v>850908</v>
      </c>
      <c r="BN96" t="s">
        <v>1720</v>
      </c>
      <c r="BO96" s="17">
        <f t="shared" ca="1" si="1"/>
        <v>294.71556331018655</v>
      </c>
      <c r="BP96" t="b">
        <v>0</v>
      </c>
      <c r="BQ96">
        <v>1</v>
      </c>
      <c r="BR96" t="s">
        <v>1667</v>
      </c>
      <c r="BS96" t="s">
        <v>4362</v>
      </c>
      <c r="BT96" t="b">
        <v>0</v>
      </c>
      <c r="BV96" t="s">
        <v>1668</v>
      </c>
      <c r="BW96">
        <v>8032</v>
      </c>
      <c r="BX96" t="s">
        <v>1738</v>
      </c>
      <c r="BY96">
        <v>11902483</v>
      </c>
      <c r="BZ96" s="21">
        <v>1.3888888888888889E-3</v>
      </c>
      <c r="CA96">
        <v>1</v>
      </c>
      <c r="CB96" t="b">
        <v>1</v>
      </c>
      <c r="CC96">
        <v>0</v>
      </c>
      <c r="CD96" t="b">
        <v>0</v>
      </c>
      <c r="CE96" t="b">
        <v>0</v>
      </c>
      <c r="CF96" t="b">
        <v>1</v>
      </c>
      <c r="CG96">
        <v>15156708</v>
      </c>
      <c r="CH96" t="s">
        <v>1681</v>
      </c>
      <c r="CI96" s="10">
        <v>725000</v>
      </c>
    </row>
    <row r="97" spans="1:90">
      <c r="A97">
        <v>27112648</v>
      </c>
      <c r="B97" s="2" t="str">
        <f>HYPERLINK("http://www.redfin.com/stingray/do/printable-listing?listing-id=851813","Active")</f>
        <v>Active</v>
      </c>
      <c r="D97" t="s">
        <v>3961</v>
      </c>
      <c r="E97" t="s">
        <v>4305</v>
      </c>
      <c r="F97">
        <v>1600000</v>
      </c>
      <c r="G97">
        <v>2008</v>
      </c>
      <c r="H97">
        <v>2950</v>
      </c>
      <c r="I97">
        <v>4200</v>
      </c>
      <c r="J97">
        <v>4</v>
      </c>
      <c r="K97">
        <v>3.5</v>
      </c>
      <c r="M97" s="2" t="str">
        <f>HYPERLINK("http://maps.live.com/default.aspx?v=2&amp;lvl=15&amp;sp=adr.130 33rd Ave S nxxx (Unable to map),98144","Map")</f>
        <v>Map</v>
      </c>
      <c r="N97" s="2" t="str">
        <f>HYPERLINK("http://i-0.rfimg.us/photo/1/bigphoto/648/27112648_2.jpg","Photo")</f>
        <v>Photo</v>
      </c>
      <c r="AI97" t="s">
        <v>66</v>
      </c>
      <c r="AJ97">
        <v>98144</v>
      </c>
      <c r="AM97" t="s">
        <v>4306</v>
      </c>
      <c r="BC97" s="22">
        <v>39254.933368055557</v>
      </c>
      <c r="BI97" s="22">
        <v>39549.294907407406</v>
      </c>
      <c r="BL97">
        <v>32000</v>
      </c>
      <c r="BM97">
        <v>851813</v>
      </c>
      <c r="BN97" t="s">
        <v>1768</v>
      </c>
      <c r="BO97" s="17">
        <f t="shared" ca="1" si="1"/>
        <v>294.3760378472216</v>
      </c>
      <c r="BP97" t="b">
        <v>0</v>
      </c>
      <c r="BQ97">
        <v>1</v>
      </c>
      <c r="BR97" t="s">
        <v>1667</v>
      </c>
      <c r="BS97" t="s">
        <v>3460</v>
      </c>
      <c r="BT97" t="b">
        <v>0</v>
      </c>
      <c r="BV97" t="s">
        <v>1668</v>
      </c>
      <c r="BW97">
        <v>130</v>
      </c>
      <c r="BX97" t="s">
        <v>1881</v>
      </c>
      <c r="BY97">
        <v>0</v>
      </c>
      <c r="BZ97" t="s">
        <v>4307</v>
      </c>
      <c r="CA97">
        <v>1</v>
      </c>
      <c r="CB97" t="b">
        <v>1</v>
      </c>
      <c r="CC97">
        <v>0</v>
      </c>
      <c r="CD97" t="b">
        <v>0</v>
      </c>
      <c r="CE97" t="b">
        <v>0</v>
      </c>
      <c r="CF97" t="b">
        <v>1</v>
      </c>
      <c r="CG97" t="s">
        <v>1870</v>
      </c>
      <c r="CH97" t="s">
        <v>1681</v>
      </c>
      <c r="CI97" s="10">
        <v>1600000</v>
      </c>
    </row>
    <row r="98" spans="1:90">
      <c r="A98">
        <v>27112875</v>
      </c>
      <c r="B98" s="2" t="str">
        <f>HYPERLINK("http://www.redfin.com/stingray/do/printable-listing?listing-id=854042","Active")</f>
        <v>Active</v>
      </c>
      <c r="D98" t="s">
        <v>3066</v>
      </c>
      <c r="E98" t="s">
        <v>4994</v>
      </c>
      <c r="F98">
        <v>740000</v>
      </c>
      <c r="G98">
        <v>2008</v>
      </c>
      <c r="H98">
        <v>2645</v>
      </c>
      <c r="I98">
        <v>7204</v>
      </c>
      <c r="J98">
        <v>4</v>
      </c>
      <c r="K98">
        <v>2.5</v>
      </c>
      <c r="M98" s="2" t="str">
        <f>HYPERLINK("http://maps.live.com/default.aspx?v=2&amp;lvl=15&amp;sp=Point.47.6596_-122.1741_8028 124 Ct NE&amp;cp=47.6596~-122.1741","Map")</f>
        <v>Map</v>
      </c>
      <c r="N98" s="2" t="str">
        <f>HYPERLINK("http://i-0.rfimg.us/photo/1/bigphoto/875/27112875_0.jpg","Photo")</f>
        <v>Photo</v>
      </c>
      <c r="AG98">
        <v>47.659599999999998</v>
      </c>
      <c r="AH98">
        <v>-122.1741</v>
      </c>
      <c r="AI98" t="s">
        <v>1058</v>
      </c>
      <c r="AJ98">
        <v>98033</v>
      </c>
      <c r="BC98" s="22">
        <v>39255.448437500003</v>
      </c>
      <c r="BI98" s="22">
        <v>39549.294907407406</v>
      </c>
      <c r="BL98">
        <v>14800</v>
      </c>
      <c r="BM98">
        <v>854042</v>
      </c>
      <c r="BN98" t="s">
        <v>4766</v>
      </c>
      <c r="BO98" s="17">
        <f t="shared" ca="1" si="1"/>
        <v>293.86096840277605</v>
      </c>
      <c r="BP98" t="b">
        <v>0</v>
      </c>
      <c r="BQ98">
        <v>1</v>
      </c>
      <c r="BR98" t="s">
        <v>3768</v>
      </c>
      <c r="BS98">
        <v>124</v>
      </c>
      <c r="BT98" t="b">
        <v>0</v>
      </c>
      <c r="BV98" t="s">
        <v>1668</v>
      </c>
      <c r="BW98">
        <v>8028</v>
      </c>
      <c r="BX98" t="s">
        <v>1738</v>
      </c>
      <c r="BY98">
        <v>12094270</v>
      </c>
      <c r="BZ98" t="s">
        <v>4995</v>
      </c>
      <c r="CA98">
        <v>1</v>
      </c>
      <c r="CB98" t="b">
        <v>1</v>
      </c>
      <c r="CC98">
        <v>0</v>
      </c>
      <c r="CD98" t="b">
        <v>0</v>
      </c>
      <c r="CE98" t="b">
        <v>0</v>
      </c>
      <c r="CF98" t="b">
        <v>1</v>
      </c>
      <c r="CG98">
        <v>15347822</v>
      </c>
      <c r="CH98" t="s">
        <v>1681</v>
      </c>
      <c r="CI98" s="10">
        <v>740000</v>
      </c>
    </row>
    <row r="99" spans="1:90">
      <c r="A99">
        <v>27113230</v>
      </c>
      <c r="B99" s="2" t="str">
        <f>HYPERLINK("http://www.redfin.com/stingray/do/printable-listing?listing-id=856465","Active")</f>
        <v>Active</v>
      </c>
      <c r="D99" t="s">
        <v>5490</v>
      </c>
      <c r="E99" t="s">
        <v>5755</v>
      </c>
      <c r="F99">
        <v>999000</v>
      </c>
      <c r="G99">
        <v>2008</v>
      </c>
      <c r="H99">
        <v>3260</v>
      </c>
      <c r="I99">
        <v>7022</v>
      </c>
      <c r="J99">
        <v>4</v>
      </c>
      <c r="K99">
        <v>2.5</v>
      </c>
      <c r="M99" s="2" t="str">
        <f>HYPERLINK("http://maps.live.com/default.aspx?v=2&amp;lvl=15&amp;sp=Point.47.5641_-122.0818_16126 SE 45 Pl&amp;cp=47.5641~-122.0818","Map")</f>
        <v>Map</v>
      </c>
      <c r="N99" s="2" t="str">
        <f>HYPERLINK("http://i-0.rfimg.us/photo/1/bigphoto/230/27113230_W.jpg","Photo")</f>
        <v>Photo</v>
      </c>
      <c r="AG99">
        <v>47.564100000000003</v>
      </c>
      <c r="AH99">
        <v>-122.0818</v>
      </c>
      <c r="AI99" t="s">
        <v>5280</v>
      </c>
      <c r="AJ99">
        <v>98027</v>
      </c>
      <c r="AN99">
        <v>2520000</v>
      </c>
      <c r="BC99" s="22">
        <v>39255.813634259262</v>
      </c>
      <c r="BI99" s="22">
        <v>39549.294907407406</v>
      </c>
      <c r="BL99">
        <v>19980</v>
      </c>
      <c r="BM99">
        <v>856465</v>
      </c>
      <c r="BN99" t="s">
        <v>1768</v>
      </c>
      <c r="BO99" s="17">
        <f t="shared" ca="1" si="1"/>
        <v>293.49577164351649</v>
      </c>
      <c r="BP99" t="b">
        <v>0</v>
      </c>
      <c r="BQ99">
        <v>1</v>
      </c>
      <c r="BR99" t="s">
        <v>1842</v>
      </c>
      <c r="BS99">
        <v>45</v>
      </c>
      <c r="BT99" t="b">
        <v>0</v>
      </c>
      <c r="BU99" t="s">
        <v>3856</v>
      </c>
      <c r="BV99" t="s">
        <v>1668</v>
      </c>
      <c r="BW99">
        <v>16126</v>
      </c>
      <c r="BY99">
        <v>12304072</v>
      </c>
      <c r="BZ99" t="s">
        <v>5756</v>
      </c>
      <c r="CA99">
        <v>1</v>
      </c>
      <c r="CB99" t="b">
        <v>1</v>
      </c>
      <c r="CC99">
        <v>0</v>
      </c>
      <c r="CD99" t="b">
        <v>0</v>
      </c>
      <c r="CE99" t="b">
        <v>0</v>
      </c>
      <c r="CF99" t="b">
        <v>1</v>
      </c>
      <c r="CG99">
        <v>15362924</v>
      </c>
      <c r="CH99" t="s">
        <v>1681</v>
      </c>
      <c r="CI99" s="10">
        <v>999000</v>
      </c>
      <c r="CJ99" s="7">
        <v>39126</v>
      </c>
    </row>
    <row r="100" spans="1:90">
      <c r="A100">
        <v>27115997</v>
      </c>
      <c r="B100" s="2" t="str">
        <f>HYPERLINK("http://www.redfin.com/stingray/do/printable-listing?listing-id=865334","Active")</f>
        <v>Active</v>
      </c>
      <c r="D100" t="s">
        <v>194</v>
      </c>
      <c r="E100" t="s">
        <v>740</v>
      </c>
      <c r="F100">
        <v>436000</v>
      </c>
      <c r="G100">
        <v>2007</v>
      </c>
      <c r="H100">
        <v>2046</v>
      </c>
      <c r="I100">
        <v>0</v>
      </c>
      <c r="J100">
        <v>3</v>
      </c>
      <c r="K100">
        <v>2</v>
      </c>
      <c r="M100" s="2" t="str">
        <f>HYPERLINK("http://maps.live.com/default.aspx?v=2&amp;lvl=15&amp;sp=Point.47.691454_-122.304497_8607 23rd Ave NE&amp;cp=47.691454~-122.304497","Map")</f>
        <v>Map</v>
      </c>
      <c r="N100" s="2" t="str">
        <f>HYPERLINK("http://i-0.rfimg.us/photo/1/bigphoto/997/27115997_6.jpg","Photo")</f>
        <v>Photo</v>
      </c>
      <c r="AG100">
        <v>47.691454</v>
      </c>
      <c r="AH100">
        <v>-122.304497</v>
      </c>
      <c r="AI100" t="s">
        <v>66</v>
      </c>
      <c r="AJ100">
        <v>98115</v>
      </c>
      <c r="AN100">
        <v>399000</v>
      </c>
      <c r="BC100" s="22">
        <v>39260.382685185185</v>
      </c>
      <c r="BI100" s="22">
        <v>39549.294907407406</v>
      </c>
      <c r="BL100">
        <v>8720</v>
      </c>
      <c r="BM100">
        <v>865334</v>
      </c>
      <c r="BN100" t="s">
        <v>2875</v>
      </c>
      <c r="BO100" s="17">
        <f t="shared" ca="1" si="1"/>
        <v>288.92672071759443</v>
      </c>
      <c r="BP100" t="b">
        <v>0</v>
      </c>
      <c r="BQ100">
        <v>1</v>
      </c>
      <c r="BR100" t="s">
        <v>1667</v>
      </c>
      <c r="BS100" t="s">
        <v>1839</v>
      </c>
      <c r="BT100" t="b">
        <v>0</v>
      </c>
      <c r="BV100" t="s">
        <v>1668</v>
      </c>
      <c r="BW100">
        <v>8607</v>
      </c>
      <c r="BX100" t="s">
        <v>1738</v>
      </c>
      <c r="BY100">
        <v>309749</v>
      </c>
      <c r="BZ100" t="s">
        <v>2876</v>
      </c>
      <c r="CA100">
        <v>1</v>
      </c>
      <c r="CB100" t="b">
        <v>1</v>
      </c>
      <c r="CC100">
        <v>0</v>
      </c>
      <c r="CD100" t="b">
        <v>0</v>
      </c>
      <c r="CE100" t="b">
        <v>0</v>
      </c>
      <c r="CF100" t="b">
        <v>1</v>
      </c>
      <c r="CG100">
        <v>2954060</v>
      </c>
      <c r="CH100" t="s">
        <v>1681</v>
      </c>
      <c r="CI100" s="10">
        <v>436000</v>
      </c>
      <c r="CJ100" s="7">
        <v>39332</v>
      </c>
    </row>
    <row r="101" spans="1:90">
      <c r="A101">
        <v>27116811</v>
      </c>
      <c r="B101" s="2" t="str">
        <f>HYPERLINK("http://www.redfin.com/stingray/do/printable-listing?listing-id=866557","Active")</f>
        <v>Active</v>
      </c>
      <c r="D101" t="s">
        <v>3066</v>
      </c>
      <c r="E101" t="s">
        <v>4761</v>
      </c>
      <c r="F101" s="19">
        <v>819500</v>
      </c>
      <c r="G101">
        <v>2000</v>
      </c>
      <c r="H101">
        <v>3001</v>
      </c>
      <c r="I101">
        <v>10398</v>
      </c>
      <c r="J101">
        <v>4</v>
      </c>
      <c r="K101">
        <v>3.75</v>
      </c>
      <c r="M101" s="2" t="str">
        <f>HYPERLINK("http://maps.live.com/default.aspx?v=2&amp;lvl=15&amp;sp=Point.47.675585_-122.162254_13334 NE 80th St&amp;cp=47.675585~-122.162254","Map")</f>
        <v>Map</v>
      </c>
      <c r="N101" s="2" t="str">
        <f>HYPERLINK("http://i-0.rfimg.us/photo/1/bigphoto/811/27116811_3.jpg","Photo")</f>
        <v>Photo</v>
      </c>
      <c r="AG101">
        <v>47.675584999999998</v>
      </c>
      <c r="AH101">
        <v>-122.162254</v>
      </c>
      <c r="AI101" t="s">
        <v>4363</v>
      </c>
      <c r="AJ101">
        <v>98052</v>
      </c>
      <c r="AN101">
        <v>680000</v>
      </c>
      <c r="BC101" s="22">
        <v>39260.830972222226</v>
      </c>
      <c r="BI101" s="22">
        <v>39549.294907407406</v>
      </c>
      <c r="BL101">
        <v>16990</v>
      </c>
      <c r="BM101">
        <v>866557</v>
      </c>
      <c r="BN101" t="s">
        <v>4760</v>
      </c>
      <c r="BO101" s="17">
        <f t="shared" ca="1" si="1"/>
        <v>288.47843368055328</v>
      </c>
      <c r="BP101" t="b">
        <v>0</v>
      </c>
      <c r="BQ101">
        <v>1</v>
      </c>
      <c r="BR101" t="s">
        <v>1686</v>
      </c>
      <c r="BS101" t="s">
        <v>1711</v>
      </c>
      <c r="BT101" t="b">
        <v>0</v>
      </c>
      <c r="BU101" t="s">
        <v>1738</v>
      </c>
      <c r="BV101" t="s">
        <v>1668</v>
      </c>
      <c r="BW101">
        <v>13334</v>
      </c>
      <c r="BY101">
        <v>516104</v>
      </c>
      <c r="BZ101" t="s">
        <v>2344</v>
      </c>
      <c r="CA101">
        <v>1</v>
      </c>
      <c r="CB101" t="b">
        <v>1</v>
      </c>
      <c r="CC101">
        <v>0</v>
      </c>
      <c r="CD101" t="b">
        <v>0</v>
      </c>
      <c r="CE101" t="b">
        <v>0</v>
      </c>
      <c r="CF101" t="b">
        <v>1</v>
      </c>
      <c r="CG101">
        <v>2973543</v>
      </c>
      <c r="CH101" t="s">
        <v>1681</v>
      </c>
      <c r="CI101" s="10">
        <v>849500</v>
      </c>
      <c r="CJ101" s="7">
        <v>38982</v>
      </c>
      <c r="CL101" t="s">
        <v>6790</v>
      </c>
    </row>
    <row r="102" spans="1:90">
      <c r="A102">
        <v>27116827</v>
      </c>
      <c r="B102" s="2" t="str">
        <f>HYPERLINK("http://www.redfin.com/stingray/do/printable-listing?listing-id=872210","Active")</f>
        <v>Active</v>
      </c>
      <c r="D102" t="s">
        <v>5191</v>
      </c>
      <c r="E102" t="s">
        <v>5688</v>
      </c>
      <c r="F102">
        <v>1050000</v>
      </c>
      <c r="G102">
        <v>1968</v>
      </c>
      <c r="H102">
        <v>3652</v>
      </c>
      <c r="I102">
        <v>8400</v>
      </c>
      <c r="J102">
        <v>5</v>
      </c>
      <c r="K102">
        <v>2.75</v>
      </c>
      <c r="M102" s="2" t="str">
        <f>HYPERLINK("http://maps.live.com/default.aspx?v=2&amp;lvl=15&amp;sp=Point.47.562316_-122.162948_4623 133rd Ave SE&amp;cp=47.562316~-122.162948","Map")</f>
        <v>Map</v>
      </c>
      <c r="N102" s="2" t="str">
        <f>HYPERLINK("http://i-0.rfimg.us/photo/1/bigphoto/827/27116827_4.jpg","Photo")</f>
        <v>Photo</v>
      </c>
      <c r="AG102">
        <v>47.562316000000003</v>
      </c>
      <c r="AH102">
        <v>-122.162948</v>
      </c>
      <c r="AI102" t="s">
        <v>369</v>
      </c>
      <c r="AJ102">
        <v>98006</v>
      </c>
      <c r="AN102">
        <v>531500</v>
      </c>
      <c r="BC102" s="22">
        <v>39262.669282407405</v>
      </c>
      <c r="BI102" s="22">
        <v>39549.294907407406</v>
      </c>
      <c r="BL102">
        <v>21000</v>
      </c>
      <c r="BM102">
        <v>872210</v>
      </c>
      <c r="BN102" t="s">
        <v>2136</v>
      </c>
      <c r="BO102" s="17">
        <f t="shared" ca="1" si="1"/>
        <v>286.6401234953737</v>
      </c>
      <c r="BP102" t="b">
        <v>0</v>
      </c>
      <c r="BQ102">
        <v>1</v>
      </c>
      <c r="BR102" t="s">
        <v>1667</v>
      </c>
      <c r="BS102" t="s">
        <v>4416</v>
      </c>
      <c r="BT102" t="b">
        <v>0</v>
      </c>
      <c r="BV102" t="s">
        <v>1668</v>
      </c>
      <c r="BW102">
        <v>4623</v>
      </c>
      <c r="BX102" t="s">
        <v>3856</v>
      </c>
      <c r="BY102">
        <v>236581</v>
      </c>
      <c r="BZ102" t="s">
        <v>3696</v>
      </c>
      <c r="CA102">
        <v>1</v>
      </c>
      <c r="CB102" t="b">
        <v>1</v>
      </c>
      <c r="CC102">
        <v>0</v>
      </c>
      <c r="CD102" t="b">
        <v>0</v>
      </c>
      <c r="CE102" t="b">
        <v>0</v>
      </c>
      <c r="CF102" t="b">
        <v>1</v>
      </c>
      <c r="CG102">
        <v>2725361</v>
      </c>
      <c r="CH102" t="s">
        <v>1681</v>
      </c>
      <c r="CI102" s="10">
        <v>1050000</v>
      </c>
      <c r="CJ102" s="7">
        <v>37774</v>
      </c>
    </row>
    <row r="103" spans="1:90">
      <c r="A103">
        <v>27117133</v>
      </c>
      <c r="B103" s="2" t="str">
        <f>HYPERLINK("http://www.redfin.com/stingray/do/printable-listing?listing-id=868645","Subject To Inspection")</f>
        <v>Subject To Inspection</v>
      </c>
      <c r="D103" t="s">
        <v>3885</v>
      </c>
      <c r="E103" t="s">
        <v>5634</v>
      </c>
      <c r="F103">
        <v>695000</v>
      </c>
      <c r="G103">
        <v>1990</v>
      </c>
      <c r="H103">
        <v>2550</v>
      </c>
      <c r="I103">
        <v>10792</v>
      </c>
      <c r="J103">
        <v>4</v>
      </c>
      <c r="K103">
        <v>3</v>
      </c>
      <c r="M103" s="2" t="str">
        <f>HYPERLINK("http://maps.live.com/default.aspx?v=2&amp;lvl=15&amp;sp=Point.47.52872_-122.171851_8232 127th Ave SE&amp;cp=47.52872~-122.171851","Map")</f>
        <v>Map</v>
      </c>
      <c r="N103" s="2" t="str">
        <f>HYPERLINK("http://i-0.rfimg.us/photo/1/bigphoto/133/27117133_2.jpg","Photo")</f>
        <v>Photo</v>
      </c>
      <c r="AG103">
        <v>47.52872</v>
      </c>
      <c r="AH103">
        <v>-122.171851</v>
      </c>
      <c r="AI103" t="s">
        <v>3885</v>
      </c>
      <c r="AJ103">
        <v>98056</v>
      </c>
      <c r="AN103">
        <v>205700</v>
      </c>
      <c r="BC103" s="22">
        <v>39261.453761574077</v>
      </c>
      <c r="BI103" s="22">
        <v>39549.294907407406</v>
      </c>
      <c r="BL103">
        <v>13900</v>
      </c>
      <c r="BM103">
        <v>868645</v>
      </c>
      <c r="BN103" t="s">
        <v>1774</v>
      </c>
      <c r="BO103" s="17">
        <f t="shared" ca="1" si="1"/>
        <v>287.8556443287016</v>
      </c>
      <c r="BP103" t="b">
        <v>0</v>
      </c>
      <c r="BQ103">
        <v>2</v>
      </c>
      <c r="BR103" t="s">
        <v>1667</v>
      </c>
      <c r="BS103" t="s">
        <v>2698</v>
      </c>
      <c r="BT103" t="b">
        <v>0</v>
      </c>
      <c r="BV103" t="s">
        <v>1668</v>
      </c>
      <c r="BW103">
        <v>8232</v>
      </c>
      <c r="BX103" t="s">
        <v>3856</v>
      </c>
      <c r="BY103">
        <v>413592</v>
      </c>
      <c r="BZ103" t="s">
        <v>3832</v>
      </c>
      <c r="CA103">
        <v>1</v>
      </c>
      <c r="CB103" t="b">
        <v>1</v>
      </c>
      <c r="CC103">
        <v>0</v>
      </c>
      <c r="CD103" t="b">
        <v>0</v>
      </c>
      <c r="CE103" t="b">
        <v>0</v>
      </c>
      <c r="CF103" t="b">
        <v>1</v>
      </c>
      <c r="CG103">
        <v>2543969</v>
      </c>
      <c r="CH103" t="s">
        <v>1681</v>
      </c>
      <c r="CI103" s="10">
        <v>695000</v>
      </c>
      <c r="CJ103" s="7">
        <v>33744</v>
      </c>
    </row>
    <row r="104" spans="1:90">
      <c r="A104">
        <v>27117925</v>
      </c>
      <c r="B104" s="2" t="str">
        <f>HYPERLINK("http://www.redfin.com/stingray/do/printable-listing?listing-id=872074","Active")</f>
        <v>Active</v>
      </c>
      <c r="D104" t="s">
        <v>1238</v>
      </c>
      <c r="E104" t="s">
        <v>3810</v>
      </c>
      <c r="F104">
        <v>3350000</v>
      </c>
      <c r="G104">
        <v>1913</v>
      </c>
      <c r="H104">
        <v>7538</v>
      </c>
      <c r="I104">
        <v>12702</v>
      </c>
      <c r="J104">
        <v>6</v>
      </c>
      <c r="K104">
        <v>4.5</v>
      </c>
      <c r="M104" s="2" t="str">
        <f>HYPERLINK("http://maps.live.com/default.aspx?v=2&amp;lvl=15&amp;sp=Point.47.632545_-122.303826_2114 E Galer St&amp;cp=47.632545~-122.303826","Map")</f>
        <v>Map</v>
      </c>
      <c r="N104" s="2" t="str">
        <f>HYPERLINK("http://i-0.rfimg.us/photo/1/bigphoto/925/27117925_8.jpg","Photo")</f>
        <v>Photo</v>
      </c>
      <c r="AG104">
        <v>47.632545</v>
      </c>
      <c r="AH104">
        <v>-122.303826</v>
      </c>
      <c r="AI104" t="s">
        <v>66</v>
      </c>
      <c r="AJ104">
        <v>98112</v>
      </c>
      <c r="AN104">
        <v>455000</v>
      </c>
      <c r="BC104" s="22">
        <v>39262.606168981481</v>
      </c>
      <c r="BI104" s="22">
        <v>39549.294907407406</v>
      </c>
      <c r="BL104">
        <v>67000</v>
      </c>
      <c r="BM104">
        <v>872074</v>
      </c>
      <c r="BN104" t="s">
        <v>1674</v>
      </c>
      <c r="BO104" s="17">
        <f t="shared" ca="1" si="1"/>
        <v>286.7032369212975</v>
      </c>
      <c r="BP104" t="b">
        <v>0</v>
      </c>
      <c r="BQ104">
        <v>1</v>
      </c>
      <c r="BR104" t="s">
        <v>1686</v>
      </c>
      <c r="BS104" t="s">
        <v>3373</v>
      </c>
      <c r="BT104" t="b">
        <v>0</v>
      </c>
      <c r="BU104" t="s">
        <v>2436</v>
      </c>
      <c r="BV104" t="s">
        <v>1668</v>
      </c>
      <c r="BW104">
        <v>2114</v>
      </c>
      <c r="BY104">
        <v>137366</v>
      </c>
      <c r="BZ104" t="s">
        <v>3811</v>
      </c>
      <c r="CA104">
        <v>1</v>
      </c>
      <c r="CB104" t="b">
        <v>1</v>
      </c>
      <c r="CC104">
        <v>0</v>
      </c>
      <c r="CD104" t="b">
        <v>0</v>
      </c>
      <c r="CE104" t="b">
        <v>0</v>
      </c>
      <c r="CF104" t="b">
        <v>1</v>
      </c>
      <c r="CG104">
        <v>2481348</v>
      </c>
      <c r="CH104" t="s">
        <v>1681</v>
      </c>
      <c r="CI104" s="10">
        <v>3350000</v>
      </c>
      <c r="CJ104" s="7">
        <v>32017</v>
      </c>
    </row>
    <row r="105" spans="1:90">
      <c r="A105">
        <v>27118107</v>
      </c>
      <c r="B105" s="15" t="str">
        <f>HYPERLINK("http://www.redfin.com/stingray/do/printable-listing?listing-id=872017","Subject To Inspection")</f>
        <v>Subject To Inspection</v>
      </c>
      <c r="D105" t="s">
        <v>5204</v>
      </c>
      <c r="E105" t="s">
        <v>5233</v>
      </c>
      <c r="F105">
        <v>367500</v>
      </c>
      <c r="G105">
        <v>1959</v>
      </c>
      <c r="H105">
        <v>0</v>
      </c>
      <c r="I105">
        <v>7841</v>
      </c>
      <c r="J105">
        <v>3</v>
      </c>
      <c r="K105">
        <v>1</v>
      </c>
      <c r="M105" s="2" t="str">
        <f>HYPERLINK("http://maps.live.com/default.aspx?v=2&amp;lvl=15&amp;sp=Point.47.600747_-122.13176_15452 SE 11th St&amp;cp=47.600747~-122.13176","Map")</f>
        <v>Map</v>
      </c>
      <c r="N105" s="2" t="str">
        <f>HYPERLINK("http://i-0.rfimg.us/photo/1/bigphoto/107/27118107_2.jpg","Photo")</f>
        <v>Photo</v>
      </c>
      <c r="AG105">
        <v>47.600746999999998</v>
      </c>
      <c r="AH105">
        <v>-122.13176</v>
      </c>
      <c r="AI105" t="s">
        <v>369</v>
      </c>
      <c r="AJ105">
        <v>98007</v>
      </c>
      <c r="AN105">
        <v>367000</v>
      </c>
      <c r="BC105" s="22">
        <v>39262.560358796298</v>
      </c>
      <c r="BI105" s="22">
        <v>39549.294907407406</v>
      </c>
      <c r="BL105">
        <v>7350</v>
      </c>
      <c r="BM105">
        <v>872017</v>
      </c>
      <c r="BN105" t="s">
        <v>1688</v>
      </c>
      <c r="BO105" s="17">
        <f t="shared" ca="1" si="1"/>
        <v>286.74904710648116</v>
      </c>
      <c r="BP105" t="b">
        <v>0</v>
      </c>
      <c r="BQ105">
        <v>1</v>
      </c>
      <c r="BR105" t="s">
        <v>1686</v>
      </c>
      <c r="BS105" t="s">
        <v>1792</v>
      </c>
      <c r="BT105" t="b">
        <v>0</v>
      </c>
      <c r="BU105" t="s">
        <v>3856</v>
      </c>
      <c r="BV105" t="s">
        <v>1668</v>
      </c>
      <c r="BW105">
        <v>15452</v>
      </c>
      <c r="BY105">
        <v>427321</v>
      </c>
      <c r="BZ105" t="s">
        <v>2658</v>
      </c>
      <c r="CA105">
        <v>1</v>
      </c>
      <c r="CB105" t="b">
        <v>1</v>
      </c>
      <c r="CC105">
        <v>0</v>
      </c>
      <c r="CD105" t="b">
        <v>0</v>
      </c>
      <c r="CE105" t="b">
        <v>0</v>
      </c>
      <c r="CF105" t="b">
        <v>1</v>
      </c>
      <c r="CG105">
        <v>2560405</v>
      </c>
      <c r="CH105" t="s">
        <v>1681</v>
      </c>
      <c r="CI105" s="10">
        <v>367500</v>
      </c>
      <c r="CJ105" s="7">
        <v>38817</v>
      </c>
    </row>
    <row r="106" spans="1:90">
      <c r="A106">
        <v>27118791</v>
      </c>
      <c r="B106" s="2" t="str">
        <f>HYPERLINK("http://www.redfin.com/stingray/do/printable-listing?listing-id=874089","Active")</f>
        <v>Active</v>
      </c>
      <c r="D106" t="s">
        <v>63</v>
      </c>
      <c r="E106" t="s">
        <v>3621</v>
      </c>
      <c r="F106">
        <v>355000</v>
      </c>
      <c r="G106">
        <v>1984</v>
      </c>
      <c r="H106">
        <v>448</v>
      </c>
      <c r="I106">
        <v>0</v>
      </c>
      <c r="J106">
        <v>1</v>
      </c>
      <c r="K106">
        <v>1</v>
      </c>
      <c r="M106" s="2" t="str">
        <f>HYPERLINK("http://maps.live.com/default.aspx?v=2&amp;lvl=15&amp;sp=Point.47.647154_-122.332997_2143 N Northlake Way&amp;cp=47.647154~-122.332997","Map")</f>
        <v>Map</v>
      </c>
      <c r="N106" s="2" t="str">
        <f>HYPERLINK("http://i-0.rfimg.us/photo/1/bigphoto/791/27118791_0.jpg","Photo")</f>
        <v>Photo</v>
      </c>
      <c r="AG106">
        <v>47.647154</v>
      </c>
      <c r="AH106">
        <v>-122.33299700000001</v>
      </c>
      <c r="AI106" t="s">
        <v>66</v>
      </c>
      <c r="AJ106">
        <v>98103</v>
      </c>
      <c r="BC106" s="22">
        <v>39263.496469907404</v>
      </c>
      <c r="BI106" s="22">
        <v>39549.294907407406</v>
      </c>
      <c r="BL106">
        <v>7100</v>
      </c>
      <c r="BM106">
        <v>874089</v>
      </c>
      <c r="BN106" t="s">
        <v>1775</v>
      </c>
      <c r="BO106" s="17">
        <f t="shared" ca="1" si="1"/>
        <v>285.81293599537457</v>
      </c>
      <c r="BP106" t="b">
        <v>0</v>
      </c>
      <c r="BQ106">
        <v>1</v>
      </c>
      <c r="BR106" t="s">
        <v>2463</v>
      </c>
      <c r="BS106" t="s">
        <v>3400</v>
      </c>
      <c r="BT106" t="b">
        <v>0</v>
      </c>
      <c r="BU106" t="s">
        <v>1712</v>
      </c>
      <c r="BV106" t="s">
        <v>1668</v>
      </c>
      <c r="BW106">
        <v>2143</v>
      </c>
      <c r="BY106">
        <v>18336</v>
      </c>
      <c r="BZ106" t="s">
        <v>1801</v>
      </c>
      <c r="CA106">
        <v>1</v>
      </c>
      <c r="CB106" t="b">
        <v>1</v>
      </c>
      <c r="CC106">
        <v>0</v>
      </c>
      <c r="CD106" t="b">
        <v>0</v>
      </c>
      <c r="CE106" t="b">
        <v>0</v>
      </c>
      <c r="CF106" t="b">
        <v>1</v>
      </c>
      <c r="CG106">
        <v>16388</v>
      </c>
      <c r="CH106" t="s">
        <v>1681</v>
      </c>
      <c r="CI106" s="10">
        <v>355000</v>
      </c>
    </row>
    <row r="107" spans="1:90">
      <c r="A107">
        <v>27119646</v>
      </c>
      <c r="B107" s="2" t="str">
        <f>HYPERLINK("http://www.redfin.com/stingray/do/printable-listing?listing-id=878513","Active")</f>
        <v>Active</v>
      </c>
      <c r="D107" t="s">
        <v>5739</v>
      </c>
      <c r="E107" t="s">
        <v>5866</v>
      </c>
      <c r="F107">
        <v>999900</v>
      </c>
      <c r="G107">
        <v>1990</v>
      </c>
      <c r="H107">
        <v>2700</v>
      </c>
      <c r="I107">
        <v>10125</v>
      </c>
      <c r="J107">
        <v>5</v>
      </c>
      <c r="K107">
        <v>2.75</v>
      </c>
      <c r="M107" s="2" t="str">
        <f>HYPERLINK("http://maps.live.com/default.aspx?v=2&amp;lvl=15&amp;sp=Point.47.563888_-122.222523_8710 SE 46th St&amp;cp=47.563888~-122.222523","Map")</f>
        <v>Map</v>
      </c>
      <c r="N107" s="2" t="str">
        <f>HYPERLINK("http://i-0.rfimg.us/photo/1/bigphoto/646/27119646_3.jpg","Photo")</f>
        <v>Photo</v>
      </c>
      <c r="AG107">
        <v>47.563887999999999</v>
      </c>
      <c r="AH107">
        <v>-122.222523</v>
      </c>
      <c r="AI107" t="s">
        <v>5139</v>
      </c>
      <c r="AJ107">
        <v>98040</v>
      </c>
      <c r="BC107" s="22">
        <v>39266.174849537034</v>
      </c>
      <c r="BI107" s="7">
        <v>39534</v>
      </c>
      <c r="BL107">
        <v>19998</v>
      </c>
      <c r="BM107">
        <v>878513</v>
      </c>
      <c r="BN107" t="s">
        <v>2494</v>
      </c>
      <c r="BO107" s="17">
        <f t="shared" ca="1" si="1"/>
        <v>283.13455636574508</v>
      </c>
      <c r="BP107" t="b">
        <v>0</v>
      </c>
      <c r="BQ107">
        <v>1</v>
      </c>
      <c r="BR107" t="s">
        <v>1686</v>
      </c>
      <c r="BS107" t="s">
        <v>2471</v>
      </c>
      <c r="BT107" t="b">
        <v>0</v>
      </c>
      <c r="BU107" t="s">
        <v>3856</v>
      </c>
      <c r="BV107" t="s">
        <v>1668</v>
      </c>
      <c r="BW107">
        <v>8710</v>
      </c>
      <c r="BY107">
        <v>255365</v>
      </c>
      <c r="BZ107" t="s">
        <v>3318</v>
      </c>
      <c r="CA107">
        <v>1</v>
      </c>
      <c r="CB107" t="b">
        <v>1</v>
      </c>
      <c r="CC107">
        <v>0</v>
      </c>
      <c r="CD107" t="b">
        <v>0</v>
      </c>
      <c r="CE107" t="b">
        <v>0</v>
      </c>
      <c r="CF107" t="b">
        <v>1</v>
      </c>
      <c r="CG107">
        <v>2784773</v>
      </c>
      <c r="CH107" t="s">
        <v>1681</v>
      </c>
      <c r="CI107" s="10">
        <v>999900</v>
      </c>
    </row>
    <row r="108" spans="1:90">
      <c r="A108">
        <v>27119846</v>
      </c>
      <c r="B108" s="2" t="str">
        <f>HYPERLINK("http://www.redfin.com/stingray/do/printable-listing?listing-id=877240","Active")</f>
        <v>Active</v>
      </c>
      <c r="D108" t="s">
        <v>5565</v>
      </c>
      <c r="E108" t="s">
        <v>5871</v>
      </c>
      <c r="F108">
        <v>518900</v>
      </c>
      <c r="G108">
        <v>1972</v>
      </c>
      <c r="H108">
        <v>1820</v>
      </c>
      <c r="I108">
        <v>10019</v>
      </c>
      <c r="J108">
        <v>3</v>
      </c>
      <c r="K108">
        <v>2</v>
      </c>
      <c r="M108" s="2" t="str">
        <f>HYPERLINK("http://maps.live.com/default.aspx?v=2&amp;lvl=15&amp;sp=Point.47.54552_-122.172274_6327 127th Ave SE&amp;cp=47.54552~-122.172274","Map")</f>
        <v>Map</v>
      </c>
      <c r="N108" s="2" t="str">
        <f>HYPERLINK("http://i-0.rfimg.us/photo/1/bigphoto/846/27119846_3.jpg","Photo")</f>
        <v>Photo</v>
      </c>
      <c r="AG108">
        <v>47.545520000000003</v>
      </c>
      <c r="AH108">
        <v>-122.172274</v>
      </c>
      <c r="AI108" t="s">
        <v>369</v>
      </c>
      <c r="AJ108">
        <v>98006</v>
      </c>
      <c r="AN108">
        <v>133040</v>
      </c>
      <c r="BC108" s="22">
        <v>39265.717118055552</v>
      </c>
      <c r="BI108" s="7">
        <v>39542</v>
      </c>
      <c r="BL108">
        <v>10378</v>
      </c>
      <c r="BM108">
        <v>877240</v>
      </c>
      <c r="BN108" t="s">
        <v>3236</v>
      </c>
      <c r="BO108" s="17">
        <f t="shared" ca="1" si="1"/>
        <v>283.59228784722654</v>
      </c>
      <c r="BP108" t="b">
        <v>0</v>
      </c>
      <c r="BQ108">
        <v>1</v>
      </c>
      <c r="BR108" t="s">
        <v>1667</v>
      </c>
      <c r="BS108" t="s">
        <v>2698</v>
      </c>
      <c r="BT108" t="b">
        <v>0</v>
      </c>
      <c r="BV108" t="s">
        <v>1668</v>
      </c>
      <c r="BW108">
        <v>6327</v>
      </c>
      <c r="BX108" t="s">
        <v>3856</v>
      </c>
      <c r="BY108">
        <v>415301</v>
      </c>
      <c r="BZ108" t="s">
        <v>3889</v>
      </c>
      <c r="CA108">
        <v>1</v>
      </c>
      <c r="CB108" t="b">
        <v>1</v>
      </c>
      <c r="CC108">
        <v>0</v>
      </c>
      <c r="CD108" t="b">
        <v>0</v>
      </c>
      <c r="CE108" t="b">
        <v>0</v>
      </c>
      <c r="CF108" t="b">
        <v>1</v>
      </c>
      <c r="CG108">
        <v>2399999</v>
      </c>
      <c r="CH108" t="s">
        <v>1681</v>
      </c>
      <c r="CI108" s="10">
        <v>518900</v>
      </c>
      <c r="CJ108" s="7">
        <v>37285</v>
      </c>
    </row>
    <row r="109" spans="1:90">
      <c r="A109">
        <v>27122064</v>
      </c>
      <c r="B109" s="2" t="str">
        <f>HYPERLINK("http://www.redfin.com/stingray/do/printable-listing?listing-id=885376","Active")</f>
        <v>Active</v>
      </c>
      <c r="D109" t="s">
        <v>5490</v>
      </c>
      <c r="E109" t="s">
        <v>5887</v>
      </c>
      <c r="F109">
        <v>899950</v>
      </c>
      <c r="G109">
        <v>1994</v>
      </c>
      <c r="H109">
        <v>3560</v>
      </c>
      <c r="I109">
        <v>11932</v>
      </c>
      <c r="J109">
        <v>4</v>
      </c>
      <c r="K109">
        <v>3.5</v>
      </c>
      <c r="M109" s="2" t="str">
        <f>HYPERLINK("http://maps.live.com/default.aspx?v=2&amp;lvl=15&amp;sp=Point.47.551395_-122.118719_16580 SE 58 Pl&amp;cp=47.551395~-122.118719","Map")</f>
        <v>Map</v>
      </c>
      <c r="N109" s="2" t="str">
        <f>HYPERLINK("http://i-0.rfimg.us/photo/1/bigphoto/064/27122064_3.jpg","Photo")</f>
        <v>Photo</v>
      </c>
      <c r="AG109">
        <v>47.551394999999999</v>
      </c>
      <c r="AH109">
        <v>-122.118719</v>
      </c>
      <c r="AI109" t="s">
        <v>369</v>
      </c>
      <c r="AJ109">
        <v>98006</v>
      </c>
      <c r="AN109">
        <v>360000</v>
      </c>
      <c r="BC109" s="22">
        <v>39269.401354166665</v>
      </c>
      <c r="BI109" s="22">
        <v>39549.294907407406</v>
      </c>
      <c r="BL109">
        <v>17999</v>
      </c>
      <c r="BM109">
        <v>885376</v>
      </c>
      <c r="BN109" t="s">
        <v>1737</v>
      </c>
      <c r="BO109" s="17">
        <f t="shared" ca="1" si="1"/>
        <v>279.90805173611443</v>
      </c>
      <c r="BP109" t="b">
        <v>0</v>
      </c>
      <c r="BQ109">
        <v>1</v>
      </c>
      <c r="BR109" t="s">
        <v>1842</v>
      </c>
      <c r="BS109">
        <v>58</v>
      </c>
      <c r="BT109" t="b">
        <v>0</v>
      </c>
      <c r="BU109" t="s">
        <v>3856</v>
      </c>
      <c r="BV109" t="s">
        <v>1668</v>
      </c>
      <c r="BW109">
        <v>16580</v>
      </c>
      <c r="BY109">
        <v>418637</v>
      </c>
      <c r="BZ109" t="s">
        <v>5888</v>
      </c>
      <c r="CA109">
        <v>1</v>
      </c>
      <c r="CB109" t="b">
        <v>1</v>
      </c>
      <c r="CC109">
        <v>0</v>
      </c>
      <c r="CD109" t="b">
        <v>0</v>
      </c>
      <c r="CE109" t="b">
        <v>0</v>
      </c>
      <c r="CF109" t="b">
        <v>1</v>
      </c>
      <c r="CG109">
        <v>2871102</v>
      </c>
      <c r="CH109" t="s">
        <v>1681</v>
      </c>
      <c r="CI109" s="10">
        <v>899950</v>
      </c>
      <c r="CJ109" s="7">
        <v>34537</v>
      </c>
    </row>
    <row r="110" spans="1:90">
      <c r="A110">
        <v>27122237</v>
      </c>
      <c r="B110" s="2" t="str">
        <f>HYPERLINK("http://www.redfin.com/stingray/do/printable-listing?listing-id=886340","Active")</f>
        <v>Active</v>
      </c>
      <c r="D110" t="s">
        <v>5191</v>
      </c>
      <c r="E110" t="s">
        <v>5317</v>
      </c>
      <c r="F110">
        <v>850000</v>
      </c>
      <c r="G110">
        <v>1974</v>
      </c>
      <c r="H110">
        <v>3040</v>
      </c>
      <c r="I110">
        <v>8300</v>
      </c>
      <c r="J110">
        <v>4</v>
      </c>
      <c r="K110">
        <v>3</v>
      </c>
      <c r="M110" s="2" t="str">
        <f>HYPERLINK("http://maps.live.com/default.aspx?v=2&amp;lvl=15&amp;sp=Point.47.570737_-122.153006_14024 SE Somerset Blvd&amp;cp=47.570737~-122.153006","Map")</f>
        <v>Map</v>
      </c>
      <c r="N110" s="2" t="str">
        <f>HYPERLINK("http://i-0.rfimg.us/photo/1/bigphoto/237/27122237_9.jpg","Photo")</f>
        <v>Photo</v>
      </c>
      <c r="AG110">
        <v>47.570737000000001</v>
      </c>
      <c r="AH110">
        <v>-122.153006</v>
      </c>
      <c r="AI110" t="s">
        <v>369</v>
      </c>
      <c r="AJ110">
        <v>98006</v>
      </c>
      <c r="AN110">
        <v>543000</v>
      </c>
      <c r="BC110" s="22">
        <v>39269.881701388891</v>
      </c>
      <c r="BI110" s="22">
        <v>39549.294907407406</v>
      </c>
      <c r="BL110">
        <v>17000</v>
      </c>
      <c r="BM110">
        <v>886340</v>
      </c>
      <c r="BN110" t="s">
        <v>1688</v>
      </c>
      <c r="BO110" s="17">
        <f t="shared" ca="1" si="1"/>
        <v>279.42770451388787</v>
      </c>
      <c r="BP110" t="b">
        <v>0</v>
      </c>
      <c r="BQ110">
        <v>1</v>
      </c>
      <c r="BR110" t="s">
        <v>3141</v>
      </c>
      <c r="BS110" t="s">
        <v>5191</v>
      </c>
      <c r="BT110" t="b">
        <v>0</v>
      </c>
      <c r="BU110" t="s">
        <v>3856</v>
      </c>
      <c r="BV110" t="s">
        <v>1668</v>
      </c>
      <c r="BW110">
        <v>14024</v>
      </c>
      <c r="BY110">
        <v>238065</v>
      </c>
      <c r="BZ110" t="s">
        <v>5318</v>
      </c>
      <c r="CA110">
        <v>1</v>
      </c>
      <c r="CB110" t="b">
        <v>1</v>
      </c>
      <c r="CC110">
        <v>0</v>
      </c>
      <c r="CD110" t="b">
        <v>0</v>
      </c>
      <c r="CE110" t="b">
        <v>0</v>
      </c>
      <c r="CF110" t="b">
        <v>1</v>
      </c>
      <c r="CG110">
        <v>2444761</v>
      </c>
      <c r="CH110" t="s">
        <v>1681</v>
      </c>
      <c r="CI110" s="10">
        <v>850000</v>
      </c>
      <c r="CJ110" s="7">
        <v>37314</v>
      </c>
    </row>
    <row r="111" spans="1:90">
      <c r="A111">
        <v>27123902</v>
      </c>
      <c r="B111" s="2" t="str">
        <f>HYPERLINK("http://www.redfin.com/stingray/do/printable-listing?listing-id=892830","Active")</f>
        <v>Active</v>
      </c>
      <c r="D111" t="s">
        <v>70</v>
      </c>
      <c r="E111" t="s">
        <v>2775</v>
      </c>
      <c r="F111">
        <v>549999</v>
      </c>
      <c r="G111">
        <v>1951</v>
      </c>
      <c r="H111">
        <v>2480</v>
      </c>
      <c r="I111">
        <v>9487</v>
      </c>
      <c r="J111">
        <v>5</v>
      </c>
      <c r="K111">
        <v>2</v>
      </c>
      <c r="M111" s="2" t="str">
        <f>HYPERLINK("http://maps.live.com/default.aspx?v=2&amp;lvl=15&amp;sp=Point.47.717597_-122.354592_12055 Phinney Ave N&amp;cp=47.717597~-122.354592","Map")</f>
        <v>Map</v>
      </c>
      <c r="N111" s="2" t="str">
        <f>HYPERLINK("http://i-0.rfimg.us/photo/1/bigphoto/902/27123902_0.jpg","Photo")</f>
        <v>Photo</v>
      </c>
      <c r="AG111">
        <v>47.717596999999998</v>
      </c>
      <c r="AH111">
        <v>-122.354592</v>
      </c>
      <c r="AI111" t="s">
        <v>66</v>
      </c>
      <c r="AJ111">
        <v>98133</v>
      </c>
      <c r="BC111" s="22">
        <v>39272.56486111111</v>
      </c>
      <c r="BI111" s="7">
        <v>39539</v>
      </c>
      <c r="BL111">
        <v>11000</v>
      </c>
      <c r="BM111">
        <v>892830</v>
      </c>
      <c r="BN111" t="s">
        <v>1737</v>
      </c>
      <c r="BO111" s="17">
        <f t="shared" ca="1" si="1"/>
        <v>276.74454490740754</v>
      </c>
      <c r="BP111" t="b">
        <v>0</v>
      </c>
      <c r="BQ111">
        <v>1</v>
      </c>
      <c r="BR111" t="s">
        <v>1667</v>
      </c>
      <c r="BS111" t="s">
        <v>2475</v>
      </c>
      <c r="BT111" t="b">
        <v>0</v>
      </c>
      <c r="BV111" t="s">
        <v>1668</v>
      </c>
      <c r="BW111">
        <v>12055</v>
      </c>
      <c r="BX111" t="s">
        <v>1712</v>
      </c>
      <c r="BY111">
        <v>97769</v>
      </c>
      <c r="BZ111" t="s">
        <v>1813</v>
      </c>
      <c r="CA111">
        <v>1</v>
      </c>
      <c r="CB111" t="b">
        <v>1</v>
      </c>
      <c r="CC111">
        <v>0</v>
      </c>
      <c r="CD111" t="b">
        <v>1</v>
      </c>
      <c r="CE111" t="b">
        <v>0</v>
      </c>
      <c r="CF111" t="b">
        <v>1</v>
      </c>
      <c r="CG111">
        <v>2987302</v>
      </c>
      <c r="CH111" t="s">
        <v>1681</v>
      </c>
      <c r="CI111" s="10">
        <v>549999</v>
      </c>
    </row>
    <row r="112" spans="1:90">
      <c r="A112">
        <v>27124004</v>
      </c>
      <c r="B112" s="2" t="str">
        <f>HYPERLINK("http://www.redfin.com/stingray/do/printable-listing?listing-id=951550","Active")</f>
        <v>Active</v>
      </c>
      <c r="D112" t="s">
        <v>3071</v>
      </c>
      <c r="E112" t="s">
        <v>4489</v>
      </c>
      <c r="F112">
        <v>689500</v>
      </c>
      <c r="G112">
        <v>2007</v>
      </c>
      <c r="H112">
        <v>2425</v>
      </c>
      <c r="I112">
        <v>0</v>
      </c>
      <c r="J112">
        <v>4</v>
      </c>
      <c r="K112">
        <v>2.5</v>
      </c>
      <c r="M112" s="2" t="str">
        <f>HYPERLINK("http://maps.live.com/default.aspx?v=2&amp;lvl=15&amp;sp=Point.47.71126_-122.224793_12316 87th Ct NE&amp;cp=47.71126~-122.224793","Map")</f>
        <v>Map</v>
      </c>
      <c r="N112" s="2" t="str">
        <f>HYPERLINK("http://i-0.rfimg.us/photo/1/bigphoto/004/27124004_4.jpg","Photo")</f>
        <v>Photo</v>
      </c>
      <c r="AG112">
        <v>47.711260000000003</v>
      </c>
      <c r="AH112">
        <v>-122.22479300000001</v>
      </c>
      <c r="AI112" t="s">
        <v>1058</v>
      </c>
      <c r="AJ112">
        <v>98034</v>
      </c>
      <c r="BC112" s="22">
        <v>39275.402685185189</v>
      </c>
      <c r="BI112" s="7">
        <v>39532</v>
      </c>
      <c r="BL112">
        <v>13790</v>
      </c>
      <c r="BM112">
        <v>951550</v>
      </c>
      <c r="BN112" t="s">
        <v>1766</v>
      </c>
      <c r="BO112" s="17">
        <f t="shared" ca="1" si="1"/>
        <v>273.90672071759036</v>
      </c>
      <c r="BP112" t="b">
        <v>0</v>
      </c>
      <c r="BQ112">
        <v>1</v>
      </c>
      <c r="BR112" t="s">
        <v>3768</v>
      </c>
      <c r="BS112" t="s">
        <v>1856</v>
      </c>
      <c r="BT112" t="b">
        <v>0</v>
      </c>
      <c r="BV112" t="s">
        <v>1668</v>
      </c>
      <c r="BW112">
        <v>12316</v>
      </c>
      <c r="BX112" t="s">
        <v>1738</v>
      </c>
      <c r="BY112">
        <v>12065584</v>
      </c>
      <c r="BZ112" t="s">
        <v>4490</v>
      </c>
      <c r="CA112">
        <v>1</v>
      </c>
      <c r="CB112" t="b">
        <v>1</v>
      </c>
      <c r="CC112">
        <v>0</v>
      </c>
      <c r="CD112" t="b">
        <v>0</v>
      </c>
      <c r="CE112" t="b">
        <v>0</v>
      </c>
      <c r="CF112" t="b">
        <v>1</v>
      </c>
      <c r="CG112">
        <v>15319720</v>
      </c>
      <c r="CH112" t="s">
        <v>1681</v>
      </c>
      <c r="CI112" s="10">
        <v>689500</v>
      </c>
    </row>
    <row r="113" spans="1:90">
      <c r="A113">
        <v>27124334</v>
      </c>
      <c r="B113" s="15" t="str">
        <f>HYPERLINK("http://www.redfin.com/stingray/do/printable-listing?listing-id=958318","Active")</f>
        <v>Active</v>
      </c>
      <c r="D113" t="s">
        <v>194</v>
      </c>
      <c r="E113" t="s">
        <v>3146</v>
      </c>
      <c r="F113">
        <v>449500</v>
      </c>
      <c r="G113">
        <v>2001</v>
      </c>
      <c r="H113">
        <v>1570</v>
      </c>
      <c r="I113">
        <v>0</v>
      </c>
      <c r="J113">
        <v>3</v>
      </c>
      <c r="K113">
        <v>2.5</v>
      </c>
      <c r="M113" s="2" t="str">
        <f>HYPERLINK("http://maps.live.com/default.aspx?v=2&amp;lvl=15&amp;sp=Point.47.677137_-122.291469_6534 34th Ave NE nB&amp;cp=47.677137~-122.291469","Map")</f>
        <v>Map</v>
      </c>
      <c r="N113" s="2" t="str">
        <f>HYPERLINK("http://i-0.rfimg.us/photo/1/bigphoto/334/27124334_0.jpg","Photo")</f>
        <v>Photo</v>
      </c>
      <c r="AG113">
        <v>47.677137000000002</v>
      </c>
      <c r="AH113">
        <v>-122.29146900000001</v>
      </c>
      <c r="AI113" t="s">
        <v>66</v>
      </c>
      <c r="AJ113">
        <v>98115</v>
      </c>
      <c r="AM113" t="s">
        <v>1699</v>
      </c>
      <c r="BC113" s="22">
        <v>39276.933796296296</v>
      </c>
      <c r="BI113" s="22">
        <v>39549.294907407406</v>
      </c>
      <c r="BL113">
        <v>8990</v>
      </c>
      <c r="BM113">
        <v>958318</v>
      </c>
      <c r="BN113" t="s">
        <v>1768</v>
      </c>
      <c r="BO113" s="17">
        <f t="shared" ca="1" si="1"/>
        <v>272.37560960648261</v>
      </c>
      <c r="BP113" t="b">
        <v>0</v>
      </c>
      <c r="BQ113">
        <v>1</v>
      </c>
      <c r="BR113" t="s">
        <v>1667</v>
      </c>
      <c r="BS113" t="s">
        <v>2912</v>
      </c>
      <c r="BT113" t="b">
        <v>0</v>
      </c>
      <c r="BV113" t="s">
        <v>1668</v>
      </c>
      <c r="BW113">
        <v>6534</v>
      </c>
      <c r="BX113" t="s">
        <v>1738</v>
      </c>
      <c r="BY113">
        <v>12309585</v>
      </c>
      <c r="BZ113" t="s">
        <v>1672</v>
      </c>
      <c r="CA113">
        <v>1</v>
      </c>
      <c r="CB113" t="b">
        <v>1</v>
      </c>
      <c r="CC113">
        <v>0</v>
      </c>
      <c r="CD113" t="b">
        <v>0</v>
      </c>
      <c r="CE113" t="b">
        <v>0</v>
      </c>
      <c r="CF113" t="b">
        <v>1</v>
      </c>
      <c r="CG113">
        <v>15516167</v>
      </c>
      <c r="CH113" t="s">
        <v>1681</v>
      </c>
      <c r="CI113" s="10">
        <v>449500</v>
      </c>
    </row>
    <row r="114" spans="1:90">
      <c r="A114">
        <v>27126521</v>
      </c>
      <c r="B114" s="2" t="str">
        <f>HYPERLINK("http://www.redfin.com/stingray/do/printable-listing?listing-id=956353","Active")</f>
        <v>Active</v>
      </c>
      <c r="D114" t="s">
        <v>5263</v>
      </c>
      <c r="E114" t="s">
        <v>5465</v>
      </c>
      <c r="F114">
        <v>664950</v>
      </c>
      <c r="G114">
        <v>1974</v>
      </c>
      <c r="H114">
        <v>2610</v>
      </c>
      <c r="I114">
        <v>14250</v>
      </c>
      <c r="J114">
        <v>3</v>
      </c>
      <c r="K114">
        <v>2.5</v>
      </c>
      <c r="M114" s="2" t="str">
        <f>HYPERLINK("http://maps.live.com/default.aspx?v=2&amp;lvl=15&amp;sp=Point.47.578246_-122.118376_16605 SE 35th St&amp;cp=47.578246~-122.118376","Map")</f>
        <v>Map</v>
      </c>
      <c r="N114" s="2" t="str">
        <f>HYPERLINK("http://i-0.rfimg.us/photo/1/bigphoto/521/27126521_4.jpg","Photo")</f>
        <v>Photo</v>
      </c>
      <c r="AG114">
        <v>47.578246</v>
      </c>
      <c r="AH114">
        <v>-122.118376</v>
      </c>
      <c r="AI114" t="s">
        <v>369</v>
      </c>
      <c r="AJ114">
        <v>98008</v>
      </c>
      <c r="AN114">
        <v>357500</v>
      </c>
      <c r="BC114" s="22">
        <v>39276.50681712963</v>
      </c>
      <c r="BI114" s="22">
        <v>39545.917314814818</v>
      </c>
      <c r="BL114">
        <v>13299</v>
      </c>
      <c r="BM114">
        <v>956353</v>
      </c>
      <c r="BN114" t="s">
        <v>3171</v>
      </c>
      <c r="BO114" s="17">
        <f t="shared" ca="1" si="1"/>
        <v>272.80258877314918</v>
      </c>
      <c r="BP114" t="b">
        <v>0</v>
      </c>
      <c r="BQ114">
        <v>1</v>
      </c>
      <c r="BR114" t="s">
        <v>1686</v>
      </c>
      <c r="BS114" t="s">
        <v>2920</v>
      </c>
      <c r="BT114" t="b">
        <v>0</v>
      </c>
      <c r="BU114" t="s">
        <v>3856</v>
      </c>
      <c r="BV114" t="s">
        <v>1668</v>
      </c>
      <c r="BW114">
        <v>16605</v>
      </c>
      <c r="BY114">
        <v>429384</v>
      </c>
      <c r="BZ114" t="s">
        <v>5466</v>
      </c>
      <c r="CA114">
        <v>1</v>
      </c>
      <c r="CB114" t="b">
        <v>1</v>
      </c>
      <c r="CC114">
        <v>0</v>
      </c>
      <c r="CD114" t="b">
        <v>0</v>
      </c>
      <c r="CE114" t="b">
        <v>0</v>
      </c>
      <c r="CF114" t="b">
        <v>1</v>
      </c>
      <c r="CG114">
        <v>2989585</v>
      </c>
      <c r="CH114" t="s">
        <v>1681</v>
      </c>
      <c r="CI114" s="10">
        <v>664950</v>
      </c>
      <c r="CJ114" s="7">
        <v>36938</v>
      </c>
    </row>
    <row r="115" spans="1:90">
      <c r="A115">
        <v>27127418</v>
      </c>
      <c r="B115" s="2" t="str">
        <f>HYPERLINK("http://www.redfin.com/stingray/do/printable-listing?listing-id=956767","Active")</f>
        <v>Active</v>
      </c>
      <c r="D115" t="s">
        <v>5050</v>
      </c>
      <c r="E115" t="s">
        <v>5049</v>
      </c>
      <c r="F115">
        <v>1195000</v>
      </c>
      <c r="G115">
        <v>1964</v>
      </c>
      <c r="H115">
        <v>2870</v>
      </c>
      <c r="I115">
        <v>11060</v>
      </c>
      <c r="J115">
        <v>3</v>
      </c>
      <c r="K115">
        <v>2.25</v>
      </c>
      <c r="M115" s="2" t="str">
        <f>HYPERLINK("http://maps.live.com/default.aspx?v=2&amp;lvl=15&amp;sp=Point.47.612361_-122.164374_172 131st Ave NE&amp;cp=47.612361~-122.164374","Map")</f>
        <v>Map</v>
      </c>
      <c r="N115" s="2" t="str">
        <f>HYPERLINK("http://i-0.rfimg.us/photo/1/bigphoto/418/27127418_1.jpg","Photo")</f>
        <v>Photo</v>
      </c>
      <c r="AG115">
        <v>47.612361</v>
      </c>
      <c r="AH115">
        <v>-122.164374</v>
      </c>
      <c r="AI115" t="s">
        <v>369</v>
      </c>
      <c r="AJ115">
        <v>98005</v>
      </c>
      <c r="AN115">
        <v>1160000</v>
      </c>
      <c r="BC115" s="22">
        <v>39276.533449074072</v>
      </c>
      <c r="BI115" s="22">
        <v>39549.294907407406</v>
      </c>
      <c r="BL115">
        <v>23900</v>
      </c>
      <c r="BM115">
        <v>956767</v>
      </c>
      <c r="BN115" t="s">
        <v>1674</v>
      </c>
      <c r="BO115" s="17">
        <f t="shared" ca="1" si="1"/>
        <v>272.77595682870742</v>
      </c>
      <c r="BP115" t="b">
        <v>0</v>
      </c>
      <c r="BQ115">
        <v>1</v>
      </c>
      <c r="BR115" t="s">
        <v>1667</v>
      </c>
      <c r="BS115" t="s">
        <v>4521</v>
      </c>
      <c r="BT115" t="b">
        <v>0</v>
      </c>
      <c r="BV115" t="s">
        <v>1668</v>
      </c>
      <c r="BW115">
        <v>172</v>
      </c>
      <c r="BX115" t="s">
        <v>1738</v>
      </c>
      <c r="BY115">
        <v>507179</v>
      </c>
      <c r="BZ115" t="s">
        <v>4349</v>
      </c>
      <c r="CA115">
        <v>1</v>
      </c>
      <c r="CB115" t="b">
        <v>1</v>
      </c>
      <c r="CC115">
        <v>0</v>
      </c>
      <c r="CD115" t="b">
        <v>0</v>
      </c>
      <c r="CE115" t="b">
        <v>0</v>
      </c>
      <c r="CF115" t="b">
        <v>1</v>
      </c>
      <c r="CG115">
        <v>2972399</v>
      </c>
      <c r="CH115" t="s">
        <v>1681</v>
      </c>
      <c r="CI115" s="10">
        <v>1195000</v>
      </c>
      <c r="CJ115" s="7">
        <v>38860</v>
      </c>
    </row>
    <row r="116" spans="1:90">
      <c r="A116">
        <v>27127536</v>
      </c>
      <c r="B116" s="2" t="str">
        <f>HYPERLINK("http://www.redfin.com/stingray/do/printable-listing?listing-id=957058","Active")</f>
        <v>Active</v>
      </c>
      <c r="D116" t="s">
        <v>3061</v>
      </c>
      <c r="E116" t="s">
        <v>4555</v>
      </c>
      <c r="F116">
        <v>589000</v>
      </c>
      <c r="G116">
        <v>1978</v>
      </c>
      <c r="H116">
        <v>2600</v>
      </c>
      <c r="I116">
        <v>7350</v>
      </c>
      <c r="J116">
        <v>4</v>
      </c>
      <c r="K116">
        <v>2.75</v>
      </c>
      <c r="M116" s="2" t="str">
        <f>HYPERLINK("http://maps.live.com/default.aspx?v=2&amp;lvl=15&amp;sp=Point.47.718983_-122.17223_13209 126th Pl NE&amp;cp=47.718983~-122.17223","Map")</f>
        <v>Map</v>
      </c>
      <c r="N116" s="2" t="str">
        <f>HYPERLINK("http://i-0.rfimg.us/photo/1/bigphoto/536/27127536_1.jpg","Photo")</f>
        <v>Photo</v>
      </c>
      <c r="AG116">
        <v>47.718983000000001</v>
      </c>
      <c r="AH116">
        <v>-122.17223</v>
      </c>
      <c r="AI116" t="s">
        <v>1058</v>
      </c>
      <c r="AJ116">
        <v>98034</v>
      </c>
      <c r="AN116">
        <v>438500</v>
      </c>
      <c r="BC116" s="22">
        <v>39276.606979166667</v>
      </c>
      <c r="BI116" s="22">
        <v>39549.294907407406</v>
      </c>
      <c r="BL116">
        <v>11780</v>
      </c>
      <c r="BM116">
        <v>957058</v>
      </c>
      <c r="BN116" t="s">
        <v>1798</v>
      </c>
      <c r="BO116" s="17">
        <f t="shared" ca="1" si="1"/>
        <v>272.7024267361121</v>
      </c>
      <c r="BP116" t="b">
        <v>0</v>
      </c>
      <c r="BQ116">
        <v>1</v>
      </c>
      <c r="BR116" t="s">
        <v>1842</v>
      </c>
      <c r="BS116" t="s">
        <v>4544</v>
      </c>
      <c r="BT116" t="b">
        <v>0</v>
      </c>
      <c r="BV116" t="s">
        <v>1668</v>
      </c>
      <c r="BW116">
        <v>13209</v>
      </c>
      <c r="BX116" t="s">
        <v>1738</v>
      </c>
      <c r="BY116">
        <v>454454</v>
      </c>
      <c r="BZ116" t="s">
        <v>4556</v>
      </c>
      <c r="CA116">
        <v>1</v>
      </c>
      <c r="CB116" t="b">
        <v>1</v>
      </c>
      <c r="CC116">
        <v>0</v>
      </c>
      <c r="CD116" t="b">
        <v>0</v>
      </c>
      <c r="CE116" t="b">
        <v>0</v>
      </c>
      <c r="CF116" t="b">
        <v>1</v>
      </c>
      <c r="CG116">
        <v>2459814</v>
      </c>
      <c r="CH116" t="s">
        <v>1681</v>
      </c>
      <c r="CI116" s="10">
        <v>589000</v>
      </c>
      <c r="CJ116" s="7">
        <v>38960</v>
      </c>
    </row>
    <row r="117" spans="1:90">
      <c r="A117">
        <v>27127831</v>
      </c>
      <c r="B117" s="15" t="str">
        <f>HYPERLINK("http://www.redfin.com/stingray/do/printable-listing?listing-id=958008","Subject To Inspection")</f>
        <v>Subject To Inspection</v>
      </c>
      <c r="D117" t="s">
        <v>5171</v>
      </c>
      <c r="E117" t="s">
        <v>5169</v>
      </c>
      <c r="F117">
        <v>750000</v>
      </c>
      <c r="G117">
        <v>1959</v>
      </c>
      <c r="H117">
        <v>2600</v>
      </c>
      <c r="I117">
        <v>11369</v>
      </c>
      <c r="J117">
        <v>4</v>
      </c>
      <c r="K117">
        <v>2.75</v>
      </c>
      <c r="M117" s="2" t="str">
        <f>HYPERLINK("http://maps.live.com/default.aspx?v=2&amp;lvl=15&amp;sp=Point.47.576855_-122.22872_8220 SE 38th Pl&amp;cp=47.576855~-122.22872","Map")</f>
        <v>Map</v>
      </c>
      <c r="N117" s="2" t="str">
        <f>HYPERLINK("http://i-0.rfimg.us/photo/1/bigphoto/831/27127831_K.jpg","Photo")</f>
        <v>Photo</v>
      </c>
      <c r="AG117">
        <v>47.576855000000002</v>
      </c>
      <c r="AH117">
        <v>-122.22872</v>
      </c>
      <c r="AI117" t="s">
        <v>5139</v>
      </c>
      <c r="AJ117">
        <v>98040</v>
      </c>
      <c r="AN117">
        <v>320000</v>
      </c>
      <c r="BC117" s="22">
        <v>39276.797199074077</v>
      </c>
      <c r="BI117" s="7">
        <v>39533</v>
      </c>
      <c r="BL117">
        <v>15000</v>
      </c>
      <c r="BM117">
        <v>958008</v>
      </c>
      <c r="BN117" t="s">
        <v>1674</v>
      </c>
      <c r="BO117" s="17">
        <f t="shared" ca="1" si="1"/>
        <v>272.51220682870189</v>
      </c>
      <c r="BP117" t="b">
        <v>0</v>
      </c>
      <c r="BQ117">
        <v>1</v>
      </c>
      <c r="BR117" t="s">
        <v>1842</v>
      </c>
      <c r="BS117" t="s">
        <v>3126</v>
      </c>
      <c r="BT117" t="b">
        <v>0</v>
      </c>
      <c r="BU117" t="s">
        <v>3856</v>
      </c>
      <c r="BV117" t="s">
        <v>1668</v>
      </c>
      <c r="BW117">
        <v>8220</v>
      </c>
      <c r="BY117">
        <v>254445</v>
      </c>
      <c r="BZ117" t="s">
        <v>5170</v>
      </c>
      <c r="CA117">
        <v>1</v>
      </c>
      <c r="CB117" t="b">
        <v>1</v>
      </c>
      <c r="CC117">
        <v>0</v>
      </c>
      <c r="CD117" t="b">
        <v>0</v>
      </c>
      <c r="CE117" t="b">
        <v>0</v>
      </c>
      <c r="CF117" t="b">
        <v>1</v>
      </c>
      <c r="CG117">
        <v>2731981</v>
      </c>
      <c r="CH117" t="s">
        <v>1681</v>
      </c>
      <c r="CI117" s="10">
        <v>750000</v>
      </c>
      <c r="CJ117" s="7">
        <v>36147</v>
      </c>
    </row>
    <row r="118" spans="1:90">
      <c r="A118">
        <v>27128375</v>
      </c>
      <c r="B118" s="2" t="str">
        <f>HYPERLINK("http://www.redfin.com/stingray/do/printable-listing?listing-id=962747","Active")</f>
        <v>Active</v>
      </c>
      <c r="D118" t="s">
        <v>88</v>
      </c>
      <c r="E118" t="s">
        <v>2507</v>
      </c>
      <c r="F118">
        <v>685000</v>
      </c>
      <c r="G118">
        <v>1916</v>
      </c>
      <c r="H118">
        <v>2870</v>
      </c>
      <c r="I118">
        <v>3720</v>
      </c>
      <c r="J118">
        <v>4</v>
      </c>
      <c r="K118">
        <v>1.75</v>
      </c>
      <c r="M118" s="2" t="str">
        <f>HYPERLINK("http://maps.live.com/default.aspx?v=2&amp;lvl=15&amp;sp=Point.47.677081_-122.352396_502 N 66th&amp;cp=47.677081~-122.352396","Map")</f>
        <v>Map</v>
      </c>
      <c r="N118" s="2" t="str">
        <f>HYPERLINK("http://i-0.rfimg.us/photo/1/bigphoto/375/27128375_6.jpg","Photo")</f>
        <v>Photo</v>
      </c>
      <c r="AG118">
        <v>47.677081000000001</v>
      </c>
      <c r="AH118">
        <v>-122.352396</v>
      </c>
      <c r="AI118" t="s">
        <v>66</v>
      </c>
      <c r="AJ118">
        <v>98103</v>
      </c>
      <c r="AN118">
        <v>443000</v>
      </c>
      <c r="BC118" s="22">
        <v>39278.497835648152</v>
      </c>
      <c r="BI118" s="22">
        <v>39549.294907407406</v>
      </c>
      <c r="BL118">
        <v>13700</v>
      </c>
      <c r="BM118">
        <v>962747</v>
      </c>
      <c r="BN118" t="s">
        <v>1710</v>
      </c>
      <c r="BO118" s="17">
        <f t="shared" ca="1" si="1"/>
        <v>270.8115703703661</v>
      </c>
      <c r="BP118" t="b">
        <v>0</v>
      </c>
      <c r="BQ118">
        <v>1</v>
      </c>
      <c r="BS118" t="s">
        <v>1915</v>
      </c>
      <c r="BT118" t="b">
        <v>0</v>
      </c>
      <c r="BU118" t="s">
        <v>1712</v>
      </c>
      <c r="BV118" t="s">
        <v>1668</v>
      </c>
      <c r="BW118">
        <v>502</v>
      </c>
      <c r="BY118">
        <v>300947</v>
      </c>
      <c r="BZ118" t="s">
        <v>2508</v>
      </c>
      <c r="CA118">
        <v>1</v>
      </c>
      <c r="CB118" t="b">
        <v>1</v>
      </c>
      <c r="CC118">
        <v>0</v>
      </c>
      <c r="CD118" t="b">
        <v>0</v>
      </c>
      <c r="CE118" t="b">
        <v>0</v>
      </c>
      <c r="CF118" t="b">
        <v>1</v>
      </c>
      <c r="CG118">
        <v>2367567</v>
      </c>
      <c r="CH118" t="s">
        <v>1681</v>
      </c>
      <c r="CI118" s="10">
        <v>685000</v>
      </c>
      <c r="CJ118" s="7">
        <v>38208</v>
      </c>
    </row>
    <row r="119" spans="1:90">
      <c r="A119">
        <v>27128579</v>
      </c>
      <c r="B119" s="2" t="str">
        <f>HYPERLINK("http://www.redfin.com/stingray/do/printable-listing?listing-id=979314","Active")</f>
        <v>Active</v>
      </c>
      <c r="D119" t="s">
        <v>60</v>
      </c>
      <c r="E119" t="s">
        <v>2387</v>
      </c>
      <c r="F119">
        <v>875000</v>
      </c>
      <c r="G119">
        <v>1931</v>
      </c>
      <c r="H119">
        <v>2740</v>
      </c>
      <c r="I119">
        <v>4000</v>
      </c>
      <c r="J119">
        <v>4</v>
      </c>
      <c r="K119">
        <v>2.5</v>
      </c>
      <c r="M119" s="2" t="str">
        <f>HYPERLINK("http://maps.live.com/default.aspx?v=2&amp;lvl=15&amp;sp=Point.47.685648_-122.330753_7717 Corliss Ave N&amp;cp=47.685648~-122.330753","Map")</f>
        <v>Map</v>
      </c>
      <c r="N119" s="2" t="str">
        <f>HYPERLINK("http://i-0.rfimg.us/photo/1/bigphoto/579/27128579_8.jpg","Photo")</f>
        <v>Photo</v>
      </c>
      <c r="AG119">
        <v>47.685648</v>
      </c>
      <c r="AH119">
        <v>-122.330753</v>
      </c>
      <c r="AI119" t="s">
        <v>66</v>
      </c>
      <c r="AJ119">
        <v>98103</v>
      </c>
      <c r="AN119">
        <v>875000</v>
      </c>
      <c r="BC119" s="22">
        <v>39284.374907407408</v>
      </c>
      <c r="BI119" s="7">
        <v>39539</v>
      </c>
      <c r="BL119">
        <v>17500</v>
      </c>
      <c r="BM119">
        <v>979314</v>
      </c>
      <c r="BN119" t="s">
        <v>1702</v>
      </c>
      <c r="BO119" s="17">
        <f t="shared" ca="1" si="1"/>
        <v>264.93449861111003</v>
      </c>
      <c r="BP119" t="b">
        <v>0</v>
      </c>
      <c r="BQ119">
        <v>1</v>
      </c>
      <c r="BR119" t="s">
        <v>1667</v>
      </c>
      <c r="BS119" t="s">
        <v>2388</v>
      </c>
      <c r="BT119" t="b">
        <v>0</v>
      </c>
      <c r="BV119" t="s">
        <v>1668</v>
      </c>
      <c r="BW119">
        <v>7717</v>
      </c>
      <c r="BX119" t="s">
        <v>1712</v>
      </c>
      <c r="BY119">
        <v>307655</v>
      </c>
      <c r="BZ119" t="s">
        <v>2389</v>
      </c>
      <c r="CA119">
        <v>1</v>
      </c>
      <c r="CB119" t="b">
        <v>1</v>
      </c>
      <c r="CC119">
        <v>0</v>
      </c>
      <c r="CD119" t="b">
        <v>0</v>
      </c>
      <c r="CE119" t="b">
        <v>0</v>
      </c>
      <c r="CF119" t="b">
        <v>1</v>
      </c>
      <c r="CG119">
        <v>2987424</v>
      </c>
      <c r="CH119" t="s">
        <v>1681</v>
      </c>
      <c r="CI119" s="10">
        <v>875000</v>
      </c>
      <c r="CJ119" s="7">
        <v>38380</v>
      </c>
      <c r="CL119" t="s">
        <v>6255</v>
      </c>
    </row>
    <row r="120" spans="1:90">
      <c r="A120">
        <v>27128779</v>
      </c>
      <c r="B120" s="2" t="str">
        <f>HYPERLINK("http://www.redfin.com/stingray/do/printable-listing?listing-id=965275","Active")</f>
        <v>Active</v>
      </c>
      <c r="D120" t="s">
        <v>5204</v>
      </c>
      <c r="E120" t="s">
        <v>5409</v>
      </c>
      <c r="F120">
        <v>726999</v>
      </c>
      <c r="G120">
        <v>1958</v>
      </c>
      <c r="H120">
        <v>1990</v>
      </c>
      <c r="I120">
        <v>9000</v>
      </c>
      <c r="J120">
        <v>3</v>
      </c>
      <c r="K120">
        <v>2.5</v>
      </c>
      <c r="M120" s="2" t="str">
        <f>HYPERLINK("http://maps.live.com/default.aspx?v=2&amp;lvl=15&amp;sp=Point.47.60451_-122.126635_15942 Lake Hills Blvd&amp;cp=47.60451~-122.126635","Map")</f>
        <v>Map</v>
      </c>
      <c r="N120" s="2" t="str">
        <f>HYPERLINK("http://i-0.rfimg.us/photo/1/bigphoto/779/27128779_0.jpg","Photo")</f>
        <v>Photo</v>
      </c>
      <c r="AG120">
        <v>47.604509999999998</v>
      </c>
      <c r="AH120">
        <v>-122.12663499999999</v>
      </c>
      <c r="AI120" t="s">
        <v>369</v>
      </c>
      <c r="AJ120">
        <v>98008</v>
      </c>
      <c r="AN120">
        <v>300000</v>
      </c>
      <c r="BC120" s="22">
        <v>39279.739745370367</v>
      </c>
      <c r="BI120" s="22">
        <v>39549.294907407406</v>
      </c>
      <c r="BL120">
        <v>14540</v>
      </c>
      <c r="BM120">
        <v>965275</v>
      </c>
      <c r="BN120" t="s">
        <v>1823</v>
      </c>
      <c r="BO120" s="17">
        <f t="shared" ca="1" si="1"/>
        <v>269.56966053241194</v>
      </c>
      <c r="BP120" t="b">
        <v>0</v>
      </c>
      <c r="BQ120">
        <v>1</v>
      </c>
      <c r="BR120" t="s">
        <v>3141</v>
      </c>
      <c r="BS120" t="s">
        <v>5204</v>
      </c>
      <c r="BT120" t="b">
        <v>0</v>
      </c>
      <c r="BV120" t="s">
        <v>1668</v>
      </c>
      <c r="BW120">
        <v>15942</v>
      </c>
      <c r="BY120">
        <v>426066</v>
      </c>
      <c r="BZ120" t="s">
        <v>1747</v>
      </c>
      <c r="CA120">
        <v>1</v>
      </c>
      <c r="CB120" t="b">
        <v>1</v>
      </c>
      <c r="CC120">
        <v>0</v>
      </c>
      <c r="CD120" t="b">
        <v>0</v>
      </c>
      <c r="CE120" t="b">
        <v>0</v>
      </c>
      <c r="CF120" t="b">
        <v>1</v>
      </c>
      <c r="CG120">
        <v>2771621</v>
      </c>
      <c r="CH120" t="s">
        <v>1681</v>
      </c>
      <c r="CI120" s="10">
        <v>726999</v>
      </c>
      <c r="CJ120" s="7">
        <v>38182</v>
      </c>
    </row>
    <row r="121" spans="1:90">
      <c r="A121">
        <v>27129987</v>
      </c>
      <c r="B121" s="2" t="str">
        <f>HYPERLINK("http://www.redfin.com/stingray/do/printable-listing?listing-id=968264","Active")</f>
        <v>Active</v>
      </c>
      <c r="D121" t="s">
        <v>3681</v>
      </c>
      <c r="E121" t="s">
        <v>3828</v>
      </c>
      <c r="F121">
        <v>599950</v>
      </c>
      <c r="G121">
        <v>1939</v>
      </c>
      <c r="H121">
        <v>2250</v>
      </c>
      <c r="I121">
        <v>0</v>
      </c>
      <c r="J121">
        <v>3</v>
      </c>
      <c r="K121">
        <v>1.75</v>
      </c>
      <c r="M121" s="2" t="str">
        <f>HYPERLINK("http://maps.live.com/default.aspx?v=2&amp;lvl=15&amp;sp=Point.47.636953_-122.301201_1860 24th Ave E&amp;cp=47.636953~-122.301201","Map")</f>
        <v>Map</v>
      </c>
      <c r="N121" s="2" t="str">
        <f>HYPERLINK("http://i-0.rfimg.us/photo/1/bigphoto/987/27129987_1.jpg","Photo")</f>
        <v>Photo</v>
      </c>
      <c r="AG121">
        <v>47.636952999999998</v>
      </c>
      <c r="AH121">
        <v>-122.30120100000001</v>
      </c>
      <c r="AI121" t="s">
        <v>66</v>
      </c>
      <c r="AJ121">
        <v>98112</v>
      </c>
      <c r="AN121">
        <v>503700</v>
      </c>
      <c r="BC121" s="22">
        <v>39280.626770833333</v>
      </c>
      <c r="BI121" s="22">
        <v>39549.294907407406</v>
      </c>
      <c r="BL121">
        <v>11999</v>
      </c>
      <c r="BM121">
        <v>968264</v>
      </c>
      <c r="BN121" t="s">
        <v>3827</v>
      </c>
      <c r="BO121" s="17">
        <f t="shared" ca="1" si="1"/>
        <v>268.68263506944641</v>
      </c>
      <c r="BP121" t="b">
        <v>0</v>
      </c>
      <c r="BQ121">
        <v>1</v>
      </c>
      <c r="BR121" t="s">
        <v>1667</v>
      </c>
      <c r="BS121" t="s">
        <v>1740</v>
      </c>
      <c r="BT121" t="b">
        <v>0</v>
      </c>
      <c r="BV121" t="s">
        <v>1668</v>
      </c>
      <c r="BW121">
        <v>1860</v>
      </c>
      <c r="BX121" t="s">
        <v>2436</v>
      </c>
      <c r="BY121">
        <v>138054</v>
      </c>
      <c r="BZ121" t="s">
        <v>1704</v>
      </c>
      <c r="CA121">
        <v>1</v>
      </c>
      <c r="CB121" t="b">
        <v>1</v>
      </c>
      <c r="CC121">
        <v>0</v>
      </c>
      <c r="CD121" t="b">
        <v>0</v>
      </c>
      <c r="CE121" t="b">
        <v>0</v>
      </c>
      <c r="CF121" t="b">
        <v>1</v>
      </c>
      <c r="CG121">
        <v>2620964</v>
      </c>
      <c r="CH121" t="s">
        <v>1681</v>
      </c>
      <c r="CI121" s="10">
        <v>599950</v>
      </c>
      <c r="CJ121" s="7">
        <v>38391</v>
      </c>
    </row>
    <row r="122" spans="1:90">
      <c r="A122">
        <v>27130148</v>
      </c>
      <c r="B122" s="2" t="str">
        <f>HYPERLINK("http://www.redfin.com/stingray/do/printable-listing?listing-id=968409","Active")</f>
        <v>Active</v>
      </c>
      <c r="D122" t="s">
        <v>3966</v>
      </c>
      <c r="E122" t="s">
        <v>4299</v>
      </c>
      <c r="F122">
        <v>825000</v>
      </c>
      <c r="G122">
        <v>1924</v>
      </c>
      <c r="H122">
        <v>2940</v>
      </c>
      <c r="I122">
        <v>4500</v>
      </c>
      <c r="J122">
        <v>3</v>
      </c>
      <c r="K122">
        <v>1.5</v>
      </c>
      <c r="M122" s="2" t="str">
        <f>HYPERLINK("http://maps.live.com/default.aspx?v=2&amp;lvl=15&amp;sp=Point.47.614322_-122.290645_1507 33rd Ave&amp;cp=47.614322~-122.290645","Map")</f>
        <v>Map</v>
      </c>
      <c r="N122" s="2" t="str">
        <f>HYPERLINK("http://i-0.rfimg.us/photo/1/bigphoto/148/27130148_1.jpg","Photo")</f>
        <v>Photo</v>
      </c>
      <c r="AG122">
        <v>47.614322000000001</v>
      </c>
      <c r="AH122">
        <v>-122.290645</v>
      </c>
      <c r="AI122" t="s">
        <v>66</v>
      </c>
      <c r="AJ122">
        <v>98122</v>
      </c>
      <c r="BC122" s="22">
        <v>39280.708425925928</v>
      </c>
      <c r="BI122" s="22">
        <v>39549.294907407406</v>
      </c>
      <c r="BL122">
        <v>16500</v>
      </c>
      <c r="BM122">
        <v>968409</v>
      </c>
      <c r="BN122" t="s">
        <v>1823</v>
      </c>
      <c r="BO122" s="17">
        <f t="shared" ca="1" si="1"/>
        <v>268.60097997685079</v>
      </c>
      <c r="BP122" t="b">
        <v>0</v>
      </c>
      <c r="BQ122">
        <v>1</v>
      </c>
      <c r="BR122" t="s">
        <v>1667</v>
      </c>
      <c r="BS122" t="s">
        <v>3460</v>
      </c>
      <c r="BT122" t="b">
        <v>0</v>
      </c>
      <c r="BV122" t="s">
        <v>1668</v>
      </c>
      <c r="BW122">
        <v>1507</v>
      </c>
      <c r="BY122">
        <v>145783</v>
      </c>
      <c r="BZ122" t="s">
        <v>2799</v>
      </c>
      <c r="CA122">
        <v>1</v>
      </c>
      <c r="CB122" t="b">
        <v>1</v>
      </c>
      <c r="CC122">
        <v>0</v>
      </c>
      <c r="CD122" t="b">
        <v>0</v>
      </c>
      <c r="CE122" t="b">
        <v>0</v>
      </c>
      <c r="CF122" t="b">
        <v>1</v>
      </c>
      <c r="CG122">
        <v>2757648</v>
      </c>
      <c r="CH122" t="s">
        <v>1681</v>
      </c>
      <c r="CI122" s="10">
        <v>825000</v>
      </c>
    </row>
    <row r="123" spans="1:90">
      <c r="A123">
        <v>27131093</v>
      </c>
      <c r="B123" s="2" t="str">
        <f>HYPERLINK("http://www.redfin.com/stingray/do/printable-listing?listing-id=987722","Active")</f>
        <v>Active</v>
      </c>
      <c r="D123" t="s">
        <v>60</v>
      </c>
      <c r="E123" t="s">
        <v>2621</v>
      </c>
      <c r="F123">
        <v>599950</v>
      </c>
      <c r="G123">
        <v>1927</v>
      </c>
      <c r="H123">
        <v>1900</v>
      </c>
      <c r="I123">
        <v>3920</v>
      </c>
      <c r="J123">
        <v>3</v>
      </c>
      <c r="K123">
        <v>1.5</v>
      </c>
      <c r="M123" s="2" t="str">
        <f>HYPERLINK("http://maps.live.com/default.aspx?v=2&amp;lvl=15&amp;sp=Point.47.684244_-122.342783_1136 N 76th St&amp;cp=47.684244~-122.342783","Map")</f>
        <v>Map</v>
      </c>
      <c r="N123" s="2" t="str">
        <f>HYPERLINK("http://i-0.rfimg.us/photo/1/bigphoto/093/27131093_0.jpg","Photo")</f>
        <v>Photo</v>
      </c>
      <c r="AG123">
        <v>47.684244</v>
      </c>
      <c r="AH123">
        <v>-122.342783</v>
      </c>
      <c r="AI123" t="s">
        <v>66</v>
      </c>
      <c r="AJ123">
        <v>98103</v>
      </c>
      <c r="AN123">
        <v>490000</v>
      </c>
      <c r="BC123" s="22">
        <v>39287.606145833335</v>
      </c>
      <c r="BI123" s="22">
        <v>39549.294907407406</v>
      </c>
      <c r="BL123">
        <v>11999</v>
      </c>
      <c r="BM123">
        <v>987722</v>
      </c>
      <c r="BN123" t="s">
        <v>1688</v>
      </c>
      <c r="BO123" s="17">
        <f t="shared" ca="1" si="1"/>
        <v>261.70326018518244</v>
      </c>
      <c r="BP123" t="b">
        <v>0</v>
      </c>
      <c r="BQ123">
        <v>1</v>
      </c>
      <c r="BR123" t="s">
        <v>1686</v>
      </c>
      <c r="BS123" t="s">
        <v>2057</v>
      </c>
      <c r="BT123" t="b">
        <v>0</v>
      </c>
      <c r="BU123" t="s">
        <v>1712</v>
      </c>
      <c r="BV123" t="s">
        <v>1668</v>
      </c>
      <c r="BW123">
        <v>1136</v>
      </c>
      <c r="BY123">
        <v>306755</v>
      </c>
      <c r="BZ123" t="s">
        <v>1747</v>
      </c>
      <c r="CA123">
        <v>1</v>
      </c>
      <c r="CB123" t="b">
        <v>1</v>
      </c>
      <c r="CC123">
        <v>0</v>
      </c>
      <c r="CD123" t="b">
        <v>0</v>
      </c>
      <c r="CE123" t="b">
        <v>0</v>
      </c>
      <c r="CF123" t="b">
        <v>1</v>
      </c>
      <c r="CG123">
        <v>2914696</v>
      </c>
      <c r="CH123" t="s">
        <v>1681</v>
      </c>
      <c r="CI123" s="10">
        <v>599950</v>
      </c>
      <c r="CJ123" s="7">
        <v>39023</v>
      </c>
    </row>
    <row r="124" spans="1:90">
      <c r="A124">
        <v>27131816</v>
      </c>
      <c r="B124" s="2" t="str">
        <f>HYPERLINK("http://www.redfin.com/stingray/do/printable-listing?listing-id=974398","Active")</f>
        <v>Active</v>
      </c>
      <c r="D124" t="s">
        <v>5125</v>
      </c>
      <c r="E124" t="s">
        <v>5518</v>
      </c>
      <c r="F124" s="19">
        <v>749000</v>
      </c>
      <c r="G124">
        <v>1962</v>
      </c>
      <c r="H124">
        <v>2490</v>
      </c>
      <c r="I124">
        <v>8467</v>
      </c>
      <c r="J124">
        <v>4</v>
      </c>
      <c r="K124">
        <v>2.5</v>
      </c>
      <c r="M124" s="2" t="str">
        <f>HYPERLINK("http://maps.live.com/default.aspx?v=2&amp;lvl=15&amp;sp=Point.47.60495_-122.194201_442 109 Ave SE&amp;cp=47.60495~-122.194201","Map")</f>
        <v>Map</v>
      </c>
      <c r="N124" s="2" t="str">
        <f>HYPERLINK("http://i-0.rfimg.us/photo/1/bigphoto/816/27131816_B.jpg","Photo")</f>
        <v>Photo</v>
      </c>
      <c r="AG124">
        <v>47.604950000000002</v>
      </c>
      <c r="AH124">
        <v>-122.19420100000001</v>
      </c>
      <c r="AI124" t="s">
        <v>369</v>
      </c>
      <c r="AJ124">
        <v>98004</v>
      </c>
      <c r="BC124" s="22">
        <v>39282.755127314813</v>
      </c>
      <c r="BI124" s="22">
        <v>39549.294907407406</v>
      </c>
      <c r="BL124">
        <v>15300</v>
      </c>
      <c r="BM124">
        <v>974398</v>
      </c>
      <c r="BN124" t="s">
        <v>2556</v>
      </c>
      <c r="BO124" s="17">
        <f t="shared" ca="1" si="1"/>
        <v>266.55427858796611</v>
      </c>
      <c r="BP124" t="b">
        <v>0</v>
      </c>
      <c r="BQ124">
        <v>1</v>
      </c>
      <c r="BR124" t="s">
        <v>1667</v>
      </c>
      <c r="BS124">
        <v>109</v>
      </c>
      <c r="BT124" t="b">
        <v>0</v>
      </c>
      <c r="BV124" t="s">
        <v>1668</v>
      </c>
      <c r="BW124">
        <v>442</v>
      </c>
      <c r="BX124" t="s">
        <v>3856</v>
      </c>
      <c r="BY124">
        <v>510757</v>
      </c>
      <c r="BZ124" t="s">
        <v>5519</v>
      </c>
      <c r="CA124">
        <v>1</v>
      </c>
      <c r="CB124" t="b">
        <v>1</v>
      </c>
      <c r="CC124">
        <v>0</v>
      </c>
      <c r="CD124" t="b">
        <v>0</v>
      </c>
      <c r="CE124" t="b">
        <v>0</v>
      </c>
      <c r="CF124" t="b">
        <v>1</v>
      </c>
      <c r="CG124">
        <v>2925975</v>
      </c>
      <c r="CH124" t="s">
        <v>1681</v>
      </c>
      <c r="CI124" s="10">
        <v>765000</v>
      </c>
    </row>
    <row r="125" spans="1:90">
      <c r="A125">
        <v>27132101</v>
      </c>
      <c r="B125" s="15" t="str">
        <f>HYPERLINK("http://www.redfin.com/stingray/do/printable-listing?listing-id=976750","Subject To Inspection")</f>
        <v>Subject To Inspection</v>
      </c>
      <c r="D125" t="s">
        <v>4513</v>
      </c>
      <c r="E125" t="s">
        <v>4512</v>
      </c>
      <c r="F125" s="19">
        <v>439950</v>
      </c>
      <c r="G125">
        <v>1982</v>
      </c>
      <c r="H125">
        <v>1980</v>
      </c>
      <c r="I125">
        <v>0</v>
      </c>
      <c r="J125">
        <v>4</v>
      </c>
      <c r="K125">
        <v>2.5</v>
      </c>
      <c r="M125" s="2" t="str">
        <f>HYPERLINK("http://maps.live.com/default.aspx?v=2&amp;lvl=15&amp;sp=Point.47.7115_-122.199289_12403 106th Pl NE&amp;cp=47.7115~-122.199289","Map")</f>
        <v>Map</v>
      </c>
      <c r="N125" s="2" t="str">
        <f>HYPERLINK("http://i-0.rfimg.us/photo/1/bigphoto/101/27132101_2.jpg","Photo")</f>
        <v>Photo</v>
      </c>
      <c r="AG125">
        <v>47.711500000000001</v>
      </c>
      <c r="AH125">
        <v>-122.19928899999999</v>
      </c>
      <c r="AI125" t="s">
        <v>1058</v>
      </c>
      <c r="AJ125">
        <v>98034</v>
      </c>
      <c r="AN125">
        <v>80000</v>
      </c>
      <c r="BC125" s="22">
        <v>39283.436030092591</v>
      </c>
      <c r="BI125" s="22">
        <v>39549.294907407406</v>
      </c>
      <c r="BL125">
        <v>8940</v>
      </c>
      <c r="BM125">
        <v>976750</v>
      </c>
      <c r="BN125" t="s">
        <v>4511</v>
      </c>
      <c r="BO125" s="17">
        <f t="shared" ca="1" si="1"/>
        <v>265.87337581018801</v>
      </c>
      <c r="BP125" t="b">
        <v>0</v>
      </c>
      <c r="BQ125">
        <v>1</v>
      </c>
      <c r="BR125" t="s">
        <v>1842</v>
      </c>
      <c r="BS125" t="s">
        <v>2936</v>
      </c>
      <c r="BT125" t="b">
        <v>0</v>
      </c>
      <c r="BV125" t="s">
        <v>1668</v>
      </c>
      <c r="BW125">
        <v>12403</v>
      </c>
      <c r="BX125" t="s">
        <v>1738</v>
      </c>
      <c r="BY125">
        <v>457521</v>
      </c>
      <c r="BZ125" t="s">
        <v>3510</v>
      </c>
      <c r="CA125">
        <v>1</v>
      </c>
      <c r="CB125" t="b">
        <v>1</v>
      </c>
      <c r="CC125">
        <v>0</v>
      </c>
      <c r="CD125" t="b">
        <v>0</v>
      </c>
      <c r="CE125" t="b">
        <v>0</v>
      </c>
      <c r="CF125" t="b">
        <v>1</v>
      </c>
      <c r="CG125">
        <v>2642455</v>
      </c>
      <c r="CH125" t="s">
        <v>1681</v>
      </c>
      <c r="CI125" s="10">
        <v>447000</v>
      </c>
      <c r="CJ125" s="7">
        <v>32318</v>
      </c>
    </row>
    <row r="126" spans="1:90">
      <c r="A126">
        <v>27132490</v>
      </c>
      <c r="B126" s="2" t="str">
        <f>HYPERLINK("http://www.redfin.com/stingray/do/printable-listing?listing-id=977963","Active")</f>
        <v>Active</v>
      </c>
      <c r="D126" t="s">
        <v>184</v>
      </c>
      <c r="E126" t="s">
        <v>185</v>
      </c>
      <c r="F126">
        <v>399000</v>
      </c>
      <c r="G126">
        <v>1939</v>
      </c>
      <c r="H126">
        <v>1850</v>
      </c>
      <c r="I126">
        <v>9804</v>
      </c>
      <c r="J126">
        <v>3</v>
      </c>
      <c r="K126">
        <v>1</v>
      </c>
      <c r="M126" s="2" t="str">
        <f>HYPERLINK("http://maps.live.com/default.aspx?v=2&amp;lvl=15&amp;sp=Point.47.719623_-122.310188_1716 NE 125th St&amp;cp=47.719623~-122.310188","Map")</f>
        <v>Map</v>
      </c>
      <c r="N126" s="2" t="str">
        <f>HYPERLINK("http://i-0.rfimg.us/photo/1/bigphoto/490/27132490_2.jpg","Photo")</f>
        <v>Photo</v>
      </c>
      <c r="AG126">
        <v>47.719622999999999</v>
      </c>
      <c r="AH126">
        <v>-122.310188</v>
      </c>
      <c r="AI126" t="s">
        <v>66</v>
      </c>
      <c r="AJ126">
        <v>98125</v>
      </c>
      <c r="BC126" s="22">
        <v>39283.635462962964</v>
      </c>
      <c r="BI126" s="22">
        <v>39549.294907407406</v>
      </c>
      <c r="BL126">
        <v>7980</v>
      </c>
      <c r="BM126">
        <v>977963</v>
      </c>
      <c r="BN126" t="s">
        <v>1776</v>
      </c>
      <c r="BO126" s="17">
        <f t="shared" ca="1" si="1"/>
        <v>265.67394293981488</v>
      </c>
      <c r="BP126" t="b">
        <v>0</v>
      </c>
      <c r="BQ126">
        <v>1</v>
      </c>
      <c r="BR126" t="s">
        <v>1686</v>
      </c>
      <c r="BS126" t="s">
        <v>2677</v>
      </c>
      <c r="BT126" t="b">
        <v>0</v>
      </c>
      <c r="BU126" t="s">
        <v>1738</v>
      </c>
      <c r="BV126" t="s">
        <v>1668</v>
      </c>
      <c r="BW126">
        <v>1716</v>
      </c>
      <c r="BY126">
        <v>115421</v>
      </c>
      <c r="BZ126" t="s">
        <v>3037</v>
      </c>
      <c r="CA126">
        <v>1</v>
      </c>
      <c r="CB126" t="b">
        <v>1</v>
      </c>
      <c r="CC126">
        <v>0</v>
      </c>
      <c r="CD126" t="b">
        <v>0</v>
      </c>
      <c r="CE126" t="b">
        <v>0</v>
      </c>
      <c r="CF126" t="b">
        <v>1</v>
      </c>
      <c r="CG126">
        <v>2804494</v>
      </c>
      <c r="CH126" t="s">
        <v>1681</v>
      </c>
      <c r="CI126" s="10">
        <v>399000</v>
      </c>
      <c r="CK126" t="s">
        <v>3036</v>
      </c>
    </row>
    <row r="127" spans="1:90">
      <c r="A127">
        <v>27132708</v>
      </c>
      <c r="B127" s="2" t="str">
        <f>HYPERLINK("http://www.redfin.com/stingray/do/printable-listing?listing-id=978740","Active")</f>
        <v>Active</v>
      </c>
      <c r="D127" t="s">
        <v>3704</v>
      </c>
      <c r="E127" t="s">
        <v>4137</v>
      </c>
      <c r="F127">
        <v>525950</v>
      </c>
      <c r="G127">
        <v>2007</v>
      </c>
      <c r="H127">
        <v>1401</v>
      </c>
      <c r="I127">
        <v>0</v>
      </c>
      <c r="J127">
        <v>2</v>
      </c>
      <c r="K127">
        <v>2.5</v>
      </c>
      <c r="M127" s="2" t="str">
        <f>HYPERLINK("http://maps.live.com/default.aspx?v=2&amp;lvl=15&amp;sp=Point.47.616637_-122.314029_1406 E Olive St&amp;cp=47.616637~-122.314029","Map")</f>
        <v>Map</v>
      </c>
      <c r="N127" s="2" t="str">
        <f>HYPERLINK("http://i-0.rfimg.us/photo/1/bigphoto/708/27132708_6.jpg","Photo")</f>
        <v>Photo</v>
      </c>
      <c r="AG127">
        <v>47.616636999999997</v>
      </c>
      <c r="AH127">
        <v>-122.314029</v>
      </c>
      <c r="AI127" t="s">
        <v>66</v>
      </c>
      <c r="AJ127">
        <v>98122</v>
      </c>
      <c r="BC127" s="22">
        <v>39283.796493055554</v>
      </c>
      <c r="BI127" s="22">
        <v>39549.294907407406</v>
      </c>
      <c r="BL127">
        <v>10519</v>
      </c>
      <c r="BM127">
        <v>978740</v>
      </c>
      <c r="BN127" t="s">
        <v>1768</v>
      </c>
      <c r="BO127" s="17">
        <f t="shared" ca="1" si="1"/>
        <v>265.51291284722538</v>
      </c>
      <c r="BP127" t="b">
        <v>0</v>
      </c>
      <c r="BQ127">
        <v>1</v>
      </c>
      <c r="BR127" t="s">
        <v>1686</v>
      </c>
      <c r="BS127" t="s">
        <v>4029</v>
      </c>
      <c r="BT127" t="b">
        <v>0</v>
      </c>
      <c r="BU127" t="s">
        <v>2436</v>
      </c>
      <c r="BV127" t="s">
        <v>1668</v>
      </c>
      <c r="BW127">
        <v>1406</v>
      </c>
      <c r="BY127">
        <v>12088339</v>
      </c>
      <c r="BZ127" s="21">
        <v>6.9444444444444447E-4</v>
      </c>
      <c r="CA127">
        <v>1</v>
      </c>
      <c r="CB127" t="b">
        <v>1</v>
      </c>
      <c r="CC127">
        <v>0</v>
      </c>
      <c r="CD127" t="b">
        <v>0</v>
      </c>
      <c r="CE127" t="b">
        <v>0</v>
      </c>
      <c r="CF127" t="b">
        <v>1</v>
      </c>
      <c r="CG127">
        <v>15342410</v>
      </c>
      <c r="CH127" t="s">
        <v>1681</v>
      </c>
      <c r="CI127" s="10">
        <v>525950</v>
      </c>
    </row>
    <row r="128" spans="1:90">
      <c r="A128">
        <v>27133285</v>
      </c>
      <c r="B128" s="2" t="str">
        <f>HYPERLINK("http://www.redfin.com/stingray/do/printable-listing?listing-id=983680","Active")</f>
        <v>Active</v>
      </c>
      <c r="D128" t="s">
        <v>3885</v>
      </c>
      <c r="E128" t="s">
        <v>5764</v>
      </c>
      <c r="F128">
        <v>649000</v>
      </c>
      <c r="G128">
        <v>1977</v>
      </c>
      <c r="H128">
        <v>1580</v>
      </c>
      <c r="I128">
        <v>33086</v>
      </c>
      <c r="J128">
        <v>3</v>
      </c>
      <c r="K128">
        <v>1.75</v>
      </c>
      <c r="M128" s="2" t="str">
        <f>HYPERLINK("http://maps.live.com/default.aspx?v=2&amp;lvl=15&amp;sp=Point.47.520062_-122.157991_9206 Coal Creek Pkwy SE&amp;cp=47.520062~-122.157991","Map")</f>
        <v>Map</v>
      </c>
      <c r="N128" s="2" t="str">
        <f>HYPERLINK("http://i-0.rfimg.us/photo/1/bigphoto/285/27133285_0.jpg","Photo")</f>
        <v>Photo</v>
      </c>
      <c r="AG128">
        <v>47.520062000000003</v>
      </c>
      <c r="AH128">
        <v>-122.157991</v>
      </c>
      <c r="AI128" t="s">
        <v>3885</v>
      </c>
      <c r="AJ128">
        <v>98059</v>
      </c>
      <c r="AN128">
        <v>295000</v>
      </c>
      <c r="BC128" s="22">
        <v>39285.652858796297</v>
      </c>
      <c r="BI128" s="22">
        <v>39549.294907407406</v>
      </c>
      <c r="BL128">
        <v>12980</v>
      </c>
      <c r="BM128">
        <v>983680</v>
      </c>
      <c r="BN128" t="s">
        <v>1737</v>
      </c>
      <c r="BO128" s="17">
        <f t="shared" ca="1" si="1"/>
        <v>263.65654710648232</v>
      </c>
      <c r="BP128" t="b">
        <v>0</v>
      </c>
      <c r="BQ128">
        <v>1</v>
      </c>
      <c r="BR128" t="s">
        <v>5197</v>
      </c>
      <c r="BS128" t="s">
        <v>3839</v>
      </c>
      <c r="BT128" t="b">
        <v>0</v>
      </c>
      <c r="BV128" t="s">
        <v>1668</v>
      </c>
      <c r="BW128">
        <v>9206</v>
      </c>
      <c r="BX128" t="s">
        <v>3856</v>
      </c>
      <c r="BY128">
        <v>409598</v>
      </c>
      <c r="BZ128" t="s">
        <v>1696</v>
      </c>
      <c r="CA128">
        <v>1</v>
      </c>
      <c r="CB128" t="b">
        <v>1</v>
      </c>
      <c r="CC128">
        <v>0</v>
      </c>
      <c r="CD128" t="b">
        <v>0</v>
      </c>
      <c r="CE128" t="b">
        <v>0</v>
      </c>
      <c r="CF128" t="b">
        <v>1</v>
      </c>
      <c r="CG128">
        <v>2516557</v>
      </c>
      <c r="CH128" t="s">
        <v>1681</v>
      </c>
      <c r="CI128" s="10">
        <v>649000</v>
      </c>
      <c r="CJ128" s="7">
        <v>37797</v>
      </c>
    </row>
    <row r="129" spans="1:88">
      <c r="A129">
        <v>27133521</v>
      </c>
      <c r="B129" s="2" t="str">
        <f>HYPERLINK("http://www.redfin.com/stingray/do/printable-listing?listing-id=984423","Active")</f>
        <v>Active</v>
      </c>
      <c r="D129" t="s">
        <v>3249</v>
      </c>
      <c r="E129" t="s">
        <v>3629</v>
      </c>
      <c r="F129" s="19">
        <v>490000</v>
      </c>
      <c r="G129">
        <v>1923</v>
      </c>
      <c r="H129">
        <v>760</v>
      </c>
      <c r="I129">
        <v>2975</v>
      </c>
      <c r="J129">
        <v>1</v>
      </c>
      <c r="K129">
        <v>1</v>
      </c>
      <c r="M129" s="2" t="str">
        <f>HYPERLINK("http://maps.live.com/default.aspx?v=2&amp;lvl=15&amp;sp=Point.47.633542_-122.346305_1611 Taylor Ave N&amp;cp=47.633542~-122.346305","Map")</f>
        <v>Map</v>
      </c>
      <c r="N129" s="2" t="str">
        <f>HYPERLINK("http://i-0.rfimg.us/photo/1/bigphoto/521/27133521_3.jpg","Photo")</f>
        <v>Photo</v>
      </c>
      <c r="AG129">
        <v>47.633541999999998</v>
      </c>
      <c r="AH129">
        <v>-122.346305</v>
      </c>
      <c r="AI129" t="s">
        <v>66</v>
      </c>
      <c r="AJ129">
        <v>98109</v>
      </c>
      <c r="AN129">
        <v>140000</v>
      </c>
      <c r="BC129" s="22">
        <v>39286.423391203702</v>
      </c>
      <c r="BI129" s="22">
        <v>39549.294907407406</v>
      </c>
      <c r="BL129">
        <v>9900</v>
      </c>
      <c r="BM129">
        <v>984423</v>
      </c>
      <c r="BN129" t="s">
        <v>1674</v>
      </c>
      <c r="BO129" s="17">
        <f t="shared" ca="1" si="1"/>
        <v>262.88601469907735</v>
      </c>
      <c r="BP129" t="b">
        <v>0</v>
      </c>
      <c r="BQ129">
        <v>1</v>
      </c>
      <c r="BR129" t="s">
        <v>1667</v>
      </c>
      <c r="BS129" t="s">
        <v>3054</v>
      </c>
      <c r="BT129" t="b">
        <v>0</v>
      </c>
      <c r="BV129" t="s">
        <v>1668</v>
      </c>
      <c r="BW129">
        <v>1611</v>
      </c>
      <c r="BX129" t="s">
        <v>1712</v>
      </c>
      <c r="BY129">
        <v>132235</v>
      </c>
      <c r="BZ129" t="s">
        <v>3630</v>
      </c>
      <c r="CA129">
        <v>1</v>
      </c>
      <c r="CB129" t="b">
        <v>1</v>
      </c>
      <c r="CC129">
        <v>0</v>
      </c>
      <c r="CD129" t="b">
        <v>0</v>
      </c>
      <c r="CE129" t="b">
        <v>0</v>
      </c>
      <c r="CF129" t="b">
        <v>1</v>
      </c>
      <c r="CG129">
        <v>2822957</v>
      </c>
      <c r="CH129" t="s">
        <v>1681</v>
      </c>
      <c r="CI129" s="10">
        <v>495000</v>
      </c>
      <c r="CJ129" s="7">
        <v>34439</v>
      </c>
    </row>
    <row r="130" spans="1:88">
      <c r="A130">
        <v>27134052</v>
      </c>
      <c r="B130" s="2" t="str">
        <f>HYPERLINK("http://www.redfin.com/stingray/do/printable-listing?listing-id=987831","Active")</f>
        <v>Active</v>
      </c>
      <c r="D130" t="s">
        <v>3061</v>
      </c>
      <c r="E130" t="s">
        <v>4574</v>
      </c>
      <c r="F130">
        <v>468000</v>
      </c>
      <c r="G130">
        <v>1975</v>
      </c>
      <c r="H130">
        <v>1710</v>
      </c>
      <c r="I130">
        <v>6500</v>
      </c>
      <c r="J130">
        <v>3</v>
      </c>
      <c r="K130">
        <v>2.5</v>
      </c>
      <c r="M130" s="2" t="str">
        <f>HYPERLINK("http://maps.live.com/default.aspx?v=2&amp;lvl=15&amp;sp=Point.47.722977_-122.16608_12932 NE 136th Pl&amp;cp=47.722977~-122.16608","Map")</f>
        <v>Map</v>
      </c>
      <c r="N130" s="2" t="str">
        <f>HYPERLINK("http://i-0.rfimg.us/photo/1/bigphoto/052/27134052_5.jpg","Photo")</f>
        <v>Photo</v>
      </c>
      <c r="AG130">
        <v>47.722977</v>
      </c>
      <c r="AH130">
        <v>-122.16607999999999</v>
      </c>
      <c r="AI130" t="s">
        <v>1058</v>
      </c>
      <c r="AJ130">
        <v>98034</v>
      </c>
      <c r="BC130" s="22">
        <v>39287.643437500003</v>
      </c>
      <c r="BI130" s="22">
        <v>39549.294907407406</v>
      </c>
      <c r="BL130">
        <v>9360</v>
      </c>
      <c r="BM130">
        <v>987831</v>
      </c>
      <c r="BN130" t="s">
        <v>2419</v>
      </c>
      <c r="BO130" s="17">
        <f t="shared" ref="BO130:BO193" ca="1" si="2">NOW()-BC130</f>
        <v>261.66596840277634</v>
      </c>
      <c r="BP130" t="b">
        <v>0</v>
      </c>
      <c r="BQ130">
        <v>1</v>
      </c>
      <c r="BR130" t="s">
        <v>1842</v>
      </c>
      <c r="BS130" t="s">
        <v>4403</v>
      </c>
      <c r="BT130" t="b">
        <v>0</v>
      </c>
      <c r="BU130" t="s">
        <v>1738</v>
      </c>
      <c r="BV130" t="s">
        <v>1668</v>
      </c>
      <c r="BW130">
        <v>12932</v>
      </c>
      <c r="BY130">
        <v>454767</v>
      </c>
      <c r="BZ130" t="s">
        <v>4575</v>
      </c>
      <c r="CA130">
        <v>1</v>
      </c>
      <c r="CB130" t="b">
        <v>1</v>
      </c>
      <c r="CC130">
        <v>0</v>
      </c>
      <c r="CD130" t="b">
        <v>0</v>
      </c>
      <c r="CE130" t="b">
        <v>0</v>
      </c>
      <c r="CF130" t="b">
        <v>1</v>
      </c>
      <c r="CG130">
        <v>2648189</v>
      </c>
      <c r="CH130" t="s">
        <v>1681</v>
      </c>
      <c r="CI130" s="10">
        <v>468000</v>
      </c>
    </row>
    <row r="131" spans="1:88">
      <c r="A131">
        <v>27135061</v>
      </c>
      <c r="B131" s="2" t="str">
        <f>HYPERLINK("http://www.redfin.com/stingray/do/printable-listing?listing-id=988051","Active")</f>
        <v>Active</v>
      </c>
      <c r="D131" t="s">
        <v>3064</v>
      </c>
      <c r="E131" t="s">
        <v>6106</v>
      </c>
      <c r="F131">
        <v>849000</v>
      </c>
      <c r="G131">
        <v>1960</v>
      </c>
      <c r="H131">
        <v>2120</v>
      </c>
      <c r="I131">
        <v>40923</v>
      </c>
      <c r="J131">
        <v>3</v>
      </c>
      <c r="K131">
        <v>1.75</v>
      </c>
      <c r="M131" s="2" t="str">
        <f>HYPERLINK("http://maps.live.com/default.aspx?v=2&amp;lvl=15&amp;sp=Point.47.503895_-122.152321_5005 NE 13th Pl&amp;cp=47.503895~-122.152321","Map")</f>
        <v>Map</v>
      </c>
      <c r="N131" s="2" t="str">
        <f>HYPERLINK("http://i-0.rfimg.us/photo/1/bigphoto/061/27135061_3.jpg","Photo")</f>
        <v>Photo</v>
      </c>
      <c r="AG131">
        <v>47.503895</v>
      </c>
      <c r="AH131">
        <v>-122.152321</v>
      </c>
      <c r="AI131" t="s">
        <v>1077</v>
      </c>
      <c r="AJ131">
        <v>98059</v>
      </c>
      <c r="BC131" s="22">
        <v>39287.776354166665</v>
      </c>
      <c r="BI131" s="22">
        <v>39549.294907407406</v>
      </c>
      <c r="BL131">
        <v>16980</v>
      </c>
      <c r="BM131">
        <v>988051</v>
      </c>
      <c r="BN131" t="s">
        <v>1735</v>
      </c>
      <c r="BO131" s="17">
        <f t="shared" ca="1" si="2"/>
        <v>261.53305173611443</v>
      </c>
      <c r="BP131" t="b">
        <v>0</v>
      </c>
      <c r="BQ131">
        <v>1</v>
      </c>
      <c r="BR131" t="s">
        <v>1842</v>
      </c>
      <c r="BS131" t="s">
        <v>1809</v>
      </c>
      <c r="BT131" t="b">
        <v>0</v>
      </c>
      <c r="BU131" t="s">
        <v>1738</v>
      </c>
      <c r="BV131" t="s">
        <v>1668</v>
      </c>
      <c r="BW131">
        <v>5005</v>
      </c>
      <c r="BY131">
        <v>244973</v>
      </c>
      <c r="BZ131" t="s">
        <v>3783</v>
      </c>
      <c r="CA131">
        <v>1</v>
      </c>
      <c r="CB131" t="b">
        <v>1</v>
      </c>
      <c r="CC131">
        <v>0</v>
      </c>
      <c r="CD131" t="b">
        <v>0</v>
      </c>
      <c r="CE131" t="b">
        <v>0</v>
      </c>
      <c r="CF131" t="b">
        <v>1</v>
      </c>
      <c r="CG131">
        <v>2439045</v>
      </c>
      <c r="CH131" t="s">
        <v>1681</v>
      </c>
      <c r="CI131" s="10">
        <v>849000</v>
      </c>
    </row>
    <row r="132" spans="1:88">
      <c r="A132">
        <v>27135287</v>
      </c>
      <c r="B132" s="2" t="str">
        <f>HYPERLINK("http://www.redfin.com/stingray/do/printable-listing?listing-id=990699","Active")</f>
        <v>Active</v>
      </c>
      <c r="D132" t="s">
        <v>3266</v>
      </c>
      <c r="E132" t="s">
        <v>3399</v>
      </c>
      <c r="F132">
        <v>295500</v>
      </c>
      <c r="G132">
        <v>1994</v>
      </c>
      <c r="H132">
        <v>900</v>
      </c>
      <c r="I132">
        <v>0</v>
      </c>
      <c r="J132">
        <v>1</v>
      </c>
      <c r="K132">
        <v>1.5</v>
      </c>
      <c r="M132" s="2" t="str">
        <f>HYPERLINK("http://maps.live.com/default.aspx?v=2&amp;lvl=15&amp;sp=Point.47.650979_-122.330073_2401 N Northlake Way&amp;cp=47.650979~-122.330073","Map")</f>
        <v>Map</v>
      </c>
      <c r="N132" s="2" t="str">
        <f>HYPERLINK("http://i-0.rfimg.us/photo/1/bigphoto/287/27135287_0.jpg","Photo")</f>
        <v>Photo</v>
      </c>
      <c r="AG132">
        <v>47.650979</v>
      </c>
      <c r="AH132">
        <v>-122.330073</v>
      </c>
      <c r="AI132" t="s">
        <v>66</v>
      </c>
      <c r="AJ132">
        <v>98103</v>
      </c>
      <c r="BC132" s="22">
        <v>39288.583784722221</v>
      </c>
      <c r="BI132" s="22">
        <v>39549.294907407406</v>
      </c>
      <c r="BL132">
        <v>5865</v>
      </c>
      <c r="BM132">
        <v>990699</v>
      </c>
      <c r="BN132" t="s">
        <v>1790</v>
      </c>
      <c r="BO132" s="17">
        <f t="shared" ca="1" si="2"/>
        <v>260.72562118055794</v>
      </c>
      <c r="BP132" t="b">
        <v>0</v>
      </c>
      <c r="BQ132">
        <v>1</v>
      </c>
      <c r="BR132" t="s">
        <v>2463</v>
      </c>
      <c r="BS132" t="s">
        <v>3400</v>
      </c>
      <c r="BT132" t="b">
        <v>0</v>
      </c>
      <c r="BU132" t="s">
        <v>1712</v>
      </c>
      <c r="BV132" t="s">
        <v>1668</v>
      </c>
      <c r="BW132">
        <v>2401</v>
      </c>
      <c r="BY132">
        <v>12094090</v>
      </c>
      <c r="BZ132" t="s">
        <v>1713</v>
      </c>
      <c r="CA132">
        <v>1</v>
      </c>
      <c r="CB132" t="b">
        <v>1</v>
      </c>
      <c r="CC132">
        <v>0</v>
      </c>
      <c r="CD132" t="b">
        <v>0</v>
      </c>
      <c r="CE132" t="b">
        <v>0</v>
      </c>
      <c r="CF132" t="b">
        <v>1</v>
      </c>
      <c r="CG132">
        <v>15347642</v>
      </c>
      <c r="CH132" t="s">
        <v>1681</v>
      </c>
      <c r="CI132" s="10">
        <v>295500</v>
      </c>
    </row>
    <row r="133" spans="1:88">
      <c r="A133">
        <v>27135312</v>
      </c>
      <c r="B133" s="2" t="str">
        <f>HYPERLINK("http://www.redfin.com/stingray/do/printable-listing?listing-id=1001015","Active")</f>
        <v>Active</v>
      </c>
      <c r="D133" t="s">
        <v>5198</v>
      </c>
      <c r="E133" t="s">
        <v>5241</v>
      </c>
      <c r="F133">
        <v>1095000</v>
      </c>
      <c r="G133">
        <v>1984</v>
      </c>
      <c r="H133">
        <v>2900</v>
      </c>
      <c r="I133">
        <v>14062</v>
      </c>
      <c r="J133">
        <v>4</v>
      </c>
      <c r="K133">
        <v>3.25</v>
      </c>
      <c r="M133" s="2" t="str">
        <f>HYPERLINK("http://maps.live.com/default.aspx?v=2&amp;lvl=15&amp;sp=Point.47.612171_-122.109043_236 Northup Way&amp;cp=47.612171~-122.109043","Map")</f>
        <v>Map</v>
      </c>
      <c r="N133" s="2" t="str">
        <f>HYPERLINK("http://i-0.rfimg.us/photo/1/bigphoto/312/27135312_1.jpg","Photo")</f>
        <v>Photo</v>
      </c>
      <c r="AG133">
        <v>47.612170999999996</v>
      </c>
      <c r="AH133">
        <v>-122.109043</v>
      </c>
      <c r="AI133" t="s">
        <v>369</v>
      </c>
      <c r="AJ133">
        <v>98008</v>
      </c>
      <c r="AN133">
        <v>585000</v>
      </c>
      <c r="BC133" s="22">
        <v>39293.381666666668</v>
      </c>
      <c r="BI133" s="22">
        <v>39549.294907407406</v>
      </c>
      <c r="BL133">
        <v>21900</v>
      </c>
      <c r="BM133">
        <v>1001015</v>
      </c>
      <c r="BN133" t="s">
        <v>2441</v>
      </c>
      <c r="BO133" s="17">
        <f t="shared" ca="1" si="2"/>
        <v>255.92773923611094</v>
      </c>
      <c r="BP133" t="b">
        <v>0</v>
      </c>
      <c r="BQ133">
        <v>1</v>
      </c>
      <c r="BR133" t="s">
        <v>2463</v>
      </c>
      <c r="BS133" t="s">
        <v>5135</v>
      </c>
      <c r="BT133" t="b">
        <v>0</v>
      </c>
      <c r="BV133" t="s">
        <v>1668</v>
      </c>
      <c r="BW133">
        <v>236</v>
      </c>
      <c r="BY133">
        <v>504845</v>
      </c>
      <c r="BZ133" t="s">
        <v>3795</v>
      </c>
      <c r="CA133">
        <v>1</v>
      </c>
      <c r="CB133" t="b">
        <v>1</v>
      </c>
      <c r="CC133">
        <v>0</v>
      </c>
      <c r="CD133" t="b">
        <v>0</v>
      </c>
      <c r="CE133" t="b">
        <v>0</v>
      </c>
      <c r="CF133" t="b">
        <v>1</v>
      </c>
      <c r="CG133">
        <v>2768628</v>
      </c>
      <c r="CH133" t="s">
        <v>1681</v>
      </c>
      <c r="CI133" s="10">
        <v>1095000</v>
      </c>
      <c r="CJ133" s="7">
        <v>38954</v>
      </c>
    </row>
    <row r="134" spans="1:88">
      <c r="A134">
        <v>27135631</v>
      </c>
      <c r="B134" s="2" t="str">
        <f>HYPERLINK("http://www.redfin.com/stingray/do/printable-listing?listing-id=998930","Active")</f>
        <v>Active</v>
      </c>
      <c r="D134" t="s">
        <v>3959</v>
      </c>
      <c r="E134" t="s">
        <v>4247</v>
      </c>
      <c r="F134">
        <v>679950</v>
      </c>
      <c r="G134">
        <v>1981</v>
      </c>
      <c r="H134">
        <v>2320</v>
      </c>
      <c r="I134">
        <v>4800</v>
      </c>
      <c r="J134">
        <v>4</v>
      </c>
      <c r="K134">
        <v>2</v>
      </c>
      <c r="M134" s="2" t="str">
        <f>HYPERLINK("http://maps.live.com/default.aspx?v=2&amp;lvl=15&amp;sp=Point.47.610809_-122.299226_925 26th Ave&amp;cp=47.610809~-122.299226","Map")</f>
        <v>Map</v>
      </c>
      <c r="N134" s="2" t="str">
        <f>HYPERLINK("http://i-0.rfimg.us/photo/1/bigphoto/631/27135631_6.jpg","Photo")</f>
        <v>Photo</v>
      </c>
      <c r="AG134">
        <v>47.610809000000003</v>
      </c>
      <c r="AH134">
        <v>-122.299226</v>
      </c>
      <c r="AI134" t="s">
        <v>66</v>
      </c>
      <c r="AJ134">
        <v>98122</v>
      </c>
      <c r="BC134" s="22">
        <v>39290.692349537036</v>
      </c>
      <c r="BI134" s="22">
        <v>39549.294907407406</v>
      </c>
      <c r="BL134">
        <v>13599</v>
      </c>
      <c r="BM134">
        <v>998930</v>
      </c>
      <c r="BN134" t="s">
        <v>1823</v>
      </c>
      <c r="BO134" s="17">
        <f t="shared" ca="1" si="2"/>
        <v>258.61705636574334</v>
      </c>
      <c r="BP134" t="b">
        <v>0</v>
      </c>
      <c r="BQ134">
        <v>1</v>
      </c>
      <c r="BR134" t="s">
        <v>1667</v>
      </c>
      <c r="BS134" t="s">
        <v>1769</v>
      </c>
      <c r="BT134" t="b">
        <v>0</v>
      </c>
      <c r="BV134" t="s">
        <v>1668</v>
      </c>
      <c r="BW134">
        <v>925</v>
      </c>
      <c r="BY134">
        <v>146074</v>
      </c>
      <c r="BZ134" s="21">
        <v>6.9444444444444447E-4</v>
      </c>
      <c r="CA134">
        <v>1</v>
      </c>
      <c r="CB134" t="b">
        <v>1</v>
      </c>
      <c r="CC134">
        <v>0</v>
      </c>
      <c r="CD134" t="b">
        <v>0</v>
      </c>
      <c r="CE134" t="b">
        <v>0</v>
      </c>
      <c r="CF134" t="b">
        <v>1</v>
      </c>
      <c r="CG134">
        <v>2763358</v>
      </c>
      <c r="CH134" t="s">
        <v>1681</v>
      </c>
      <c r="CI134" s="10">
        <v>679950</v>
      </c>
    </row>
    <row r="135" spans="1:88">
      <c r="A135">
        <v>27136843</v>
      </c>
      <c r="B135" s="2" t="str">
        <f>HYPERLINK("http://www.redfin.com/stingray/do/printable-listing?listing-id=996396","Active")</f>
        <v>Active</v>
      </c>
      <c r="D135" t="s">
        <v>99</v>
      </c>
      <c r="E135" t="s">
        <v>1185</v>
      </c>
      <c r="F135">
        <v>555000</v>
      </c>
      <c r="G135">
        <v>1976</v>
      </c>
      <c r="H135">
        <v>2000</v>
      </c>
      <c r="I135">
        <v>7359</v>
      </c>
      <c r="J135">
        <v>4</v>
      </c>
      <c r="K135">
        <v>3</v>
      </c>
      <c r="M135" s="2" t="str">
        <f>HYPERLINK("http://maps.live.com/default.aspx?v=2&amp;lvl=15&amp;sp=Point.47.698886_-122.370473_941 NW 96th St&amp;cp=47.698886~-122.370473","Map")</f>
        <v>Map</v>
      </c>
      <c r="N135" s="2" t="str">
        <f>HYPERLINK("http://i-0.rfimg.us/photo/1/bigphoto/843/27136843_0.jpg","Photo")</f>
        <v>Photo</v>
      </c>
      <c r="AG135">
        <v>47.698886000000002</v>
      </c>
      <c r="AH135">
        <v>-122.370473</v>
      </c>
      <c r="AI135" t="s">
        <v>66</v>
      </c>
      <c r="AJ135">
        <v>98117</v>
      </c>
      <c r="BC135" s="22">
        <v>39290.348067129627</v>
      </c>
      <c r="BI135" s="22">
        <v>39549.294907407406</v>
      </c>
      <c r="BL135">
        <v>11100</v>
      </c>
      <c r="BM135">
        <v>996396</v>
      </c>
      <c r="BN135" t="s">
        <v>1868</v>
      </c>
      <c r="BO135" s="17">
        <f t="shared" ca="1" si="2"/>
        <v>258.96133888889017</v>
      </c>
      <c r="BP135" t="b">
        <v>0</v>
      </c>
      <c r="BQ135">
        <v>1</v>
      </c>
      <c r="BR135" t="s">
        <v>1686</v>
      </c>
      <c r="BS135" t="s">
        <v>1961</v>
      </c>
      <c r="BT135" t="b">
        <v>0</v>
      </c>
      <c r="BU135" t="s">
        <v>1669</v>
      </c>
      <c r="BV135" t="s">
        <v>1668</v>
      </c>
      <c r="BW135">
        <v>941</v>
      </c>
      <c r="BY135">
        <v>96500</v>
      </c>
      <c r="BZ135" t="s">
        <v>1743</v>
      </c>
      <c r="CA135">
        <v>1</v>
      </c>
      <c r="CB135" t="b">
        <v>1</v>
      </c>
      <c r="CC135">
        <v>0</v>
      </c>
      <c r="CD135" t="b">
        <v>0</v>
      </c>
      <c r="CE135" t="b">
        <v>0</v>
      </c>
      <c r="CF135" t="b">
        <v>1</v>
      </c>
      <c r="CG135">
        <v>2462640</v>
      </c>
      <c r="CH135" t="s">
        <v>1681</v>
      </c>
      <c r="CI135" s="10">
        <v>555000</v>
      </c>
    </row>
    <row r="136" spans="1:88">
      <c r="A136">
        <v>27136870</v>
      </c>
      <c r="B136" s="2" t="str">
        <f>HYPERLINK("http://www.redfin.com/stingray/do/printable-listing?listing-id=996402","Active")</f>
        <v>Active</v>
      </c>
      <c r="D136" t="s">
        <v>5878</v>
      </c>
      <c r="E136" t="s">
        <v>5877</v>
      </c>
      <c r="F136">
        <v>882950</v>
      </c>
      <c r="G136">
        <v>1977</v>
      </c>
      <c r="H136">
        <v>3330</v>
      </c>
      <c r="I136">
        <v>13800</v>
      </c>
      <c r="J136">
        <v>4</v>
      </c>
      <c r="K136">
        <v>3</v>
      </c>
      <c r="M136" s="2" t="str">
        <f>HYPERLINK("http://maps.live.com/default.aspx?v=2&amp;lvl=15&amp;sp=Point.47.55885_-122.131525_4902 156th Ave SE&amp;cp=47.55885~-122.131525","Map")</f>
        <v>Map</v>
      </c>
      <c r="N136" s="2" t="str">
        <f>HYPERLINK("http://i-0.rfimg.us/photo/1/bigphoto/870/27136870_3.jpg","Photo")</f>
        <v>Photo</v>
      </c>
      <c r="AG136">
        <v>47.55885</v>
      </c>
      <c r="AH136">
        <v>-122.131525</v>
      </c>
      <c r="AI136" t="s">
        <v>369</v>
      </c>
      <c r="AJ136">
        <v>98006</v>
      </c>
      <c r="AN136">
        <v>540500</v>
      </c>
      <c r="BC136" s="22">
        <v>39290.348541666666</v>
      </c>
      <c r="BI136" s="7">
        <v>39540</v>
      </c>
      <c r="BL136">
        <v>17659</v>
      </c>
      <c r="BM136">
        <v>996402</v>
      </c>
      <c r="BN136" t="s">
        <v>1823</v>
      </c>
      <c r="BO136" s="17">
        <f t="shared" ca="1" si="2"/>
        <v>258.96086423611268</v>
      </c>
      <c r="BP136" t="b">
        <v>0</v>
      </c>
      <c r="BQ136">
        <v>1</v>
      </c>
      <c r="BR136" t="s">
        <v>1667</v>
      </c>
      <c r="BS136" t="s">
        <v>5332</v>
      </c>
      <c r="BT136" t="b">
        <v>0</v>
      </c>
      <c r="BV136" t="s">
        <v>1668</v>
      </c>
      <c r="BW136">
        <v>4902</v>
      </c>
      <c r="BX136" t="s">
        <v>3856</v>
      </c>
      <c r="BY136">
        <v>235480</v>
      </c>
      <c r="BZ136" t="s">
        <v>4188</v>
      </c>
      <c r="CA136">
        <v>1</v>
      </c>
      <c r="CB136" t="b">
        <v>1</v>
      </c>
      <c r="CC136">
        <v>0</v>
      </c>
      <c r="CD136" t="b">
        <v>0</v>
      </c>
      <c r="CE136" t="b">
        <v>0</v>
      </c>
      <c r="CF136" t="b">
        <v>1</v>
      </c>
      <c r="CG136">
        <v>2816772</v>
      </c>
      <c r="CH136" t="s">
        <v>1681</v>
      </c>
      <c r="CI136" s="10">
        <v>882950</v>
      </c>
      <c r="CJ136" s="7">
        <v>37428</v>
      </c>
    </row>
    <row r="137" spans="1:88">
      <c r="A137">
        <v>27137863</v>
      </c>
      <c r="B137" s="2" t="str">
        <f>HYPERLINK("http://www.redfin.com/stingray/do/printable-listing?listing-id=1000307","Active")</f>
        <v>Active</v>
      </c>
      <c r="D137" t="s">
        <v>369</v>
      </c>
      <c r="E137" t="s">
        <v>5838</v>
      </c>
      <c r="F137">
        <v>610000</v>
      </c>
      <c r="G137">
        <v>1970</v>
      </c>
      <c r="H137">
        <v>2170</v>
      </c>
      <c r="I137">
        <v>8400</v>
      </c>
      <c r="J137">
        <v>4</v>
      </c>
      <c r="K137">
        <v>2.5</v>
      </c>
      <c r="M137" s="2" t="str">
        <f>HYPERLINK("http://maps.live.com/default.aspx?v=2&amp;lvl=15&amp;sp=Point.47.560387_-122.141331_14916 SE 47th Pl&amp;cp=47.560387~-122.141331","Map")</f>
        <v>Map</v>
      </c>
      <c r="N137" s="2" t="str">
        <f>HYPERLINK("http://i-0.rfimg.us/photo/1/bigphoto/863/27137863_6.jpg","Photo")</f>
        <v>Photo</v>
      </c>
      <c r="AG137">
        <v>47.560386999999999</v>
      </c>
      <c r="AH137">
        <v>-122.14133099999999</v>
      </c>
      <c r="AI137" t="s">
        <v>369</v>
      </c>
      <c r="AJ137">
        <v>98006</v>
      </c>
      <c r="BC137" s="22">
        <v>39291.693391203706</v>
      </c>
      <c r="BI137" s="22">
        <v>39549.294907407406</v>
      </c>
      <c r="BL137">
        <v>12200</v>
      </c>
      <c r="BM137">
        <v>1000307</v>
      </c>
      <c r="BN137" t="s">
        <v>1674</v>
      </c>
      <c r="BO137" s="17">
        <f t="shared" ca="1" si="2"/>
        <v>257.61601469907328</v>
      </c>
      <c r="BP137" t="b">
        <v>0</v>
      </c>
      <c r="BQ137">
        <v>1</v>
      </c>
      <c r="BR137" t="s">
        <v>1842</v>
      </c>
      <c r="BS137" t="s">
        <v>2453</v>
      </c>
      <c r="BT137" t="b">
        <v>0</v>
      </c>
      <c r="BU137" t="s">
        <v>3856</v>
      </c>
      <c r="BV137" t="s">
        <v>1668</v>
      </c>
      <c r="BW137">
        <v>14916</v>
      </c>
      <c r="BY137">
        <v>235011</v>
      </c>
      <c r="BZ137" t="s">
        <v>5839</v>
      </c>
      <c r="CA137">
        <v>1</v>
      </c>
      <c r="CB137" t="b">
        <v>1</v>
      </c>
      <c r="CC137">
        <v>0</v>
      </c>
      <c r="CD137" t="b">
        <v>0</v>
      </c>
      <c r="CE137" t="b">
        <v>0</v>
      </c>
      <c r="CF137" t="b">
        <v>1</v>
      </c>
      <c r="CG137">
        <v>2967184</v>
      </c>
      <c r="CH137" t="s">
        <v>1681</v>
      </c>
      <c r="CI137" s="10">
        <v>610000</v>
      </c>
    </row>
    <row r="138" spans="1:88">
      <c r="A138">
        <v>27137882</v>
      </c>
      <c r="B138" s="15" t="str">
        <f>HYPERLINK("http://www.redfin.com/stingray/do/printable-listing?listing-id=1007551","Subject To Inspection")</f>
        <v>Subject To Inspection</v>
      </c>
      <c r="D138" t="s">
        <v>1238</v>
      </c>
      <c r="E138" t="s">
        <v>3723</v>
      </c>
      <c r="F138">
        <v>1925000</v>
      </c>
      <c r="G138">
        <v>1911</v>
      </c>
      <c r="H138">
        <v>3910</v>
      </c>
      <c r="I138">
        <v>12000</v>
      </c>
      <c r="J138">
        <v>5</v>
      </c>
      <c r="K138">
        <v>3</v>
      </c>
      <c r="M138" s="2" t="str">
        <f>HYPERLINK("http://maps.live.com/default.aspx?v=2&amp;lvl=15&amp;sp=Point.47.633268_-122.318489_1604 Federal Ave E&amp;cp=47.633268~-122.318489","Map")</f>
        <v>Map</v>
      </c>
      <c r="N138" s="2" t="str">
        <f>HYPERLINK("http://i-0.rfimg.us/photo/1/bigphoto/882/27137882_5.jpg","Photo")</f>
        <v>Photo</v>
      </c>
      <c r="AG138">
        <v>47.633268000000001</v>
      </c>
      <c r="AH138">
        <v>-122.318489</v>
      </c>
      <c r="AI138" t="s">
        <v>66</v>
      </c>
      <c r="AJ138">
        <v>98102</v>
      </c>
      <c r="AN138">
        <v>1950000</v>
      </c>
      <c r="BC138" s="22">
        <v>39294.764363425929</v>
      </c>
      <c r="BI138" s="22">
        <v>39549.294907407406</v>
      </c>
      <c r="BL138">
        <v>38500</v>
      </c>
      <c r="BM138">
        <v>1007551</v>
      </c>
      <c r="BN138" t="s">
        <v>3253</v>
      </c>
      <c r="BO138" s="17">
        <f t="shared" ca="1" si="2"/>
        <v>254.54504247684963</v>
      </c>
      <c r="BP138" t="b">
        <v>0</v>
      </c>
      <c r="BQ138">
        <v>1</v>
      </c>
      <c r="BR138" t="s">
        <v>1667</v>
      </c>
      <c r="BS138" t="s">
        <v>3724</v>
      </c>
      <c r="BT138" t="b">
        <v>0</v>
      </c>
      <c r="BV138" t="s">
        <v>1668</v>
      </c>
      <c r="BW138">
        <v>1604</v>
      </c>
      <c r="BX138" t="s">
        <v>2436</v>
      </c>
      <c r="BY138">
        <v>137467</v>
      </c>
      <c r="BZ138" t="s">
        <v>3725</v>
      </c>
      <c r="CA138">
        <v>1</v>
      </c>
      <c r="CB138" t="b">
        <v>1</v>
      </c>
      <c r="CC138">
        <v>0</v>
      </c>
      <c r="CD138" t="b">
        <v>0</v>
      </c>
      <c r="CE138" t="b">
        <v>0</v>
      </c>
      <c r="CF138" t="b">
        <v>1</v>
      </c>
      <c r="CG138">
        <v>2343746</v>
      </c>
      <c r="CH138" t="s">
        <v>1681</v>
      </c>
      <c r="CI138" s="10">
        <v>1925000</v>
      </c>
      <c r="CJ138" s="7">
        <v>39147</v>
      </c>
    </row>
    <row r="139" spans="1:88">
      <c r="A139">
        <v>27138128</v>
      </c>
      <c r="B139" s="2" t="str">
        <f>HYPERLINK("http://www.redfin.com/stingray/do/printable-listing?listing-id=1001947","Active")</f>
        <v>Active</v>
      </c>
      <c r="D139" t="s">
        <v>4401</v>
      </c>
      <c r="E139" t="s">
        <v>4580</v>
      </c>
      <c r="F139">
        <v>429950</v>
      </c>
      <c r="G139">
        <v>1969</v>
      </c>
      <c r="H139">
        <v>1650</v>
      </c>
      <c r="I139">
        <v>7800</v>
      </c>
      <c r="J139">
        <v>4</v>
      </c>
      <c r="K139">
        <v>2.5</v>
      </c>
      <c r="M139" s="2" t="str">
        <f>HYPERLINK("http://maps.live.com/default.aspx?v=2&amp;lvl=15&amp;sp=Point.47.724127_-122.179979_12025 NE 138th Pl&amp;cp=47.724127~-122.179979","Map")</f>
        <v>Map</v>
      </c>
      <c r="N139" s="2" t="str">
        <f>HYPERLINK("http://i-0.rfimg.us/photo/1/bigphoto/128/27138128_1.jpg","Photo")</f>
        <v>Photo</v>
      </c>
      <c r="AG139">
        <v>47.724127000000003</v>
      </c>
      <c r="AH139">
        <v>-122.179979</v>
      </c>
      <c r="AI139" t="s">
        <v>1058</v>
      </c>
      <c r="AJ139">
        <v>98034</v>
      </c>
      <c r="AN139">
        <v>186000</v>
      </c>
      <c r="BC139" s="22">
        <v>39293.945509259262</v>
      </c>
      <c r="BI139" s="22">
        <v>39549.294907407406</v>
      </c>
      <c r="BL139">
        <v>8599</v>
      </c>
      <c r="BM139">
        <v>1001947</v>
      </c>
      <c r="BN139" t="s">
        <v>1812</v>
      </c>
      <c r="BO139" s="17">
        <f t="shared" ca="1" si="2"/>
        <v>255.36389664351736</v>
      </c>
      <c r="BP139" t="b">
        <v>0</v>
      </c>
      <c r="BQ139">
        <v>1</v>
      </c>
      <c r="BR139" t="s">
        <v>1842</v>
      </c>
      <c r="BS139" t="s">
        <v>4421</v>
      </c>
      <c r="BT139" t="b">
        <v>0</v>
      </c>
      <c r="BU139" t="s">
        <v>1738</v>
      </c>
      <c r="BV139" t="s">
        <v>1668</v>
      </c>
      <c r="BW139">
        <v>12025</v>
      </c>
      <c r="BY139">
        <v>452941</v>
      </c>
      <c r="BZ139" t="s">
        <v>3309</v>
      </c>
      <c r="CA139">
        <v>1</v>
      </c>
      <c r="CB139" t="b">
        <v>1</v>
      </c>
      <c r="CC139">
        <v>0</v>
      </c>
      <c r="CD139" t="b">
        <v>0</v>
      </c>
      <c r="CE139" t="b">
        <v>0</v>
      </c>
      <c r="CF139" t="b">
        <v>1</v>
      </c>
      <c r="CG139">
        <v>2932336</v>
      </c>
      <c r="CH139" t="s">
        <v>1681</v>
      </c>
      <c r="CI139" s="10">
        <v>429950</v>
      </c>
      <c r="CJ139" s="7">
        <v>35699</v>
      </c>
    </row>
    <row r="140" spans="1:88">
      <c r="A140">
        <v>27138728</v>
      </c>
      <c r="B140" s="2" t="str">
        <f>HYPERLINK("http://www.redfin.com/stingray/do/printable-listing?listing-id=1001518","Active")</f>
        <v>Active</v>
      </c>
      <c r="D140" t="s">
        <v>101</v>
      </c>
      <c r="E140" t="s">
        <v>1226</v>
      </c>
      <c r="F140">
        <v>625000</v>
      </c>
      <c r="G140">
        <v>1949</v>
      </c>
      <c r="H140">
        <v>2140</v>
      </c>
      <c r="I140">
        <v>6600</v>
      </c>
      <c r="J140">
        <v>4</v>
      </c>
      <c r="K140">
        <v>1.75</v>
      </c>
      <c r="M140" s="2" t="str">
        <f>HYPERLINK("http://maps.live.com/default.aspx?v=2&amp;lvl=15&amp;sp=Point.47.697046_-122.390457_9304 26th Pl NW&amp;cp=47.697046~-122.390457","Map")</f>
        <v>Map</v>
      </c>
      <c r="N140" s="2" t="str">
        <f>HYPERLINK("http://i-0.rfimg.us/photo/1/bigphoto/728/27138728_6.jpg","Photo")</f>
        <v>Photo</v>
      </c>
      <c r="AG140">
        <v>47.697046</v>
      </c>
      <c r="AH140">
        <v>-122.390457</v>
      </c>
      <c r="AI140" t="s">
        <v>66</v>
      </c>
      <c r="AJ140">
        <v>98117</v>
      </c>
      <c r="BC140" s="22">
        <v>39293.625115740739</v>
      </c>
      <c r="BI140" s="22">
        <v>39549.294907407406</v>
      </c>
      <c r="BL140">
        <v>12500</v>
      </c>
      <c r="BM140">
        <v>1001518</v>
      </c>
      <c r="BN140" t="s">
        <v>1824</v>
      </c>
      <c r="BO140" s="17">
        <f t="shared" ca="1" si="2"/>
        <v>255.68429027777893</v>
      </c>
      <c r="BP140" t="b">
        <v>0</v>
      </c>
      <c r="BQ140">
        <v>1</v>
      </c>
      <c r="BR140" t="s">
        <v>1842</v>
      </c>
      <c r="BS140" t="s">
        <v>1769</v>
      </c>
      <c r="BT140" t="b">
        <v>0</v>
      </c>
      <c r="BV140" t="s">
        <v>1668</v>
      </c>
      <c r="BW140">
        <v>9304</v>
      </c>
      <c r="BX140" t="s">
        <v>1669</v>
      </c>
      <c r="BY140">
        <v>289196</v>
      </c>
      <c r="BZ140" t="s">
        <v>1938</v>
      </c>
      <c r="CA140">
        <v>1</v>
      </c>
      <c r="CB140" t="b">
        <v>1</v>
      </c>
      <c r="CC140">
        <v>0</v>
      </c>
      <c r="CD140" t="b">
        <v>0</v>
      </c>
      <c r="CE140" t="b">
        <v>0</v>
      </c>
      <c r="CF140" t="b">
        <v>1</v>
      </c>
      <c r="CG140">
        <v>2450162</v>
      </c>
      <c r="CH140" t="s">
        <v>1681</v>
      </c>
      <c r="CI140" s="10">
        <v>625000</v>
      </c>
    </row>
    <row r="141" spans="1:88">
      <c r="A141">
        <v>27138967</v>
      </c>
      <c r="B141" s="2" t="str">
        <f>HYPERLINK("http://www.redfin.com/stingray/do/printable-listing?listing-id=1001897","Active")</f>
        <v>Active</v>
      </c>
      <c r="D141" t="s">
        <v>1058</v>
      </c>
      <c r="E141" t="s">
        <v>4830</v>
      </c>
      <c r="F141">
        <v>849999</v>
      </c>
      <c r="G141">
        <v>1918</v>
      </c>
      <c r="H141">
        <v>1220</v>
      </c>
      <c r="I141">
        <v>17928</v>
      </c>
      <c r="J141">
        <v>3</v>
      </c>
      <c r="K141">
        <v>1</v>
      </c>
      <c r="M141" s="2" t="str">
        <f>HYPERLINK("http://maps.live.com/default.aspx?v=2&amp;lvl=15&amp;sp=Point.47.689374_-122.186058_9724 116th Ave NE&amp;cp=47.689374~-122.186058","Map")</f>
        <v>Map</v>
      </c>
      <c r="N141" s="2" t="str">
        <f>HYPERLINK("http://i-0.rfimg.us/photo/1/bigphoto/967/27138967_0.jpg","Photo")</f>
        <v>Photo</v>
      </c>
      <c r="AG141">
        <v>47.689374000000001</v>
      </c>
      <c r="AH141">
        <v>-122.186058</v>
      </c>
      <c r="AI141" t="s">
        <v>1058</v>
      </c>
      <c r="AJ141">
        <v>98033</v>
      </c>
      <c r="BC141" s="22">
        <v>39293.870925925927</v>
      </c>
      <c r="BI141" s="22">
        <v>39549.294907407406</v>
      </c>
      <c r="BL141">
        <v>17000</v>
      </c>
      <c r="BM141">
        <v>1001897</v>
      </c>
      <c r="BN141" t="s">
        <v>1776</v>
      </c>
      <c r="BO141" s="17">
        <f t="shared" ca="1" si="2"/>
        <v>255.43847997685225</v>
      </c>
      <c r="BP141" t="b">
        <v>0</v>
      </c>
      <c r="BQ141">
        <v>1</v>
      </c>
      <c r="BR141" t="s">
        <v>1667</v>
      </c>
      <c r="BS141" t="s">
        <v>4441</v>
      </c>
      <c r="BT141" t="b">
        <v>0</v>
      </c>
      <c r="BV141" t="s">
        <v>1668</v>
      </c>
      <c r="BW141">
        <v>9724</v>
      </c>
      <c r="BX141" t="s">
        <v>1738</v>
      </c>
      <c r="BY141">
        <v>460898</v>
      </c>
      <c r="BZ141" t="s">
        <v>1801</v>
      </c>
      <c r="CA141">
        <v>1</v>
      </c>
      <c r="CB141" t="b">
        <v>1</v>
      </c>
      <c r="CC141">
        <v>0</v>
      </c>
      <c r="CD141" t="b">
        <v>0</v>
      </c>
      <c r="CE141" t="b">
        <v>0</v>
      </c>
      <c r="CF141" t="b">
        <v>1</v>
      </c>
      <c r="CG141">
        <v>2956946</v>
      </c>
      <c r="CH141" t="s">
        <v>1681</v>
      </c>
      <c r="CI141" s="10">
        <v>849999</v>
      </c>
    </row>
    <row r="142" spans="1:88">
      <c r="A142">
        <v>27140061</v>
      </c>
      <c r="B142" s="2" t="str">
        <f>HYPERLINK("http://www.redfin.com/stingray/do/printable-listing?listing-id=1010268","Active")</f>
        <v>Active</v>
      </c>
      <c r="D142" t="s">
        <v>63</v>
      </c>
      <c r="E142" t="s">
        <v>2005</v>
      </c>
      <c r="F142">
        <v>339950</v>
      </c>
      <c r="G142">
        <v>1999</v>
      </c>
      <c r="H142">
        <v>1355</v>
      </c>
      <c r="I142">
        <v>0</v>
      </c>
      <c r="J142">
        <v>2</v>
      </c>
      <c r="K142">
        <v>1.75</v>
      </c>
      <c r="M142" s="2" t="str">
        <f>HYPERLINK("http://maps.live.com/default.aspx?v=2&amp;lvl=15&amp;sp=Point.47.680147_-122.377003_7033 15th Ave NW nA&amp;cp=47.680147~-122.377003","Map")</f>
        <v>Map</v>
      </c>
      <c r="N142" s="2" t="str">
        <f>HYPERLINK("http://i-0.rfimg.us/photo/1/bigphoto/061/27140061_7.jpg","Photo")</f>
        <v>Photo</v>
      </c>
      <c r="AG142">
        <v>47.680146999999998</v>
      </c>
      <c r="AH142">
        <v>-122.377003</v>
      </c>
      <c r="AI142" t="s">
        <v>66</v>
      </c>
      <c r="AJ142">
        <v>98117</v>
      </c>
      <c r="AM142" t="s">
        <v>1722</v>
      </c>
      <c r="AN142">
        <v>246000</v>
      </c>
      <c r="BC142" s="22">
        <v>39295.57608796296</v>
      </c>
      <c r="BI142" s="22">
        <v>39549.294907407406</v>
      </c>
      <c r="BL142">
        <v>6799</v>
      </c>
      <c r="BM142">
        <v>1010268</v>
      </c>
      <c r="BN142" t="s">
        <v>1746</v>
      </c>
      <c r="BO142" s="17">
        <f t="shared" ca="1" si="2"/>
        <v>253.7333180555579</v>
      </c>
      <c r="BP142" t="b">
        <v>0</v>
      </c>
      <c r="BQ142">
        <v>1</v>
      </c>
      <c r="BR142" t="s">
        <v>1667</v>
      </c>
      <c r="BS142" t="s">
        <v>1838</v>
      </c>
      <c r="BT142" t="b">
        <v>0</v>
      </c>
      <c r="BV142" t="s">
        <v>1668</v>
      </c>
      <c r="BW142">
        <v>7033</v>
      </c>
      <c r="BX142" t="s">
        <v>1669</v>
      </c>
      <c r="BY142">
        <v>32217</v>
      </c>
      <c r="BZ142" t="s">
        <v>2108</v>
      </c>
      <c r="CA142">
        <v>1</v>
      </c>
      <c r="CB142" t="b">
        <v>1</v>
      </c>
      <c r="CC142">
        <v>0</v>
      </c>
      <c r="CD142" t="b">
        <v>0</v>
      </c>
      <c r="CE142" t="b">
        <v>0</v>
      </c>
      <c r="CF142" t="b">
        <v>1</v>
      </c>
      <c r="CG142">
        <v>2382361</v>
      </c>
      <c r="CH142" t="s">
        <v>1666</v>
      </c>
      <c r="CI142" s="10">
        <v>339950</v>
      </c>
      <c r="CJ142" s="7">
        <v>37889</v>
      </c>
    </row>
    <row r="143" spans="1:88">
      <c r="A143">
        <v>27140459</v>
      </c>
      <c r="B143" s="2" t="str">
        <f>HYPERLINK("http://www.redfin.com/stingray/do/printable-listing?listing-id=1031863","Active")</f>
        <v>Active</v>
      </c>
      <c r="D143" t="s">
        <v>2848</v>
      </c>
      <c r="E143" t="s">
        <v>2957</v>
      </c>
      <c r="F143">
        <v>7250000</v>
      </c>
      <c r="G143">
        <v>2008</v>
      </c>
      <c r="H143">
        <v>8129</v>
      </c>
      <c r="I143">
        <v>25320</v>
      </c>
      <c r="J143">
        <v>5</v>
      </c>
      <c r="K143">
        <v>5.5</v>
      </c>
      <c r="M143" s="2" t="str">
        <f>HYPERLINK("http://maps.live.com/default.aspx?v=2&amp;lvl=15&amp;sp=Point.47.720187_-122.259798_13239 Holmes Point Dr NE&amp;cp=47.720187~-122.259798","Map")</f>
        <v>Map</v>
      </c>
      <c r="N143" s="2" t="str">
        <f>HYPERLINK("http://i-0.rfimg.us/photo/1/bigphoto/459/27140459_2.jpg","Photo")</f>
        <v>Photo</v>
      </c>
      <c r="AG143">
        <v>47.720187000000003</v>
      </c>
      <c r="AH143">
        <v>-122.259798</v>
      </c>
      <c r="AI143" t="s">
        <v>1058</v>
      </c>
      <c r="AJ143">
        <v>98034</v>
      </c>
      <c r="AN143">
        <v>2790000</v>
      </c>
      <c r="BC143" s="22">
        <v>39302.564282407409</v>
      </c>
      <c r="BI143" s="22">
        <v>39549.294907407406</v>
      </c>
      <c r="BL143">
        <v>145000</v>
      </c>
      <c r="BM143">
        <v>1031863</v>
      </c>
      <c r="BN143" t="s">
        <v>1768</v>
      </c>
      <c r="BO143" s="17">
        <f t="shared" ca="1" si="2"/>
        <v>246.74512349536963</v>
      </c>
      <c r="BP143" t="b">
        <v>0</v>
      </c>
      <c r="BQ143">
        <v>1</v>
      </c>
      <c r="BR143" t="s">
        <v>1816</v>
      </c>
      <c r="BS143" t="s">
        <v>2848</v>
      </c>
      <c r="BT143" t="b">
        <v>0</v>
      </c>
      <c r="BV143" t="s">
        <v>1668</v>
      </c>
      <c r="BW143">
        <v>13239</v>
      </c>
      <c r="BX143" t="s">
        <v>1738</v>
      </c>
      <c r="BY143">
        <v>280209</v>
      </c>
      <c r="BZ143" t="s">
        <v>2958</v>
      </c>
      <c r="CA143">
        <v>1</v>
      </c>
      <c r="CB143" t="b">
        <v>1</v>
      </c>
      <c r="CC143">
        <v>0</v>
      </c>
      <c r="CD143" t="b">
        <v>0</v>
      </c>
      <c r="CE143" t="b">
        <v>0</v>
      </c>
      <c r="CF143" t="b">
        <v>1</v>
      </c>
      <c r="CG143">
        <v>2395676</v>
      </c>
      <c r="CH143" t="s">
        <v>1681</v>
      </c>
      <c r="CI143" s="10">
        <v>7250000</v>
      </c>
      <c r="CJ143" s="7">
        <v>39170</v>
      </c>
    </row>
    <row r="144" spans="1:88">
      <c r="A144">
        <v>27142079</v>
      </c>
      <c r="B144" s="2" t="str">
        <f>HYPERLINK("http://www.redfin.com/stingray/do/printable-listing?listing-id=1018454","Active")</f>
        <v>Active</v>
      </c>
      <c r="D144" t="s">
        <v>99</v>
      </c>
      <c r="E144" t="s">
        <v>2304</v>
      </c>
      <c r="F144">
        <v>349950</v>
      </c>
      <c r="G144">
        <v>1981</v>
      </c>
      <c r="H144">
        <v>1199</v>
      </c>
      <c r="I144">
        <v>0</v>
      </c>
      <c r="J144">
        <v>2</v>
      </c>
      <c r="K144">
        <v>2</v>
      </c>
      <c r="M144" s="2" t="str">
        <f>HYPERLINK("http://maps.live.com/default.aspx?v=2&amp;lvl=15&amp;sp=Point.47.695532_-122.375703_9023 Mary Ave NW n100&amp;cp=47.695532~-122.375703","Map")</f>
        <v>Map</v>
      </c>
      <c r="N144" s="2" t="str">
        <f>HYPERLINK("http://i-0.rfimg.us/photo/1/bigphoto/079/27142079_2.jpg","Photo")</f>
        <v>Photo</v>
      </c>
      <c r="AG144">
        <v>47.695532</v>
      </c>
      <c r="AH144">
        <v>-122.375703</v>
      </c>
      <c r="AI144" t="s">
        <v>66</v>
      </c>
      <c r="AJ144">
        <v>98117</v>
      </c>
      <c r="AM144" t="s">
        <v>2305</v>
      </c>
      <c r="AN144">
        <v>178900</v>
      </c>
      <c r="BC144" s="22">
        <v>39297.605474537035</v>
      </c>
      <c r="BI144" s="22">
        <v>39549.294907407406</v>
      </c>
      <c r="BL144">
        <v>6999</v>
      </c>
      <c r="BM144">
        <v>1018454</v>
      </c>
      <c r="BN144" t="s">
        <v>2303</v>
      </c>
      <c r="BO144" s="17">
        <f t="shared" ca="1" si="2"/>
        <v>251.70393136574421</v>
      </c>
      <c r="BP144" t="b">
        <v>0</v>
      </c>
      <c r="BQ144">
        <v>1</v>
      </c>
      <c r="BR144" t="s">
        <v>1667</v>
      </c>
      <c r="BS144" t="s">
        <v>1779</v>
      </c>
      <c r="BT144" t="b">
        <v>0</v>
      </c>
      <c r="BV144" t="s">
        <v>1668</v>
      </c>
      <c r="BW144">
        <v>9023</v>
      </c>
      <c r="BX144" t="s">
        <v>1669</v>
      </c>
      <c r="BY144">
        <v>22596</v>
      </c>
      <c r="BZ144" t="s">
        <v>2306</v>
      </c>
      <c r="CA144">
        <v>1</v>
      </c>
      <c r="CB144" t="b">
        <v>1</v>
      </c>
      <c r="CC144">
        <v>0</v>
      </c>
      <c r="CD144" t="b">
        <v>0</v>
      </c>
      <c r="CE144" t="b">
        <v>0</v>
      </c>
      <c r="CF144" t="b">
        <v>1</v>
      </c>
      <c r="CG144">
        <v>2757497</v>
      </c>
      <c r="CH144" t="s">
        <v>1666</v>
      </c>
      <c r="CI144" s="10">
        <v>349950</v>
      </c>
      <c r="CJ144" s="7">
        <v>37155</v>
      </c>
    </row>
    <row r="145" spans="1:90">
      <c r="A145">
        <v>27142378</v>
      </c>
      <c r="B145" s="2" t="str">
        <f>HYPERLINK("http://www.redfin.com/stingray/do/printable-listing?listing-id=1018532","Active")</f>
        <v>Active</v>
      </c>
      <c r="D145" t="s">
        <v>3959</v>
      </c>
      <c r="E145" t="s">
        <v>4065</v>
      </c>
      <c r="F145">
        <v>499000</v>
      </c>
      <c r="G145">
        <v>2007</v>
      </c>
      <c r="H145">
        <v>1875</v>
      </c>
      <c r="I145">
        <v>0</v>
      </c>
      <c r="J145">
        <v>4</v>
      </c>
      <c r="K145">
        <v>3.5</v>
      </c>
      <c r="M145" s="2" t="str">
        <f>HYPERLINK("http://maps.live.com/default.aspx?v=2&amp;lvl=15&amp;sp=Point.47.605337_-122.305857_2026 E Terrace St&amp;cp=47.605337~-122.305857","Map")</f>
        <v>Map</v>
      </c>
      <c r="N145" s="2" t="str">
        <f>HYPERLINK("http://i-0.rfimg.us/photo/1/bigphoto/378/27142378_F.jpg","Photo")</f>
        <v>Photo</v>
      </c>
      <c r="AG145">
        <v>47.605336999999999</v>
      </c>
      <c r="AH145">
        <v>-122.305857</v>
      </c>
      <c r="AI145" t="s">
        <v>66</v>
      </c>
      <c r="AJ145">
        <v>98122</v>
      </c>
      <c r="BC145" s="22">
        <v>39297.627071759256</v>
      </c>
      <c r="BI145" s="22">
        <v>39549.294907407406</v>
      </c>
      <c r="BL145">
        <v>9980</v>
      </c>
      <c r="BM145">
        <v>1018532</v>
      </c>
      <c r="BN145" t="s">
        <v>1939</v>
      </c>
      <c r="BO145" s="17">
        <f t="shared" ca="1" si="2"/>
        <v>251.68233414352289</v>
      </c>
      <c r="BP145" t="b">
        <v>0</v>
      </c>
      <c r="BQ145">
        <v>1</v>
      </c>
      <c r="BR145" t="s">
        <v>1686</v>
      </c>
      <c r="BS145" t="s">
        <v>4001</v>
      </c>
      <c r="BT145" t="b">
        <v>0</v>
      </c>
      <c r="BU145" t="s">
        <v>2436</v>
      </c>
      <c r="BV145" t="s">
        <v>1668</v>
      </c>
      <c r="BW145">
        <v>2026</v>
      </c>
      <c r="BY145">
        <v>12098528</v>
      </c>
      <c r="BZ145" t="s">
        <v>4066</v>
      </c>
      <c r="CA145">
        <v>1</v>
      </c>
      <c r="CB145" t="b">
        <v>1</v>
      </c>
      <c r="CC145">
        <v>0</v>
      </c>
      <c r="CD145" t="b">
        <v>0</v>
      </c>
      <c r="CE145" t="b">
        <v>0</v>
      </c>
      <c r="CF145" t="b">
        <v>1</v>
      </c>
      <c r="CG145">
        <v>15351983</v>
      </c>
      <c r="CH145" t="s">
        <v>1681</v>
      </c>
      <c r="CI145" s="10">
        <v>499000</v>
      </c>
      <c r="CL145" t="s">
        <v>4064</v>
      </c>
    </row>
    <row r="146" spans="1:90">
      <c r="A146">
        <v>27143769</v>
      </c>
      <c r="B146" s="2" t="str">
        <f>HYPERLINK("http://www.redfin.com/stingray/do/printable-listing?listing-id=1025457","Active")</f>
        <v>Active</v>
      </c>
      <c r="D146" t="s">
        <v>4596</v>
      </c>
      <c r="E146" t="s">
        <v>4594</v>
      </c>
      <c r="F146" s="19">
        <v>949950</v>
      </c>
      <c r="G146">
        <v>2007</v>
      </c>
      <c r="H146">
        <v>3024</v>
      </c>
      <c r="I146">
        <v>7999</v>
      </c>
      <c r="J146">
        <v>4</v>
      </c>
      <c r="K146">
        <v>2.5</v>
      </c>
      <c r="M146" s="2" t="str">
        <f>HYPERLINK("http://maps.live.com/default.aspx?v=2&amp;lvl=15&amp;sp=Point.47.7062_-122.1611_17424 NE 119th Way&amp;cp=47.7062~-122.1611","Map")</f>
        <v>Map</v>
      </c>
      <c r="N146" s="2" t="str">
        <f>HYPERLINK("http://i-0.rfimg.us/photo/1/bigphoto/769/27143769_S.jpg","Photo")</f>
        <v>Photo</v>
      </c>
      <c r="AG146">
        <v>47.706200000000003</v>
      </c>
      <c r="AH146">
        <v>-122.1611</v>
      </c>
      <c r="AI146" t="s">
        <v>4363</v>
      </c>
      <c r="AJ146">
        <v>98052</v>
      </c>
      <c r="BC146" s="22">
        <v>39300.674155092594</v>
      </c>
      <c r="BI146" s="22">
        <v>39549.294907407406</v>
      </c>
      <c r="BL146">
        <v>17999</v>
      </c>
      <c r="BM146">
        <v>1025457</v>
      </c>
      <c r="BN146" t="s">
        <v>4593</v>
      </c>
      <c r="BO146" s="17">
        <f t="shared" ca="1" si="2"/>
        <v>248.63525081018452</v>
      </c>
      <c r="BP146" t="b">
        <v>0</v>
      </c>
      <c r="BQ146">
        <v>1</v>
      </c>
      <c r="BR146" t="s">
        <v>2463</v>
      </c>
      <c r="BS146" t="s">
        <v>4573</v>
      </c>
      <c r="BT146" t="b">
        <v>0</v>
      </c>
      <c r="BU146" t="s">
        <v>1738</v>
      </c>
      <c r="BV146" t="s">
        <v>1668</v>
      </c>
      <c r="BW146">
        <v>17424</v>
      </c>
      <c r="BY146">
        <v>12106351</v>
      </c>
      <c r="BZ146" t="s">
        <v>4595</v>
      </c>
      <c r="CA146">
        <v>1</v>
      </c>
      <c r="CB146" t="b">
        <v>1</v>
      </c>
      <c r="CC146">
        <v>0</v>
      </c>
      <c r="CD146" t="b">
        <v>0</v>
      </c>
      <c r="CE146" t="b">
        <v>0</v>
      </c>
      <c r="CF146" t="b">
        <v>1</v>
      </c>
      <c r="CG146">
        <v>15359655</v>
      </c>
      <c r="CH146" t="s">
        <v>1681</v>
      </c>
      <c r="CI146" s="10">
        <v>899950</v>
      </c>
    </row>
    <row r="147" spans="1:90">
      <c r="A147">
        <v>27143801</v>
      </c>
      <c r="B147" s="2" t="str">
        <f>HYPERLINK("http://www.redfin.com/stingray/do/printable-listing?listing-id=1025589","Active")</f>
        <v>Active</v>
      </c>
      <c r="D147" t="s">
        <v>3714</v>
      </c>
      <c r="E147" t="s">
        <v>3715</v>
      </c>
      <c r="F147">
        <v>1985000</v>
      </c>
      <c r="G147">
        <v>1980</v>
      </c>
      <c r="H147">
        <v>3840</v>
      </c>
      <c r="I147">
        <v>6384</v>
      </c>
      <c r="J147">
        <v>4</v>
      </c>
      <c r="K147">
        <v>5</v>
      </c>
      <c r="M147" s="2" t="str">
        <f>HYPERLINK("http://maps.live.com/default.aspx?v=2&amp;lvl=15&amp;sp=Point.47.634306_-122.290914_1584 Parkside Dr&amp;cp=47.634306~-122.290914","Map")</f>
        <v>Map</v>
      </c>
      <c r="N147" s="2" t="str">
        <f>HYPERLINK("http://i-0.rfimg.us/photo/1/bigphoto/801/27143801_2.jpg","Photo")</f>
        <v>Photo</v>
      </c>
      <c r="AG147">
        <v>47.634306000000002</v>
      </c>
      <c r="AH147">
        <v>-122.290914</v>
      </c>
      <c r="AI147" t="s">
        <v>66</v>
      </c>
      <c r="AJ147">
        <v>98112</v>
      </c>
      <c r="AN147">
        <v>1375000</v>
      </c>
      <c r="BC147" s="22">
        <v>39300.71402777778</v>
      </c>
      <c r="BI147" s="22">
        <v>39549.294907407406</v>
      </c>
      <c r="BL147">
        <v>39700</v>
      </c>
      <c r="BM147">
        <v>1025589</v>
      </c>
      <c r="BN147" t="s">
        <v>1768</v>
      </c>
      <c r="BO147" s="17">
        <f t="shared" ca="1" si="2"/>
        <v>248.59537812499912</v>
      </c>
      <c r="BP147" t="b">
        <v>0</v>
      </c>
      <c r="BQ147">
        <v>1</v>
      </c>
      <c r="BR147" t="s">
        <v>1816</v>
      </c>
      <c r="BS147" t="s">
        <v>3716</v>
      </c>
      <c r="BT147" t="b">
        <v>0</v>
      </c>
      <c r="BV147" t="s">
        <v>1668</v>
      </c>
      <c r="BW147">
        <v>1584</v>
      </c>
      <c r="BY147">
        <v>138759</v>
      </c>
      <c r="BZ147" t="s">
        <v>3510</v>
      </c>
      <c r="CA147">
        <v>1</v>
      </c>
      <c r="CB147" t="b">
        <v>1</v>
      </c>
      <c r="CC147">
        <v>0</v>
      </c>
      <c r="CD147" t="b">
        <v>0</v>
      </c>
      <c r="CE147" t="b">
        <v>0</v>
      </c>
      <c r="CF147" t="b">
        <v>1</v>
      </c>
      <c r="CG147">
        <v>2799616</v>
      </c>
      <c r="CH147" t="s">
        <v>1681</v>
      </c>
      <c r="CI147" s="10">
        <v>1985000</v>
      </c>
      <c r="CJ147" s="7">
        <v>37319</v>
      </c>
    </row>
    <row r="148" spans="1:90">
      <c r="A148">
        <v>27143919</v>
      </c>
      <c r="B148" s="2" t="str">
        <f>HYPERLINK("http://www.redfin.com/stingray/do/printable-listing?listing-id=1025602","Active")</f>
        <v>Active</v>
      </c>
      <c r="D148" t="s">
        <v>369</v>
      </c>
      <c r="E148" t="s">
        <v>5919</v>
      </c>
      <c r="F148" s="19">
        <v>649950</v>
      </c>
      <c r="G148">
        <v>2008</v>
      </c>
      <c r="H148">
        <v>2620</v>
      </c>
      <c r="I148">
        <v>10000</v>
      </c>
      <c r="J148">
        <v>4</v>
      </c>
      <c r="K148">
        <v>2.5</v>
      </c>
      <c r="M148" s="2" t="str">
        <f>HYPERLINK("http://maps.live.com/default.aspx?v=2&amp;lvl=15&amp;sp=Point.47.546128_-122.194893_6320 108th Ave SE&amp;cp=47.546128~-122.194893","Map")</f>
        <v>Map</v>
      </c>
      <c r="N148" s="2" t="str">
        <f>HYPERLINK("http://i-0.rfimg.us/photo/1/bigphoto/919/27143919_1.jpg","Photo")</f>
        <v>Photo</v>
      </c>
      <c r="AG148">
        <v>47.546128000000003</v>
      </c>
      <c r="AH148">
        <v>-122.19489299999999</v>
      </c>
      <c r="AI148" t="s">
        <v>369</v>
      </c>
      <c r="AJ148">
        <v>98006</v>
      </c>
      <c r="AN148">
        <v>148000</v>
      </c>
      <c r="BC148" s="22">
        <v>39300.715185185189</v>
      </c>
      <c r="BI148" s="22">
        <v>39549.294907407406</v>
      </c>
      <c r="BL148">
        <v>13599</v>
      </c>
      <c r="BM148">
        <v>1025602</v>
      </c>
      <c r="BN148" t="s">
        <v>1673</v>
      </c>
      <c r="BO148" s="17">
        <f t="shared" ca="1" si="2"/>
        <v>248.59422071759036</v>
      </c>
      <c r="BP148" t="b">
        <v>0</v>
      </c>
      <c r="BQ148">
        <v>1</v>
      </c>
      <c r="BR148" t="s">
        <v>1667</v>
      </c>
      <c r="BS148" t="s">
        <v>4355</v>
      </c>
      <c r="BT148" t="b">
        <v>0</v>
      </c>
      <c r="BV148" t="s">
        <v>1668</v>
      </c>
      <c r="BW148">
        <v>6320</v>
      </c>
      <c r="BX148" t="s">
        <v>3856</v>
      </c>
      <c r="BY148">
        <v>8186059</v>
      </c>
      <c r="BZ148" t="s">
        <v>5920</v>
      </c>
      <c r="CA148">
        <v>1</v>
      </c>
      <c r="CB148" t="b">
        <v>1</v>
      </c>
      <c r="CC148">
        <v>0</v>
      </c>
      <c r="CD148" t="b">
        <v>0</v>
      </c>
      <c r="CE148" t="b">
        <v>0</v>
      </c>
      <c r="CF148" t="b">
        <v>1</v>
      </c>
      <c r="CG148">
        <v>2472908</v>
      </c>
      <c r="CH148" t="s">
        <v>1681</v>
      </c>
      <c r="CI148" s="10">
        <v>679950</v>
      </c>
      <c r="CJ148" s="7">
        <v>38579</v>
      </c>
    </row>
    <row r="149" spans="1:90">
      <c r="A149">
        <v>27144530</v>
      </c>
      <c r="B149" s="2" t="str">
        <f>HYPERLINK("http://www.redfin.com/stingray/do/printable-listing?listing-id=1027981","Subject To Inspection")</f>
        <v>Subject To Inspection</v>
      </c>
      <c r="D149" t="s">
        <v>55</v>
      </c>
      <c r="E149" t="s">
        <v>504</v>
      </c>
      <c r="F149">
        <v>360000</v>
      </c>
      <c r="G149">
        <v>1947</v>
      </c>
      <c r="H149">
        <v>1050</v>
      </c>
      <c r="I149">
        <v>5100</v>
      </c>
      <c r="J149">
        <v>3</v>
      </c>
      <c r="K149">
        <v>1</v>
      </c>
      <c r="M149" s="2" t="str">
        <f>HYPERLINK("http://maps.live.com/default.aspx?v=2&amp;lvl=15&amp;sp=Point.47.691513_-122.345569_938 N 86 St&amp;cp=47.691513~-122.345569","Map")</f>
        <v>Map</v>
      </c>
      <c r="N149" s="2" t="str">
        <f>HYPERLINK("http://i-0.rfimg.us/photo/1/bigphoto/530/27144530_0.jpg","Photo")</f>
        <v>Photo</v>
      </c>
      <c r="AG149">
        <v>47.691513</v>
      </c>
      <c r="AH149">
        <v>-122.345569</v>
      </c>
      <c r="AI149" t="s">
        <v>66</v>
      </c>
      <c r="AJ149">
        <v>98103</v>
      </c>
      <c r="AN149">
        <v>354000</v>
      </c>
      <c r="BC149" s="22">
        <v>39301.588842592595</v>
      </c>
      <c r="BI149" s="22">
        <v>39549.294907407406</v>
      </c>
      <c r="BL149">
        <v>7200</v>
      </c>
      <c r="BM149">
        <v>1027981</v>
      </c>
      <c r="BN149" t="s">
        <v>1841</v>
      </c>
      <c r="BO149" s="17">
        <f t="shared" ca="1" si="2"/>
        <v>247.72056342592259</v>
      </c>
      <c r="BP149" t="b">
        <v>0</v>
      </c>
      <c r="BQ149">
        <v>2</v>
      </c>
      <c r="BR149" t="s">
        <v>1686</v>
      </c>
      <c r="BS149">
        <v>86</v>
      </c>
      <c r="BT149" t="b">
        <v>0</v>
      </c>
      <c r="BU149" t="s">
        <v>1712</v>
      </c>
      <c r="BV149" t="s">
        <v>1668</v>
      </c>
      <c r="BW149">
        <v>938</v>
      </c>
      <c r="BY149">
        <v>99520</v>
      </c>
      <c r="BZ149" t="s">
        <v>1713</v>
      </c>
      <c r="CA149">
        <v>1</v>
      </c>
      <c r="CB149" t="b">
        <v>1</v>
      </c>
      <c r="CC149">
        <v>0</v>
      </c>
      <c r="CD149" t="b">
        <v>0</v>
      </c>
      <c r="CE149" t="b">
        <v>0</v>
      </c>
      <c r="CF149" t="b">
        <v>1</v>
      </c>
      <c r="CG149">
        <v>2399427</v>
      </c>
      <c r="CH149" t="s">
        <v>1681</v>
      </c>
      <c r="CI149" s="10">
        <v>360000</v>
      </c>
      <c r="CJ149" s="7">
        <v>39428</v>
      </c>
    </row>
    <row r="150" spans="1:90">
      <c r="A150">
        <v>27144600</v>
      </c>
      <c r="B150" s="2" t="str">
        <f>HYPERLINK("http://www.redfin.com/stingray/do/printable-listing?listing-id=1028035","Active")</f>
        <v>Active</v>
      </c>
      <c r="D150" t="s">
        <v>2552</v>
      </c>
      <c r="E150" t="s">
        <v>3380</v>
      </c>
      <c r="F150">
        <v>2354000</v>
      </c>
      <c r="G150">
        <v>2007</v>
      </c>
      <c r="H150">
        <v>3818</v>
      </c>
      <c r="I150">
        <v>8500</v>
      </c>
      <c r="J150">
        <v>5</v>
      </c>
      <c r="K150">
        <v>3.5</v>
      </c>
      <c r="M150" s="2" t="str">
        <f>HYPERLINK("http://maps.live.com/default.aspx?v=2&amp;lvl=15&amp;sp=Point.47.636073_-122.389309_2376 W Howe St&amp;cp=47.636073~-122.389309","Map")</f>
        <v>Map</v>
      </c>
      <c r="N150" s="2" t="str">
        <f>HYPERLINK("http://i-0.rfimg.us/photo/1/bigphoto/600/27144600_2.jpg","Photo")</f>
        <v>Photo</v>
      </c>
      <c r="AG150">
        <v>47.636073000000003</v>
      </c>
      <c r="AH150">
        <v>-122.389309</v>
      </c>
      <c r="AI150" t="s">
        <v>66</v>
      </c>
      <c r="AJ150">
        <v>98199</v>
      </c>
      <c r="AN150">
        <v>595000</v>
      </c>
      <c r="BC150" s="22">
        <v>39301.618263888886</v>
      </c>
      <c r="BI150" s="22">
        <v>39549.294907407406</v>
      </c>
      <c r="BL150">
        <v>47080</v>
      </c>
      <c r="BM150">
        <v>1028035</v>
      </c>
      <c r="BN150" t="s">
        <v>1688</v>
      </c>
      <c r="BO150" s="17">
        <f t="shared" ca="1" si="2"/>
        <v>247.69114201389311</v>
      </c>
      <c r="BP150" t="b">
        <v>0</v>
      </c>
      <c r="BQ150">
        <v>1</v>
      </c>
      <c r="BR150" t="s">
        <v>1686</v>
      </c>
      <c r="BS150" t="s">
        <v>3343</v>
      </c>
      <c r="BT150" t="b">
        <v>0</v>
      </c>
      <c r="BU150" t="s">
        <v>2423</v>
      </c>
      <c r="BV150" t="s">
        <v>1668</v>
      </c>
      <c r="BW150">
        <v>2376</v>
      </c>
      <c r="BY150">
        <v>124937</v>
      </c>
      <c r="BZ150" t="s">
        <v>3381</v>
      </c>
      <c r="CA150">
        <v>1</v>
      </c>
      <c r="CB150" t="b">
        <v>1</v>
      </c>
      <c r="CC150">
        <v>0</v>
      </c>
      <c r="CD150" t="b">
        <v>0</v>
      </c>
      <c r="CE150" t="b">
        <v>0</v>
      </c>
      <c r="CF150" t="b">
        <v>1</v>
      </c>
      <c r="CG150">
        <v>2516102</v>
      </c>
      <c r="CH150" t="s">
        <v>1681</v>
      </c>
      <c r="CI150" s="10">
        <v>2354000</v>
      </c>
      <c r="CJ150" s="7">
        <v>38989</v>
      </c>
    </row>
    <row r="151" spans="1:90">
      <c r="A151">
        <v>27144647</v>
      </c>
      <c r="B151" s="2" t="str">
        <f>HYPERLINK("http://www.redfin.com/stingray/do/printable-listing?listing-id=1028001","Active")</f>
        <v>Active</v>
      </c>
      <c r="D151" t="s">
        <v>3839</v>
      </c>
      <c r="E151" t="s">
        <v>6027</v>
      </c>
      <c r="F151" s="19">
        <v>424950</v>
      </c>
      <c r="G151">
        <v>2001</v>
      </c>
      <c r="H151">
        <v>2250</v>
      </c>
      <c r="I151">
        <v>4792</v>
      </c>
      <c r="J151">
        <v>4</v>
      </c>
      <c r="K151">
        <v>2.5</v>
      </c>
      <c r="M151" s="2" t="str">
        <f>HYPERLINK("http://maps.live.com/default.aspx?v=2&amp;lvl=15&amp;sp=Point.47.497356_-122.159054_4451 NE 9th St&amp;cp=47.497356~-122.159054","Map")</f>
        <v>Map</v>
      </c>
      <c r="N151" s="2" t="str">
        <f>HYPERLINK("http://i-0.rfimg.us/photo/1/bigphoto/647/27144647_3.jpg","Photo")</f>
        <v>Photo</v>
      </c>
      <c r="AG151">
        <v>47.497356000000003</v>
      </c>
      <c r="AH151">
        <v>-122.159054</v>
      </c>
      <c r="AI151" t="s">
        <v>1077</v>
      </c>
      <c r="AJ151">
        <v>98059</v>
      </c>
      <c r="AN151">
        <v>274950</v>
      </c>
      <c r="BC151" s="22">
        <v>39301.615081018521</v>
      </c>
      <c r="BI151" s="22">
        <v>39549.294907407406</v>
      </c>
      <c r="BL151">
        <v>8698</v>
      </c>
      <c r="BM151">
        <v>1028001</v>
      </c>
      <c r="BN151" t="s">
        <v>2590</v>
      </c>
      <c r="BO151" s="17">
        <f t="shared" ca="1" si="2"/>
        <v>247.69432488425809</v>
      </c>
      <c r="BP151" t="b">
        <v>0</v>
      </c>
      <c r="BQ151">
        <v>1</v>
      </c>
      <c r="BR151" t="s">
        <v>1686</v>
      </c>
      <c r="BS151" t="s">
        <v>1785</v>
      </c>
      <c r="BT151" t="b">
        <v>0</v>
      </c>
      <c r="BU151" t="s">
        <v>1738</v>
      </c>
      <c r="BV151" t="s">
        <v>1668</v>
      </c>
      <c r="BW151">
        <v>4451</v>
      </c>
      <c r="BY151">
        <v>244740</v>
      </c>
      <c r="BZ151" t="s">
        <v>6028</v>
      </c>
      <c r="CA151">
        <v>1</v>
      </c>
      <c r="CB151" t="b">
        <v>1</v>
      </c>
      <c r="CC151">
        <v>0</v>
      </c>
      <c r="CD151" t="b">
        <v>0</v>
      </c>
      <c r="CE151" t="b">
        <v>0</v>
      </c>
      <c r="CF151" t="b">
        <v>1</v>
      </c>
      <c r="CG151">
        <v>2970728</v>
      </c>
      <c r="CH151" t="s">
        <v>1681</v>
      </c>
      <c r="CI151" s="10">
        <v>434900</v>
      </c>
      <c r="CJ151" s="7">
        <v>36909</v>
      </c>
    </row>
    <row r="152" spans="1:90">
      <c r="A152">
        <v>27144682</v>
      </c>
      <c r="B152" s="2" t="str">
        <f>HYPERLINK("http://www.redfin.com/stingray/do/printable-listing?listing-id=1028254","Active")</f>
        <v>Active</v>
      </c>
      <c r="D152" t="s">
        <v>218</v>
      </c>
      <c r="E152" t="s">
        <v>3202</v>
      </c>
      <c r="F152">
        <v>599000</v>
      </c>
      <c r="G152">
        <v>1920</v>
      </c>
      <c r="H152">
        <v>1950</v>
      </c>
      <c r="I152">
        <v>6000</v>
      </c>
      <c r="J152">
        <v>2</v>
      </c>
      <c r="K152">
        <v>1.75</v>
      </c>
      <c r="M152" s="2" t="str">
        <f>HYPERLINK("http://maps.live.com/default.aspx?v=2&amp;lvl=15&amp;sp=Point.47.674844_-122.30231_6300 23rd Ave NE&amp;cp=47.674844~-122.30231","Map")</f>
        <v>Map</v>
      </c>
      <c r="N152" s="2" t="str">
        <f>HYPERLINK("http://i-0.rfimg.us/photo/1/bigphoto/682/27144682_0.jpg","Photo")</f>
        <v>Photo</v>
      </c>
      <c r="AG152">
        <v>47.674844</v>
      </c>
      <c r="AH152">
        <v>-122.30231000000001</v>
      </c>
      <c r="AI152" t="s">
        <v>66</v>
      </c>
      <c r="AJ152">
        <v>98115</v>
      </c>
      <c r="AN152">
        <v>472000</v>
      </c>
      <c r="BC152" s="22">
        <v>39301.649513888886</v>
      </c>
      <c r="BI152" s="7">
        <v>39541</v>
      </c>
      <c r="BL152">
        <v>11980</v>
      </c>
      <c r="BM152">
        <v>1028254</v>
      </c>
      <c r="BN152" t="s">
        <v>1823</v>
      </c>
      <c r="BO152" s="17">
        <f t="shared" ca="1" si="2"/>
        <v>247.65989201389311</v>
      </c>
      <c r="BP152" t="b">
        <v>0</v>
      </c>
      <c r="BQ152">
        <v>1</v>
      </c>
      <c r="BR152" t="s">
        <v>1667</v>
      </c>
      <c r="BS152" t="s">
        <v>1839</v>
      </c>
      <c r="BT152" t="b">
        <v>0</v>
      </c>
      <c r="BV152" t="s">
        <v>1668</v>
      </c>
      <c r="BW152">
        <v>6300</v>
      </c>
      <c r="BX152" t="s">
        <v>1738</v>
      </c>
      <c r="BY152">
        <v>307915</v>
      </c>
      <c r="BZ152" t="s">
        <v>1701</v>
      </c>
      <c r="CA152">
        <v>1</v>
      </c>
      <c r="CB152" t="b">
        <v>1</v>
      </c>
      <c r="CC152">
        <v>0</v>
      </c>
      <c r="CD152" t="b">
        <v>0</v>
      </c>
      <c r="CE152" t="b">
        <v>0</v>
      </c>
      <c r="CF152" t="b">
        <v>1</v>
      </c>
      <c r="CG152">
        <v>2561373</v>
      </c>
      <c r="CH152" t="s">
        <v>1681</v>
      </c>
      <c r="CI152" s="10">
        <v>599000</v>
      </c>
      <c r="CJ152" s="7">
        <v>38441</v>
      </c>
    </row>
    <row r="153" spans="1:90">
      <c r="A153">
        <v>27145416</v>
      </c>
      <c r="B153" s="2" t="str">
        <f>HYPERLINK("http://www.redfin.com/stingray/do/printable-listing?listing-id=1045350","Active")</f>
        <v>Active</v>
      </c>
      <c r="D153" t="s">
        <v>369</v>
      </c>
      <c r="E153" t="s">
        <v>6931</v>
      </c>
      <c r="F153">
        <v>1019950</v>
      </c>
      <c r="G153">
        <v>2007</v>
      </c>
      <c r="H153">
        <v>3783</v>
      </c>
      <c r="I153">
        <v>0</v>
      </c>
      <c r="J153">
        <v>5</v>
      </c>
      <c r="K153">
        <v>2.5</v>
      </c>
      <c r="M153" s="2" t="str">
        <f>HYPERLINK("http://maps.live.com/default.aspx?v=2&amp;lvl=15&amp;sp=Point.47.548_-122.1534_11177 SE 61st Pl&amp;cp=47.548~-122.1534","Map")</f>
        <v>Map</v>
      </c>
      <c r="N153" s="2" t="str">
        <f>HYPERLINK("http://i-0.rfimg.us/photo/1/bigphoto/416/27145416_2.jpg","Photo")</f>
        <v>Photo</v>
      </c>
      <c r="AG153">
        <v>47.548000000000002</v>
      </c>
      <c r="AH153">
        <v>-122.1534</v>
      </c>
      <c r="AI153" t="s">
        <v>369</v>
      </c>
      <c r="AJ153">
        <v>98006</v>
      </c>
      <c r="BC153" s="22">
        <v>39307.507986111108</v>
      </c>
      <c r="BI153" s="22">
        <v>39549.294907407406</v>
      </c>
      <c r="BL153">
        <v>20399</v>
      </c>
      <c r="BM153">
        <v>1045350</v>
      </c>
      <c r="BN153" t="s">
        <v>3062</v>
      </c>
      <c r="BO153" s="17">
        <f t="shared" ca="1" si="2"/>
        <v>241.80141979167092</v>
      </c>
      <c r="BP153" t="b">
        <v>0</v>
      </c>
      <c r="BQ153">
        <v>1</v>
      </c>
      <c r="BR153" t="s">
        <v>1842</v>
      </c>
      <c r="BS153" t="s">
        <v>2431</v>
      </c>
      <c r="BT153" t="b">
        <v>0</v>
      </c>
      <c r="BU153" t="s">
        <v>3856</v>
      </c>
      <c r="BV153" t="s">
        <v>1668</v>
      </c>
      <c r="BW153">
        <v>11177</v>
      </c>
      <c r="BY153">
        <v>12109065</v>
      </c>
      <c r="BZ153" t="s">
        <v>6932</v>
      </c>
      <c r="CA153">
        <v>1</v>
      </c>
      <c r="CB153" t="b">
        <v>1</v>
      </c>
      <c r="CC153">
        <v>0</v>
      </c>
      <c r="CD153" t="b">
        <v>0</v>
      </c>
      <c r="CE153" t="b">
        <v>0</v>
      </c>
      <c r="CF153" t="b">
        <v>1</v>
      </c>
      <c r="CG153">
        <v>15362411</v>
      </c>
      <c r="CH153" t="s">
        <v>1681</v>
      </c>
      <c r="CI153" s="10">
        <v>1019950</v>
      </c>
    </row>
    <row r="154" spans="1:90">
      <c r="A154">
        <v>27146107</v>
      </c>
      <c r="B154" s="2" t="str">
        <f>HYPERLINK("http://www.redfin.com/stingray/do/printable-listing?listing-id=1038759","Active")</f>
        <v>Active</v>
      </c>
      <c r="D154" t="s">
        <v>2552</v>
      </c>
      <c r="E154" t="s">
        <v>3492</v>
      </c>
      <c r="F154">
        <v>469500</v>
      </c>
      <c r="G154">
        <v>1945</v>
      </c>
      <c r="H154">
        <v>1665</v>
      </c>
      <c r="I154">
        <v>6000</v>
      </c>
      <c r="J154">
        <v>2</v>
      </c>
      <c r="K154">
        <v>2</v>
      </c>
      <c r="M154" s="2" t="str">
        <f>HYPERLINK("http://maps.live.com/default.aspx?v=2&amp;lvl=15&amp;sp=Point.47.653821_-122.396381_3015 W Emerson St&amp;cp=47.653821~-122.396381","Map")</f>
        <v>Map</v>
      </c>
      <c r="N154" s="2" t="str">
        <f>HYPERLINK("http://i-0.rfimg.us/photo/1/bigphoto/107/27146107_5.jpg","Photo")</f>
        <v>Photo</v>
      </c>
      <c r="AG154">
        <v>47.653821000000001</v>
      </c>
      <c r="AH154">
        <v>-122.39638100000001</v>
      </c>
      <c r="AI154" t="s">
        <v>66</v>
      </c>
      <c r="AJ154">
        <v>98199</v>
      </c>
      <c r="AN154">
        <v>365000</v>
      </c>
      <c r="BC154" s="22">
        <v>39304.543217592596</v>
      </c>
      <c r="BI154" s="22">
        <v>39549.294907407406</v>
      </c>
      <c r="BL154">
        <v>9390</v>
      </c>
      <c r="BM154">
        <v>1038759</v>
      </c>
      <c r="BN154" t="s">
        <v>3180</v>
      </c>
      <c r="BO154" s="17">
        <f t="shared" ca="1" si="2"/>
        <v>244.76618831018277</v>
      </c>
      <c r="BP154" t="b">
        <v>0</v>
      </c>
      <c r="BQ154">
        <v>1</v>
      </c>
      <c r="BR154" t="s">
        <v>1686</v>
      </c>
      <c r="BS154" t="s">
        <v>3490</v>
      </c>
      <c r="BT154" t="b">
        <v>0</v>
      </c>
      <c r="BU154" t="s">
        <v>2423</v>
      </c>
      <c r="BV154" t="s">
        <v>1668</v>
      </c>
      <c r="BW154">
        <v>3015</v>
      </c>
      <c r="BY154">
        <v>128783</v>
      </c>
      <c r="BZ154" t="s">
        <v>3493</v>
      </c>
      <c r="CA154">
        <v>1</v>
      </c>
      <c r="CB154" t="b">
        <v>1</v>
      </c>
      <c r="CC154">
        <v>0</v>
      </c>
      <c r="CD154" t="b">
        <v>0</v>
      </c>
      <c r="CE154" t="b">
        <v>0</v>
      </c>
      <c r="CF154" t="b">
        <v>1</v>
      </c>
      <c r="CG154">
        <v>2665486</v>
      </c>
      <c r="CH154" t="s">
        <v>1681</v>
      </c>
      <c r="CI154" s="10">
        <v>469500</v>
      </c>
      <c r="CJ154" s="7">
        <v>37974</v>
      </c>
    </row>
    <row r="155" spans="1:90">
      <c r="A155">
        <v>27146209</v>
      </c>
      <c r="B155" s="2" t="str">
        <f>HYPERLINK("http://www.redfin.com/stingray/do/printable-listing?listing-id=1035403","Active")</f>
        <v>Active</v>
      </c>
      <c r="D155" t="s">
        <v>5776</v>
      </c>
      <c r="E155" t="s">
        <v>5927</v>
      </c>
      <c r="F155">
        <v>457000</v>
      </c>
      <c r="G155">
        <v>1965</v>
      </c>
      <c r="H155">
        <v>2260</v>
      </c>
      <c r="I155">
        <v>10019</v>
      </c>
      <c r="J155">
        <v>4</v>
      </c>
      <c r="K155">
        <v>2</v>
      </c>
      <c r="M155" s="2" t="str">
        <f>HYPERLINK("http://maps.live.com/default.aspx?v=2&amp;lvl=15&amp;sp=Point.47.521051_-122.199325_3221 Meadow Ave N&amp;cp=47.521051~-122.199325","Map")</f>
        <v>Map</v>
      </c>
      <c r="N155" s="2" t="str">
        <f>HYPERLINK("http://i-0.rfimg.us/photo/1/bigphoto/209/27146209_5.jpg","Photo")</f>
        <v>Photo</v>
      </c>
      <c r="AG155">
        <v>47.521051</v>
      </c>
      <c r="AH155">
        <v>-122.199325</v>
      </c>
      <c r="AI155" t="s">
        <v>1077</v>
      </c>
      <c r="AJ155">
        <v>98056</v>
      </c>
      <c r="AN155">
        <v>271000</v>
      </c>
      <c r="BC155" s="22">
        <v>39303.593263888892</v>
      </c>
      <c r="BI155" s="22">
        <v>39549.294907407406</v>
      </c>
      <c r="BL155">
        <v>9140</v>
      </c>
      <c r="BM155">
        <v>1035403</v>
      </c>
      <c r="BN155" t="s">
        <v>2590</v>
      </c>
      <c r="BO155" s="17">
        <f t="shared" ca="1" si="2"/>
        <v>245.71614201388729</v>
      </c>
      <c r="BP155" t="b">
        <v>0</v>
      </c>
      <c r="BQ155">
        <v>1</v>
      </c>
      <c r="BR155" t="s">
        <v>1667</v>
      </c>
      <c r="BS155" t="s">
        <v>5774</v>
      </c>
      <c r="BT155" t="b">
        <v>0</v>
      </c>
      <c r="BV155" t="s">
        <v>1668</v>
      </c>
      <c r="BW155">
        <v>3221</v>
      </c>
      <c r="BX155" t="s">
        <v>1712</v>
      </c>
      <c r="BY155">
        <v>408594</v>
      </c>
      <c r="BZ155" t="s">
        <v>5928</v>
      </c>
      <c r="CA155">
        <v>1</v>
      </c>
      <c r="CB155" t="b">
        <v>1</v>
      </c>
      <c r="CC155">
        <v>0</v>
      </c>
      <c r="CD155" t="b">
        <v>0</v>
      </c>
      <c r="CE155" t="b">
        <v>0</v>
      </c>
      <c r="CF155" t="b">
        <v>1</v>
      </c>
      <c r="CG155">
        <v>2884378</v>
      </c>
      <c r="CH155" t="s">
        <v>1681</v>
      </c>
      <c r="CI155" s="10">
        <v>457000</v>
      </c>
      <c r="CJ155" s="7">
        <v>37922</v>
      </c>
    </row>
    <row r="156" spans="1:90">
      <c r="A156">
        <v>27146684</v>
      </c>
      <c r="B156" s="2" t="str">
        <f>HYPERLINK("http://www.redfin.com/stingray/do/printable-listing?listing-id=1037509","Active")</f>
        <v>Active</v>
      </c>
      <c r="D156" t="s">
        <v>5926</v>
      </c>
      <c r="E156" t="s">
        <v>5927</v>
      </c>
      <c r="F156">
        <v>457000</v>
      </c>
      <c r="G156">
        <v>1965</v>
      </c>
      <c r="H156">
        <v>2260</v>
      </c>
      <c r="I156">
        <v>10019</v>
      </c>
      <c r="J156">
        <v>4</v>
      </c>
      <c r="K156">
        <v>2</v>
      </c>
      <c r="M156" s="2" t="str">
        <f>HYPERLINK("http://maps.live.com/default.aspx?v=2&amp;lvl=15&amp;sp=Point.47.521051_-122.199325_3221 Meadow Ave N&amp;cp=47.521051~-122.199325","Map")</f>
        <v>Map</v>
      </c>
      <c r="N156" s="2" t="str">
        <f>HYPERLINK("http://i-0.rfimg.us/photo/1/bigphoto/684/27146684_2.jpg","Photo")</f>
        <v>Photo</v>
      </c>
      <c r="AG156">
        <v>47.521051</v>
      </c>
      <c r="AH156">
        <v>-122.199325</v>
      </c>
      <c r="AI156" t="s">
        <v>1077</v>
      </c>
      <c r="AJ156">
        <v>98056</v>
      </c>
      <c r="AN156">
        <v>271000</v>
      </c>
      <c r="BC156" s="22">
        <v>39304.392013888886</v>
      </c>
      <c r="BI156" s="22">
        <v>39549.294907407406</v>
      </c>
      <c r="BL156">
        <v>9140</v>
      </c>
      <c r="BM156">
        <v>1037509</v>
      </c>
      <c r="BN156" t="s">
        <v>2590</v>
      </c>
      <c r="BO156" s="17">
        <f t="shared" ca="1" si="2"/>
        <v>244.91739201389282</v>
      </c>
      <c r="BP156" t="b">
        <v>0</v>
      </c>
      <c r="BQ156">
        <v>1</v>
      </c>
      <c r="BR156" t="s">
        <v>1667</v>
      </c>
      <c r="BS156" t="s">
        <v>5774</v>
      </c>
      <c r="BT156" t="b">
        <v>0</v>
      </c>
      <c r="BV156" t="s">
        <v>1668</v>
      </c>
      <c r="BW156">
        <v>3221</v>
      </c>
      <c r="BX156" t="s">
        <v>1712</v>
      </c>
      <c r="BY156">
        <v>408594</v>
      </c>
      <c r="BZ156" t="s">
        <v>2346</v>
      </c>
      <c r="CA156">
        <v>1</v>
      </c>
      <c r="CB156" t="b">
        <v>1</v>
      </c>
      <c r="CC156">
        <v>0</v>
      </c>
      <c r="CD156" t="b">
        <v>0</v>
      </c>
      <c r="CE156" t="b">
        <v>0</v>
      </c>
      <c r="CF156" t="b">
        <v>1</v>
      </c>
      <c r="CG156">
        <v>2884378</v>
      </c>
      <c r="CH156" t="s">
        <v>1681</v>
      </c>
      <c r="CI156" s="10">
        <v>457000</v>
      </c>
      <c r="CJ156" s="7">
        <v>37922</v>
      </c>
    </row>
    <row r="157" spans="1:90">
      <c r="A157">
        <v>27147054</v>
      </c>
      <c r="B157" s="2" t="str">
        <f>HYPERLINK("http://www.redfin.com/stingray/do/printable-listing?listing-id=1039079","Active")</f>
        <v>Active</v>
      </c>
      <c r="D157" t="s">
        <v>3885</v>
      </c>
      <c r="E157" t="s">
        <v>6058</v>
      </c>
      <c r="F157">
        <v>775000</v>
      </c>
      <c r="G157">
        <v>1998</v>
      </c>
      <c r="H157">
        <v>2818</v>
      </c>
      <c r="I157">
        <v>17424</v>
      </c>
      <c r="J157">
        <v>4</v>
      </c>
      <c r="K157">
        <v>3</v>
      </c>
      <c r="M157" s="2" t="str">
        <f>HYPERLINK("http://maps.live.com/default.aspx?v=2&amp;lvl=15&amp;sp=Point.47.509998_-122.145808_5505 NE 21st Ct&amp;cp=47.509998~-122.145808","Map")</f>
        <v>Map</v>
      </c>
      <c r="N157" s="2" t="str">
        <f>HYPERLINK("http://i-0.rfimg.us/photo/1/bigphoto/054/27147054_0.jpg","Photo")</f>
        <v>Photo</v>
      </c>
      <c r="AG157">
        <v>47.509998000000003</v>
      </c>
      <c r="AH157">
        <v>-122.145808</v>
      </c>
      <c r="AI157" t="s">
        <v>1077</v>
      </c>
      <c r="AJ157">
        <v>98059</v>
      </c>
      <c r="AN157">
        <v>432500</v>
      </c>
      <c r="BC157" s="22">
        <v>39304.608553240738</v>
      </c>
      <c r="BI157" s="22">
        <v>39549.294907407406</v>
      </c>
      <c r="BL157">
        <v>15500</v>
      </c>
      <c r="BM157">
        <v>1039079</v>
      </c>
      <c r="BN157" t="s">
        <v>1823</v>
      </c>
      <c r="BO157" s="17">
        <f t="shared" ca="1" si="2"/>
        <v>244.70085266204114</v>
      </c>
      <c r="BP157" t="b">
        <v>0</v>
      </c>
      <c r="BQ157">
        <v>1</v>
      </c>
      <c r="BR157" t="s">
        <v>3768</v>
      </c>
      <c r="BS157" t="s">
        <v>1903</v>
      </c>
      <c r="BT157" t="b">
        <v>0</v>
      </c>
      <c r="BU157" t="s">
        <v>1738</v>
      </c>
      <c r="BV157" t="s">
        <v>1668</v>
      </c>
      <c r="BW157">
        <v>5505</v>
      </c>
      <c r="BY157">
        <v>411937</v>
      </c>
      <c r="BZ157" t="s">
        <v>1672</v>
      </c>
      <c r="CA157">
        <v>1</v>
      </c>
      <c r="CB157" t="b">
        <v>1</v>
      </c>
      <c r="CC157">
        <v>0</v>
      </c>
      <c r="CD157" t="b">
        <v>0</v>
      </c>
      <c r="CE157" t="b">
        <v>0</v>
      </c>
      <c r="CF157" t="b">
        <v>1</v>
      </c>
      <c r="CG157">
        <v>2898749</v>
      </c>
      <c r="CH157" t="s">
        <v>1681</v>
      </c>
      <c r="CI157" s="10">
        <v>775000</v>
      </c>
      <c r="CJ157" s="7">
        <v>37251</v>
      </c>
    </row>
    <row r="158" spans="1:90">
      <c r="A158">
        <v>27147703</v>
      </c>
      <c r="B158" s="2" t="str">
        <f>HYPERLINK("http://www.redfin.com/stingray/do/printable-listing?listing-id=1043668","Active")</f>
        <v>Active</v>
      </c>
      <c r="D158" t="s">
        <v>66</v>
      </c>
      <c r="E158" t="s">
        <v>2767</v>
      </c>
      <c r="F158">
        <v>769950</v>
      </c>
      <c r="G158">
        <v>1964</v>
      </c>
      <c r="H158">
        <v>2620</v>
      </c>
      <c r="I158">
        <v>7670</v>
      </c>
      <c r="J158">
        <v>3</v>
      </c>
      <c r="K158">
        <v>2.75</v>
      </c>
      <c r="M158" s="2" t="str">
        <f>HYPERLINK("http://maps.live.com/default.aspx?v=2&amp;lvl=15&amp;sp=Point.47.713909_-122.373012_1222 NW 117th St&amp;cp=47.713909~-122.373012","Map")</f>
        <v>Map</v>
      </c>
      <c r="N158" s="2" t="str">
        <f>HYPERLINK("http://i-0.rfimg.us/photo/1/bigphoto/703/27147703_2.jpg","Photo")</f>
        <v>Photo</v>
      </c>
      <c r="AG158">
        <v>47.713909000000001</v>
      </c>
      <c r="AH158">
        <v>-122.373012</v>
      </c>
      <c r="AI158" t="s">
        <v>66</v>
      </c>
      <c r="AJ158">
        <v>98177</v>
      </c>
      <c r="AN158">
        <v>325000</v>
      </c>
      <c r="BC158" s="22">
        <v>39306.412719907406</v>
      </c>
      <c r="BI158" s="22">
        <v>39549.294907407406</v>
      </c>
      <c r="BL158">
        <v>15399</v>
      </c>
      <c r="BM158">
        <v>1043668</v>
      </c>
      <c r="BN158" t="s">
        <v>2766</v>
      </c>
      <c r="BO158" s="17">
        <f t="shared" ca="1" si="2"/>
        <v>242.89668611111119</v>
      </c>
      <c r="BP158" t="b">
        <v>0</v>
      </c>
      <c r="BQ158">
        <v>1</v>
      </c>
      <c r="BR158" t="s">
        <v>1686</v>
      </c>
      <c r="BS158" t="s">
        <v>2743</v>
      </c>
      <c r="BT158" t="b">
        <v>0</v>
      </c>
      <c r="BU158" t="s">
        <v>1669</v>
      </c>
      <c r="BV158" t="s">
        <v>1668</v>
      </c>
      <c r="BW158">
        <v>1222</v>
      </c>
      <c r="BY158">
        <v>288519</v>
      </c>
      <c r="BZ158" t="s">
        <v>2641</v>
      </c>
      <c r="CA158">
        <v>1</v>
      </c>
      <c r="CB158" t="b">
        <v>1</v>
      </c>
      <c r="CC158">
        <v>0</v>
      </c>
      <c r="CD158" t="b">
        <v>0</v>
      </c>
      <c r="CE158" t="b">
        <v>0</v>
      </c>
      <c r="CF158" t="b">
        <v>1</v>
      </c>
      <c r="CG158">
        <v>2413575</v>
      </c>
      <c r="CH158" t="s">
        <v>1681</v>
      </c>
      <c r="CI158" s="10">
        <v>769950</v>
      </c>
      <c r="CJ158" s="7">
        <v>35349</v>
      </c>
    </row>
    <row r="159" spans="1:90">
      <c r="A159">
        <v>27147706</v>
      </c>
      <c r="B159" s="2" t="str">
        <f>HYPERLINK("http://www.redfin.com/stingray/do/printable-listing?listing-id=1043667","Active")</f>
        <v>Active</v>
      </c>
      <c r="D159" t="s">
        <v>5204</v>
      </c>
      <c r="E159" t="s">
        <v>5434</v>
      </c>
      <c r="F159">
        <v>445000</v>
      </c>
      <c r="G159">
        <v>1956</v>
      </c>
      <c r="H159">
        <v>2700</v>
      </c>
      <c r="I159">
        <v>8512</v>
      </c>
      <c r="J159">
        <v>4</v>
      </c>
      <c r="K159">
        <v>2.5</v>
      </c>
      <c r="M159" s="2" t="str">
        <f>HYPERLINK("http://maps.live.com/default.aspx?v=2&amp;lvl=15&amp;sp=Point.47.600767_-122.129126_1011 158th Pl SE&amp;cp=47.600767~-122.129126","Map")</f>
        <v>Map</v>
      </c>
      <c r="N159" s="2" t="str">
        <f>HYPERLINK("http://i-0.rfimg.us/photo/1/bigphoto/706/27147706_1.jpg","Photo")</f>
        <v>Photo</v>
      </c>
      <c r="AG159">
        <v>47.600766999999998</v>
      </c>
      <c r="AH159">
        <v>-122.129126</v>
      </c>
      <c r="AI159" t="s">
        <v>369</v>
      </c>
      <c r="AJ159">
        <v>98008</v>
      </c>
      <c r="AN159">
        <v>239538</v>
      </c>
      <c r="BC159" s="22">
        <v>39306.41265046296</v>
      </c>
      <c r="BI159" s="22">
        <v>39549.294907407406</v>
      </c>
      <c r="BL159">
        <v>8900</v>
      </c>
      <c r="BM159">
        <v>1043667</v>
      </c>
      <c r="BN159" t="s">
        <v>4915</v>
      </c>
      <c r="BO159" s="17">
        <f t="shared" ca="1" si="2"/>
        <v>242.89675543981866</v>
      </c>
      <c r="BP159" t="b">
        <v>0</v>
      </c>
      <c r="BQ159">
        <v>1</v>
      </c>
      <c r="BR159" t="s">
        <v>1842</v>
      </c>
      <c r="BS159" t="s">
        <v>5289</v>
      </c>
      <c r="BT159" t="b">
        <v>0</v>
      </c>
      <c r="BV159" t="s">
        <v>1668</v>
      </c>
      <c r="BW159">
        <v>1011</v>
      </c>
      <c r="BX159" t="s">
        <v>3856</v>
      </c>
      <c r="BY159">
        <v>427661</v>
      </c>
      <c r="BZ159" t="s">
        <v>1836</v>
      </c>
      <c r="CA159">
        <v>1</v>
      </c>
      <c r="CB159" t="b">
        <v>1</v>
      </c>
      <c r="CC159">
        <v>0</v>
      </c>
      <c r="CD159" t="b">
        <v>1</v>
      </c>
      <c r="CE159" t="b">
        <v>0</v>
      </c>
      <c r="CF159" t="b">
        <v>1</v>
      </c>
      <c r="CG159">
        <v>2856898</v>
      </c>
      <c r="CH159" t="s">
        <v>1681</v>
      </c>
      <c r="CI159" s="10">
        <v>445000</v>
      </c>
      <c r="CJ159" s="7">
        <v>38239</v>
      </c>
    </row>
    <row r="160" spans="1:90">
      <c r="A160">
        <v>27147718</v>
      </c>
      <c r="B160" s="2" t="str">
        <f>HYPERLINK("http://www.redfin.com/stingray/do/printable-listing?listing-id=1046436","Active")</f>
        <v>Active</v>
      </c>
      <c r="D160" t="s">
        <v>4630</v>
      </c>
      <c r="E160" t="s">
        <v>1657</v>
      </c>
      <c r="F160">
        <v>1150000</v>
      </c>
      <c r="G160">
        <v>1991</v>
      </c>
      <c r="H160">
        <v>3750</v>
      </c>
      <c r="I160">
        <v>55321</v>
      </c>
      <c r="J160">
        <v>4</v>
      </c>
      <c r="K160">
        <v>3</v>
      </c>
      <c r="M160" s="2" t="str">
        <f>HYPERLINK("http://maps.live.com/default.aspx?v=2&amp;lvl=15&amp;sp=adr.Undisclosed,98052","Map")</f>
        <v>Map</v>
      </c>
      <c r="N160" s="2" t="str">
        <f>HYPERLINK("http://i-0.rfimg.us/photo/1/bigphoto/718/27147718_0.jpg","Photo")</f>
        <v>Photo</v>
      </c>
      <c r="AI160" t="s">
        <v>4363</v>
      </c>
      <c r="AJ160">
        <v>98052</v>
      </c>
      <c r="BC160" s="22">
        <v>39307.892106481479</v>
      </c>
      <c r="BI160" s="22">
        <v>39549.294907407406</v>
      </c>
      <c r="BL160">
        <v>23000</v>
      </c>
      <c r="BM160">
        <v>1046436</v>
      </c>
      <c r="BN160" t="s">
        <v>1725</v>
      </c>
      <c r="BO160" s="17">
        <f t="shared" ca="1" si="2"/>
        <v>241.41729942130041</v>
      </c>
      <c r="BP160" t="b">
        <v>0</v>
      </c>
      <c r="BQ160">
        <v>1</v>
      </c>
      <c r="BT160" t="b">
        <v>1</v>
      </c>
      <c r="BV160" t="s">
        <v>1668</v>
      </c>
      <c r="BY160">
        <v>0</v>
      </c>
      <c r="BZ160" t="s">
        <v>1672</v>
      </c>
      <c r="CA160">
        <v>1</v>
      </c>
      <c r="CB160" t="b">
        <v>1</v>
      </c>
      <c r="CC160">
        <v>0</v>
      </c>
      <c r="CD160" t="b">
        <v>0</v>
      </c>
      <c r="CE160" t="b">
        <v>0</v>
      </c>
      <c r="CF160" t="b">
        <v>1</v>
      </c>
      <c r="CG160" t="s">
        <v>1870</v>
      </c>
      <c r="CH160" t="s">
        <v>1681</v>
      </c>
      <c r="CI160" s="10">
        <v>1150000</v>
      </c>
    </row>
    <row r="161" spans="1:89">
      <c r="A161">
        <v>27147857</v>
      </c>
      <c r="B161" s="2" t="str">
        <f>HYPERLINK("http://www.redfin.com/stingray/do/printable-listing?listing-id=1045351","Active")</f>
        <v>Active</v>
      </c>
      <c r="D161" t="s">
        <v>369</v>
      </c>
      <c r="E161" t="s">
        <v>5391</v>
      </c>
      <c r="F161">
        <v>629950</v>
      </c>
      <c r="G161">
        <v>1961</v>
      </c>
      <c r="H161">
        <v>2860</v>
      </c>
      <c r="I161">
        <v>4950</v>
      </c>
      <c r="J161">
        <v>4</v>
      </c>
      <c r="K161">
        <v>3.25</v>
      </c>
      <c r="M161" s="2" t="str">
        <f>HYPERLINK("http://maps.live.com/default.aspx?v=2&amp;lvl=15&amp;sp=Point.47.615112_-122.143806_516 147th Pl NE&amp;cp=47.615112~-122.143806","Map")</f>
        <v>Map</v>
      </c>
      <c r="N161" s="2" t="str">
        <f>HYPERLINK("http://i-0.rfimg.us/photo/1/bigphoto/857/27147857_0.jpg","Photo")</f>
        <v>Photo</v>
      </c>
      <c r="AG161">
        <v>47.615112000000003</v>
      </c>
      <c r="AH161">
        <v>-122.143806</v>
      </c>
      <c r="AI161" t="s">
        <v>369</v>
      </c>
      <c r="AJ161">
        <v>98007</v>
      </c>
      <c r="AN161">
        <v>359500</v>
      </c>
      <c r="BC161" s="22">
        <v>39307.515567129631</v>
      </c>
      <c r="BI161" s="7">
        <v>39542</v>
      </c>
      <c r="BL161">
        <v>12599</v>
      </c>
      <c r="BM161">
        <v>1045351</v>
      </c>
      <c r="BN161" t="s">
        <v>1674</v>
      </c>
      <c r="BO161" s="17">
        <f t="shared" ca="1" si="2"/>
        <v>241.79383877314831</v>
      </c>
      <c r="BP161" t="b">
        <v>0</v>
      </c>
      <c r="BQ161">
        <v>1</v>
      </c>
      <c r="BR161" t="s">
        <v>1842</v>
      </c>
      <c r="BS161" t="s">
        <v>4610</v>
      </c>
      <c r="BT161" t="b">
        <v>0</v>
      </c>
      <c r="BV161" t="s">
        <v>1668</v>
      </c>
      <c r="BW161">
        <v>516</v>
      </c>
      <c r="BX161" t="s">
        <v>1738</v>
      </c>
      <c r="BY161">
        <v>501994</v>
      </c>
      <c r="BZ161" t="s">
        <v>1670</v>
      </c>
      <c r="CA161">
        <v>1</v>
      </c>
      <c r="CB161" t="b">
        <v>1</v>
      </c>
      <c r="CC161">
        <v>0</v>
      </c>
      <c r="CD161" t="b">
        <v>0</v>
      </c>
      <c r="CE161" t="b">
        <v>0</v>
      </c>
      <c r="CF161" t="b">
        <v>1</v>
      </c>
      <c r="CG161">
        <v>2984489</v>
      </c>
      <c r="CH161" t="s">
        <v>1681</v>
      </c>
      <c r="CI161" s="10">
        <v>629950</v>
      </c>
      <c r="CJ161" s="7">
        <v>37678</v>
      </c>
    </row>
    <row r="162" spans="1:89">
      <c r="A162">
        <v>27147915</v>
      </c>
      <c r="B162" s="15" t="str">
        <f>HYPERLINK("http://www.redfin.com/stingray/do/printable-listing?listing-id=1054869","Subject To Inspection")</f>
        <v>Subject To Inspection</v>
      </c>
      <c r="D162" t="s">
        <v>5565</v>
      </c>
      <c r="E162" t="s">
        <v>5819</v>
      </c>
      <c r="F162">
        <v>600000</v>
      </c>
      <c r="G162">
        <v>1974</v>
      </c>
      <c r="H162">
        <v>2650</v>
      </c>
      <c r="I162">
        <v>10800</v>
      </c>
      <c r="J162">
        <v>4</v>
      </c>
      <c r="K162">
        <v>2.5</v>
      </c>
      <c r="M162" s="2" t="str">
        <f>HYPERLINK("http://maps.live.com/default.aspx?v=2&amp;lvl=15&amp;sp=Point.47.562026_-122.177743_4641 121st Ave SE&amp;cp=47.562026~-122.177743","Map")</f>
        <v>Map</v>
      </c>
      <c r="N162" s="2" t="str">
        <f>HYPERLINK("http://i-0.rfimg.us/photo/1/bigphoto/915/27147915_3.jpg","Photo")</f>
        <v>Photo</v>
      </c>
      <c r="AG162">
        <v>47.562026000000003</v>
      </c>
      <c r="AH162">
        <v>-122.17774300000001</v>
      </c>
      <c r="AI162" t="s">
        <v>369</v>
      </c>
      <c r="AJ162">
        <v>98006</v>
      </c>
      <c r="BC162" s="22">
        <v>39310.850497685184</v>
      </c>
      <c r="BI162" s="7">
        <v>39543</v>
      </c>
      <c r="BL162">
        <v>12000</v>
      </c>
      <c r="BM162">
        <v>1054869</v>
      </c>
      <c r="BN162" t="s">
        <v>1768</v>
      </c>
      <c r="BO162" s="17">
        <f t="shared" ca="1" si="2"/>
        <v>238.45890821759531</v>
      </c>
      <c r="BP162" t="b">
        <v>0</v>
      </c>
      <c r="BQ162">
        <v>1</v>
      </c>
      <c r="BR162" t="s">
        <v>1667</v>
      </c>
      <c r="BS162" t="s">
        <v>4414</v>
      </c>
      <c r="BT162" t="b">
        <v>0</v>
      </c>
      <c r="BV162" t="s">
        <v>1668</v>
      </c>
      <c r="BW162">
        <v>4641</v>
      </c>
      <c r="BX162" t="s">
        <v>3856</v>
      </c>
      <c r="BY162">
        <v>414878</v>
      </c>
      <c r="BZ162" t="s">
        <v>5820</v>
      </c>
      <c r="CA162">
        <v>1</v>
      </c>
      <c r="CB162" t="b">
        <v>1</v>
      </c>
      <c r="CC162">
        <v>0</v>
      </c>
      <c r="CD162" t="b">
        <v>0</v>
      </c>
      <c r="CE162" t="b">
        <v>0</v>
      </c>
      <c r="CF162" t="b">
        <v>1</v>
      </c>
      <c r="CG162">
        <v>2931424</v>
      </c>
      <c r="CH162" t="s">
        <v>1681</v>
      </c>
      <c r="CI162" s="10">
        <v>600000</v>
      </c>
    </row>
    <row r="163" spans="1:89">
      <c r="A163">
        <v>27147960</v>
      </c>
      <c r="B163" s="2" t="str">
        <f>HYPERLINK("http://www.redfin.com/stingray/do/printable-listing?listing-id=1046108","Active")</f>
        <v>Active</v>
      </c>
      <c r="D163" t="s">
        <v>5198</v>
      </c>
      <c r="E163" t="s">
        <v>5196</v>
      </c>
      <c r="F163">
        <v>1149000</v>
      </c>
      <c r="G163">
        <v>1958</v>
      </c>
      <c r="H163">
        <v>1010</v>
      </c>
      <c r="I163">
        <v>11037</v>
      </c>
      <c r="J163">
        <v>1</v>
      </c>
      <c r="K163">
        <v>1.75</v>
      </c>
      <c r="M163" s="2" t="str">
        <f>HYPERLINK("http://maps.live.com/default.aspx?v=2&amp;lvl=15&amp;sp=Point.47.615576_-122.102005_672 West Lake Sammamish Pkwy NE&amp;cp=47.615576~-122.102005","Map")</f>
        <v>Map</v>
      </c>
      <c r="N163" s="2" t="str">
        <f>HYPERLINK("http://i-0.rfimg.us/photo/1/bigphoto/960/27147960_1.jpg","Photo")</f>
        <v>Photo</v>
      </c>
      <c r="AG163">
        <v>47.615575999999997</v>
      </c>
      <c r="AH163">
        <v>-122.10200500000001</v>
      </c>
      <c r="AI163" t="s">
        <v>369</v>
      </c>
      <c r="AJ163">
        <v>98008</v>
      </c>
      <c r="BC163" s="22">
        <v>39307.796458333331</v>
      </c>
      <c r="BI163" s="22">
        <v>39549.294907407406</v>
      </c>
      <c r="BL163">
        <v>22980</v>
      </c>
      <c r="BM163">
        <v>1046108</v>
      </c>
      <c r="BN163" t="s">
        <v>1674</v>
      </c>
      <c r="BO163" s="17">
        <f t="shared" ca="1" si="2"/>
        <v>241.51294756944844</v>
      </c>
      <c r="BP163" t="b">
        <v>0</v>
      </c>
      <c r="BQ163">
        <v>1</v>
      </c>
      <c r="BR163" t="s">
        <v>5197</v>
      </c>
      <c r="BS163" t="s">
        <v>5198</v>
      </c>
      <c r="BT163" t="b">
        <v>0</v>
      </c>
      <c r="BV163" t="s">
        <v>1668</v>
      </c>
      <c r="BW163">
        <v>672</v>
      </c>
      <c r="BX163" t="s">
        <v>1738</v>
      </c>
      <c r="BY163">
        <v>12109179</v>
      </c>
      <c r="BZ163" t="s">
        <v>2799</v>
      </c>
      <c r="CA163">
        <v>1</v>
      </c>
      <c r="CB163" t="b">
        <v>1</v>
      </c>
      <c r="CC163">
        <v>0</v>
      </c>
      <c r="CD163" t="b">
        <v>0</v>
      </c>
      <c r="CE163" t="b">
        <v>0</v>
      </c>
      <c r="CF163" t="b">
        <v>1</v>
      </c>
      <c r="CG163">
        <v>15362483</v>
      </c>
      <c r="CH163" t="s">
        <v>1681</v>
      </c>
      <c r="CI163" s="10">
        <v>1149000</v>
      </c>
    </row>
    <row r="164" spans="1:89">
      <c r="A164">
        <v>27148015</v>
      </c>
      <c r="B164" s="2" t="str">
        <f>HYPERLINK("http://www.redfin.com/stingray/do/printable-listing?listing-id=1045456","Subject To Inspection")</f>
        <v>Subject To Inspection</v>
      </c>
      <c r="D164" t="s">
        <v>5216</v>
      </c>
      <c r="E164" t="s">
        <v>5219</v>
      </c>
      <c r="F164">
        <v>874950</v>
      </c>
      <c r="G164">
        <v>1964</v>
      </c>
      <c r="H164">
        <v>3090</v>
      </c>
      <c r="I164">
        <v>8400</v>
      </c>
      <c r="J164">
        <v>3</v>
      </c>
      <c r="K164">
        <v>3</v>
      </c>
      <c r="M164" s="2" t="str">
        <f>HYPERLINK("http://maps.live.com/default.aspx?v=2&amp;lvl=15&amp;sp=Point.47.611117_-122.111851_200 173rd Pl NE&amp;cp=47.611117~-122.111851","Map")</f>
        <v>Map</v>
      </c>
      <c r="N164" s="2" t="str">
        <f>HYPERLINK("http://i-0.rfimg.us/photo/1/bigphoto/015/27148015_4.jpg","Photo")</f>
        <v>Photo</v>
      </c>
      <c r="AG164">
        <v>47.611117</v>
      </c>
      <c r="AH164">
        <v>-122.111851</v>
      </c>
      <c r="AI164" t="s">
        <v>369</v>
      </c>
      <c r="AJ164">
        <v>98008</v>
      </c>
      <c r="BC164" s="22">
        <v>39307.565069444441</v>
      </c>
      <c r="BI164" s="7">
        <v>39532</v>
      </c>
      <c r="BL164">
        <v>17499</v>
      </c>
      <c r="BM164">
        <v>1045456</v>
      </c>
      <c r="BN164" t="s">
        <v>1768</v>
      </c>
      <c r="BO164" s="17">
        <f t="shared" ca="1" si="2"/>
        <v>241.74433645833778</v>
      </c>
      <c r="BP164" t="b">
        <v>0</v>
      </c>
      <c r="BQ164">
        <v>2</v>
      </c>
      <c r="BR164" t="s">
        <v>1842</v>
      </c>
      <c r="BS164" t="s">
        <v>5220</v>
      </c>
      <c r="BT164" t="b">
        <v>0</v>
      </c>
      <c r="BV164" t="s">
        <v>1668</v>
      </c>
      <c r="BW164">
        <v>200</v>
      </c>
      <c r="BX164" t="s">
        <v>1738</v>
      </c>
      <c r="BY164">
        <v>500377</v>
      </c>
      <c r="BZ164" t="s">
        <v>5221</v>
      </c>
      <c r="CA164">
        <v>1</v>
      </c>
      <c r="CB164" t="b">
        <v>1</v>
      </c>
      <c r="CC164">
        <v>0</v>
      </c>
      <c r="CD164" t="b">
        <v>0</v>
      </c>
      <c r="CE164" t="b">
        <v>0</v>
      </c>
      <c r="CF164" t="b">
        <v>1</v>
      </c>
      <c r="CG164">
        <v>2388763</v>
      </c>
      <c r="CH164" t="s">
        <v>1681</v>
      </c>
      <c r="CI164" s="10">
        <v>874950</v>
      </c>
    </row>
    <row r="165" spans="1:89">
      <c r="A165">
        <v>27148304</v>
      </c>
      <c r="B165" s="2" t="str">
        <f>HYPERLINK("http://www.redfin.com/stingray/do/printable-listing?listing-id=1045458","Active")</f>
        <v>Active</v>
      </c>
      <c r="D165" t="s">
        <v>5201</v>
      </c>
      <c r="E165" t="s">
        <v>5414</v>
      </c>
      <c r="F165">
        <v>949950</v>
      </c>
      <c r="G165">
        <v>1961</v>
      </c>
      <c r="H165">
        <v>2410</v>
      </c>
      <c r="I165">
        <v>70567</v>
      </c>
      <c r="J165">
        <v>3</v>
      </c>
      <c r="K165">
        <v>1.75</v>
      </c>
      <c r="M165" s="2" t="str">
        <f>HYPERLINK("http://maps.live.com/default.aspx?v=2&amp;lvl=15&amp;sp=Point.47.595288_-122.124761_16041 SE 16th St&amp;cp=47.595288~-122.124761","Map")</f>
        <v>Map</v>
      </c>
      <c r="N165" s="2" t="str">
        <f>HYPERLINK("http://i-0.rfimg.us/photo/1/bigphoto/304/27148304_3.jpg","Photo")</f>
        <v>Photo</v>
      </c>
      <c r="AG165">
        <v>47.595287999999996</v>
      </c>
      <c r="AH165">
        <v>-122.12476100000001</v>
      </c>
      <c r="AI165" t="s">
        <v>369</v>
      </c>
      <c r="AJ165">
        <v>98008</v>
      </c>
      <c r="AN165">
        <v>343000</v>
      </c>
      <c r="BC165" s="22">
        <v>39307.565185185187</v>
      </c>
      <c r="BI165" s="22">
        <v>39549.294907407406</v>
      </c>
      <c r="BL165">
        <v>18999</v>
      </c>
      <c r="BM165">
        <v>1045458</v>
      </c>
      <c r="BN165" t="s">
        <v>1674</v>
      </c>
      <c r="BO165" s="17">
        <f t="shared" ca="1" si="2"/>
        <v>241.74422071759182</v>
      </c>
      <c r="BP165" t="b">
        <v>0</v>
      </c>
      <c r="BQ165">
        <v>1</v>
      </c>
      <c r="BR165" t="s">
        <v>1686</v>
      </c>
      <c r="BS165" t="s">
        <v>1695</v>
      </c>
      <c r="BT165" t="b">
        <v>0</v>
      </c>
      <c r="BU165" t="s">
        <v>3856</v>
      </c>
      <c r="BV165" t="s">
        <v>1668</v>
      </c>
      <c r="BW165">
        <v>16041</v>
      </c>
      <c r="BY165">
        <v>428276</v>
      </c>
      <c r="BZ165" t="s">
        <v>5415</v>
      </c>
      <c r="CA165">
        <v>1</v>
      </c>
      <c r="CB165" t="b">
        <v>1</v>
      </c>
      <c r="CC165">
        <v>0</v>
      </c>
      <c r="CD165" t="b">
        <v>0</v>
      </c>
      <c r="CE165" t="b">
        <v>0</v>
      </c>
      <c r="CF165" t="b">
        <v>1</v>
      </c>
      <c r="CG165">
        <v>2767401</v>
      </c>
      <c r="CH165" t="s">
        <v>1681</v>
      </c>
      <c r="CI165" s="10">
        <v>949950</v>
      </c>
      <c r="CJ165" s="7">
        <v>35454</v>
      </c>
    </row>
    <row r="166" spans="1:89">
      <c r="A166">
        <v>27148510</v>
      </c>
      <c r="B166" s="2" t="str">
        <f>HYPERLINK("http://www.redfin.com/stingray/do/printable-listing?listing-id=1046565","Active")</f>
        <v>Active</v>
      </c>
      <c r="D166" t="s">
        <v>5140</v>
      </c>
      <c r="E166" t="s">
        <v>5348</v>
      </c>
      <c r="F166">
        <v>674500</v>
      </c>
      <c r="G166">
        <v>1967</v>
      </c>
      <c r="H166">
        <v>1920</v>
      </c>
      <c r="I166">
        <v>8875</v>
      </c>
      <c r="J166">
        <v>3</v>
      </c>
      <c r="K166">
        <v>2.5</v>
      </c>
      <c r="M166" s="2" t="str">
        <f>HYPERLINK("http://maps.live.com/default.aspx?v=2&amp;lvl=15&amp;sp=Point.47.567605_-122.226539_4346 Island Crest Way&amp;cp=47.567605~-122.226539","Map")</f>
        <v>Map</v>
      </c>
      <c r="N166" s="2" t="str">
        <f>HYPERLINK("http://i-0.rfimg.us/photo/1/bigphoto/510/27148510_1.jpg","Photo")</f>
        <v>Photo</v>
      </c>
      <c r="AG166">
        <v>47.567605</v>
      </c>
      <c r="AH166">
        <v>-122.226539</v>
      </c>
      <c r="AI166" t="s">
        <v>5139</v>
      </c>
      <c r="AJ166">
        <v>98040</v>
      </c>
      <c r="AN166">
        <v>98750</v>
      </c>
      <c r="BC166" s="22">
        <v>39308.087766203702</v>
      </c>
      <c r="BI166" s="22">
        <v>39549.294907407406</v>
      </c>
      <c r="BL166">
        <v>13490</v>
      </c>
      <c r="BM166">
        <v>1046565</v>
      </c>
      <c r="BN166" t="s">
        <v>1674</v>
      </c>
      <c r="BO166" s="17">
        <f t="shared" ca="1" si="2"/>
        <v>241.22163969907706</v>
      </c>
      <c r="BP166" t="b">
        <v>0</v>
      </c>
      <c r="BQ166">
        <v>1</v>
      </c>
      <c r="BR166" t="s">
        <v>2463</v>
      </c>
      <c r="BS166" t="s">
        <v>5349</v>
      </c>
      <c r="BT166" t="b">
        <v>0</v>
      </c>
      <c r="BV166" t="s">
        <v>1668</v>
      </c>
      <c r="BW166">
        <v>4346</v>
      </c>
      <c r="BY166">
        <v>255487</v>
      </c>
      <c r="BZ166" t="s">
        <v>5350</v>
      </c>
      <c r="CA166">
        <v>1</v>
      </c>
      <c r="CB166" t="b">
        <v>1</v>
      </c>
      <c r="CC166">
        <v>0</v>
      </c>
      <c r="CD166" t="b">
        <v>0</v>
      </c>
      <c r="CE166" t="b">
        <v>0</v>
      </c>
      <c r="CF166" t="b">
        <v>1</v>
      </c>
      <c r="CG166">
        <v>2758812</v>
      </c>
      <c r="CH166" t="s">
        <v>1681</v>
      </c>
      <c r="CI166" s="10">
        <v>674500</v>
      </c>
      <c r="CJ166" s="7">
        <v>31943</v>
      </c>
    </row>
    <row r="167" spans="1:89">
      <c r="A167">
        <v>27148809</v>
      </c>
      <c r="B167" s="2" t="str">
        <f>HYPERLINK("http://www.redfin.com/stingray/do/printable-listing?listing-id=1047638","Active")</f>
        <v>Active</v>
      </c>
      <c r="D167" t="s">
        <v>1972</v>
      </c>
      <c r="E167" t="s">
        <v>1970</v>
      </c>
      <c r="F167">
        <v>4500000</v>
      </c>
      <c r="G167">
        <v>1998</v>
      </c>
      <c r="H167">
        <v>6106</v>
      </c>
      <c r="I167">
        <v>86249</v>
      </c>
      <c r="J167">
        <v>5</v>
      </c>
      <c r="K167">
        <v>3.75</v>
      </c>
      <c r="M167" s="2" t="str">
        <f>HYPERLINK("http://maps.live.com/default.aspx?v=2&amp;lvl=15&amp;sp=adr.65 Lot-The Highlands (Unable to map),98177","Map")</f>
        <v>Map</v>
      </c>
      <c r="N167" s="2" t="str">
        <f>HYPERLINK("http://i-0.rfimg.us/photo/1/bigphoto/809/27148809_1.jpg","Photo")</f>
        <v>Photo</v>
      </c>
      <c r="AI167" t="s">
        <v>66</v>
      </c>
      <c r="AJ167">
        <v>98177</v>
      </c>
      <c r="BC167" s="22">
        <v>39308.414004629631</v>
      </c>
      <c r="BI167" s="22">
        <v>39549.294907407406</v>
      </c>
      <c r="BL167">
        <v>90000</v>
      </c>
      <c r="BM167">
        <v>1047638</v>
      </c>
      <c r="BN167" t="s">
        <v>1829</v>
      </c>
      <c r="BO167" s="17">
        <f t="shared" ca="1" si="2"/>
        <v>240.89540138888697</v>
      </c>
      <c r="BP167" t="b">
        <v>0</v>
      </c>
      <c r="BQ167">
        <v>1</v>
      </c>
      <c r="BS167" t="s">
        <v>1971</v>
      </c>
      <c r="BT167" t="b">
        <v>0</v>
      </c>
      <c r="BV167" t="s">
        <v>1668</v>
      </c>
      <c r="BW167">
        <v>65</v>
      </c>
      <c r="BY167">
        <v>0</v>
      </c>
      <c r="BZ167" t="s">
        <v>1709</v>
      </c>
      <c r="CA167">
        <v>1</v>
      </c>
      <c r="CB167" t="b">
        <v>1</v>
      </c>
      <c r="CC167">
        <v>0</v>
      </c>
      <c r="CD167" t="b">
        <v>0</v>
      </c>
      <c r="CE167" t="b">
        <v>0</v>
      </c>
      <c r="CF167" t="b">
        <v>1</v>
      </c>
      <c r="CG167" t="s">
        <v>1870</v>
      </c>
      <c r="CH167" t="s">
        <v>1681</v>
      </c>
      <c r="CI167" s="10">
        <v>4500000</v>
      </c>
    </row>
    <row r="168" spans="1:89">
      <c r="A168">
        <v>27149043</v>
      </c>
      <c r="B168" s="2" t="str">
        <f>HYPERLINK("http://www.redfin.com/stingray/do/printable-listing?listing-id=1052280","Active")</f>
        <v>Active</v>
      </c>
      <c r="D168" t="s">
        <v>3966</v>
      </c>
      <c r="E168" t="s">
        <v>3972</v>
      </c>
      <c r="F168">
        <v>725000</v>
      </c>
      <c r="G168">
        <v>1923</v>
      </c>
      <c r="H168">
        <v>2900</v>
      </c>
      <c r="I168">
        <v>7051</v>
      </c>
      <c r="J168">
        <v>3</v>
      </c>
      <c r="K168">
        <v>2</v>
      </c>
      <c r="M168" s="2" t="str">
        <f>HYPERLINK("http://maps.live.com/default.aspx?v=2&amp;lvl=15&amp;sp=Point.47.60826_-122.293429_710 30th Ave&amp;cp=47.60826~-122.293429","Map")</f>
        <v>Map</v>
      </c>
      <c r="N168" s="2" t="str">
        <f>HYPERLINK("http://i-0.rfimg.us/photo/1/bigphoto/043/27149043_9.jpg","Photo")</f>
        <v>Photo</v>
      </c>
      <c r="AG168">
        <v>47.608260000000001</v>
      </c>
      <c r="AH168">
        <v>-122.293429</v>
      </c>
      <c r="AI168" t="s">
        <v>66</v>
      </c>
      <c r="AJ168">
        <v>98122</v>
      </c>
      <c r="AN168">
        <v>950000</v>
      </c>
      <c r="BC168" s="22">
        <v>39310.046400462961</v>
      </c>
      <c r="BI168" s="22">
        <v>39549.294907407406</v>
      </c>
      <c r="BL168">
        <v>14500</v>
      </c>
      <c r="BM168">
        <v>1052280</v>
      </c>
      <c r="BN168" t="s">
        <v>1766</v>
      </c>
      <c r="BO168" s="17">
        <f t="shared" ca="1" si="2"/>
        <v>239.26300543981779</v>
      </c>
      <c r="BP168" t="b">
        <v>0</v>
      </c>
      <c r="BQ168">
        <v>1</v>
      </c>
      <c r="BR168" t="s">
        <v>1667</v>
      </c>
      <c r="BS168" t="s">
        <v>1818</v>
      </c>
      <c r="BT168" t="b">
        <v>0</v>
      </c>
      <c r="BV168" t="s">
        <v>1668</v>
      </c>
      <c r="BW168">
        <v>710</v>
      </c>
      <c r="BY168">
        <v>146974</v>
      </c>
      <c r="BZ168" t="s">
        <v>3973</v>
      </c>
      <c r="CA168">
        <v>1</v>
      </c>
      <c r="CB168" t="b">
        <v>1</v>
      </c>
      <c r="CC168">
        <v>0</v>
      </c>
      <c r="CD168" t="b">
        <v>0</v>
      </c>
      <c r="CE168" t="b">
        <v>0</v>
      </c>
      <c r="CF168" t="b">
        <v>1</v>
      </c>
      <c r="CG168">
        <v>2537364</v>
      </c>
      <c r="CH168" t="s">
        <v>1681</v>
      </c>
      <c r="CI168" s="10">
        <v>725000</v>
      </c>
      <c r="CJ168" s="7">
        <v>39265</v>
      </c>
    </row>
    <row r="169" spans="1:89">
      <c r="A169">
        <v>27149127</v>
      </c>
      <c r="B169" s="2" t="str">
        <f>HYPERLINK("http://www.redfin.com/stingray/do/printable-listing?listing-id=1048001","Active")</f>
        <v>Active</v>
      </c>
      <c r="D169" t="s">
        <v>369</v>
      </c>
      <c r="E169" t="s">
        <v>5612</v>
      </c>
      <c r="F169">
        <v>579999</v>
      </c>
      <c r="G169">
        <v>1976</v>
      </c>
      <c r="H169">
        <v>2620</v>
      </c>
      <c r="I169">
        <v>7210</v>
      </c>
      <c r="J169">
        <v>4</v>
      </c>
      <c r="K169">
        <v>2.75</v>
      </c>
      <c r="M169" s="2" t="str">
        <f>HYPERLINK("http://maps.live.com/default.aspx?v=2&amp;lvl=15&amp;sp=Point.47.559658_-122.139151_15114 SE 48th Dr&amp;cp=47.559658~-122.139151","Map")</f>
        <v>Map</v>
      </c>
      <c r="N169" s="2" t="str">
        <f>HYPERLINK("http://i-0.rfimg.us/photo/1/bigphoto/127/27149127_A.jpg","Photo")</f>
        <v>Photo</v>
      </c>
      <c r="AG169">
        <v>47.559657999999999</v>
      </c>
      <c r="AH169">
        <v>-122.139151</v>
      </c>
      <c r="AI169" t="s">
        <v>369</v>
      </c>
      <c r="AJ169">
        <v>98006</v>
      </c>
      <c r="AN169">
        <v>202995</v>
      </c>
      <c r="BC169" s="22">
        <v>39308.552800925929</v>
      </c>
      <c r="BI169" s="22">
        <v>39549.294907407406</v>
      </c>
      <c r="BL169">
        <v>11600</v>
      </c>
      <c r="BM169">
        <v>1048001</v>
      </c>
      <c r="BN169" t="s">
        <v>1674</v>
      </c>
      <c r="BO169" s="17">
        <f t="shared" ca="1" si="2"/>
        <v>240.75660497685021</v>
      </c>
      <c r="BP169" t="b">
        <v>0</v>
      </c>
      <c r="BQ169">
        <v>1</v>
      </c>
      <c r="BR169" t="s">
        <v>1816</v>
      </c>
      <c r="BS169" t="s">
        <v>2443</v>
      </c>
      <c r="BT169" t="b">
        <v>0</v>
      </c>
      <c r="BU169" t="s">
        <v>3856</v>
      </c>
      <c r="BV169" t="s">
        <v>1668</v>
      </c>
      <c r="BW169">
        <v>15114</v>
      </c>
      <c r="BY169">
        <v>236318</v>
      </c>
      <c r="BZ169" t="s">
        <v>5613</v>
      </c>
      <c r="CA169">
        <v>1</v>
      </c>
      <c r="CB169" t="b">
        <v>1</v>
      </c>
      <c r="CC169">
        <v>0</v>
      </c>
      <c r="CD169" t="b">
        <v>0</v>
      </c>
      <c r="CE169" t="b">
        <v>0</v>
      </c>
      <c r="CF169" t="b">
        <v>1</v>
      </c>
      <c r="CG169">
        <v>2962991</v>
      </c>
      <c r="CH169" t="s">
        <v>1681</v>
      </c>
      <c r="CI169" s="10">
        <v>579999</v>
      </c>
      <c r="CJ169" s="7">
        <v>34143</v>
      </c>
    </row>
    <row r="170" spans="1:89">
      <c r="A170">
        <v>27149384</v>
      </c>
      <c r="B170" s="15" t="str">
        <f>HYPERLINK("http://www.redfin.com/stingray/do/printable-listing?listing-id=1050959","Active")</f>
        <v>Active</v>
      </c>
      <c r="D170" t="s">
        <v>5926</v>
      </c>
      <c r="E170" t="s">
        <v>6147</v>
      </c>
      <c r="F170" s="19">
        <v>479950</v>
      </c>
      <c r="G170">
        <v>1953</v>
      </c>
      <c r="H170">
        <v>1230</v>
      </c>
      <c r="I170">
        <v>35305</v>
      </c>
      <c r="J170">
        <v>2</v>
      </c>
      <c r="K170">
        <v>1</v>
      </c>
      <c r="M170" s="2" t="str">
        <f>HYPERLINK("http://maps.live.com/default.aspx?v=2&amp;lvl=15&amp;sp=Point.47.511579_-122.195767_2208 Jones Ave NE&amp;cp=47.511579~-122.195767","Map")</f>
        <v>Map</v>
      </c>
      <c r="N170" s="2" t="str">
        <f>HYPERLINK("http://i-0.rfimg.us/photo/1/bigphoto/384/27149384_0.jpg","Photo")</f>
        <v>Photo</v>
      </c>
      <c r="AG170">
        <v>47.511578999999998</v>
      </c>
      <c r="AH170">
        <v>-122.195767</v>
      </c>
      <c r="AI170" t="s">
        <v>1077</v>
      </c>
      <c r="AJ170">
        <v>98056</v>
      </c>
      <c r="BC170" s="22">
        <v>39309.699224537035</v>
      </c>
      <c r="BI170" s="22">
        <v>39549.294907407406</v>
      </c>
      <c r="BL170">
        <v>11999</v>
      </c>
      <c r="BM170">
        <v>1050959</v>
      </c>
      <c r="BN170" t="s">
        <v>6146</v>
      </c>
      <c r="BO170" s="17">
        <f t="shared" ca="1" si="2"/>
        <v>239.61018136574421</v>
      </c>
      <c r="BP170" t="b">
        <v>0</v>
      </c>
      <c r="BQ170">
        <v>1</v>
      </c>
      <c r="BR170" t="s">
        <v>1667</v>
      </c>
      <c r="BS170" t="s">
        <v>6148</v>
      </c>
      <c r="BT170" t="b">
        <v>0</v>
      </c>
      <c r="BV170" t="s">
        <v>1668</v>
      </c>
      <c r="BW170">
        <v>2208</v>
      </c>
      <c r="BX170" t="s">
        <v>1738</v>
      </c>
      <c r="BY170">
        <v>410771</v>
      </c>
      <c r="BZ170" t="s">
        <v>1743</v>
      </c>
      <c r="CA170">
        <v>1</v>
      </c>
      <c r="CB170" t="b">
        <v>1</v>
      </c>
      <c r="CC170">
        <v>0</v>
      </c>
      <c r="CD170" t="b">
        <v>0</v>
      </c>
      <c r="CE170" t="b">
        <v>0</v>
      </c>
      <c r="CF170" t="b">
        <v>1</v>
      </c>
      <c r="CG170">
        <v>2569872</v>
      </c>
      <c r="CH170" t="s">
        <v>1681</v>
      </c>
      <c r="CI170" s="10">
        <v>599950</v>
      </c>
    </row>
    <row r="171" spans="1:89">
      <c r="A171">
        <v>27149473</v>
      </c>
      <c r="B171" s="2" t="str">
        <f>HYPERLINK("http://www.redfin.com/stingray/do/printable-listing?listing-id=1048423","Active")</f>
        <v>Active</v>
      </c>
      <c r="D171" t="s">
        <v>5926</v>
      </c>
      <c r="E171" t="s">
        <v>6070</v>
      </c>
      <c r="F171">
        <v>459000</v>
      </c>
      <c r="G171">
        <v>1937</v>
      </c>
      <c r="H171">
        <v>1310</v>
      </c>
      <c r="I171">
        <v>12964</v>
      </c>
      <c r="J171">
        <v>3</v>
      </c>
      <c r="K171">
        <v>1</v>
      </c>
      <c r="M171" s="2" t="str">
        <f>HYPERLINK("http://maps.live.com/default.aspx?v=2&amp;lvl=15&amp;sp=Point.47.510922_-122.184931_2525 NE 22nd St&amp;cp=47.510922~-122.184931","Map")</f>
        <v>Map</v>
      </c>
      <c r="N171" s="2" t="str">
        <f>HYPERLINK("http://i-0.rfimg.us/photo/1/bigphoto/473/27149473_3.jpg","Photo")</f>
        <v>Photo</v>
      </c>
      <c r="AG171">
        <v>47.510922000000001</v>
      </c>
      <c r="AH171">
        <v>-122.18493100000001</v>
      </c>
      <c r="AI171" t="s">
        <v>1077</v>
      </c>
      <c r="AJ171">
        <v>98056</v>
      </c>
      <c r="AN171">
        <v>219000</v>
      </c>
      <c r="BC171" s="22">
        <v>39308.729629629626</v>
      </c>
      <c r="BI171" s="22">
        <v>39549.294907407406</v>
      </c>
      <c r="BL171">
        <v>9180</v>
      </c>
      <c r="BM171">
        <v>1048423</v>
      </c>
      <c r="BN171" t="s">
        <v>2590</v>
      </c>
      <c r="BO171" s="17">
        <f t="shared" ca="1" si="2"/>
        <v>240.57977627315267</v>
      </c>
      <c r="BP171" t="b">
        <v>0</v>
      </c>
      <c r="BQ171">
        <v>1</v>
      </c>
      <c r="BR171" t="s">
        <v>1686</v>
      </c>
      <c r="BS171" t="s">
        <v>1692</v>
      </c>
      <c r="BT171" t="b">
        <v>0</v>
      </c>
      <c r="BU171" t="s">
        <v>1738</v>
      </c>
      <c r="BV171" t="s">
        <v>1668</v>
      </c>
      <c r="BW171">
        <v>2525</v>
      </c>
      <c r="BY171">
        <v>409963</v>
      </c>
      <c r="BZ171" t="s">
        <v>6071</v>
      </c>
      <c r="CA171">
        <v>1</v>
      </c>
      <c r="CB171" t="b">
        <v>1</v>
      </c>
      <c r="CC171">
        <v>0</v>
      </c>
      <c r="CD171" t="b">
        <v>0</v>
      </c>
      <c r="CE171" t="b">
        <v>0</v>
      </c>
      <c r="CF171" t="b">
        <v>1</v>
      </c>
      <c r="CG171">
        <v>2517250</v>
      </c>
      <c r="CH171" t="s">
        <v>1681</v>
      </c>
      <c r="CI171" s="10">
        <v>459000</v>
      </c>
      <c r="CJ171" s="7">
        <v>38107</v>
      </c>
    </row>
    <row r="172" spans="1:89">
      <c r="A172">
        <v>27149662</v>
      </c>
      <c r="B172" s="2" t="str">
        <f>HYPERLINK("http://www.redfin.com/stingray/do/printable-listing?listing-id=1055451","Active")</f>
        <v>Active</v>
      </c>
      <c r="D172" t="s">
        <v>369</v>
      </c>
      <c r="E172" t="s">
        <v>5723</v>
      </c>
      <c r="F172">
        <v>799000</v>
      </c>
      <c r="G172">
        <v>2008</v>
      </c>
      <c r="H172">
        <v>3642</v>
      </c>
      <c r="I172">
        <v>12436</v>
      </c>
      <c r="J172">
        <v>4</v>
      </c>
      <c r="K172">
        <v>2.5</v>
      </c>
      <c r="M172" s="2" t="str">
        <f>HYPERLINK("http://maps.live.com/default.aspx?v=2&amp;lvl=15&amp;sp=Point.47.545507_-122.190105_11209 SE 64th St./ Lot 1&amp;cp=47.545507~-122.190105","Map")</f>
        <v>Map</v>
      </c>
      <c r="N172" s="2" t="str">
        <f>HYPERLINK("http://i-0.rfimg.us/photo/1/bigphoto/662/27149662_G.jpg","Photo")</f>
        <v>Photo</v>
      </c>
      <c r="AG172">
        <v>47.545507000000001</v>
      </c>
      <c r="AH172">
        <v>-122.190105</v>
      </c>
      <c r="AI172" t="s">
        <v>369</v>
      </c>
      <c r="AJ172">
        <v>98006</v>
      </c>
      <c r="BC172" s="22">
        <v>39311.43341435185</v>
      </c>
      <c r="BI172" s="22">
        <v>39549.294907407406</v>
      </c>
      <c r="BL172">
        <v>15980</v>
      </c>
      <c r="BM172">
        <v>1055451</v>
      </c>
      <c r="BN172" t="s">
        <v>2136</v>
      </c>
      <c r="BO172" s="17">
        <f t="shared" ca="1" si="2"/>
        <v>237.87599155092903</v>
      </c>
      <c r="BP172" t="b">
        <v>0</v>
      </c>
      <c r="BQ172">
        <v>1</v>
      </c>
      <c r="BS172" t="s">
        <v>5724</v>
      </c>
      <c r="BT172" t="b">
        <v>0</v>
      </c>
      <c r="BU172" t="s">
        <v>3856</v>
      </c>
      <c r="BV172" t="s">
        <v>1668</v>
      </c>
      <c r="BW172">
        <v>11209</v>
      </c>
      <c r="BY172">
        <v>12309987</v>
      </c>
      <c r="BZ172" t="s">
        <v>5725</v>
      </c>
      <c r="CA172">
        <v>1</v>
      </c>
      <c r="CB172" t="b">
        <v>1</v>
      </c>
      <c r="CC172">
        <v>0</v>
      </c>
      <c r="CD172" t="b">
        <v>0</v>
      </c>
      <c r="CE172" t="b">
        <v>0</v>
      </c>
      <c r="CF172" t="b">
        <v>1</v>
      </c>
      <c r="CG172">
        <v>15516569</v>
      </c>
      <c r="CH172" t="s">
        <v>1681</v>
      </c>
      <c r="CI172" s="10">
        <v>799000</v>
      </c>
    </row>
    <row r="173" spans="1:89">
      <c r="A173">
        <v>27149673</v>
      </c>
      <c r="B173" s="2" t="str">
        <f>HYPERLINK("http://www.redfin.com/stingray/do/printable-listing?listing-id=1055449","Active")</f>
        <v>Active</v>
      </c>
      <c r="D173" t="s">
        <v>369</v>
      </c>
      <c r="E173" t="s">
        <v>5714</v>
      </c>
      <c r="F173" s="19">
        <v>899000</v>
      </c>
      <c r="G173">
        <v>2008</v>
      </c>
      <c r="H173">
        <v>3912</v>
      </c>
      <c r="I173">
        <v>8857</v>
      </c>
      <c r="J173">
        <v>5</v>
      </c>
      <c r="K173">
        <v>4.25</v>
      </c>
      <c r="M173" s="2" t="str">
        <f>HYPERLINK("http://maps.live.com/default.aspx?v=2&amp;lvl=15&amp;sp=Point.47.545663_-122.189758_11217 SE 64th St./Lot 2&amp;cp=47.545663~-122.189758","Map")</f>
        <v>Map</v>
      </c>
      <c r="N173" s="2" t="str">
        <f>HYPERLINK("http://i-0.rfimg.us/photo/1/bigphoto/673/27149673_P.jpg","Photo")</f>
        <v>Photo</v>
      </c>
      <c r="AG173">
        <v>47.545662999999998</v>
      </c>
      <c r="AH173">
        <v>-122.189758</v>
      </c>
      <c r="AI173" t="s">
        <v>369</v>
      </c>
      <c r="AJ173">
        <v>98006</v>
      </c>
      <c r="BC173" s="22">
        <v>39311.43341435185</v>
      </c>
      <c r="BI173" s="22">
        <v>39549.294907407406</v>
      </c>
      <c r="BL173">
        <v>19980</v>
      </c>
      <c r="BM173">
        <v>1055449</v>
      </c>
      <c r="BN173" t="s">
        <v>2136</v>
      </c>
      <c r="BO173" s="17">
        <f t="shared" ca="1" si="2"/>
        <v>237.87599155092903</v>
      </c>
      <c r="BP173" t="b">
        <v>0</v>
      </c>
      <c r="BQ173">
        <v>1</v>
      </c>
      <c r="BS173" t="s">
        <v>5715</v>
      </c>
      <c r="BT173" t="b">
        <v>0</v>
      </c>
      <c r="BU173" t="s">
        <v>3856</v>
      </c>
      <c r="BV173" t="s">
        <v>1668</v>
      </c>
      <c r="BW173">
        <v>11217</v>
      </c>
      <c r="BY173">
        <v>12309986</v>
      </c>
      <c r="BZ173" t="s">
        <v>5716</v>
      </c>
      <c r="CA173">
        <v>1</v>
      </c>
      <c r="CB173" t="b">
        <v>1</v>
      </c>
      <c r="CC173">
        <v>0</v>
      </c>
      <c r="CD173" t="b">
        <v>0</v>
      </c>
      <c r="CE173" t="b">
        <v>0</v>
      </c>
      <c r="CF173" t="b">
        <v>1</v>
      </c>
      <c r="CG173">
        <v>15516568</v>
      </c>
      <c r="CH173" t="s">
        <v>1681</v>
      </c>
      <c r="CI173" s="10">
        <v>999000</v>
      </c>
      <c r="CK173" t="s">
        <v>6499</v>
      </c>
    </row>
    <row r="174" spans="1:89">
      <c r="A174">
        <v>27149755</v>
      </c>
      <c r="B174" s="2" t="str">
        <f>HYPERLINK("http://www.redfin.com/stingray/do/printable-listing?listing-id=1049308","Active")</f>
        <v>Active</v>
      </c>
      <c r="D174" t="s">
        <v>5490</v>
      </c>
      <c r="E174" t="s">
        <v>5757</v>
      </c>
      <c r="F174">
        <v>1029000</v>
      </c>
      <c r="G174">
        <v>2008</v>
      </c>
      <c r="H174">
        <v>3290</v>
      </c>
      <c r="I174">
        <v>8043</v>
      </c>
      <c r="J174">
        <v>5</v>
      </c>
      <c r="K174">
        <v>3</v>
      </c>
      <c r="M174" s="2" t="str">
        <f>HYPERLINK("http://maps.live.com/default.aspx?v=2&amp;lvl=15&amp;sp=Point.47.5641_-122.0818_16118 SE 45th Pl&amp;cp=47.5641~-122.0818","Map")</f>
        <v>Map</v>
      </c>
      <c r="N174" s="2" t="str">
        <f>HYPERLINK("http://i-0.rfimg.us/photo/1/bigphoto/755/27149755_O.jpg","Photo")</f>
        <v>Photo</v>
      </c>
      <c r="AG174">
        <v>47.564100000000003</v>
      </c>
      <c r="AH174">
        <v>-122.0818</v>
      </c>
      <c r="AI174" t="s">
        <v>5280</v>
      </c>
      <c r="AJ174">
        <v>98027</v>
      </c>
      <c r="AN174">
        <v>2520000</v>
      </c>
      <c r="BC174" s="22">
        <v>39309.423761574071</v>
      </c>
      <c r="BI174" s="22">
        <v>39549.294907407406</v>
      </c>
      <c r="BL174">
        <v>20580</v>
      </c>
      <c r="BM174">
        <v>1049308</v>
      </c>
      <c r="BN174" t="s">
        <v>1768</v>
      </c>
      <c r="BO174" s="17">
        <f t="shared" ca="1" si="2"/>
        <v>239.88564432870771</v>
      </c>
      <c r="BP174" t="b">
        <v>0</v>
      </c>
      <c r="BQ174">
        <v>1</v>
      </c>
      <c r="BR174" t="s">
        <v>1842</v>
      </c>
      <c r="BS174" t="s">
        <v>2667</v>
      </c>
      <c r="BT174" t="b">
        <v>0</v>
      </c>
      <c r="BU174" t="s">
        <v>3856</v>
      </c>
      <c r="BV174" t="s">
        <v>1668</v>
      </c>
      <c r="BW174">
        <v>16118</v>
      </c>
      <c r="BY174">
        <v>12109620</v>
      </c>
      <c r="BZ174" t="s">
        <v>5758</v>
      </c>
      <c r="CA174">
        <v>1</v>
      </c>
      <c r="CB174" t="b">
        <v>1</v>
      </c>
      <c r="CC174">
        <v>0</v>
      </c>
      <c r="CD174" t="b">
        <v>0</v>
      </c>
      <c r="CE174" t="b">
        <v>0</v>
      </c>
      <c r="CF174" t="b">
        <v>1</v>
      </c>
      <c r="CG174">
        <v>15537226</v>
      </c>
      <c r="CH174" t="s">
        <v>1681</v>
      </c>
      <c r="CI174" s="10">
        <v>1029000</v>
      </c>
      <c r="CJ174" s="7">
        <v>39126</v>
      </c>
    </row>
    <row r="175" spans="1:89">
      <c r="A175">
        <v>27149860</v>
      </c>
      <c r="B175" s="2" t="str">
        <f>HYPERLINK("http://www.redfin.com/stingray/do/printable-listing?listing-id=1064284","Active")</f>
        <v>Active</v>
      </c>
      <c r="D175" t="s">
        <v>3714</v>
      </c>
      <c r="E175" t="s">
        <v>3769</v>
      </c>
      <c r="F175" s="19">
        <v>1695000</v>
      </c>
      <c r="G175">
        <v>1962</v>
      </c>
      <c r="H175">
        <v>3840</v>
      </c>
      <c r="I175">
        <v>8402</v>
      </c>
      <c r="J175">
        <v>4</v>
      </c>
      <c r="K175">
        <v>2.5</v>
      </c>
      <c r="M175" s="2" t="str">
        <f>HYPERLINK("http://maps.live.com/default.aspx?v=2&amp;lvl=15&amp;sp=Point.47.634847_-122.289594_1645 Shenandoah Dr E&amp;cp=47.634847~-122.289594","Map")</f>
        <v>Map</v>
      </c>
      <c r="N175" s="2" t="str">
        <f>HYPERLINK("http://i-0.rfimg.us/photo/1/bigphoto/860/27149860_4.jpg","Photo")</f>
        <v>Photo</v>
      </c>
      <c r="AG175">
        <v>47.634847000000001</v>
      </c>
      <c r="AH175">
        <v>-122.28959399999999</v>
      </c>
      <c r="AI175" t="s">
        <v>66</v>
      </c>
      <c r="AJ175">
        <v>98112</v>
      </c>
      <c r="AN175">
        <v>510000</v>
      </c>
      <c r="BC175" s="22">
        <v>39314.575775462959</v>
      </c>
      <c r="BI175" s="22">
        <v>39549.294907407406</v>
      </c>
      <c r="BL175">
        <v>35900</v>
      </c>
      <c r="BM175">
        <v>1064284</v>
      </c>
      <c r="BN175" t="s">
        <v>2985</v>
      </c>
      <c r="BO175" s="17">
        <f t="shared" ca="1" si="2"/>
        <v>234.73363043981954</v>
      </c>
      <c r="BP175" t="b">
        <v>0</v>
      </c>
      <c r="BQ175">
        <v>1</v>
      </c>
      <c r="BR175" t="s">
        <v>1816</v>
      </c>
      <c r="BS175" t="s">
        <v>3712</v>
      </c>
      <c r="BT175" t="b">
        <v>0</v>
      </c>
      <c r="BV175" t="s">
        <v>1668</v>
      </c>
      <c r="BW175">
        <v>1645</v>
      </c>
      <c r="BX175" t="s">
        <v>2436</v>
      </c>
      <c r="BY175">
        <v>138873</v>
      </c>
      <c r="BZ175" t="s">
        <v>3770</v>
      </c>
      <c r="CA175">
        <v>1</v>
      </c>
      <c r="CB175" t="b">
        <v>1</v>
      </c>
      <c r="CC175">
        <v>0</v>
      </c>
      <c r="CD175" t="b">
        <v>0</v>
      </c>
      <c r="CE175" t="b">
        <v>0</v>
      </c>
      <c r="CF175" t="b">
        <v>1</v>
      </c>
      <c r="CG175">
        <v>2675363</v>
      </c>
      <c r="CH175" t="s">
        <v>1681</v>
      </c>
      <c r="CI175" s="10">
        <v>1795000</v>
      </c>
      <c r="CJ175" s="7">
        <v>33581</v>
      </c>
      <c r="CK175" t="s">
        <v>6361</v>
      </c>
    </row>
    <row r="176" spans="1:89">
      <c r="A176">
        <v>27149966</v>
      </c>
      <c r="B176" s="2" t="str">
        <f>HYPERLINK("http://www.redfin.com/stingray/do/printable-listing?listing-id=1049915","Active")</f>
        <v>Active</v>
      </c>
      <c r="D176" t="s">
        <v>1077</v>
      </c>
      <c r="E176" t="s">
        <v>3892</v>
      </c>
      <c r="F176">
        <v>645888</v>
      </c>
      <c r="G176">
        <v>2007</v>
      </c>
      <c r="H176">
        <v>3543</v>
      </c>
      <c r="I176">
        <v>0</v>
      </c>
      <c r="J176">
        <v>4</v>
      </c>
      <c r="K176">
        <v>3</v>
      </c>
      <c r="M176" s="2" t="str">
        <f>HYPERLINK("http://maps.live.com/default.aspx?v=2&amp;lvl=15&amp;sp=adr.6106 NE 3rd Ct (Unable to map),98059","Map")</f>
        <v>Map</v>
      </c>
      <c r="N176" s="2" t="str">
        <f>HYPERLINK("http://i-0.rfimg.us/photo/1/bigphoto/966/27149966_3.jpg","Photo")</f>
        <v>Photo</v>
      </c>
      <c r="AI176" t="s">
        <v>1077</v>
      </c>
      <c r="AJ176">
        <v>98059</v>
      </c>
      <c r="BC176" s="22">
        <v>39309.583611111113</v>
      </c>
      <c r="BI176" s="22">
        <v>39549.294907407406</v>
      </c>
      <c r="BL176">
        <v>12918</v>
      </c>
      <c r="BM176">
        <v>1049915</v>
      </c>
      <c r="BN176" t="s">
        <v>3236</v>
      </c>
      <c r="BO176" s="17">
        <f t="shared" ca="1" si="2"/>
        <v>239.72579479166598</v>
      </c>
      <c r="BP176" t="b">
        <v>0</v>
      </c>
      <c r="BQ176">
        <v>1</v>
      </c>
      <c r="BR176" t="s">
        <v>3768</v>
      </c>
      <c r="BS176" t="s">
        <v>1796</v>
      </c>
      <c r="BT176" t="b">
        <v>0</v>
      </c>
      <c r="BU176" t="s">
        <v>1738</v>
      </c>
      <c r="BV176" t="s">
        <v>1668</v>
      </c>
      <c r="BW176">
        <v>6106</v>
      </c>
      <c r="BY176">
        <v>0</v>
      </c>
      <c r="BZ176" t="s">
        <v>3893</v>
      </c>
      <c r="CA176">
        <v>1</v>
      </c>
      <c r="CB176" t="b">
        <v>1</v>
      </c>
      <c r="CC176">
        <v>0</v>
      </c>
      <c r="CD176" t="b">
        <v>0</v>
      </c>
      <c r="CE176" t="b">
        <v>0</v>
      </c>
      <c r="CF176" t="b">
        <v>1</v>
      </c>
      <c r="CG176" t="s">
        <v>1870</v>
      </c>
      <c r="CH176" t="s">
        <v>1681</v>
      </c>
      <c r="CI176" s="10">
        <v>645888</v>
      </c>
    </row>
    <row r="177" spans="1:90">
      <c r="A177">
        <v>27149991</v>
      </c>
      <c r="B177" s="2" t="str">
        <f>HYPERLINK("http://www.redfin.com/stingray/do/printable-listing?listing-id=1049868","Active")</f>
        <v>Active</v>
      </c>
      <c r="D177" t="s">
        <v>1077</v>
      </c>
      <c r="E177" t="s">
        <v>3896</v>
      </c>
      <c r="F177">
        <v>648888</v>
      </c>
      <c r="G177">
        <v>2007</v>
      </c>
      <c r="H177">
        <v>3543</v>
      </c>
      <c r="I177">
        <v>0</v>
      </c>
      <c r="J177">
        <v>4</v>
      </c>
      <c r="K177">
        <v>3</v>
      </c>
      <c r="M177" s="2" t="str">
        <f>HYPERLINK("http://maps.live.com/default.aspx?v=2&amp;lvl=15&amp;sp=adr.6112 NE 3rd Ct (Unable to map),98059","Map")</f>
        <v>Map</v>
      </c>
      <c r="N177" s="2" t="str">
        <f>HYPERLINK("http://i-0.rfimg.us/photo/1/bigphoto/991/27149991_3.jpg","Photo")</f>
        <v>Photo</v>
      </c>
      <c r="AI177" t="s">
        <v>1077</v>
      </c>
      <c r="AJ177">
        <v>98059</v>
      </c>
      <c r="BC177" s="22">
        <v>39309.561585648145</v>
      </c>
      <c r="BI177" s="22">
        <v>39549.294907407406</v>
      </c>
      <c r="BL177">
        <v>12978</v>
      </c>
      <c r="BM177">
        <v>1049868</v>
      </c>
      <c r="BN177" t="s">
        <v>3236</v>
      </c>
      <c r="BO177" s="17">
        <f t="shared" ca="1" si="2"/>
        <v>239.74782025463355</v>
      </c>
      <c r="BP177" t="b">
        <v>0</v>
      </c>
      <c r="BQ177">
        <v>1</v>
      </c>
      <c r="BR177" t="s">
        <v>3768</v>
      </c>
      <c r="BS177" t="s">
        <v>1796</v>
      </c>
      <c r="BT177" t="b">
        <v>0</v>
      </c>
      <c r="BU177" t="s">
        <v>1738</v>
      </c>
      <c r="BV177" t="s">
        <v>1668</v>
      </c>
      <c r="BW177">
        <v>6112</v>
      </c>
      <c r="BY177">
        <v>0</v>
      </c>
      <c r="BZ177" t="s">
        <v>3897</v>
      </c>
      <c r="CA177">
        <v>1</v>
      </c>
      <c r="CB177" t="b">
        <v>1</v>
      </c>
      <c r="CC177">
        <v>0</v>
      </c>
      <c r="CD177" t="b">
        <v>0</v>
      </c>
      <c r="CE177" t="b">
        <v>0</v>
      </c>
      <c r="CF177" t="b">
        <v>1</v>
      </c>
      <c r="CG177" t="s">
        <v>1870</v>
      </c>
      <c r="CH177" t="s">
        <v>1681</v>
      </c>
      <c r="CI177" s="10">
        <v>648888</v>
      </c>
    </row>
    <row r="178" spans="1:90">
      <c r="A178">
        <v>27150439</v>
      </c>
      <c r="B178" s="15" t="str">
        <f>HYPERLINK("http://www.redfin.com/stingray/do/printable-listing?listing-id=1053215","Active")</f>
        <v>Active</v>
      </c>
      <c r="D178" t="s">
        <v>218</v>
      </c>
      <c r="E178" t="s">
        <v>3197</v>
      </c>
      <c r="F178" s="19">
        <v>799950</v>
      </c>
      <c r="G178">
        <v>1929</v>
      </c>
      <c r="H178">
        <v>2350</v>
      </c>
      <c r="I178">
        <v>4423</v>
      </c>
      <c r="J178">
        <v>3</v>
      </c>
      <c r="K178">
        <v>1.5</v>
      </c>
      <c r="M178" s="2" t="str">
        <f>HYPERLINK("http://maps.live.com/default.aspx?v=2&amp;lvl=15&amp;sp=Point.47.670205_-122.305129_2102 NE Park Rd&amp;cp=47.670205~-122.305129","Map")</f>
        <v>Map</v>
      </c>
      <c r="N178" s="2" t="str">
        <f>HYPERLINK("http://i-0.rfimg.us/photo/1/bigphoto/439/27150439_0.jpg","Photo")</f>
        <v>Photo</v>
      </c>
      <c r="AG178">
        <v>47.670205000000003</v>
      </c>
      <c r="AH178">
        <v>-122.30512899999999</v>
      </c>
      <c r="AI178" t="s">
        <v>66</v>
      </c>
      <c r="AJ178">
        <v>98105</v>
      </c>
      <c r="BC178" s="22">
        <v>39310.337743055556</v>
      </c>
      <c r="BI178" s="22">
        <v>39549.294907407406</v>
      </c>
      <c r="BL178">
        <v>16499</v>
      </c>
      <c r="BM178">
        <v>1053215</v>
      </c>
      <c r="BN178" t="s">
        <v>1776</v>
      </c>
      <c r="BO178" s="17">
        <f t="shared" ca="1" si="2"/>
        <v>238.97166284722334</v>
      </c>
      <c r="BP178" t="b">
        <v>0</v>
      </c>
      <c r="BQ178">
        <v>2</v>
      </c>
      <c r="BR178" t="s">
        <v>1949</v>
      </c>
      <c r="BS178" t="s">
        <v>3101</v>
      </c>
      <c r="BT178" t="b">
        <v>0</v>
      </c>
      <c r="BU178" t="s">
        <v>1738</v>
      </c>
      <c r="BV178" t="s">
        <v>1668</v>
      </c>
      <c r="BW178">
        <v>2102</v>
      </c>
      <c r="BY178">
        <v>308673</v>
      </c>
      <c r="BZ178" t="s">
        <v>1713</v>
      </c>
      <c r="CA178">
        <v>1</v>
      </c>
      <c r="CB178" t="b">
        <v>1</v>
      </c>
      <c r="CC178">
        <v>0</v>
      </c>
      <c r="CD178" t="b">
        <v>0</v>
      </c>
      <c r="CE178" t="b">
        <v>0</v>
      </c>
      <c r="CF178" t="b">
        <v>1</v>
      </c>
      <c r="CG178">
        <v>2678228</v>
      </c>
      <c r="CH178" t="s">
        <v>1681</v>
      </c>
      <c r="CI178" s="10">
        <v>824950</v>
      </c>
    </row>
    <row r="179" spans="1:90">
      <c r="A179">
        <v>27151115</v>
      </c>
      <c r="B179" s="2" t="str">
        <f>HYPERLINK("http://www.redfin.com/stingray/do/printable-listing?listing-id=1059064","Active")</f>
        <v>Active</v>
      </c>
      <c r="D179" t="s">
        <v>5490</v>
      </c>
      <c r="E179" t="s">
        <v>5893</v>
      </c>
      <c r="F179">
        <v>699950</v>
      </c>
      <c r="G179">
        <v>1987</v>
      </c>
      <c r="H179">
        <v>2330</v>
      </c>
      <c r="I179">
        <v>11188</v>
      </c>
      <c r="J179">
        <v>4</v>
      </c>
      <c r="K179">
        <v>2.5</v>
      </c>
      <c r="M179" s="2" t="str">
        <f>HYPERLINK("http://maps.live.com/default.aspx?v=2&amp;lvl=15&amp;sp=Point.47.559714_-122.107932_17318 SE 48th Ct&amp;cp=47.559714~-122.107932","Map")</f>
        <v>Map</v>
      </c>
      <c r="N179" s="2" t="str">
        <f>HYPERLINK("http://i-0.rfimg.us/photo/1/bigphoto/115/27151115_1.jpg","Photo")</f>
        <v>Photo</v>
      </c>
      <c r="AG179">
        <v>47.559714</v>
      </c>
      <c r="AH179">
        <v>-122.10793200000001</v>
      </c>
      <c r="AI179" t="s">
        <v>369</v>
      </c>
      <c r="AJ179">
        <v>98006</v>
      </c>
      <c r="AN179">
        <v>375000</v>
      </c>
      <c r="BC179" s="22">
        <v>39312.077256944445</v>
      </c>
      <c r="BI179" s="22">
        <v>39549.294907407406</v>
      </c>
      <c r="BL179">
        <v>13999</v>
      </c>
      <c r="BM179">
        <v>1059064</v>
      </c>
      <c r="BN179" t="s">
        <v>1735</v>
      </c>
      <c r="BO179" s="17">
        <f t="shared" ca="1" si="2"/>
        <v>237.23214895833371</v>
      </c>
      <c r="BP179" t="b">
        <v>0</v>
      </c>
      <c r="BQ179">
        <v>1</v>
      </c>
      <c r="BR179" t="s">
        <v>3768</v>
      </c>
      <c r="BS179" t="s">
        <v>2443</v>
      </c>
      <c r="BT179" t="b">
        <v>0</v>
      </c>
      <c r="BU179" t="s">
        <v>3856</v>
      </c>
      <c r="BV179" t="s">
        <v>1668</v>
      </c>
      <c r="BW179">
        <v>17318</v>
      </c>
      <c r="BY179">
        <v>238075</v>
      </c>
      <c r="BZ179" t="s">
        <v>5894</v>
      </c>
      <c r="CA179">
        <v>1</v>
      </c>
      <c r="CB179" t="b">
        <v>1</v>
      </c>
      <c r="CC179">
        <v>0</v>
      </c>
      <c r="CD179" t="b">
        <v>0</v>
      </c>
      <c r="CE179" t="b">
        <v>0</v>
      </c>
      <c r="CF179" t="b">
        <v>1</v>
      </c>
      <c r="CG179">
        <v>2425867</v>
      </c>
      <c r="CH179" t="s">
        <v>1681</v>
      </c>
      <c r="CI179" s="10">
        <v>699950</v>
      </c>
      <c r="CJ179" s="7">
        <v>36349</v>
      </c>
    </row>
    <row r="180" spans="1:90">
      <c r="A180">
        <v>27151148</v>
      </c>
      <c r="B180" s="2" t="str">
        <f>HYPERLINK("http://www.redfin.com/stingray/do/printable-listing?listing-id=1071400","Active")</f>
        <v>Active</v>
      </c>
      <c r="D180" t="s">
        <v>3066</v>
      </c>
      <c r="E180" t="s">
        <v>4842</v>
      </c>
      <c r="F180">
        <v>765000</v>
      </c>
      <c r="G180">
        <v>2008</v>
      </c>
      <c r="H180">
        <v>2763</v>
      </c>
      <c r="I180">
        <v>7303</v>
      </c>
      <c r="J180">
        <v>3</v>
      </c>
      <c r="K180">
        <v>2.5</v>
      </c>
      <c r="M180" s="2" t="str">
        <f>HYPERLINK("http://maps.live.com/default.aspx?v=2&amp;lvl=15&amp;sp=Point.47.687837_-122.17684_12316 NE 97 St&amp;cp=47.687837~-122.17684","Map")</f>
        <v>Map</v>
      </c>
      <c r="N180" s="2" t="str">
        <f>HYPERLINK("http://i-0.rfimg.us/photo/1/bigphoto/148/27151148_0.jpg","Photo")</f>
        <v>Photo</v>
      </c>
      <c r="AG180">
        <v>47.687837000000002</v>
      </c>
      <c r="AH180">
        <v>-122.17684</v>
      </c>
      <c r="AI180" t="s">
        <v>1058</v>
      </c>
      <c r="AJ180">
        <v>98033</v>
      </c>
      <c r="AN180">
        <v>600000</v>
      </c>
      <c r="BC180" s="22">
        <v>39317.285787037035</v>
      </c>
      <c r="BI180" s="22">
        <v>39549.294907407406</v>
      </c>
      <c r="BL180">
        <v>15300</v>
      </c>
      <c r="BM180">
        <v>1071400</v>
      </c>
      <c r="BN180" t="s">
        <v>1798</v>
      </c>
      <c r="BO180" s="17">
        <f t="shared" ca="1" si="2"/>
        <v>232.02361886574363</v>
      </c>
      <c r="BP180" t="b">
        <v>0</v>
      </c>
      <c r="BQ180">
        <v>1</v>
      </c>
      <c r="BR180" t="s">
        <v>1686</v>
      </c>
      <c r="BS180">
        <v>97</v>
      </c>
      <c r="BT180" t="b">
        <v>0</v>
      </c>
      <c r="BU180" t="s">
        <v>1738</v>
      </c>
      <c r="BV180" t="s">
        <v>1668</v>
      </c>
      <c r="BW180">
        <v>12316</v>
      </c>
      <c r="BY180">
        <v>513234</v>
      </c>
      <c r="BZ180" t="s">
        <v>1684</v>
      </c>
      <c r="CA180">
        <v>1</v>
      </c>
      <c r="CB180" t="b">
        <v>1</v>
      </c>
      <c r="CC180">
        <v>0</v>
      </c>
      <c r="CD180" t="b">
        <v>0</v>
      </c>
      <c r="CE180" t="b">
        <v>0</v>
      </c>
      <c r="CF180" t="b">
        <v>1</v>
      </c>
      <c r="CG180">
        <v>2968089</v>
      </c>
      <c r="CH180" t="s">
        <v>1681</v>
      </c>
      <c r="CI180" s="10">
        <v>765000</v>
      </c>
      <c r="CJ180" s="7">
        <v>39233</v>
      </c>
    </row>
    <row r="181" spans="1:90">
      <c r="A181">
        <v>27151671</v>
      </c>
      <c r="B181" s="2" t="str">
        <f>HYPERLINK("http://www.redfin.com/stingray/do/printable-listing?listing-id=1063852","Active")</f>
        <v>Active</v>
      </c>
      <c r="D181" t="s">
        <v>60</v>
      </c>
      <c r="E181" t="s">
        <v>2414</v>
      </c>
      <c r="F181">
        <v>775000</v>
      </c>
      <c r="G181">
        <v>1950</v>
      </c>
      <c r="H181">
        <v>2240</v>
      </c>
      <c r="I181">
        <v>7440</v>
      </c>
      <c r="J181">
        <v>4</v>
      </c>
      <c r="K181">
        <v>2.75</v>
      </c>
      <c r="M181" s="2" t="str">
        <f>HYPERLINK("http://maps.live.com/default.aspx?v=2&amp;lvl=15&amp;sp=Point.47.678944_-122.346776_910 N 68th St n910 1/2&amp;cp=47.678944~-122.346776","Map")</f>
        <v>Map</v>
      </c>
      <c r="N181" s="2" t="str">
        <f>HYPERLINK("http://i-0.rfimg.us/photo/1/bigphoto/671/27151671_1.jpg","Photo")</f>
        <v>Photo</v>
      </c>
      <c r="AG181">
        <v>47.678944000000001</v>
      </c>
      <c r="AH181">
        <v>-122.34677600000001</v>
      </c>
      <c r="AI181" t="s">
        <v>66</v>
      </c>
      <c r="AJ181">
        <v>98103</v>
      </c>
      <c r="AM181" t="s">
        <v>2415</v>
      </c>
      <c r="BC181" s="22">
        <v>39314.446018518516</v>
      </c>
      <c r="BI181" s="22">
        <v>39549.294907407406</v>
      </c>
      <c r="BL181">
        <v>15500</v>
      </c>
      <c r="BM181">
        <v>1063852</v>
      </c>
      <c r="BN181" t="s">
        <v>1768</v>
      </c>
      <c r="BO181" s="17">
        <f t="shared" ca="1" si="2"/>
        <v>234.86338750000141</v>
      </c>
      <c r="BP181" t="b">
        <v>0</v>
      </c>
      <c r="BQ181">
        <v>1</v>
      </c>
      <c r="BR181" t="s">
        <v>1686</v>
      </c>
      <c r="BS181" t="s">
        <v>1863</v>
      </c>
      <c r="BT181" t="b">
        <v>0</v>
      </c>
      <c r="BU181" t="s">
        <v>1712</v>
      </c>
      <c r="BV181" t="s">
        <v>1668</v>
      </c>
      <c r="BW181">
        <v>910</v>
      </c>
      <c r="BY181">
        <v>12174996</v>
      </c>
      <c r="BZ181" t="s">
        <v>1892</v>
      </c>
      <c r="CA181">
        <v>1</v>
      </c>
      <c r="CB181" t="b">
        <v>1</v>
      </c>
      <c r="CC181">
        <v>0</v>
      </c>
      <c r="CD181" t="b">
        <v>0</v>
      </c>
      <c r="CE181" t="b">
        <v>0</v>
      </c>
      <c r="CF181" t="b">
        <v>1</v>
      </c>
      <c r="CG181">
        <v>15405603</v>
      </c>
      <c r="CH181" t="s">
        <v>1681</v>
      </c>
      <c r="CI181" s="10">
        <v>775000</v>
      </c>
    </row>
    <row r="182" spans="1:90">
      <c r="A182">
        <v>27151752</v>
      </c>
      <c r="B182" s="15" t="str">
        <f>HYPERLINK("http://www.redfin.com/stingray/do/printable-listing?listing-id=1056154","Subject To Inspection")</f>
        <v>Subject To Inspection</v>
      </c>
      <c r="D182" t="s">
        <v>3066</v>
      </c>
      <c r="E182" t="s">
        <v>4904</v>
      </c>
      <c r="F182">
        <v>834950</v>
      </c>
      <c r="G182">
        <v>2007</v>
      </c>
      <c r="H182">
        <v>2944</v>
      </c>
      <c r="I182">
        <v>7700</v>
      </c>
      <c r="J182">
        <v>3</v>
      </c>
      <c r="K182">
        <v>2.5</v>
      </c>
      <c r="M182" s="2" t="str">
        <f>HYPERLINK("http://maps.live.com/default.aspx?v=2&amp;lvl=15&amp;sp=Point.47.669803_-122.164203_7101 132nd Ave NE&amp;cp=47.669803~-122.164203","Map")</f>
        <v>Map</v>
      </c>
      <c r="N182" s="2" t="str">
        <f>HYPERLINK("http://i-0.rfimg.us/photo/1/bigphoto/752/27151752_1.jpg","Photo")</f>
        <v>Photo</v>
      </c>
      <c r="AG182">
        <v>47.669803000000002</v>
      </c>
      <c r="AH182">
        <v>-122.164203</v>
      </c>
      <c r="AI182" t="s">
        <v>1058</v>
      </c>
      <c r="AJ182">
        <v>98033</v>
      </c>
      <c r="BC182" s="22">
        <v>39311.666886574072</v>
      </c>
      <c r="BI182" s="22">
        <v>39549.294907407406</v>
      </c>
      <c r="BL182">
        <v>16699</v>
      </c>
      <c r="BM182">
        <v>1056154</v>
      </c>
      <c r="BN182" t="s">
        <v>1688</v>
      </c>
      <c r="BO182" s="17">
        <f t="shared" ca="1" si="2"/>
        <v>237.64251932870684</v>
      </c>
      <c r="BP182" t="b">
        <v>0</v>
      </c>
      <c r="BQ182">
        <v>1</v>
      </c>
      <c r="BR182" t="s">
        <v>1667</v>
      </c>
      <c r="BS182" t="s">
        <v>4362</v>
      </c>
      <c r="BT182" t="b">
        <v>0</v>
      </c>
      <c r="BV182" t="s">
        <v>1668</v>
      </c>
      <c r="BW182">
        <v>7101</v>
      </c>
      <c r="BX182" t="s">
        <v>1738</v>
      </c>
      <c r="BY182">
        <v>12303971</v>
      </c>
      <c r="BZ182" t="s">
        <v>4905</v>
      </c>
      <c r="CA182">
        <v>1</v>
      </c>
      <c r="CB182" t="b">
        <v>1</v>
      </c>
      <c r="CC182">
        <v>0</v>
      </c>
      <c r="CD182" t="b">
        <v>0</v>
      </c>
      <c r="CE182" t="b">
        <v>0</v>
      </c>
      <c r="CF182" t="b">
        <v>1</v>
      </c>
      <c r="CG182">
        <v>15510905</v>
      </c>
      <c r="CH182" t="s">
        <v>1681</v>
      </c>
      <c r="CI182" s="10">
        <v>834950</v>
      </c>
    </row>
    <row r="183" spans="1:90">
      <c r="A183">
        <v>27152186</v>
      </c>
      <c r="B183" s="2" t="str">
        <f>HYPERLINK("http://www.redfin.com/stingray/do/printable-listing?listing-id=1062246","Subject To Inspection")</f>
        <v>Subject To Inspection</v>
      </c>
      <c r="D183" t="s">
        <v>4974</v>
      </c>
      <c r="E183" t="s">
        <v>6496</v>
      </c>
      <c r="F183">
        <v>960000</v>
      </c>
      <c r="G183">
        <v>1952</v>
      </c>
      <c r="H183">
        <v>2180</v>
      </c>
      <c r="I183">
        <v>8640</v>
      </c>
      <c r="J183">
        <v>4</v>
      </c>
      <c r="K183">
        <v>2</v>
      </c>
      <c r="M183" s="2" t="str">
        <f>HYPERLINK("http://maps.live.com/default.aspx?v=2&amp;lvl=15&amp;sp=Point.47.629016_-122.204527_10210 NE 20 Pl&amp;cp=47.629016~-122.204527","Map")</f>
        <v>Map</v>
      </c>
      <c r="N183" s="2" t="str">
        <f>HYPERLINK("http://i-0.rfimg.us/photo/1/bigphoto/186/27152186_1.jpg","Photo")</f>
        <v>Photo</v>
      </c>
      <c r="AG183">
        <v>47.629016</v>
      </c>
      <c r="AH183">
        <v>-122.204527</v>
      </c>
      <c r="AI183" t="s">
        <v>369</v>
      </c>
      <c r="AJ183">
        <v>98004</v>
      </c>
      <c r="AN183">
        <v>680000</v>
      </c>
      <c r="BC183" s="22">
        <v>39313.400694444441</v>
      </c>
      <c r="BI183" s="22">
        <v>39549.294907407406</v>
      </c>
      <c r="BL183">
        <v>19200</v>
      </c>
      <c r="BM183">
        <v>1062246</v>
      </c>
      <c r="BN183" t="s">
        <v>1673</v>
      </c>
      <c r="BO183" s="17">
        <f t="shared" ca="1" si="2"/>
        <v>235.90871145833808</v>
      </c>
      <c r="BP183" t="b">
        <v>0</v>
      </c>
      <c r="BQ183">
        <v>2</v>
      </c>
      <c r="BR183" t="s">
        <v>1842</v>
      </c>
      <c r="BS183">
        <v>20</v>
      </c>
      <c r="BT183" t="b">
        <v>0</v>
      </c>
      <c r="BU183" t="s">
        <v>1738</v>
      </c>
      <c r="BV183" t="s">
        <v>1668</v>
      </c>
      <c r="BW183">
        <v>10210</v>
      </c>
      <c r="BY183">
        <v>505934</v>
      </c>
      <c r="BZ183" t="s">
        <v>1689</v>
      </c>
      <c r="CA183">
        <v>1</v>
      </c>
      <c r="CB183" t="b">
        <v>1</v>
      </c>
      <c r="CC183">
        <v>0</v>
      </c>
      <c r="CD183" t="b">
        <v>0</v>
      </c>
      <c r="CE183" t="b">
        <v>0</v>
      </c>
      <c r="CF183" t="b">
        <v>1</v>
      </c>
      <c r="CG183">
        <v>2926237</v>
      </c>
      <c r="CH183" t="s">
        <v>1681</v>
      </c>
      <c r="CI183" s="10">
        <v>960000</v>
      </c>
      <c r="CJ183" s="7">
        <v>39209</v>
      </c>
    </row>
    <row r="184" spans="1:90">
      <c r="A184">
        <v>27152750</v>
      </c>
      <c r="B184" s="2" t="str">
        <f>HYPERLINK("http://www.redfin.com/stingray/do/printable-listing?listing-id=1079988","Active")</f>
        <v>Active</v>
      </c>
      <c r="D184" t="s">
        <v>5565</v>
      </c>
      <c r="E184" t="s">
        <v>5655</v>
      </c>
      <c r="F184">
        <v>469950</v>
      </c>
      <c r="G184">
        <v>1961</v>
      </c>
      <c r="H184">
        <v>1290</v>
      </c>
      <c r="I184">
        <v>8820</v>
      </c>
      <c r="J184">
        <v>3</v>
      </c>
      <c r="K184">
        <v>1.75</v>
      </c>
      <c r="M184" s="2" t="str">
        <f>HYPERLINK("http://maps.live.com/default.aspx?v=2&amp;lvl=15&amp;sp=Point.47.549573_-122.171129_12643 SE 59th St&amp;cp=47.549573~-122.171129","Map")</f>
        <v>Map</v>
      </c>
      <c r="N184" s="2" t="str">
        <f>HYPERLINK("http://i-0.rfimg.us/photo/1/bigphoto/750/27152750_F.jpg","Photo")</f>
        <v>Photo</v>
      </c>
      <c r="AG184">
        <v>47.549573000000002</v>
      </c>
      <c r="AH184">
        <v>-122.17112899999999</v>
      </c>
      <c r="AI184" t="s">
        <v>369</v>
      </c>
      <c r="AJ184">
        <v>98006</v>
      </c>
      <c r="AN184">
        <v>220000</v>
      </c>
      <c r="BC184" s="22">
        <v>39319.37945601852</v>
      </c>
      <c r="BI184" s="22">
        <v>39549.294907407406</v>
      </c>
      <c r="BL184">
        <v>9399</v>
      </c>
      <c r="BM184">
        <v>1079988</v>
      </c>
      <c r="BN184" t="s">
        <v>1775</v>
      </c>
      <c r="BO184" s="17">
        <f t="shared" ca="1" si="2"/>
        <v>229.92994988425926</v>
      </c>
      <c r="BP184" t="b">
        <v>0</v>
      </c>
      <c r="BQ184">
        <v>1</v>
      </c>
      <c r="BR184" t="s">
        <v>1686</v>
      </c>
      <c r="BS184" t="s">
        <v>2492</v>
      </c>
      <c r="BT184" t="b">
        <v>0</v>
      </c>
      <c r="BU184" t="s">
        <v>3856</v>
      </c>
      <c r="BV184" t="s">
        <v>1668</v>
      </c>
      <c r="BW184">
        <v>12643</v>
      </c>
      <c r="BY184">
        <v>416635</v>
      </c>
      <c r="BZ184" t="s">
        <v>5656</v>
      </c>
      <c r="CA184">
        <v>1</v>
      </c>
      <c r="CB184" t="b">
        <v>1</v>
      </c>
      <c r="CC184">
        <v>0</v>
      </c>
      <c r="CD184" t="b">
        <v>0</v>
      </c>
      <c r="CE184" t="b">
        <v>0</v>
      </c>
      <c r="CF184" t="b">
        <v>1</v>
      </c>
      <c r="CG184">
        <v>2486637</v>
      </c>
      <c r="CH184" t="s">
        <v>1681</v>
      </c>
      <c r="CI184" s="10">
        <v>469950</v>
      </c>
      <c r="CJ184" s="7">
        <v>36013</v>
      </c>
      <c r="CL184" s="19" t="s">
        <v>6890</v>
      </c>
    </row>
    <row r="185" spans="1:90">
      <c r="A185">
        <v>27153665</v>
      </c>
      <c r="B185" s="2" t="str">
        <f>HYPERLINK("http://www.redfin.com/stingray/do/printable-listing?listing-id=1067918","Active")</f>
        <v>Active</v>
      </c>
      <c r="D185" t="s">
        <v>4974</v>
      </c>
      <c r="E185" t="s">
        <v>5031</v>
      </c>
      <c r="F185">
        <v>730000</v>
      </c>
      <c r="G185">
        <v>1954</v>
      </c>
      <c r="H185">
        <v>880</v>
      </c>
      <c r="I185">
        <v>8100</v>
      </c>
      <c r="J185">
        <v>2</v>
      </c>
      <c r="K185">
        <v>1</v>
      </c>
      <c r="M185" s="2" t="str">
        <f>HYPERLINK("http://maps.live.com/default.aspx?v=2&amp;lvl=15&amp;sp=Point.47.633526_-122.208034_9841 NE 26 St&amp;cp=47.633526~-122.208034","Map")</f>
        <v>Map</v>
      </c>
      <c r="N185" s="2" t="str">
        <f>HYPERLINK("http://i-0.rfimg.us/photo/1/bigphoto/665/27153665_1.jpg","Photo")</f>
        <v>Photo</v>
      </c>
      <c r="AG185">
        <v>47.633526000000003</v>
      </c>
      <c r="AH185">
        <v>-122.208034</v>
      </c>
      <c r="AI185" t="s">
        <v>369</v>
      </c>
      <c r="AJ185">
        <v>98004</v>
      </c>
      <c r="BC185" s="22">
        <v>39315.661620370367</v>
      </c>
      <c r="BI185" s="22">
        <v>39549.294907407406</v>
      </c>
      <c r="BL185">
        <v>14600</v>
      </c>
      <c r="BM185">
        <v>1067918</v>
      </c>
      <c r="BN185" t="s">
        <v>1735</v>
      </c>
      <c r="BO185" s="17">
        <f t="shared" ca="1" si="2"/>
        <v>233.64778553241194</v>
      </c>
      <c r="BP185" t="b">
        <v>0</v>
      </c>
      <c r="BQ185">
        <v>1</v>
      </c>
      <c r="BR185" t="s">
        <v>1686</v>
      </c>
      <c r="BS185">
        <v>26</v>
      </c>
      <c r="BT185" t="b">
        <v>0</v>
      </c>
      <c r="BU185" t="s">
        <v>1738</v>
      </c>
      <c r="BV185" t="s">
        <v>1668</v>
      </c>
      <c r="BW185">
        <v>9841</v>
      </c>
      <c r="BY185">
        <v>506540</v>
      </c>
      <c r="BZ185" s="21">
        <v>1.3888888888888889E-3</v>
      </c>
      <c r="CA185">
        <v>1</v>
      </c>
      <c r="CB185" t="b">
        <v>1</v>
      </c>
      <c r="CC185">
        <v>0</v>
      </c>
      <c r="CD185" t="b">
        <v>0</v>
      </c>
      <c r="CE185" t="b">
        <v>0</v>
      </c>
      <c r="CF185" t="b">
        <v>1</v>
      </c>
      <c r="CG185">
        <v>2597467</v>
      </c>
      <c r="CH185" t="s">
        <v>1681</v>
      </c>
      <c r="CI185" s="10">
        <v>730000</v>
      </c>
    </row>
    <row r="186" spans="1:90">
      <c r="A186">
        <v>27153775</v>
      </c>
      <c r="B186" s="2" t="str">
        <f>HYPERLINK("http://www.redfin.com/stingray/do/printable-listing?listing-id=1528944","Active")</f>
        <v>Active</v>
      </c>
      <c r="D186" t="s">
        <v>6218</v>
      </c>
      <c r="E186" t="s">
        <v>6216</v>
      </c>
      <c r="F186">
        <v>399950</v>
      </c>
      <c r="G186">
        <v>2007</v>
      </c>
      <c r="H186">
        <v>2315</v>
      </c>
      <c r="I186">
        <v>0</v>
      </c>
      <c r="J186">
        <v>4</v>
      </c>
      <c r="K186">
        <v>2.5</v>
      </c>
      <c r="M186" s="2" t="str">
        <f>HYPERLINK("http://maps.live.com/default.aspx?v=2&amp;lvl=15&amp;sp=adr.11726 SE 189th Pl (Unable to map),98055","Map")</f>
        <v>Map</v>
      </c>
      <c r="N186" s="2" t="str">
        <f>HYPERLINK("http://i-0.rfimg.us/photo/1/bigphoto/775/27153775_.jpg","Photo")</f>
        <v>Photo</v>
      </c>
      <c r="AI186" t="s">
        <v>1077</v>
      </c>
      <c r="AJ186">
        <v>98055</v>
      </c>
      <c r="BC186" s="22">
        <v>39511.495474537034</v>
      </c>
      <c r="BI186" s="7">
        <v>39542</v>
      </c>
      <c r="BL186">
        <v>7999</v>
      </c>
      <c r="BM186">
        <v>1528944</v>
      </c>
      <c r="BN186" t="s">
        <v>6215</v>
      </c>
      <c r="BO186" s="17">
        <f t="shared" ca="1" si="2"/>
        <v>37.813931365744793</v>
      </c>
      <c r="BP186" t="b">
        <v>0</v>
      </c>
      <c r="BQ186">
        <v>1</v>
      </c>
      <c r="BR186" t="s">
        <v>1842</v>
      </c>
      <c r="BS186" t="s">
        <v>6217</v>
      </c>
      <c r="BT186" t="b">
        <v>0</v>
      </c>
      <c r="BU186" t="s">
        <v>3856</v>
      </c>
      <c r="BV186" t="s">
        <v>1668</v>
      </c>
      <c r="BW186">
        <v>11726</v>
      </c>
      <c r="BY186">
        <v>0</v>
      </c>
      <c r="CA186">
        <v>1</v>
      </c>
      <c r="CB186" t="b">
        <v>1</v>
      </c>
      <c r="CC186">
        <v>0</v>
      </c>
      <c r="CD186" t="b">
        <v>0</v>
      </c>
      <c r="CE186" t="b">
        <v>0</v>
      </c>
      <c r="CF186" t="b">
        <v>0</v>
      </c>
      <c r="CG186" t="s">
        <v>1870</v>
      </c>
      <c r="CH186" t="s">
        <v>1681</v>
      </c>
      <c r="CI186" s="10">
        <v>399950</v>
      </c>
    </row>
    <row r="187" spans="1:90">
      <c r="A187">
        <v>27153783</v>
      </c>
      <c r="B187" s="2" t="str">
        <f>HYPERLINK("http://www.redfin.com/stingray/do/printable-listing?listing-id=1069433","Active")</f>
        <v>Active</v>
      </c>
      <c r="D187" t="s">
        <v>5153</v>
      </c>
      <c r="E187" t="s">
        <v>5154</v>
      </c>
      <c r="F187" s="19">
        <v>474995</v>
      </c>
      <c r="G187">
        <v>1955</v>
      </c>
      <c r="H187">
        <v>1900</v>
      </c>
      <c r="I187">
        <v>12485</v>
      </c>
      <c r="J187">
        <v>4</v>
      </c>
      <c r="K187">
        <v>1.75</v>
      </c>
      <c r="M187" s="2" t="str">
        <f>HYPERLINK("http://maps.live.com/default.aspx?v=2&amp;lvl=15&amp;sp=Point.47.572904_-122.146667_14531 SE 41st Ln&amp;cp=47.572904~-122.146667","Map")</f>
        <v>Map</v>
      </c>
      <c r="N187" s="2" t="str">
        <f>HYPERLINK("http://i-0.rfimg.us/photo/1/bigphoto/783/27153783_1.jpg","Photo")</f>
        <v>Photo</v>
      </c>
      <c r="AG187">
        <v>47.572904000000001</v>
      </c>
      <c r="AH187">
        <v>-122.14666699999999</v>
      </c>
      <c r="AI187" t="s">
        <v>369</v>
      </c>
      <c r="AJ187">
        <v>98006</v>
      </c>
      <c r="AN187">
        <v>425000</v>
      </c>
      <c r="BC187" s="22">
        <v>39316.478321759256</v>
      </c>
      <c r="BI187" s="22">
        <v>39549.294907407406</v>
      </c>
      <c r="BL187">
        <v>9780</v>
      </c>
      <c r="BM187">
        <v>1069433</v>
      </c>
      <c r="BN187" t="s">
        <v>1823</v>
      </c>
      <c r="BO187" s="17">
        <f t="shared" ca="1" si="2"/>
        <v>232.83108414352319</v>
      </c>
      <c r="BP187" t="b">
        <v>0</v>
      </c>
      <c r="BQ187">
        <v>1</v>
      </c>
      <c r="BR187" t="s">
        <v>2963</v>
      </c>
      <c r="BS187" t="s">
        <v>3222</v>
      </c>
      <c r="BT187" t="b">
        <v>0</v>
      </c>
      <c r="BU187" t="s">
        <v>3856</v>
      </c>
      <c r="BV187" t="s">
        <v>1668</v>
      </c>
      <c r="BW187">
        <v>14531</v>
      </c>
      <c r="BY187">
        <v>233576</v>
      </c>
      <c r="BZ187" t="s">
        <v>1689</v>
      </c>
      <c r="CA187">
        <v>1</v>
      </c>
      <c r="CB187" t="b">
        <v>1</v>
      </c>
      <c r="CC187">
        <v>0</v>
      </c>
      <c r="CD187" t="b">
        <v>0</v>
      </c>
      <c r="CE187" t="b">
        <v>0</v>
      </c>
      <c r="CF187" t="b">
        <v>1</v>
      </c>
      <c r="CG187">
        <v>2472031</v>
      </c>
      <c r="CH187" t="s">
        <v>1681</v>
      </c>
      <c r="CI187" s="10">
        <v>489000</v>
      </c>
      <c r="CJ187" s="7">
        <v>39217</v>
      </c>
    </row>
    <row r="188" spans="1:90">
      <c r="A188">
        <v>27153802</v>
      </c>
      <c r="B188" s="2" t="str">
        <f>HYPERLINK("http://www.redfin.com/stingray/do/printable-listing?listing-id=1068148","Active")</f>
        <v>Active</v>
      </c>
      <c r="D188" t="s">
        <v>3061</v>
      </c>
      <c r="E188" t="s">
        <v>4433</v>
      </c>
      <c r="F188">
        <v>699999</v>
      </c>
      <c r="G188">
        <v>2007</v>
      </c>
      <c r="H188">
        <v>2820</v>
      </c>
      <c r="I188">
        <v>4748</v>
      </c>
      <c r="J188">
        <v>4</v>
      </c>
      <c r="K188">
        <v>2.5</v>
      </c>
      <c r="M188" s="2" t="str">
        <f>HYPERLINK("http://maps.live.com/default.aspx?v=2&amp;lvl=15&amp;sp=Point.47.725682_-122.171619_12639 NE 140th St&amp;cp=47.725682~-122.171619","Map")</f>
        <v>Map</v>
      </c>
      <c r="N188" s="2" t="str">
        <f>HYPERLINK("http://i-0.rfimg.us/photo/1/bigphoto/802/27153802_2.jpg","Photo")</f>
        <v>Photo</v>
      </c>
      <c r="AG188">
        <v>47.725681999999999</v>
      </c>
      <c r="AH188">
        <v>-122.17161900000001</v>
      </c>
      <c r="AI188" t="s">
        <v>1058</v>
      </c>
      <c r="AJ188">
        <v>98034</v>
      </c>
      <c r="BC188" s="22">
        <v>39315.796909722223</v>
      </c>
      <c r="BI188" s="22">
        <v>39549.294907407406</v>
      </c>
      <c r="BL188">
        <v>14000</v>
      </c>
      <c r="BM188">
        <v>1068148</v>
      </c>
      <c r="BN188" t="s">
        <v>2419</v>
      </c>
      <c r="BO188" s="17">
        <f t="shared" ca="1" si="2"/>
        <v>233.5124961805559</v>
      </c>
      <c r="BP188" t="b">
        <v>0</v>
      </c>
      <c r="BQ188">
        <v>1</v>
      </c>
      <c r="BR188" t="s">
        <v>1686</v>
      </c>
      <c r="BS188" t="s">
        <v>4434</v>
      </c>
      <c r="BT188" t="b">
        <v>0</v>
      </c>
      <c r="BU188" t="s">
        <v>1738</v>
      </c>
      <c r="BV188" t="s">
        <v>1668</v>
      </c>
      <c r="BW188">
        <v>12639</v>
      </c>
      <c r="BY188">
        <v>8188974</v>
      </c>
      <c r="BZ188" t="s">
        <v>1730</v>
      </c>
      <c r="CA188">
        <v>1</v>
      </c>
      <c r="CB188" t="b">
        <v>1</v>
      </c>
      <c r="CC188">
        <v>0</v>
      </c>
      <c r="CD188" t="b">
        <v>0</v>
      </c>
      <c r="CE188" t="b">
        <v>0</v>
      </c>
      <c r="CF188" t="b">
        <v>1</v>
      </c>
      <c r="CG188">
        <v>3024140</v>
      </c>
      <c r="CH188" t="s">
        <v>1681</v>
      </c>
      <c r="CI188" s="10">
        <v>699999</v>
      </c>
      <c r="CL188" s="19" t="s">
        <v>2325</v>
      </c>
    </row>
    <row r="189" spans="1:90">
      <c r="A189">
        <v>27153842</v>
      </c>
      <c r="B189" s="2" t="str">
        <f>HYPERLINK("http://www.redfin.com/stingray/do/printable-listing?listing-id=1075814","Active")</f>
        <v>Active</v>
      </c>
      <c r="D189" t="s">
        <v>3853</v>
      </c>
      <c r="E189" t="s">
        <v>3915</v>
      </c>
      <c r="F189">
        <v>554950</v>
      </c>
      <c r="G189">
        <v>2007</v>
      </c>
      <c r="H189">
        <v>3108</v>
      </c>
      <c r="I189">
        <v>6095</v>
      </c>
      <c r="J189">
        <v>5</v>
      </c>
      <c r="K189">
        <v>2.5</v>
      </c>
      <c r="M189" s="2" t="str">
        <f>HYPERLINK("http://maps.live.com/default.aspx?v=2&amp;lvl=15&amp;sp=adr.5102 NE 10th St nLot 2 (Unable to map),98059","Map")</f>
        <v>Map</v>
      </c>
      <c r="N189" s="2" t="str">
        <f>HYPERLINK("http://i-0.rfimg.us/photo/1/bigphoto/842/27153842_B.jpg","Photo")</f>
        <v>Photo</v>
      </c>
      <c r="AI189" t="s">
        <v>1077</v>
      </c>
      <c r="AJ189">
        <v>98059</v>
      </c>
      <c r="AM189" t="s">
        <v>1975</v>
      </c>
      <c r="BC189" s="22">
        <v>39318.464594907404</v>
      </c>
      <c r="BI189" s="7">
        <v>39541</v>
      </c>
      <c r="BL189">
        <v>11099</v>
      </c>
      <c r="BM189">
        <v>1075814</v>
      </c>
      <c r="BN189" t="s">
        <v>3236</v>
      </c>
      <c r="BO189" s="17">
        <f t="shared" ca="1" si="2"/>
        <v>230.84481099537516</v>
      </c>
      <c r="BP189" t="b">
        <v>0</v>
      </c>
      <c r="BQ189">
        <v>1</v>
      </c>
      <c r="BR189" t="s">
        <v>1686</v>
      </c>
      <c r="BS189" t="s">
        <v>1788</v>
      </c>
      <c r="BT189" t="b">
        <v>0</v>
      </c>
      <c r="BU189" t="s">
        <v>1738</v>
      </c>
      <c r="BV189" t="s">
        <v>1668</v>
      </c>
      <c r="BW189">
        <v>5102</v>
      </c>
      <c r="BY189">
        <v>0</v>
      </c>
      <c r="BZ189" t="s">
        <v>3916</v>
      </c>
      <c r="CA189">
        <v>1</v>
      </c>
      <c r="CB189" t="b">
        <v>1</v>
      </c>
      <c r="CC189">
        <v>0</v>
      </c>
      <c r="CD189" t="b">
        <v>0</v>
      </c>
      <c r="CE189" t="b">
        <v>0</v>
      </c>
      <c r="CF189" t="b">
        <v>1</v>
      </c>
      <c r="CG189" t="s">
        <v>1870</v>
      </c>
      <c r="CH189" t="s">
        <v>1681</v>
      </c>
      <c r="CI189" s="10">
        <v>554950</v>
      </c>
    </row>
    <row r="190" spans="1:90">
      <c r="A190">
        <v>27153848</v>
      </c>
      <c r="B190" s="2" t="str">
        <f>HYPERLINK("http://www.redfin.com/stingray/do/printable-listing?listing-id=1075813","Active")</f>
        <v>Active</v>
      </c>
      <c r="D190" t="s">
        <v>3853</v>
      </c>
      <c r="E190" t="s">
        <v>3917</v>
      </c>
      <c r="F190">
        <v>579950</v>
      </c>
      <c r="G190">
        <v>2007</v>
      </c>
      <c r="H190">
        <v>3189</v>
      </c>
      <c r="I190">
        <v>4729</v>
      </c>
      <c r="J190">
        <v>5</v>
      </c>
      <c r="K190">
        <v>2.5</v>
      </c>
      <c r="M190" s="2" t="str">
        <f>HYPERLINK("http://maps.live.com/default.aspx?v=2&amp;lvl=15&amp;sp=adr.5108 NE 10th St nLot 3 (Unable to map),98059","Map")</f>
        <v>Map</v>
      </c>
      <c r="N190" s="2" t="str">
        <f>HYPERLINK("http://i-0.rfimg.us/photo/1/bigphoto/848/27153848_5.jpg","Photo")</f>
        <v>Photo</v>
      </c>
      <c r="AI190" t="s">
        <v>1077</v>
      </c>
      <c r="AJ190">
        <v>98059</v>
      </c>
      <c r="AM190" t="s">
        <v>3918</v>
      </c>
      <c r="BC190" s="22">
        <v>39318.464571759258</v>
      </c>
      <c r="BI190" s="22">
        <v>39549.294907407406</v>
      </c>
      <c r="BL190">
        <v>11599</v>
      </c>
      <c r="BM190">
        <v>1075813</v>
      </c>
      <c r="BN190" t="s">
        <v>3236</v>
      </c>
      <c r="BO190" s="17">
        <f t="shared" ca="1" si="2"/>
        <v>230.84483414352144</v>
      </c>
      <c r="BP190" t="b">
        <v>0</v>
      </c>
      <c r="BQ190">
        <v>1</v>
      </c>
      <c r="BR190" t="s">
        <v>1686</v>
      </c>
      <c r="BS190" t="s">
        <v>1788</v>
      </c>
      <c r="BT190" t="b">
        <v>0</v>
      </c>
      <c r="BU190" t="s">
        <v>1738</v>
      </c>
      <c r="BV190" t="s">
        <v>1668</v>
      </c>
      <c r="BW190">
        <v>5108</v>
      </c>
      <c r="BY190">
        <v>0</v>
      </c>
      <c r="BZ190" t="s">
        <v>3919</v>
      </c>
      <c r="CA190">
        <v>1</v>
      </c>
      <c r="CB190" t="b">
        <v>1</v>
      </c>
      <c r="CC190">
        <v>0</v>
      </c>
      <c r="CD190" t="b">
        <v>0</v>
      </c>
      <c r="CE190" t="b">
        <v>0</v>
      </c>
      <c r="CF190" t="b">
        <v>1</v>
      </c>
      <c r="CG190" t="s">
        <v>1870</v>
      </c>
      <c r="CH190" t="s">
        <v>1681</v>
      </c>
      <c r="CI190" s="10">
        <v>579950</v>
      </c>
    </row>
    <row r="191" spans="1:90">
      <c r="A191">
        <v>27153911</v>
      </c>
      <c r="B191" s="2" t="str">
        <f>HYPERLINK("http://www.redfin.com/stingray/do/printable-listing?listing-id=1075869","Active")</f>
        <v>Active</v>
      </c>
      <c r="D191" t="s">
        <v>3853</v>
      </c>
      <c r="E191" t="s">
        <v>3946</v>
      </c>
      <c r="F191">
        <v>629950</v>
      </c>
      <c r="G191">
        <v>2007</v>
      </c>
      <c r="H191">
        <v>3352</v>
      </c>
      <c r="I191">
        <v>7188</v>
      </c>
      <c r="J191">
        <v>4</v>
      </c>
      <c r="K191">
        <v>2.5</v>
      </c>
      <c r="M191" s="2" t="str">
        <f>HYPERLINK("http://maps.live.com/default.aspx?v=2&amp;lvl=15&amp;sp=adr.5114 NE 10th St nLot 4 (Unable to map),98059","Map")</f>
        <v>Map</v>
      </c>
      <c r="N191" s="2" t="str">
        <f>HYPERLINK("http://i-0.rfimg.us/photo/1/bigphoto/911/27153911_1.jpg","Photo")</f>
        <v>Photo</v>
      </c>
      <c r="AI191" t="s">
        <v>1077</v>
      </c>
      <c r="AJ191">
        <v>98059</v>
      </c>
      <c r="AM191" t="s">
        <v>3841</v>
      </c>
      <c r="BC191" s="22">
        <v>39318.484918981485</v>
      </c>
      <c r="BI191" s="22">
        <v>39549.294907407406</v>
      </c>
      <c r="BL191">
        <v>12599</v>
      </c>
      <c r="BM191">
        <v>1075869</v>
      </c>
      <c r="BN191" t="s">
        <v>3236</v>
      </c>
      <c r="BO191" s="17">
        <f t="shared" ca="1" si="2"/>
        <v>230.82448692129401</v>
      </c>
      <c r="BP191" t="b">
        <v>0</v>
      </c>
      <c r="BQ191">
        <v>1</v>
      </c>
      <c r="BR191" t="s">
        <v>1686</v>
      </c>
      <c r="BS191" t="s">
        <v>1788</v>
      </c>
      <c r="BT191" t="b">
        <v>0</v>
      </c>
      <c r="BU191" t="s">
        <v>1738</v>
      </c>
      <c r="BV191" t="s">
        <v>1668</v>
      </c>
      <c r="BW191">
        <v>5114</v>
      </c>
      <c r="BY191">
        <v>0</v>
      </c>
      <c r="BZ191" t="s">
        <v>3947</v>
      </c>
      <c r="CA191">
        <v>1</v>
      </c>
      <c r="CB191" t="b">
        <v>1</v>
      </c>
      <c r="CC191">
        <v>0</v>
      </c>
      <c r="CD191" t="b">
        <v>0</v>
      </c>
      <c r="CE191" t="b">
        <v>0</v>
      </c>
      <c r="CF191" t="b">
        <v>1</v>
      </c>
      <c r="CG191" t="s">
        <v>1870</v>
      </c>
      <c r="CH191" t="s">
        <v>1681</v>
      </c>
      <c r="CI191" s="10">
        <v>629950</v>
      </c>
    </row>
    <row r="192" spans="1:90">
      <c r="A192">
        <v>27153916</v>
      </c>
      <c r="B192" s="2" t="str">
        <f>HYPERLINK("http://www.redfin.com/stingray/do/printable-listing?listing-id=1077551","Active")</f>
        <v>Active</v>
      </c>
      <c r="D192" t="s">
        <v>3853</v>
      </c>
      <c r="E192" t="s">
        <v>3902</v>
      </c>
      <c r="F192">
        <v>634950</v>
      </c>
      <c r="G192">
        <v>2008</v>
      </c>
      <c r="H192">
        <v>3363</v>
      </c>
      <c r="I192">
        <v>7187</v>
      </c>
      <c r="J192">
        <v>4</v>
      </c>
      <c r="K192">
        <v>2.5</v>
      </c>
      <c r="M192" s="2" t="str">
        <f>HYPERLINK("http://maps.live.com/default.aspx?v=2&amp;lvl=15&amp;sp=adr.5120 NE 10th St nLot 5 (Unable to map),98059","Map")</f>
        <v>Map</v>
      </c>
      <c r="N192" s="2" t="str">
        <f>HYPERLINK("http://i-0.rfimg.us/photo/1/bigphoto/916/27153916_D.jpg","Photo")</f>
        <v>Photo</v>
      </c>
      <c r="AI192" t="s">
        <v>1077</v>
      </c>
      <c r="AJ192">
        <v>98059</v>
      </c>
      <c r="AM192" t="s">
        <v>3903</v>
      </c>
      <c r="BC192" s="22">
        <v>39318.57949074074</v>
      </c>
      <c r="BI192" s="22">
        <v>39549.294907407406</v>
      </c>
      <c r="BL192">
        <v>12699</v>
      </c>
      <c r="BM192">
        <v>1077551</v>
      </c>
      <c r="BN192" t="s">
        <v>3236</v>
      </c>
      <c r="BO192" s="17">
        <f t="shared" ca="1" si="2"/>
        <v>230.72991516203911</v>
      </c>
      <c r="BP192" t="b">
        <v>0</v>
      </c>
      <c r="BQ192">
        <v>1</v>
      </c>
      <c r="BR192" t="s">
        <v>1686</v>
      </c>
      <c r="BS192" t="s">
        <v>1788</v>
      </c>
      <c r="BT192" t="b">
        <v>0</v>
      </c>
      <c r="BU192" t="s">
        <v>1738</v>
      </c>
      <c r="BV192" t="s">
        <v>1668</v>
      </c>
      <c r="BW192">
        <v>5120</v>
      </c>
      <c r="BY192">
        <v>0</v>
      </c>
      <c r="BZ192" t="s">
        <v>3904</v>
      </c>
      <c r="CA192">
        <v>1</v>
      </c>
      <c r="CB192" t="b">
        <v>1</v>
      </c>
      <c r="CC192">
        <v>0</v>
      </c>
      <c r="CD192" t="b">
        <v>0</v>
      </c>
      <c r="CE192" t="b">
        <v>0</v>
      </c>
      <c r="CF192" t="b">
        <v>1</v>
      </c>
      <c r="CG192" t="s">
        <v>1870</v>
      </c>
      <c r="CH192" t="s">
        <v>1681</v>
      </c>
      <c r="CI192" s="10">
        <v>634950</v>
      </c>
    </row>
    <row r="193" spans="1:88">
      <c r="A193">
        <v>27153921</v>
      </c>
      <c r="B193" s="2" t="str">
        <f>HYPERLINK("http://www.redfin.com/stingray/do/printable-listing?listing-id=1077566","Active")</f>
        <v>Active</v>
      </c>
      <c r="D193" t="s">
        <v>3853</v>
      </c>
      <c r="E193" t="s">
        <v>3912</v>
      </c>
      <c r="F193">
        <v>659950</v>
      </c>
      <c r="G193">
        <v>2007</v>
      </c>
      <c r="H193">
        <v>3520</v>
      </c>
      <c r="I193">
        <v>7905</v>
      </c>
      <c r="J193">
        <v>5</v>
      </c>
      <c r="K193">
        <v>3.5</v>
      </c>
      <c r="M193" s="2" t="str">
        <f>HYPERLINK("http://maps.live.com/default.aspx?v=2&amp;lvl=15&amp;sp=adr.5204 NE 10th St nLot 8 (Unable to map),98059","Map")</f>
        <v>Map</v>
      </c>
      <c r="N193" s="2" t="str">
        <f>HYPERLINK("http://i-0.rfimg.us/photo/1/bigphoto/921/27153921_A.jpg","Photo")</f>
        <v>Photo</v>
      </c>
      <c r="AI193" t="s">
        <v>1077</v>
      </c>
      <c r="AJ193">
        <v>98059</v>
      </c>
      <c r="AM193" t="s">
        <v>3913</v>
      </c>
      <c r="BC193" s="22">
        <v>39318.596284722225</v>
      </c>
      <c r="BI193" s="22">
        <v>39549.294907407406</v>
      </c>
      <c r="BL193">
        <v>13199</v>
      </c>
      <c r="BM193">
        <v>1077566</v>
      </c>
      <c r="BN193" t="s">
        <v>3236</v>
      </c>
      <c r="BO193" s="17">
        <f t="shared" ca="1" si="2"/>
        <v>230.71312118055357</v>
      </c>
      <c r="BP193" t="b">
        <v>0</v>
      </c>
      <c r="BQ193">
        <v>1</v>
      </c>
      <c r="BR193" t="s">
        <v>1686</v>
      </c>
      <c r="BS193" t="s">
        <v>1788</v>
      </c>
      <c r="BT193" t="b">
        <v>0</v>
      </c>
      <c r="BU193" t="s">
        <v>1738</v>
      </c>
      <c r="BV193" t="s">
        <v>1668</v>
      </c>
      <c r="BW193">
        <v>5204</v>
      </c>
      <c r="BY193">
        <v>0</v>
      </c>
      <c r="BZ193" t="s">
        <v>3914</v>
      </c>
      <c r="CA193">
        <v>1</v>
      </c>
      <c r="CB193" t="b">
        <v>1</v>
      </c>
      <c r="CC193">
        <v>0</v>
      </c>
      <c r="CD193" t="b">
        <v>0</v>
      </c>
      <c r="CE193" t="b">
        <v>0</v>
      </c>
      <c r="CF193" t="b">
        <v>1</v>
      </c>
      <c r="CG193" t="s">
        <v>1870</v>
      </c>
      <c r="CH193" t="s">
        <v>1681</v>
      </c>
      <c r="CI193" s="10">
        <v>659950</v>
      </c>
    </row>
    <row r="194" spans="1:88">
      <c r="A194">
        <v>27154520</v>
      </c>
      <c r="B194" s="15" t="str">
        <f>HYPERLINK("http://www.redfin.com/stingray/do/printable-listing?listing-id=1070940","Active")</f>
        <v>Active</v>
      </c>
      <c r="D194" t="s">
        <v>5089</v>
      </c>
      <c r="E194" t="s">
        <v>5087</v>
      </c>
      <c r="F194">
        <v>840000</v>
      </c>
      <c r="G194">
        <v>1964</v>
      </c>
      <c r="H194">
        <v>4750</v>
      </c>
      <c r="I194">
        <v>0</v>
      </c>
      <c r="J194">
        <v>5</v>
      </c>
      <c r="K194">
        <v>4.5</v>
      </c>
      <c r="M194" s="2" t="str">
        <f>HYPERLINK("http://maps.live.com/default.aspx?v=2&amp;lvl=15&amp;sp=Point.47.616056_-122.167971_621 129 Pl NE&amp;cp=47.616056~-122.167971","Map")</f>
        <v>Map</v>
      </c>
      <c r="N194" s="2" t="str">
        <f>HYPERLINK("http://i-0.rfimg.us/photo/1/bigphoto/520/27154520_5.jpg","Photo")</f>
        <v>Photo</v>
      </c>
      <c r="AG194">
        <v>47.616056</v>
      </c>
      <c r="AH194">
        <v>-122.16797099999999</v>
      </c>
      <c r="AI194" t="s">
        <v>369</v>
      </c>
      <c r="AJ194">
        <v>98005</v>
      </c>
      <c r="AN194">
        <v>600000</v>
      </c>
      <c r="BC194" s="22">
        <v>39316.850555555553</v>
      </c>
      <c r="BI194" s="22">
        <v>39549.294907407406</v>
      </c>
      <c r="BL194">
        <v>16800</v>
      </c>
      <c r="BM194">
        <v>1070940</v>
      </c>
      <c r="BN194" t="s">
        <v>1735</v>
      </c>
      <c r="BO194" s="17">
        <f t="shared" ref="BO194:BO257" ca="1" si="3">NOW()-BC194</f>
        <v>232.45885034722596</v>
      </c>
      <c r="BP194" t="b">
        <v>0</v>
      </c>
      <c r="BQ194">
        <v>1</v>
      </c>
      <c r="BR194" t="s">
        <v>1842</v>
      </c>
      <c r="BS194">
        <v>129</v>
      </c>
      <c r="BT194" t="b">
        <v>0</v>
      </c>
      <c r="BV194" t="s">
        <v>1668</v>
      </c>
      <c r="BW194">
        <v>621</v>
      </c>
      <c r="BX194" t="s">
        <v>1738</v>
      </c>
      <c r="BY194">
        <v>507433</v>
      </c>
      <c r="BZ194" t="s">
        <v>5088</v>
      </c>
      <c r="CA194">
        <v>1</v>
      </c>
      <c r="CB194" t="b">
        <v>1</v>
      </c>
      <c r="CC194">
        <v>0</v>
      </c>
      <c r="CD194" t="b">
        <v>0</v>
      </c>
      <c r="CE194" t="b">
        <v>0</v>
      </c>
      <c r="CF194" t="b">
        <v>1</v>
      </c>
      <c r="CG194">
        <v>2905311</v>
      </c>
      <c r="CH194" t="s">
        <v>1681</v>
      </c>
      <c r="CI194" s="10">
        <v>840000</v>
      </c>
      <c r="CJ194" s="7">
        <v>38166</v>
      </c>
    </row>
    <row r="195" spans="1:88">
      <c r="A195">
        <v>27154939</v>
      </c>
      <c r="B195" s="15" t="str">
        <f>HYPERLINK("http://www.redfin.com/stingray/do/printable-listing?listing-id=1080415","Subject To Inspection")</f>
        <v>Subject To Inspection</v>
      </c>
      <c r="D195" t="s">
        <v>60</v>
      </c>
      <c r="E195" t="s">
        <v>2730</v>
      </c>
      <c r="F195" s="19">
        <v>319998</v>
      </c>
      <c r="G195">
        <v>2007</v>
      </c>
      <c r="H195">
        <v>0</v>
      </c>
      <c r="I195">
        <v>0</v>
      </c>
      <c r="J195">
        <v>2</v>
      </c>
      <c r="K195">
        <v>1.5</v>
      </c>
      <c r="M195" s="2" t="str">
        <f>HYPERLINK("http://maps.live.com/default.aspx?v=2&amp;lvl=15&amp;sp=Point.47.69753_-122.347959_745 N 95th St&amp;cp=47.69753~-122.347959","Map")</f>
        <v>Map</v>
      </c>
      <c r="N195" s="2" t="str">
        <f>HYPERLINK("http://i-0.rfimg.us/photo/1/bigphoto/939/27154939_0.jpg","Photo")</f>
        <v>Photo</v>
      </c>
      <c r="AG195">
        <v>47.69753</v>
      </c>
      <c r="AH195">
        <v>-122.347959</v>
      </c>
      <c r="AI195" t="s">
        <v>66</v>
      </c>
      <c r="AJ195">
        <v>98103</v>
      </c>
      <c r="BC195" s="22">
        <v>39319.411319444444</v>
      </c>
      <c r="BI195" s="22">
        <v>39549.294907407406</v>
      </c>
      <c r="BL195">
        <v>6580</v>
      </c>
      <c r="BM195">
        <v>1080415</v>
      </c>
      <c r="BN195" t="s">
        <v>1710</v>
      </c>
      <c r="BO195" s="17">
        <f t="shared" ca="1" si="3"/>
        <v>229.89808657407411</v>
      </c>
      <c r="BP195" t="b">
        <v>0</v>
      </c>
      <c r="BQ195">
        <v>1</v>
      </c>
      <c r="BR195" t="s">
        <v>1686</v>
      </c>
      <c r="BS195" t="s">
        <v>2722</v>
      </c>
      <c r="BT195" t="b">
        <v>0</v>
      </c>
      <c r="BU195" t="s">
        <v>1712</v>
      </c>
      <c r="BV195" t="s">
        <v>1668</v>
      </c>
      <c r="BW195">
        <v>745</v>
      </c>
      <c r="BY195">
        <v>12310143</v>
      </c>
      <c r="BZ195" t="s">
        <v>1676</v>
      </c>
      <c r="CA195">
        <v>1</v>
      </c>
      <c r="CB195" t="b">
        <v>1</v>
      </c>
      <c r="CC195">
        <v>0</v>
      </c>
      <c r="CD195" t="b">
        <v>0</v>
      </c>
      <c r="CE195" t="b">
        <v>0</v>
      </c>
      <c r="CF195" t="b">
        <v>1</v>
      </c>
      <c r="CG195">
        <v>15516725</v>
      </c>
      <c r="CH195" t="s">
        <v>1681</v>
      </c>
      <c r="CI195" s="10">
        <v>329000</v>
      </c>
    </row>
    <row r="196" spans="1:88">
      <c r="A196">
        <v>27155227</v>
      </c>
      <c r="B196" s="2" t="str">
        <f>HYPERLINK("http://www.redfin.com/stingray/do/printable-listing?listing-id=1074685","Active")</f>
        <v>Active</v>
      </c>
      <c r="D196" t="s">
        <v>3066</v>
      </c>
      <c r="E196" t="s">
        <v>4811</v>
      </c>
      <c r="F196">
        <v>1195000</v>
      </c>
      <c r="G196">
        <v>2007</v>
      </c>
      <c r="H196">
        <v>3515</v>
      </c>
      <c r="I196">
        <v>9100</v>
      </c>
      <c r="J196">
        <v>4</v>
      </c>
      <c r="K196">
        <v>3.25</v>
      </c>
      <c r="M196" s="2" t="str">
        <f>HYPERLINK("http://maps.live.com/default.aspx?v=2&amp;lvl=15&amp;sp=Point.47.672383_-122.171795_7516 126th Ave NE&amp;cp=47.672383~-122.171795","Map")</f>
        <v>Map</v>
      </c>
      <c r="N196" s="2" t="str">
        <f>HYPERLINK("http://i-0.rfimg.us/photo/1/bigphoto/227/27155227_0.jpg","Photo")</f>
        <v>Photo</v>
      </c>
      <c r="AG196">
        <v>47.672383000000004</v>
      </c>
      <c r="AH196">
        <v>-122.171795</v>
      </c>
      <c r="AI196" t="s">
        <v>1058</v>
      </c>
      <c r="AJ196">
        <v>98033</v>
      </c>
      <c r="AN196">
        <v>360000</v>
      </c>
      <c r="BC196" s="22">
        <v>39317.850428240738</v>
      </c>
      <c r="BI196" s="22">
        <v>39549.294907407406</v>
      </c>
      <c r="BL196">
        <v>23900</v>
      </c>
      <c r="BM196">
        <v>1074685</v>
      </c>
      <c r="BN196" t="s">
        <v>1674</v>
      </c>
      <c r="BO196" s="17">
        <f t="shared" ca="1" si="3"/>
        <v>231.45897766204143</v>
      </c>
      <c r="BP196" t="b">
        <v>0</v>
      </c>
      <c r="BQ196">
        <v>1</v>
      </c>
      <c r="BR196" t="s">
        <v>1667</v>
      </c>
      <c r="BS196" t="s">
        <v>4544</v>
      </c>
      <c r="BT196" t="b">
        <v>0</v>
      </c>
      <c r="BV196" t="s">
        <v>1668</v>
      </c>
      <c r="BW196">
        <v>7516</v>
      </c>
      <c r="BX196" t="s">
        <v>1738</v>
      </c>
      <c r="BY196">
        <v>516357</v>
      </c>
      <c r="BZ196" s="21">
        <v>0</v>
      </c>
      <c r="CA196">
        <v>1</v>
      </c>
      <c r="CB196" t="b">
        <v>1</v>
      </c>
      <c r="CC196">
        <v>0</v>
      </c>
      <c r="CD196" t="b">
        <v>0</v>
      </c>
      <c r="CE196" t="b">
        <v>0</v>
      </c>
      <c r="CF196" t="b">
        <v>1</v>
      </c>
      <c r="CG196">
        <v>2804353</v>
      </c>
      <c r="CH196" t="s">
        <v>1681</v>
      </c>
      <c r="CI196" s="10">
        <v>1195000</v>
      </c>
      <c r="CJ196" s="7">
        <v>38425</v>
      </c>
    </row>
    <row r="197" spans="1:88">
      <c r="A197">
        <v>27155396</v>
      </c>
      <c r="B197" s="2" t="str">
        <f>HYPERLINK("http://www.redfin.com/stingray/do/printable-listing?listing-id=1080726","Subject To Inspection")</f>
        <v>Subject To Inspection</v>
      </c>
      <c r="D197" t="s">
        <v>5545</v>
      </c>
      <c r="E197" t="s">
        <v>5554</v>
      </c>
      <c r="F197">
        <v>799950</v>
      </c>
      <c r="G197">
        <v>2007</v>
      </c>
      <c r="H197">
        <v>3621</v>
      </c>
      <c r="I197">
        <v>6001</v>
      </c>
      <c r="J197">
        <v>5</v>
      </c>
      <c r="K197">
        <v>4</v>
      </c>
      <c r="M197" s="2" t="str">
        <f>HYPERLINK("http://maps.live.com/default.aspx?v=2&amp;lvl=15&amp;sp=adr.1342 247th Pl SE (Unable to map),98075","Map")</f>
        <v>Map</v>
      </c>
      <c r="N197" s="2" t="str">
        <f>HYPERLINK("http://i-0.rfimg.us/photo/1/bigphoto/396/27155396_5.jpg","Photo")</f>
        <v>Photo</v>
      </c>
      <c r="AI197" t="s">
        <v>5273</v>
      </c>
      <c r="AJ197">
        <v>98075</v>
      </c>
      <c r="BC197" s="22">
        <v>39319.577708333331</v>
      </c>
      <c r="BI197" s="7">
        <v>39535</v>
      </c>
      <c r="BL197">
        <v>15999</v>
      </c>
      <c r="BM197">
        <v>1080726</v>
      </c>
      <c r="BN197" t="s">
        <v>1768</v>
      </c>
      <c r="BO197" s="17">
        <f t="shared" ca="1" si="3"/>
        <v>229.73169756944844</v>
      </c>
      <c r="BP197" t="b">
        <v>0</v>
      </c>
      <c r="BQ197">
        <v>2</v>
      </c>
      <c r="BR197" t="s">
        <v>1842</v>
      </c>
      <c r="BS197" t="s">
        <v>5543</v>
      </c>
      <c r="BT197" t="b">
        <v>0</v>
      </c>
      <c r="BV197" t="s">
        <v>1668</v>
      </c>
      <c r="BW197">
        <v>1342</v>
      </c>
      <c r="BX197" t="s">
        <v>3856</v>
      </c>
      <c r="BY197">
        <v>0</v>
      </c>
      <c r="BZ197" t="s">
        <v>5555</v>
      </c>
      <c r="CA197">
        <v>1</v>
      </c>
      <c r="CB197" t="b">
        <v>1</v>
      </c>
      <c r="CC197">
        <v>0</v>
      </c>
      <c r="CD197" t="b">
        <v>0</v>
      </c>
      <c r="CE197" t="b">
        <v>0</v>
      </c>
      <c r="CF197" t="b">
        <v>1</v>
      </c>
      <c r="CG197" t="s">
        <v>1870</v>
      </c>
      <c r="CH197" t="s">
        <v>1681</v>
      </c>
      <c r="CI197" s="10">
        <v>799950</v>
      </c>
    </row>
    <row r="198" spans="1:88">
      <c r="A198">
        <v>27155458</v>
      </c>
      <c r="B198" s="2" t="str">
        <f>HYPERLINK("http://www.redfin.com/stingray/do/printable-listing?listing-id=1075868","Active")</f>
        <v>Active</v>
      </c>
      <c r="D198" t="s">
        <v>1077</v>
      </c>
      <c r="E198" t="s">
        <v>3894</v>
      </c>
      <c r="F198">
        <v>655888</v>
      </c>
      <c r="G198">
        <v>2007</v>
      </c>
      <c r="H198">
        <v>3635</v>
      </c>
      <c r="I198">
        <v>0</v>
      </c>
      <c r="J198">
        <v>4</v>
      </c>
      <c r="K198">
        <v>3.5</v>
      </c>
      <c r="M198" s="2" t="str">
        <f>HYPERLINK("http://maps.live.com/default.aspx?v=2&amp;lvl=15&amp;sp=adr.6152 NE 3rd Ct (Unable to map),98059","Map")</f>
        <v>Map</v>
      </c>
      <c r="N198" s="2" t="str">
        <f>HYPERLINK("http://i-0.rfimg.us/photo/1/bigphoto/458/27155458_2.jpg","Photo")</f>
        <v>Photo</v>
      </c>
      <c r="AI198" t="s">
        <v>1077</v>
      </c>
      <c r="AJ198">
        <v>98059</v>
      </c>
      <c r="BC198" s="22">
        <v>39318.484918981485</v>
      </c>
      <c r="BI198" s="22">
        <v>39549.294907407406</v>
      </c>
      <c r="BL198">
        <v>13118</v>
      </c>
      <c r="BM198">
        <v>1075868</v>
      </c>
      <c r="BN198" t="s">
        <v>3236</v>
      </c>
      <c r="BO198" s="17">
        <f t="shared" ca="1" si="3"/>
        <v>230.82448692129401</v>
      </c>
      <c r="BP198" t="b">
        <v>0</v>
      </c>
      <c r="BQ198">
        <v>1</v>
      </c>
      <c r="BR198" t="s">
        <v>3768</v>
      </c>
      <c r="BS198" t="s">
        <v>1796</v>
      </c>
      <c r="BT198" t="b">
        <v>0</v>
      </c>
      <c r="BU198" t="s">
        <v>1738</v>
      </c>
      <c r="BV198" t="s">
        <v>1668</v>
      </c>
      <c r="BW198">
        <v>6152</v>
      </c>
      <c r="BY198">
        <v>0</v>
      </c>
      <c r="BZ198" t="s">
        <v>3895</v>
      </c>
      <c r="CA198">
        <v>1</v>
      </c>
      <c r="CB198" t="b">
        <v>1</v>
      </c>
      <c r="CC198">
        <v>0</v>
      </c>
      <c r="CD198" t="b">
        <v>0</v>
      </c>
      <c r="CE198" t="b">
        <v>0</v>
      </c>
      <c r="CF198" t="b">
        <v>1</v>
      </c>
      <c r="CG198" t="s">
        <v>1870</v>
      </c>
      <c r="CH198" t="s">
        <v>1681</v>
      </c>
      <c r="CI198" s="10">
        <v>655888</v>
      </c>
    </row>
    <row r="199" spans="1:88">
      <c r="A199">
        <v>27155501</v>
      </c>
      <c r="B199" s="2" t="str">
        <f>HYPERLINK("http://www.redfin.com/stingray/do/printable-listing?listing-id=1075867","Active")</f>
        <v>Active</v>
      </c>
      <c r="D199" t="s">
        <v>1077</v>
      </c>
      <c r="E199" t="s">
        <v>3891</v>
      </c>
      <c r="F199">
        <v>658888</v>
      </c>
      <c r="G199">
        <v>2007</v>
      </c>
      <c r="H199">
        <v>3543</v>
      </c>
      <c r="I199">
        <v>0</v>
      </c>
      <c r="J199">
        <v>4</v>
      </c>
      <c r="K199">
        <v>3</v>
      </c>
      <c r="M199" s="2" t="str">
        <f>HYPERLINK("http://maps.live.com/default.aspx?v=2&amp;lvl=15&amp;sp=adr.6158 NE 3rd Ct (Unable to map),98059","Map")</f>
        <v>Map</v>
      </c>
      <c r="N199" s="2" t="str">
        <f>HYPERLINK("http://i-0.rfimg.us/photo/1/bigphoto/501/27155501_1.jpg","Photo")</f>
        <v>Photo</v>
      </c>
      <c r="AI199" t="s">
        <v>1077</v>
      </c>
      <c r="AJ199">
        <v>98059</v>
      </c>
      <c r="BC199" s="22">
        <v>39318.484907407408</v>
      </c>
      <c r="BI199" s="22">
        <v>39549.294907407406</v>
      </c>
      <c r="BL199">
        <v>13178</v>
      </c>
      <c r="BM199">
        <v>1075867</v>
      </c>
      <c r="BN199" t="s">
        <v>3236</v>
      </c>
      <c r="BO199" s="17">
        <f t="shared" ca="1" si="3"/>
        <v>230.82449849537079</v>
      </c>
      <c r="BP199" t="b">
        <v>0</v>
      </c>
      <c r="BQ199">
        <v>1</v>
      </c>
      <c r="BR199" t="s">
        <v>3768</v>
      </c>
      <c r="BS199" t="s">
        <v>1796</v>
      </c>
      <c r="BT199" t="b">
        <v>0</v>
      </c>
      <c r="BU199" t="s">
        <v>1738</v>
      </c>
      <c r="BV199" t="s">
        <v>1668</v>
      </c>
      <c r="BW199">
        <v>6158</v>
      </c>
      <c r="BY199">
        <v>0</v>
      </c>
      <c r="BZ199" t="s">
        <v>2575</v>
      </c>
      <c r="CA199">
        <v>1</v>
      </c>
      <c r="CB199" t="b">
        <v>1</v>
      </c>
      <c r="CC199">
        <v>0</v>
      </c>
      <c r="CD199" t="b">
        <v>0</v>
      </c>
      <c r="CE199" t="b">
        <v>0</v>
      </c>
      <c r="CF199" t="b">
        <v>1</v>
      </c>
      <c r="CG199" t="s">
        <v>1870</v>
      </c>
      <c r="CH199" t="s">
        <v>1681</v>
      </c>
      <c r="CI199" s="10">
        <v>658888</v>
      </c>
    </row>
    <row r="200" spans="1:88">
      <c r="A200">
        <v>27155576</v>
      </c>
      <c r="B200" s="2" t="str">
        <f>HYPERLINK("http://www.redfin.com/stingray/do/printable-listing?listing-id=1076433","Active")</f>
        <v>Active</v>
      </c>
      <c r="D200" t="s">
        <v>4663</v>
      </c>
      <c r="E200" t="s">
        <v>4921</v>
      </c>
      <c r="F200" s="19">
        <v>549950</v>
      </c>
      <c r="G200">
        <v>2000</v>
      </c>
      <c r="H200">
        <v>2120</v>
      </c>
      <c r="I200">
        <v>10187</v>
      </c>
      <c r="J200">
        <v>3</v>
      </c>
      <c r="K200">
        <v>2.5</v>
      </c>
      <c r="M200" s="2" t="str">
        <f>HYPERLINK("http://maps.live.com/default.aspx?v=2&amp;lvl=15&amp;sp=Point.47.662442_-122.186039_6125 116th Ave NE&amp;cp=47.662442~-122.186039","Map")</f>
        <v>Map</v>
      </c>
      <c r="N200" s="2" t="str">
        <f>HYPERLINK("http://i-0.rfimg.us/photo/1/bigphoto/576/27155576_3.jpg","Photo")</f>
        <v>Photo</v>
      </c>
      <c r="AG200">
        <v>47.662441999999999</v>
      </c>
      <c r="AH200">
        <v>-122.18603899999999</v>
      </c>
      <c r="AI200" t="s">
        <v>1058</v>
      </c>
      <c r="AJ200">
        <v>98033</v>
      </c>
      <c r="AN200">
        <v>410000</v>
      </c>
      <c r="BC200" s="22">
        <v>39318.526817129627</v>
      </c>
      <c r="BI200" s="22">
        <v>39549.294907407406</v>
      </c>
      <c r="BL200">
        <v>11199</v>
      </c>
      <c r="BM200">
        <v>1076433</v>
      </c>
      <c r="BN200" t="s">
        <v>3236</v>
      </c>
      <c r="BO200" s="17">
        <f t="shared" ca="1" si="3"/>
        <v>230.78258877315238</v>
      </c>
      <c r="BP200" t="b">
        <v>0</v>
      </c>
      <c r="BQ200">
        <v>1</v>
      </c>
      <c r="BR200" t="s">
        <v>1667</v>
      </c>
      <c r="BS200" t="s">
        <v>4441</v>
      </c>
      <c r="BT200" t="b">
        <v>0</v>
      </c>
      <c r="BV200" t="s">
        <v>1668</v>
      </c>
      <c r="BW200">
        <v>6125</v>
      </c>
      <c r="BX200" t="s">
        <v>1738</v>
      </c>
      <c r="BY200">
        <v>515969</v>
      </c>
      <c r="BZ200" t="s">
        <v>4922</v>
      </c>
      <c r="CA200">
        <v>1</v>
      </c>
      <c r="CB200" t="b">
        <v>1</v>
      </c>
      <c r="CC200">
        <v>0</v>
      </c>
      <c r="CD200" t="b">
        <v>0</v>
      </c>
      <c r="CE200" t="b">
        <v>0</v>
      </c>
      <c r="CF200" t="b">
        <v>1</v>
      </c>
      <c r="CG200">
        <v>2625995</v>
      </c>
      <c r="CH200" t="s">
        <v>1681</v>
      </c>
      <c r="CI200" s="10">
        <v>559950</v>
      </c>
      <c r="CJ200" s="7">
        <v>38351</v>
      </c>
    </row>
    <row r="201" spans="1:88">
      <c r="A201">
        <v>27156082</v>
      </c>
      <c r="B201" s="2" t="str">
        <f>HYPERLINK("http://www.redfin.com/stingray/do/printable-listing?listing-id=1079963","Active")</f>
        <v>Active</v>
      </c>
      <c r="D201" t="s">
        <v>3929</v>
      </c>
      <c r="E201" t="s">
        <v>6081</v>
      </c>
      <c r="F201">
        <v>589950</v>
      </c>
      <c r="G201">
        <v>2007</v>
      </c>
      <c r="H201">
        <v>2582</v>
      </c>
      <c r="I201">
        <v>4367</v>
      </c>
      <c r="J201">
        <v>4</v>
      </c>
      <c r="K201">
        <v>2.5</v>
      </c>
      <c r="M201" s="2" t="str">
        <f>HYPERLINK("http://maps.live.com/default.aspx?v=2&amp;lvl=15&amp;sp=Point.47.4939_-122.1524_14508 SE 122nd Pl&amp;cp=47.4939~-122.1524","Map")</f>
        <v>Map</v>
      </c>
      <c r="N201" s="2" t="str">
        <f>HYPERLINK("http://i-0.rfimg.us/photo/1/bigphoto/082/27156082_2.jpg","Photo")</f>
        <v>Photo</v>
      </c>
      <c r="AG201">
        <v>47.493899999999996</v>
      </c>
      <c r="AH201">
        <v>-122.1524</v>
      </c>
      <c r="AI201" t="s">
        <v>1077</v>
      </c>
      <c r="AJ201">
        <v>98059</v>
      </c>
      <c r="BC201" s="22">
        <v>39319.370428240742</v>
      </c>
      <c r="BI201" s="22">
        <v>39549.294907407406</v>
      </c>
      <c r="BL201">
        <v>11799</v>
      </c>
      <c r="BM201">
        <v>1079963</v>
      </c>
      <c r="BN201" t="s">
        <v>1768</v>
      </c>
      <c r="BO201" s="17">
        <f t="shared" ca="1" si="3"/>
        <v>229.93897766203736</v>
      </c>
      <c r="BP201" t="b">
        <v>0</v>
      </c>
      <c r="BQ201">
        <v>1</v>
      </c>
      <c r="BR201" t="s">
        <v>1842</v>
      </c>
      <c r="BS201" t="s">
        <v>2672</v>
      </c>
      <c r="BT201" t="b">
        <v>0</v>
      </c>
      <c r="BU201" t="s">
        <v>3856</v>
      </c>
      <c r="BV201" t="s">
        <v>1668</v>
      </c>
      <c r="BW201">
        <v>14508</v>
      </c>
      <c r="BY201">
        <v>12126139</v>
      </c>
      <c r="BZ201" t="s">
        <v>1730</v>
      </c>
      <c r="CA201">
        <v>1</v>
      </c>
      <c r="CB201" t="b">
        <v>1</v>
      </c>
      <c r="CC201">
        <v>0</v>
      </c>
      <c r="CD201" t="b">
        <v>0</v>
      </c>
      <c r="CE201" t="b">
        <v>0</v>
      </c>
      <c r="CF201" t="b">
        <v>1</v>
      </c>
      <c r="CG201">
        <v>15154191</v>
      </c>
      <c r="CH201" t="s">
        <v>1681</v>
      </c>
      <c r="CI201" s="10">
        <v>589950</v>
      </c>
    </row>
    <row r="202" spans="1:88">
      <c r="A202">
        <v>27156093</v>
      </c>
      <c r="B202" s="2" t="str">
        <f>HYPERLINK("http://www.redfin.com/stingray/do/printable-listing?listing-id=1079992","Active")</f>
        <v>Active</v>
      </c>
      <c r="D202" t="s">
        <v>3064</v>
      </c>
      <c r="E202" t="s">
        <v>6938</v>
      </c>
      <c r="F202">
        <v>588950</v>
      </c>
      <c r="G202">
        <v>2007</v>
      </c>
      <c r="H202">
        <v>2527</v>
      </c>
      <c r="I202">
        <v>5140</v>
      </c>
      <c r="J202">
        <v>4</v>
      </c>
      <c r="K202">
        <v>2.5</v>
      </c>
      <c r="M202" s="2" t="str">
        <f>HYPERLINK("http://maps.live.com/default.aspx?v=2&amp;lvl=15&amp;sp=Point.47.5015_-122.1468_12244 145th Ave SE&amp;cp=47.5015~-122.1468","Map")</f>
        <v>Map</v>
      </c>
      <c r="N202" s="2" t="str">
        <f>HYPERLINK("http://i-0.rfimg.us/photo/1/bigphoto/093/27156093_0.jpg","Photo")</f>
        <v>Photo</v>
      </c>
      <c r="AG202">
        <v>47.5015</v>
      </c>
      <c r="AH202">
        <v>-122.1468</v>
      </c>
      <c r="AI202" t="s">
        <v>1077</v>
      </c>
      <c r="AJ202">
        <v>98059</v>
      </c>
      <c r="BC202" s="22">
        <v>39319.380810185183</v>
      </c>
      <c r="BI202" s="22">
        <v>39549.294907407406</v>
      </c>
      <c r="BL202">
        <v>11779</v>
      </c>
      <c r="BM202">
        <v>1079992</v>
      </c>
      <c r="BN202" t="s">
        <v>1768</v>
      </c>
      <c r="BO202" s="17">
        <f t="shared" ca="1" si="3"/>
        <v>229.92859571759618</v>
      </c>
      <c r="BP202" t="b">
        <v>0</v>
      </c>
      <c r="BQ202">
        <v>1</v>
      </c>
      <c r="BR202" t="s">
        <v>1667</v>
      </c>
      <c r="BS202" t="s">
        <v>4646</v>
      </c>
      <c r="BT202" t="b">
        <v>0</v>
      </c>
      <c r="BV202" t="s">
        <v>1668</v>
      </c>
      <c r="BW202">
        <v>12244</v>
      </c>
      <c r="BX202" t="s">
        <v>3856</v>
      </c>
      <c r="BY202">
        <v>12126150</v>
      </c>
      <c r="BZ202" t="s">
        <v>1925</v>
      </c>
      <c r="CA202">
        <v>1</v>
      </c>
      <c r="CB202" t="b">
        <v>1</v>
      </c>
      <c r="CC202">
        <v>0</v>
      </c>
      <c r="CD202" t="b">
        <v>0</v>
      </c>
      <c r="CE202" t="b">
        <v>0</v>
      </c>
      <c r="CF202" t="b">
        <v>1</v>
      </c>
      <c r="CG202">
        <v>15372042</v>
      </c>
      <c r="CH202" t="s">
        <v>1681</v>
      </c>
      <c r="CI202" s="10">
        <v>588950</v>
      </c>
    </row>
    <row r="203" spans="1:88">
      <c r="A203">
        <v>27156097</v>
      </c>
      <c r="B203" s="2" t="str">
        <f>HYPERLINK("http://www.redfin.com/stingray/do/printable-listing?listing-id=1080007","Active")</f>
        <v>Active</v>
      </c>
      <c r="D203" t="s">
        <v>3839</v>
      </c>
      <c r="E203" t="s">
        <v>6110</v>
      </c>
      <c r="F203">
        <v>594950</v>
      </c>
      <c r="G203">
        <v>2007</v>
      </c>
      <c r="H203">
        <v>2605</v>
      </c>
      <c r="I203">
        <v>3954</v>
      </c>
      <c r="J203">
        <v>4</v>
      </c>
      <c r="K203">
        <v>2.5</v>
      </c>
      <c r="M203" s="2" t="str">
        <f>HYPERLINK("http://maps.live.com/default.aspx?v=2&amp;lvl=15&amp;sp=Point.47.5015_-122.1468_12268 145th Ave SE&amp;cp=47.5015~-122.1468","Map")</f>
        <v>Map</v>
      </c>
      <c r="N203" s="2" t="str">
        <f>HYPERLINK("http://i-0.rfimg.us/photo/1/bigphoto/097/27156097_3.jpg","Photo")</f>
        <v>Photo</v>
      </c>
      <c r="AG203">
        <v>47.5015</v>
      </c>
      <c r="AH203">
        <v>-122.1468</v>
      </c>
      <c r="AI203" t="s">
        <v>1077</v>
      </c>
      <c r="AJ203">
        <v>98059</v>
      </c>
      <c r="BC203" s="22">
        <v>39319.390081018515</v>
      </c>
      <c r="BI203" s="22">
        <v>39549.294907407406</v>
      </c>
      <c r="BL203">
        <v>11899</v>
      </c>
      <c r="BM203">
        <v>1080007</v>
      </c>
      <c r="BN203" t="s">
        <v>1768</v>
      </c>
      <c r="BO203" s="17">
        <f t="shared" ca="1" si="3"/>
        <v>229.91932488426392</v>
      </c>
      <c r="BP203" t="b">
        <v>0</v>
      </c>
      <c r="BQ203">
        <v>1</v>
      </c>
      <c r="BR203" t="s">
        <v>1667</v>
      </c>
      <c r="BS203" t="s">
        <v>4646</v>
      </c>
      <c r="BT203" t="b">
        <v>0</v>
      </c>
      <c r="BV203" t="s">
        <v>1668</v>
      </c>
      <c r="BW203">
        <v>12268</v>
      </c>
      <c r="BX203" t="s">
        <v>3856</v>
      </c>
      <c r="BY203">
        <v>12126160</v>
      </c>
      <c r="BZ203" t="s">
        <v>6111</v>
      </c>
      <c r="CA203">
        <v>1</v>
      </c>
      <c r="CB203" t="b">
        <v>1</v>
      </c>
      <c r="CC203">
        <v>0</v>
      </c>
      <c r="CD203" t="b">
        <v>0</v>
      </c>
      <c r="CE203" t="b">
        <v>0</v>
      </c>
      <c r="CF203" t="b">
        <v>1</v>
      </c>
      <c r="CG203">
        <v>15372032</v>
      </c>
      <c r="CH203" t="s">
        <v>1681</v>
      </c>
      <c r="CI203" s="10">
        <v>594950</v>
      </c>
    </row>
    <row r="204" spans="1:88">
      <c r="A204">
        <v>27156515</v>
      </c>
      <c r="B204" s="2" t="str">
        <f>HYPERLINK("http://www.redfin.com/stingray/do/printable-listing?listing-id=1083744","Active")</f>
        <v>Active</v>
      </c>
      <c r="D204" t="s">
        <v>369</v>
      </c>
      <c r="E204" t="s">
        <v>5083</v>
      </c>
      <c r="F204">
        <v>629950</v>
      </c>
      <c r="G204">
        <v>1962</v>
      </c>
      <c r="H204">
        <v>2548</v>
      </c>
      <c r="I204">
        <v>7875</v>
      </c>
      <c r="J204">
        <v>5</v>
      </c>
      <c r="K204">
        <v>3</v>
      </c>
      <c r="M204" s="2" t="str">
        <f>HYPERLINK("http://maps.live.com/default.aspx?v=2&amp;lvl=15&amp;sp=Point.47.613252_-122.147186_14511 NE 4th St&amp;cp=47.613252~-122.147186","Map")</f>
        <v>Map</v>
      </c>
      <c r="N204" s="2" t="str">
        <f>HYPERLINK("http://i-0.rfimg.us/photo/1/bigphoto/515/27156515_1.jpg","Photo")</f>
        <v>Photo</v>
      </c>
      <c r="AG204">
        <v>47.613252000000003</v>
      </c>
      <c r="AH204">
        <v>-122.147186</v>
      </c>
      <c r="AI204" t="s">
        <v>369</v>
      </c>
      <c r="AJ204">
        <v>98007</v>
      </c>
      <c r="BC204" s="22">
        <v>39321.51835648148</v>
      </c>
      <c r="BI204" s="22">
        <v>39549.294907407406</v>
      </c>
      <c r="BL204">
        <v>12599</v>
      </c>
      <c r="BM204">
        <v>1083744</v>
      </c>
      <c r="BN204" t="s">
        <v>1673</v>
      </c>
      <c r="BO204" s="17">
        <f t="shared" ca="1" si="3"/>
        <v>227.79104942129925</v>
      </c>
      <c r="BP204" t="b">
        <v>0</v>
      </c>
      <c r="BQ204">
        <v>1</v>
      </c>
      <c r="BR204" t="s">
        <v>1686</v>
      </c>
      <c r="BS204" t="s">
        <v>1724</v>
      </c>
      <c r="BT204" t="b">
        <v>0</v>
      </c>
      <c r="BU204" t="s">
        <v>1738</v>
      </c>
      <c r="BV204" t="s">
        <v>1668</v>
      </c>
      <c r="BW204">
        <v>14511</v>
      </c>
      <c r="BY204">
        <v>500735</v>
      </c>
      <c r="BZ204" t="s">
        <v>3795</v>
      </c>
      <c r="CA204">
        <v>1</v>
      </c>
      <c r="CB204" t="b">
        <v>1</v>
      </c>
      <c r="CC204">
        <v>0</v>
      </c>
      <c r="CD204" t="b">
        <v>0</v>
      </c>
      <c r="CE204" t="b">
        <v>0</v>
      </c>
      <c r="CF204" t="b">
        <v>1</v>
      </c>
      <c r="CG204">
        <v>2556224</v>
      </c>
      <c r="CH204" t="s">
        <v>1681</v>
      </c>
      <c r="CI204" s="10">
        <v>629950</v>
      </c>
    </row>
    <row r="205" spans="1:88">
      <c r="A205">
        <v>27157054</v>
      </c>
      <c r="B205" s="2" t="str">
        <f>HYPERLINK("http://www.redfin.com/stingray/do/printable-listing?listing-id=1087129","Active")</f>
        <v>Active</v>
      </c>
      <c r="D205" t="s">
        <v>3714</v>
      </c>
      <c r="E205" t="s">
        <v>3834</v>
      </c>
      <c r="F205">
        <v>1850000</v>
      </c>
      <c r="G205">
        <v>1946</v>
      </c>
      <c r="H205">
        <v>3580</v>
      </c>
      <c r="I205">
        <v>7500</v>
      </c>
      <c r="J205">
        <v>3</v>
      </c>
      <c r="K205">
        <v>2.5</v>
      </c>
      <c r="M205" s="2" t="str">
        <f>HYPERLINK("http://maps.live.com/default.aspx?v=2&amp;lvl=15&amp;sp=Point.47.63661_-122.288536_1845 Broadmoor Dr E&amp;cp=47.63661~-122.288536","Map")</f>
        <v>Map</v>
      </c>
      <c r="N205" s="2" t="str">
        <f>HYPERLINK("http://i-0.rfimg.us/photo/1/bigphoto/054/27157054_5.jpg","Photo")</f>
        <v>Photo</v>
      </c>
      <c r="AG205">
        <v>47.636609999999997</v>
      </c>
      <c r="AH205">
        <v>-122.28853599999999</v>
      </c>
      <c r="AI205" t="s">
        <v>66</v>
      </c>
      <c r="AJ205">
        <v>98112</v>
      </c>
      <c r="AN205">
        <v>1600000</v>
      </c>
      <c r="BC205" s="22">
        <v>39322.604467592595</v>
      </c>
      <c r="BI205" s="22">
        <v>39549.294907407406</v>
      </c>
      <c r="BL205">
        <v>37000</v>
      </c>
      <c r="BM205">
        <v>1087129</v>
      </c>
      <c r="BN205" t="s">
        <v>2985</v>
      </c>
      <c r="BO205" s="17">
        <f t="shared" ca="1" si="3"/>
        <v>226.70493831018393</v>
      </c>
      <c r="BP205" t="b">
        <v>0</v>
      </c>
      <c r="BQ205">
        <v>1</v>
      </c>
      <c r="BR205" t="s">
        <v>1816</v>
      </c>
      <c r="BS205" t="s">
        <v>3714</v>
      </c>
      <c r="BT205" t="b">
        <v>0</v>
      </c>
      <c r="BV205" t="s">
        <v>1668</v>
      </c>
      <c r="BW205">
        <v>1845</v>
      </c>
      <c r="BX205" t="s">
        <v>2436</v>
      </c>
      <c r="BY205">
        <v>138928</v>
      </c>
      <c r="BZ205" t="s">
        <v>3835</v>
      </c>
      <c r="CA205">
        <v>1</v>
      </c>
      <c r="CB205" t="b">
        <v>1</v>
      </c>
      <c r="CC205">
        <v>0</v>
      </c>
      <c r="CD205" t="b">
        <v>0</v>
      </c>
      <c r="CE205" t="b">
        <v>0</v>
      </c>
      <c r="CF205" t="b">
        <v>1</v>
      </c>
      <c r="CG205">
        <v>2352714</v>
      </c>
      <c r="CH205" t="s">
        <v>1681</v>
      </c>
      <c r="CI205" s="10">
        <v>1850000</v>
      </c>
      <c r="CJ205" s="7">
        <v>39062</v>
      </c>
    </row>
    <row r="206" spans="1:88">
      <c r="A206">
        <v>27157921</v>
      </c>
      <c r="B206" s="2" t="str">
        <f>HYPERLINK("http://www.redfin.com/stingray/do/printable-listing?listing-id=1087135","Active")</f>
        <v>Active</v>
      </c>
      <c r="D206" t="s">
        <v>1238</v>
      </c>
      <c r="E206" t="s">
        <v>3781</v>
      </c>
      <c r="F206">
        <v>599000</v>
      </c>
      <c r="G206">
        <v>1994</v>
      </c>
      <c r="H206">
        <v>1321</v>
      </c>
      <c r="I206">
        <v>0</v>
      </c>
      <c r="J206">
        <v>2</v>
      </c>
      <c r="K206">
        <v>1.5</v>
      </c>
      <c r="M206" s="2" t="str">
        <f>HYPERLINK("http://maps.live.com/default.aspx?v=2&amp;lvl=15&amp;sp=Point.47.639968_-122.320303_2315 10th Ave E&amp;cp=47.639968~-122.320303","Map")</f>
        <v>Map</v>
      </c>
      <c r="N206" s="2" t="str">
        <f>HYPERLINK("http://i-0.rfimg.us/photo/1/bigphoto/921/27157921_3.jpg","Photo")</f>
        <v>Photo</v>
      </c>
      <c r="AG206">
        <v>47.639968000000003</v>
      </c>
      <c r="AH206">
        <v>-122.320303</v>
      </c>
      <c r="AI206" t="s">
        <v>66</v>
      </c>
      <c r="AJ206">
        <v>98102</v>
      </c>
      <c r="BC206" s="22">
        <v>39322.604872685188</v>
      </c>
      <c r="BI206" s="22">
        <v>39549.294907407406</v>
      </c>
      <c r="BL206">
        <v>11980</v>
      </c>
      <c r="BM206">
        <v>1087135</v>
      </c>
      <c r="BN206" t="s">
        <v>1746</v>
      </c>
      <c r="BO206" s="17">
        <f t="shared" ca="1" si="3"/>
        <v>226.70453321759123</v>
      </c>
      <c r="BP206" t="b">
        <v>0</v>
      </c>
      <c r="BQ206">
        <v>1</v>
      </c>
      <c r="BR206" t="s">
        <v>1667</v>
      </c>
      <c r="BS206" t="s">
        <v>1788</v>
      </c>
      <c r="BT206" t="b">
        <v>0</v>
      </c>
      <c r="BV206" t="s">
        <v>1668</v>
      </c>
      <c r="BW206">
        <v>2315</v>
      </c>
      <c r="BX206" t="s">
        <v>2436</v>
      </c>
      <c r="BY206">
        <v>12131423</v>
      </c>
      <c r="BZ206" t="s">
        <v>3318</v>
      </c>
      <c r="CA206">
        <v>1</v>
      </c>
      <c r="CB206" t="b">
        <v>1</v>
      </c>
      <c r="CC206">
        <v>0</v>
      </c>
      <c r="CD206" t="b">
        <v>0</v>
      </c>
      <c r="CE206" t="b">
        <v>0</v>
      </c>
      <c r="CF206" t="b">
        <v>1</v>
      </c>
      <c r="CG206">
        <v>15376758</v>
      </c>
      <c r="CH206" t="s">
        <v>1681</v>
      </c>
      <c r="CI206" s="10">
        <v>599000</v>
      </c>
    </row>
    <row r="207" spans="1:88">
      <c r="A207">
        <v>27158108</v>
      </c>
      <c r="B207" s="2" t="str">
        <f>HYPERLINK("http://www.redfin.com/stingray/do/printable-listing?listing-id=1087371","Active")</f>
        <v>Active</v>
      </c>
      <c r="D207" t="s">
        <v>63</v>
      </c>
      <c r="E207" t="s">
        <v>2523</v>
      </c>
      <c r="F207">
        <v>1200000</v>
      </c>
      <c r="G207">
        <v>1979</v>
      </c>
      <c r="H207">
        <v>1930</v>
      </c>
      <c r="I207">
        <v>0</v>
      </c>
      <c r="J207">
        <v>2</v>
      </c>
      <c r="K207">
        <v>2</v>
      </c>
      <c r="M207" s="2" t="str">
        <f>HYPERLINK("http://maps.live.com/default.aspx?v=2&amp;lvl=15&amp;sp=Point.47.670118_-122.404856_5501 Seaview Ave NW&amp;cp=47.670118~-122.404856","Map")</f>
        <v>Map</v>
      </c>
      <c r="N207" s="2" t="str">
        <f>HYPERLINK("http://i-0.rfimg.us/photo/1/bigphoto/108/27158108_0.jpg","Photo")</f>
        <v>Photo</v>
      </c>
      <c r="AG207">
        <v>47.670118000000002</v>
      </c>
      <c r="AH207">
        <v>-122.404856</v>
      </c>
      <c r="AI207" t="s">
        <v>66</v>
      </c>
      <c r="AJ207">
        <v>98107</v>
      </c>
      <c r="BC207" s="22">
        <v>39322.696284722224</v>
      </c>
      <c r="BI207" s="22">
        <v>39549.294907407406</v>
      </c>
      <c r="BL207">
        <v>24000</v>
      </c>
      <c r="BM207">
        <v>1087371</v>
      </c>
      <c r="BN207" t="s">
        <v>1685</v>
      </c>
      <c r="BO207" s="17">
        <f t="shared" ca="1" si="3"/>
        <v>226.61312129629368</v>
      </c>
      <c r="BP207" t="b">
        <v>0</v>
      </c>
      <c r="BQ207">
        <v>1</v>
      </c>
      <c r="BR207" t="s">
        <v>1667</v>
      </c>
      <c r="BS207" t="s">
        <v>1727</v>
      </c>
      <c r="BT207" t="b">
        <v>0</v>
      </c>
      <c r="BV207" t="s">
        <v>1668</v>
      </c>
      <c r="BW207">
        <v>5501</v>
      </c>
      <c r="BX207" t="s">
        <v>1669</v>
      </c>
      <c r="BY207">
        <v>2094102</v>
      </c>
      <c r="BZ207" t="s">
        <v>1747</v>
      </c>
      <c r="CA207">
        <v>1</v>
      </c>
      <c r="CB207" t="b">
        <v>1</v>
      </c>
      <c r="CC207">
        <v>0</v>
      </c>
      <c r="CD207" t="b">
        <v>0</v>
      </c>
      <c r="CE207" t="b">
        <v>0</v>
      </c>
      <c r="CF207" t="b">
        <v>1</v>
      </c>
      <c r="CG207">
        <v>2948322</v>
      </c>
      <c r="CH207" t="s">
        <v>1681</v>
      </c>
      <c r="CI207" s="10">
        <v>1200000</v>
      </c>
    </row>
    <row r="208" spans="1:88">
      <c r="A208">
        <v>27158448</v>
      </c>
      <c r="B208" s="2" t="str">
        <f>HYPERLINK("http://www.redfin.com/stingray/do/printable-listing?listing-id=1103359","Active")</f>
        <v>Active</v>
      </c>
      <c r="D208" t="s">
        <v>3961</v>
      </c>
      <c r="E208" t="s">
        <v>3978</v>
      </c>
      <c r="F208" s="19">
        <v>699999</v>
      </c>
      <c r="G208">
        <v>1929</v>
      </c>
      <c r="H208">
        <v>2000</v>
      </c>
      <c r="I208">
        <v>2400</v>
      </c>
      <c r="J208">
        <v>2</v>
      </c>
      <c r="K208">
        <v>1.5</v>
      </c>
      <c r="M208" s="2" t="str">
        <f>HYPERLINK("http://maps.live.com/default.aspx?v=2&amp;lvl=15&amp;sp=Point.47.598789_-122.287496_406 35th Ave S&amp;cp=47.598789~-122.287496","Map")</f>
        <v>Map</v>
      </c>
      <c r="N208" s="2" t="str">
        <f>HYPERLINK("http://i-0.rfimg.us/photo/1/bigphoto/448/27158448_B.jpg","Photo")</f>
        <v>Photo</v>
      </c>
      <c r="AG208">
        <v>47.598788999999996</v>
      </c>
      <c r="AH208">
        <v>-122.287496</v>
      </c>
      <c r="AI208" t="s">
        <v>66</v>
      </c>
      <c r="AJ208">
        <v>98144</v>
      </c>
      <c r="AN208">
        <v>830000</v>
      </c>
      <c r="BC208" s="22">
        <v>39329.695300925923</v>
      </c>
      <c r="BI208" s="22">
        <v>39549.294907407406</v>
      </c>
      <c r="BL208">
        <v>14500</v>
      </c>
      <c r="BM208">
        <v>1103359</v>
      </c>
      <c r="BN208" t="s">
        <v>1674</v>
      </c>
      <c r="BO208" s="17">
        <f t="shared" ca="1" si="3"/>
        <v>219.61410497685574</v>
      </c>
      <c r="BP208" t="b">
        <v>0</v>
      </c>
      <c r="BQ208">
        <v>1</v>
      </c>
      <c r="BR208" t="s">
        <v>1667</v>
      </c>
      <c r="BS208" t="s">
        <v>2920</v>
      </c>
      <c r="BT208" t="b">
        <v>0</v>
      </c>
      <c r="BV208" t="s">
        <v>1668</v>
      </c>
      <c r="BW208">
        <v>406</v>
      </c>
      <c r="BX208" t="s">
        <v>1881</v>
      </c>
      <c r="BY208">
        <v>141708</v>
      </c>
      <c r="BZ208" t="s">
        <v>3979</v>
      </c>
      <c r="CA208">
        <v>1</v>
      </c>
      <c r="CB208" t="b">
        <v>1</v>
      </c>
      <c r="CC208">
        <v>0</v>
      </c>
      <c r="CD208" t="b">
        <v>0</v>
      </c>
      <c r="CE208" t="b">
        <v>0</v>
      </c>
      <c r="CF208" t="b">
        <v>1</v>
      </c>
      <c r="CG208">
        <v>2701679</v>
      </c>
      <c r="CH208" t="s">
        <v>1681</v>
      </c>
      <c r="CI208" s="10">
        <v>725000</v>
      </c>
      <c r="CJ208" s="7">
        <v>37592</v>
      </c>
    </row>
    <row r="209" spans="1:88">
      <c r="A209">
        <v>27158955</v>
      </c>
      <c r="B209" s="2" t="str">
        <f>HYPERLINK("http://www.redfin.com/stingray/do/printable-listing?listing-id=1093130","Active")</f>
        <v>Active</v>
      </c>
      <c r="D209" t="s">
        <v>5204</v>
      </c>
      <c r="E209" t="s">
        <v>5431</v>
      </c>
      <c r="F209" s="19">
        <v>489999</v>
      </c>
      <c r="G209">
        <v>1958</v>
      </c>
      <c r="H209">
        <v>1990</v>
      </c>
      <c r="I209">
        <v>8276</v>
      </c>
      <c r="J209">
        <v>3</v>
      </c>
      <c r="K209">
        <v>2</v>
      </c>
      <c r="M209" s="2" t="str">
        <f>HYPERLINK("http://maps.live.com/default.aspx?v=2&amp;lvl=15&amp;sp=Point.47.61096_-122.126245_15916 NE 1st St&amp;cp=47.61096~-122.126245","Map")</f>
        <v>Map</v>
      </c>
      <c r="N209" s="2" t="str">
        <f>HYPERLINK("http://i-0.rfimg.us/photo/1/bigphoto/955/27158955_0.jpg","Photo")</f>
        <v>Photo</v>
      </c>
      <c r="AG209">
        <v>47.610959999999999</v>
      </c>
      <c r="AH209">
        <v>-122.126245</v>
      </c>
      <c r="AI209" t="s">
        <v>369</v>
      </c>
      <c r="AJ209">
        <v>98008</v>
      </c>
      <c r="AN209">
        <v>459000</v>
      </c>
      <c r="BC209" s="22">
        <v>39324.706111111111</v>
      </c>
      <c r="BI209" s="22">
        <v>39549.294907407406</v>
      </c>
      <c r="BL209">
        <v>9920</v>
      </c>
      <c r="BM209">
        <v>1093130</v>
      </c>
      <c r="BN209" t="s">
        <v>5430</v>
      </c>
      <c r="BO209" s="17">
        <f t="shared" ca="1" si="3"/>
        <v>224.6032947916683</v>
      </c>
      <c r="BP209" t="b">
        <v>0</v>
      </c>
      <c r="BQ209">
        <v>1</v>
      </c>
      <c r="BR209" t="s">
        <v>1686</v>
      </c>
      <c r="BS209" t="s">
        <v>1822</v>
      </c>
      <c r="BT209" t="b">
        <v>0</v>
      </c>
      <c r="BU209" t="s">
        <v>1738</v>
      </c>
      <c r="BV209" t="s">
        <v>1668</v>
      </c>
      <c r="BW209">
        <v>15916</v>
      </c>
      <c r="BY209">
        <v>500822</v>
      </c>
      <c r="BZ209" t="s">
        <v>1672</v>
      </c>
      <c r="CA209">
        <v>1</v>
      </c>
      <c r="CB209" t="b">
        <v>1</v>
      </c>
      <c r="CC209">
        <v>0</v>
      </c>
      <c r="CD209" t="b">
        <v>0</v>
      </c>
      <c r="CE209" t="b">
        <v>0</v>
      </c>
      <c r="CF209" t="b">
        <v>1</v>
      </c>
      <c r="CG209">
        <v>2737475</v>
      </c>
      <c r="CH209" t="s">
        <v>1681</v>
      </c>
      <c r="CI209" s="10">
        <v>496000</v>
      </c>
      <c r="CJ209" s="7">
        <v>39118</v>
      </c>
    </row>
    <row r="210" spans="1:88">
      <c r="A210">
        <v>27159152</v>
      </c>
      <c r="B210" s="2" t="str">
        <f>HYPERLINK("http://www.redfin.com/stingray/do/printable-listing?listing-id=1092533","Active")</f>
        <v>Active</v>
      </c>
      <c r="D210" t="s">
        <v>1077</v>
      </c>
      <c r="E210" t="s">
        <v>3844</v>
      </c>
      <c r="F210">
        <v>698888</v>
      </c>
      <c r="G210">
        <v>2007</v>
      </c>
      <c r="H210">
        <v>3359</v>
      </c>
      <c r="I210">
        <v>0</v>
      </c>
      <c r="J210">
        <v>5</v>
      </c>
      <c r="K210">
        <v>2.75</v>
      </c>
      <c r="M210" s="2" t="str">
        <f>HYPERLINK("http://maps.live.com/default.aspx?v=2&amp;lvl=15&amp;sp=adr.304 Rosario Pl NE (Unable to map),98059","Map")</f>
        <v>Map</v>
      </c>
      <c r="N210" s="2" t="str">
        <f>HYPERLINK("http://i-0.rfimg.us/photo/1/bigphoto/152/27159152_3.jpg","Photo")</f>
        <v>Photo</v>
      </c>
      <c r="AI210" t="s">
        <v>1077</v>
      </c>
      <c r="AJ210">
        <v>98059</v>
      </c>
      <c r="BC210" s="22">
        <v>39324.462638888886</v>
      </c>
      <c r="BI210" s="7">
        <v>39541</v>
      </c>
      <c r="BL210">
        <v>13978</v>
      </c>
      <c r="BM210">
        <v>1092533</v>
      </c>
      <c r="BN210" t="s">
        <v>3236</v>
      </c>
      <c r="BO210" s="17">
        <f t="shared" ca="1" si="3"/>
        <v>224.84676701389253</v>
      </c>
      <c r="BP210" t="b">
        <v>0</v>
      </c>
      <c r="BQ210">
        <v>1</v>
      </c>
      <c r="BR210" t="s">
        <v>1842</v>
      </c>
      <c r="BS210" t="s">
        <v>3845</v>
      </c>
      <c r="BT210" t="b">
        <v>0</v>
      </c>
      <c r="BV210" t="s">
        <v>1668</v>
      </c>
      <c r="BW210">
        <v>304</v>
      </c>
      <c r="BX210" t="s">
        <v>1738</v>
      </c>
      <c r="BY210">
        <v>0</v>
      </c>
      <c r="BZ210" t="s">
        <v>3846</v>
      </c>
      <c r="CA210">
        <v>1</v>
      </c>
      <c r="CB210" t="b">
        <v>1</v>
      </c>
      <c r="CC210">
        <v>0</v>
      </c>
      <c r="CD210" t="b">
        <v>0</v>
      </c>
      <c r="CE210" t="b">
        <v>0</v>
      </c>
      <c r="CF210" t="b">
        <v>1</v>
      </c>
      <c r="CG210" t="s">
        <v>1870</v>
      </c>
      <c r="CH210" t="s">
        <v>1681</v>
      </c>
      <c r="CI210" s="10">
        <v>698888</v>
      </c>
    </row>
    <row r="211" spans="1:88">
      <c r="A211">
        <v>27159164</v>
      </c>
      <c r="B211" s="2" t="str">
        <f>HYPERLINK("http://www.redfin.com/stingray/do/printable-listing?listing-id=1092486","Active")</f>
        <v>Active</v>
      </c>
      <c r="D211" t="s">
        <v>1077</v>
      </c>
      <c r="E211" t="s">
        <v>3847</v>
      </c>
      <c r="F211">
        <v>678888</v>
      </c>
      <c r="G211">
        <v>2007</v>
      </c>
      <c r="H211">
        <v>3635</v>
      </c>
      <c r="I211">
        <v>0</v>
      </c>
      <c r="J211">
        <v>4</v>
      </c>
      <c r="K211">
        <v>3.5</v>
      </c>
      <c r="M211" s="2" t="str">
        <f>HYPERLINK("http://maps.live.com/default.aspx?v=2&amp;lvl=15&amp;sp=adr.331 Rosario Pl NE (Unable to map),98059","Map")</f>
        <v>Map</v>
      </c>
      <c r="N211" s="2" t="str">
        <f>HYPERLINK("http://i-0.rfimg.us/photo/1/bigphoto/164/27159164_3.jpg","Photo")</f>
        <v>Photo</v>
      </c>
      <c r="AI211" t="s">
        <v>1077</v>
      </c>
      <c r="AJ211">
        <v>98059</v>
      </c>
      <c r="BC211" s="22">
        <v>39324.439733796295</v>
      </c>
      <c r="BI211" s="22">
        <v>39549.294907407406</v>
      </c>
      <c r="BL211">
        <v>13578</v>
      </c>
      <c r="BM211">
        <v>1092486</v>
      </c>
      <c r="BN211" t="s">
        <v>3236</v>
      </c>
      <c r="BO211" s="17">
        <f t="shared" ca="1" si="3"/>
        <v>224.86967210648436</v>
      </c>
      <c r="BP211" t="b">
        <v>0</v>
      </c>
      <c r="BQ211">
        <v>1</v>
      </c>
      <c r="BR211" t="s">
        <v>1842</v>
      </c>
      <c r="BS211" t="s">
        <v>3845</v>
      </c>
      <c r="BT211" t="b">
        <v>0</v>
      </c>
      <c r="BV211" t="s">
        <v>1668</v>
      </c>
      <c r="BW211">
        <v>331</v>
      </c>
      <c r="BX211" t="s">
        <v>1738</v>
      </c>
      <c r="BY211">
        <v>0</v>
      </c>
      <c r="BZ211" t="s">
        <v>3848</v>
      </c>
      <c r="CA211">
        <v>1</v>
      </c>
      <c r="CB211" t="b">
        <v>1</v>
      </c>
      <c r="CC211">
        <v>0</v>
      </c>
      <c r="CD211" t="b">
        <v>0</v>
      </c>
      <c r="CE211" t="b">
        <v>0</v>
      </c>
      <c r="CF211" t="b">
        <v>1</v>
      </c>
      <c r="CG211" t="s">
        <v>1870</v>
      </c>
      <c r="CH211" t="s">
        <v>1681</v>
      </c>
      <c r="CI211" s="10">
        <v>678888</v>
      </c>
    </row>
    <row r="212" spans="1:88">
      <c r="A212">
        <v>27159189</v>
      </c>
      <c r="B212" s="2" t="str">
        <f>HYPERLINK("http://www.redfin.com/stingray/do/printable-listing?listing-id=1092488","Active")</f>
        <v>Active</v>
      </c>
      <c r="D212" t="s">
        <v>1077</v>
      </c>
      <c r="E212" t="s">
        <v>3870</v>
      </c>
      <c r="F212">
        <v>735888</v>
      </c>
      <c r="G212">
        <v>2007</v>
      </c>
      <c r="H212">
        <v>3543</v>
      </c>
      <c r="I212">
        <v>0</v>
      </c>
      <c r="J212">
        <v>4</v>
      </c>
      <c r="K212">
        <v>3</v>
      </c>
      <c r="M212" s="2" t="str">
        <f>HYPERLINK("http://maps.live.com/default.aspx?v=2&amp;lvl=15&amp;sp=adr.337 Rosario Pl NE (Unable to map),98059","Map")</f>
        <v>Map</v>
      </c>
      <c r="N212" s="2" t="str">
        <f>HYPERLINK("http://i-0.rfimg.us/photo/1/bigphoto/189/27159189_3.jpg","Photo")</f>
        <v>Photo</v>
      </c>
      <c r="AI212" t="s">
        <v>1077</v>
      </c>
      <c r="AJ212">
        <v>98059</v>
      </c>
      <c r="BC212" s="22">
        <v>39324.439791666664</v>
      </c>
      <c r="BI212" s="22">
        <v>39549.294907407406</v>
      </c>
      <c r="BL212">
        <v>14718</v>
      </c>
      <c r="BM212">
        <v>1092488</v>
      </c>
      <c r="BN212" t="s">
        <v>3236</v>
      </c>
      <c r="BO212" s="17">
        <f t="shared" ca="1" si="3"/>
        <v>224.86961423611501</v>
      </c>
      <c r="BP212" t="b">
        <v>0</v>
      </c>
      <c r="BQ212">
        <v>1</v>
      </c>
      <c r="BR212" t="s">
        <v>1842</v>
      </c>
      <c r="BS212" t="s">
        <v>3845</v>
      </c>
      <c r="BT212" t="b">
        <v>0</v>
      </c>
      <c r="BV212" t="s">
        <v>1668</v>
      </c>
      <c r="BW212">
        <v>337</v>
      </c>
      <c r="BX212" t="s">
        <v>1738</v>
      </c>
      <c r="BY212">
        <v>0</v>
      </c>
      <c r="BZ212" t="s">
        <v>3848</v>
      </c>
      <c r="CA212">
        <v>1</v>
      </c>
      <c r="CB212" t="b">
        <v>1</v>
      </c>
      <c r="CC212">
        <v>0</v>
      </c>
      <c r="CD212" t="b">
        <v>0</v>
      </c>
      <c r="CE212" t="b">
        <v>0</v>
      </c>
      <c r="CF212" t="b">
        <v>1</v>
      </c>
      <c r="CG212" t="s">
        <v>1870</v>
      </c>
      <c r="CH212" t="s">
        <v>1681</v>
      </c>
      <c r="CI212" s="10">
        <v>735888</v>
      </c>
    </row>
    <row r="213" spans="1:88">
      <c r="A213">
        <v>27159205</v>
      </c>
      <c r="B213" s="2" t="str">
        <f>HYPERLINK("http://www.redfin.com/stingray/do/printable-listing?listing-id=1092487","Active")</f>
        <v>Active</v>
      </c>
      <c r="D213" t="s">
        <v>1077</v>
      </c>
      <c r="E213" t="s">
        <v>3858</v>
      </c>
      <c r="F213">
        <v>725888</v>
      </c>
      <c r="G213">
        <v>2007</v>
      </c>
      <c r="H213">
        <v>3635</v>
      </c>
      <c r="I213">
        <v>0</v>
      </c>
      <c r="J213">
        <v>4</v>
      </c>
      <c r="K213">
        <v>3.5</v>
      </c>
      <c r="M213" s="2" t="str">
        <f>HYPERLINK("http://maps.live.com/default.aspx?v=2&amp;lvl=15&amp;sp=adr.343 Rosario Pl NE (Unable to map),98059","Map")</f>
        <v>Map</v>
      </c>
      <c r="N213" s="2" t="str">
        <f>HYPERLINK("http://i-0.rfimg.us/photo/1/bigphoto/205/27159205_3.jpg","Photo")</f>
        <v>Photo</v>
      </c>
      <c r="AI213" t="s">
        <v>1077</v>
      </c>
      <c r="AJ213">
        <v>98059</v>
      </c>
      <c r="BC213" s="22">
        <v>39324.439780092594</v>
      </c>
      <c r="BI213" s="22">
        <v>39549.294907407406</v>
      </c>
      <c r="BL213">
        <v>14518</v>
      </c>
      <c r="BM213">
        <v>1092487</v>
      </c>
      <c r="BN213" t="s">
        <v>3236</v>
      </c>
      <c r="BO213" s="17">
        <f t="shared" ca="1" si="3"/>
        <v>224.86962581018452</v>
      </c>
      <c r="BP213" t="b">
        <v>0</v>
      </c>
      <c r="BQ213">
        <v>1</v>
      </c>
      <c r="BR213" t="s">
        <v>1842</v>
      </c>
      <c r="BS213" t="s">
        <v>3845</v>
      </c>
      <c r="BT213" t="b">
        <v>0</v>
      </c>
      <c r="BV213" t="s">
        <v>1668</v>
      </c>
      <c r="BW213">
        <v>343</v>
      </c>
      <c r="BX213" t="s">
        <v>1738</v>
      </c>
      <c r="BY213">
        <v>0</v>
      </c>
      <c r="BZ213" t="s">
        <v>3859</v>
      </c>
      <c r="CA213">
        <v>1</v>
      </c>
      <c r="CB213" t="b">
        <v>1</v>
      </c>
      <c r="CC213">
        <v>0</v>
      </c>
      <c r="CD213" t="b">
        <v>0</v>
      </c>
      <c r="CE213" t="b">
        <v>0</v>
      </c>
      <c r="CF213" t="b">
        <v>1</v>
      </c>
      <c r="CG213" t="s">
        <v>1870</v>
      </c>
      <c r="CH213" t="s">
        <v>1681</v>
      </c>
      <c r="CI213" s="10">
        <v>725888</v>
      </c>
    </row>
    <row r="214" spans="1:88">
      <c r="A214">
        <v>27159461</v>
      </c>
      <c r="B214" s="2" t="str">
        <f>HYPERLINK("http://www.redfin.com/stingray/do/printable-listing?listing-id=1093046","Active")</f>
        <v>Active</v>
      </c>
      <c r="D214" t="s">
        <v>184</v>
      </c>
      <c r="E214" t="s">
        <v>2983</v>
      </c>
      <c r="F214" s="19">
        <v>789950</v>
      </c>
      <c r="G214">
        <v>1951</v>
      </c>
      <c r="H214">
        <v>4300</v>
      </c>
      <c r="I214">
        <v>13500</v>
      </c>
      <c r="J214">
        <v>5</v>
      </c>
      <c r="K214">
        <v>3.75</v>
      </c>
      <c r="M214" s="2" t="str">
        <f>HYPERLINK("http://maps.live.com/default.aspx?v=2&amp;lvl=15&amp;sp=Point.47.711279_-122.303674_11338 23rd Ave NE&amp;cp=47.711279~-122.303674","Map")</f>
        <v>Map</v>
      </c>
      <c r="N214" s="2" t="str">
        <f>HYPERLINK("http://i-0.rfimg.us/photo/1/bigphoto/461/27159461_5.jpg","Photo")</f>
        <v>Photo</v>
      </c>
      <c r="AG214">
        <v>47.711278999999998</v>
      </c>
      <c r="AH214">
        <v>-122.303674</v>
      </c>
      <c r="AI214" t="s">
        <v>66</v>
      </c>
      <c r="AJ214">
        <v>98125</v>
      </c>
      <c r="AN214">
        <v>115670</v>
      </c>
      <c r="BC214" s="22">
        <v>39324.694907407407</v>
      </c>
      <c r="BI214" s="22">
        <v>39549.294907407406</v>
      </c>
      <c r="BL214">
        <v>15999</v>
      </c>
      <c r="BM214">
        <v>1093046</v>
      </c>
      <c r="BN214" t="s">
        <v>1775</v>
      </c>
      <c r="BO214" s="17">
        <f t="shared" ca="1" si="3"/>
        <v>224.61449849537166</v>
      </c>
      <c r="BP214" t="b">
        <v>0</v>
      </c>
      <c r="BQ214">
        <v>1</v>
      </c>
      <c r="BR214" t="s">
        <v>1667</v>
      </c>
      <c r="BS214" t="s">
        <v>1839</v>
      </c>
      <c r="BT214" t="b">
        <v>0</v>
      </c>
      <c r="BV214" t="s">
        <v>1668</v>
      </c>
      <c r="BW214">
        <v>11338</v>
      </c>
      <c r="BX214" t="s">
        <v>1738</v>
      </c>
      <c r="BY214">
        <v>117096</v>
      </c>
      <c r="BZ214" t="s">
        <v>2984</v>
      </c>
      <c r="CA214">
        <v>1</v>
      </c>
      <c r="CB214" t="b">
        <v>1</v>
      </c>
      <c r="CC214">
        <v>0</v>
      </c>
      <c r="CD214" t="b">
        <v>0</v>
      </c>
      <c r="CE214" t="b">
        <v>0</v>
      </c>
      <c r="CF214" t="b">
        <v>1</v>
      </c>
      <c r="CG214">
        <v>2685863</v>
      </c>
      <c r="CH214" t="s">
        <v>1681</v>
      </c>
      <c r="CI214" s="10">
        <v>799950</v>
      </c>
      <c r="CJ214" s="7">
        <v>38378</v>
      </c>
    </row>
    <row r="215" spans="1:88">
      <c r="A215">
        <v>27159537</v>
      </c>
      <c r="B215" s="2" t="str">
        <f>HYPERLINK("http://www.redfin.com/stingray/do/printable-listing?listing-id=1095409","Active")</f>
        <v>Active</v>
      </c>
      <c r="D215" t="s">
        <v>60</v>
      </c>
      <c r="E215" t="s">
        <v>175</v>
      </c>
      <c r="F215">
        <v>489999</v>
      </c>
      <c r="G215">
        <v>1926</v>
      </c>
      <c r="H215">
        <v>1460</v>
      </c>
      <c r="I215">
        <v>3060</v>
      </c>
      <c r="J215">
        <v>3</v>
      </c>
      <c r="K215">
        <v>1.75</v>
      </c>
      <c r="M215" s="2" t="str">
        <f>HYPERLINK("http://maps.live.com/default.aspx?v=2&amp;lvl=15&amp;sp=Point.47.668832_-122.323785_340 NE 55th St&amp;cp=47.668832~-122.323785","Map")</f>
        <v>Map</v>
      </c>
      <c r="N215" s="2" t="str">
        <f>HYPERLINK("http://i-0.rfimg.us/photo/1/bigphoto/537/27159537_2.jpg","Photo")</f>
        <v>Photo</v>
      </c>
      <c r="AG215">
        <v>47.668832000000002</v>
      </c>
      <c r="AH215">
        <v>-122.323785</v>
      </c>
      <c r="AI215" t="s">
        <v>66</v>
      </c>
      <c r="AJ215">
        <v>98105</v>
      </c>
      <c r="AN215">
        <v>409950</v>
      </c>
      <c r="BC215" s="22">
        <v>39325.451793981483</v>
      </c>
      <c r="BI215" s="22">
        <v>39549.294907407406</v>
      </c>
      <c r="BL215">
        <v>9800</v>
      </c>
      <c r="BM215">
        <v>1095409</v>
      </c>
      <c r="BN215" t="s">
        <v>1688</v>
      </c>
      <c r="BO215" s="17">
        <f t="shared" ca="1" si="3"/>
        <v>223.85761192129576</v>
      </c>
      <c r="BP215" t="b">
        <v>0</v>
      </c>
      <c r="BQ215">
        <v>1</v>
      </c>
      <c r="BR215" t="s">
        <v>1686</v>
      </c>
      <c r="BS215" t="s">
        <v>2514</v>
      </c>
      <c r="BT215" t="b">
        <v>0</v>
      </c>
      <c r="BU215" t="s">
        <v>1738</v>
      </c>
      <c r="BV215" t="s">
        <v>1668</v>
      </c>
      <c r="BW215">
        <v>340</v>
      </c>
      <c r="BY215">
        <v>305511</v>
      </c>
      <c r="BZ215" t="s">
        <v>2340</v>
      </c>
      <c r="CA215">
        <v>1</v>
      </c>
      <c r="CB215" t="b">
        <v>1</v>
      </c>
      <c r="CC215">
        <v>0</v>
      </c>
      <c r="CD215" t="b">
        <v>0</v>
      </c>
      <c r="CE215" t="b">
        <v>0</v>
      </c>
      <c r="CF215" t="b">
        <v>1</v>
      </c>
      <c r="CG215">
        <v>2542970</v>
      </c>
      <c r="CH215" t="s">
        <v>1681</v>
      </c>
      <c r="CI215" s="10">
        <v>489999</v>
      </c>
      <c r="CJ215" s="7">
        <v>38350</v>
      </c>
    </row>
    <row r="216" spans="1:88">
      <c r="A216">
        <v>27159601</v>
      </c>
      <c r="B216" s="2" t="str">
        <f>HYPERLINK("http://www.redfin.com/stingray/do/printable-listing?listing-id=1095218","Active")</f>
        <v>Active</v>
      </c>
      <c r="D216" t="s">
        <v>5618</v>
      </c>
      <c r="E216" t="s">
        <v>5902</v>
      </c>
      <c r="F216" s="19">
        <v>585000</v>
      </c>
      <c r="G216">
        <v>1972</v>
      </c>
      <c r="H216">
        <v>3000</v>
      </c>
      <c r="I216">
        <v>14500</v>
      </c>
      <c r="J216">
        <v>5</v>
      </c>
      <c r="K216">
        <v>3</v>
      </c>
      <c r="M216" s="2" t="str">
        <f>HYPERLINK("http://maps.live.com/default.aspx?v=2&amp;lvl=15&amp;sp=Point.47.563343_-122.13766_15116 SE 46th Way&amp;cp=47.563343~-122.13766","Map")</f>
        <v>Map</v>
      </c>
      <c r="N216" s="2" t="str">
        <f>HYPERLINK("http://i-0.rfimg.us/photo/1/bigphoto/601/27159601_2.jpg","Photo")</f>
        <v>Photo</v>
      </c>
      <c r="AG216">
        <v>47.563343000000003</v>
      </c>
      <c r="AH216">
        <v>-122.13766</v>
      </c>
      <c r="AI216" t="s">
        <v>369</v>
      </c>
      <c r="AJ216">
        <v>98006</v>
      </c>
      <c r="AN216">
        <v>499950</v>
      </c>
      <c r="BC216" s="22">
        <v>39325.426874999997</v>
      </c>
      <c r="BI216" s="22">
        <v>39549.294907407406</v>
      </c>
      <c r="BL216">
        <v>11900</v>
      </c>
      <c r="BM216">
        <v>1095218</v>
      </c>
      <c r="BN216" t="s">
        <v>1823</v>
      </c>
      <c r="BO216" s="17">
        <f t="shared" ca="1" si="3"/>
        <v>223.88253090278158</v>
      </c>
      <c r="BP216" t="b">
        <v>0</v>
      </c>
      <c r="BQ216">
        <v>1</v>
      </c>
      <c r="BR216" t="s">
        <v>2463</v>
      </c>
      <c r="BS216" t="s">
        <v>2471</v>
      </c>
      <c r="BT216" t="b">
        <v>0</v>
      </c>
      <c r="BU216" t="s">
        <v>3856</v>
      </c>
      <c r="BV216" t="s">
        <v>1668</v>
      </c>
      <c r="BW216">
        <v>15116</v>
      </c>
      <c r="BY216">
        <v>238086</v>
      </c>
      <c r="BZ216" t="s">
        <v>3832</v>
      </c>
      <c r="CA216">
        <v>1</v>
      </c>
      <c r="CB216" t="b">
        <v>1</v>
      </c>
      <c r="CC216">
        <v>0</v>
      </c>
      <c r="CD216" t="b">
        <v>0</v>
      </c>
      <c r="CE216" t="b">
        <v>0</v>
      </c>
      <c r="CF216" t="b">
        <v>1</v>
      </c>
      <c r="CG216">
        <v>2426489</v>
      </c>
      <c r="CH216" t="s">
        <v>1681</v>
      </c>
      <c r="CI216" s="10">
        <v>595000</v>
      </c>
      <c r="CJ216" s="7">
        <v>38820</v>
      </c>
    </row>
    <row r="217" spans="1:88">
      <c r="A217">
        <v>27159668</v>
      </c>
      <c r="B217" s="2" t="str">
        <f>HYPERLINK("http://www.redfin.com/stingray/do/printable-listing?listing-id=1096668","Active")</f>
        <v>Active</v>
      </c>
      <c r="D217" t="s">
        <v>3071</v>
      </c>
      <c r="E217" t="s">
        <v>4516</v>
      </c>
      <c r="F217">
        <v>474900</v>
      </c>
      <c r="G217">
        <v>1973</v>
      </c>
      <c r="H217">
        <v>2050</v>
      </c>
      <c r="I217">
        <v>6875</v>
      </c>
      <c r="J217">
        <v>4</v>
      </c>
      <c r="K217">
        <v>2.5</v>
      </c>
      <c r="M217" s="2" t="str">
        <f>HYPERLINK("http://maps.live.com/default.aspx?v=2&amp;lvl=15&amp;sp=Point.47.72487_-122.217224_9225 NE 139th St&amp;cp=47.72487~-122.217224","Map")</f>
        <v>Map</v>
      </c>
      <c r="N217" s="2" t="str">
        <f>HYPERLINK("http://i-0.rfimg.us/photo/1/bigphoto/668/27159668_0.jpg","Photo")</f>
        <v>Photo</v>
      </c>
      <c r="AG217">
        <v>47.724870000000003</v>
      </c>
      <c r="AH217">
        <v>-122.217224</v>
      </c>
      <c r="AI217" t="s">
        <v>1058</v>
      </c>
      <c r="AJ217">
        <v>98034</v>
      </c>
      <c r="AN217">
        <v>328500</v>
      </c>
      <c r="BC217" s="22">
        <v>39326.047581018516</v>
      </c>
      <c r="BI217" s="22">
        <v>39549.294907407406</v>
      </c>
      <c r="BL217">
        <v>9498</v>
      </c>
      <c r="BM217">
        <v>1096668</v>
      </c>
      <c r="BN217" t="s">
        <v>4186</v>
      </c>
      <c r="BO217" s="17">
        <f t="shared" ca="1" si="3"/>
        <v>223.26182488426275</v>
      </c>
      <c r="BP217" t="b">
        <v>0</v>
      </c>
      <c r="BQ217">
        <v>1</v>
      </c>
      <c r="BR217" t="s">
        <v>1686</v>
      </c>
      <c r="BS217" t="s">
        <v>4423</v>
      </c>
      <c r="BT217" t="b">
        <v>0</v>
      </c>
      <c r="BU217" t="s">
        <v>1738</v>
      </c>
      <c r="BV217" t="s">
        <v>1668</v>
      </c>
      <c r="BW217">
        <v>9225</v>
      </c>
      <c r="BY217">
        <v>278731</v>
      </c>
      <c r="BZ217" t="s">
        <v>1672</v>
      </c>
      <c r="CA217">
        <v>1</v>
      </c>
      <c r="CB217" t="b">
        <v>1</v>
      </c>
      <c r="CC217">
        <v>0</v>
      </c>
      <c r="CD217" t="b">
        <v>0</v>
      </c>
      <c r="CE217" t="b">
        <v>0</v>
      </c>
      <c r="CF217" t="b">
        <v>1</v>
      </c>
      <c r="CG217">
        <v>2468188</v>
      </c>
      <c r="CH217" t="s">
        <v>1681</v>
      </c>
      <c r="CI217" s="10">
        <v>474900</v>
      </c>
      <c r="CJ217" s="7">
        <v>38363</v>
      </c>
    </row>
    <row r="218" spans="1:88">
      <c r="A218">
        <v>27159905</v>
      </c>
      <c r="B218" s="2" t="str">
        <f>HYPERLINK("http://www.redfin.com/stingray/do/printable-listing?listing-id=1096175","Active")</f>
        <v>Active</v>
      </c>
      <c r="D218" t="s">
        <v>3885</v>
      </c>
      <c r="E218" t="s">
        <v>5821</v>
      </c>
      <c r="F218" s="19">
        <v>355000</v>
      </c>
      <c r="G218">
        <v>1941</v>
      </c>
      <c r="H218">
        <v>1370</v>
      </c>
      <c r="I218">
        <v>10454</v>
      </c>
      <c r="J218">
        <v>3</v>
      </c>
      <c r="K218">
        <v>1</v>
      </c>
      <c r="M218" s="2" t="str">
        <f>HYPERLINK("http://maps.live.com/default.aspx?v=2&amp;lvl=15&amp;sp=Point.47.525227_-122.18536_8636 116th Ave SE&amp;cp=47.525227~-122.18536","Map")</f>
        <v>Map</v>
      </c>
      <c r="N218" s="2" t="str">
        <f>HYPERLINK("http://i-0.rfimg.us/photo/1/bigphoto/905/27159905_3.jpg","Photo")</f>
        <v>Photo</v>
      </c>
      <c r="AG218">
        <v>47.525227000000001</v>
      </c>
      <c r="AH218">
        <v>-122.18536</v>
      </c>
      <c r="AI218" t="s">
        <v>3885</v>
      </c>
      <c r="AJ218">
        <v>98056</v>
      </c>
      <c r="AN218">
        <v>94000</v>
      </c>
      <c r="BC218" s="22">
        <v>39325.662268518521</v>
      </c>
      <c r="BI218" s="22">
        <v>39549.294907407406</v>
      </c>
      <c r="BL218">
        <v>7199</v>
      </c>
      <c r="BM218">
        <v>1096175</v>
      </c>
      <c r="BN218" t="s">
        <v>1688</v>
      </c>
      <c r="BO218" s="17">
        <f t="shared" ca="1" si="3"/>
        <v>223.6471373842578</v>
      </c>
      <c r="BP218" t="b">
        <v>0</v>
      </c>
      <c r="BQ218">
        <v>1</v>
      </c>
      <c r="BR218" t="s">
        <v>1667</v>
      </c>
      <c r="BS218" t="s">
        <v>4441</v>
      </c>
      <c r="BT218" t="b">
        <v>0</v>
      </c>
      <c r="BV218" t="s">
        <v>1668</v>
      </c>
      <c r="BW218">
        <v>8636</v>
      </c>
      <c r="BX218" t="s">
        <v>3856</v>
      </c>
      <c r="BY218">
        <v>415949</v>
      </c>
      <c r="BZ218" t="s">
        <v>3153</v>
      </c>
      <c r="CA218">
        <v>1</v>
      </c>
      <c r="CB218" t="b">
        <v>1</v>
      </c>
      <c r="CC218">
        <v>0</v>
      </c>
      <c r="CD218" t="b">
        <v>0</v>
      </c>
      <c r="CE218" t="b">
        <v>0</v>
      </c>
      <c r="CF218" t="b">
        <v>1</v>
      </c>
      <c r="CG218">
        <v>2993822</v>
      </c>
      <c r="CH218" t="s">
        <v>1681</v>
      </c>
      <c r="CI218" s="10">
        <v>359950</v>
      </c>
      <c r="CJ218" s="7">
        <v>35506</v>
      </c>
    </row>
    <row r="219" spans="1:88">
      <c r="A219">
        <v>27159922</v>
      </c>
      <c r="B219" s="2" t="str">
        <f>HYPERLINK("http://www.redfin.com/stingray/do/printable-listing?listing-id=1096172","Active")</f>
        <v>Active</v>
      </c>
      <c r="D219" t="s">
        <v>1058</v>
      </c>
      <c r="E219" t="s">
        <v>4814</v>
      </c>
      <c r="F219">
        <v>643950</v>
      </c>
      <c r="G219">
        <v>1990</v>
      </c>
      <c r="H219">
        <v>2137</v>
      </c>
      <c r="I219">
        <v>9000</v>
      </c>
      <c r="J219">
        <v>3</v>
      </c>
      <c r="K219">
        <v>2.5</v>
      </c>
      <c r="M219" s="2" t="str">
        <f>HYPERLINK("http://maps.live.com/default.aspx?v=2&amp;lvl=15&amp;sp=Point.47.67099_-122.165103_7405 131st Pl NE&amp;cp=47.67099~-122.165103","Map")</f>
        <v>Map</v>
      </c>
      <c r="N219" s="2" t="str">
        <f>HYPERLINK("http://i-0.rfimg.us/photo/1/bigphoto/922/27159922_0.jpg","Photo")</f>
        <v>Photo</v>
      </c>
      <c r="AG219">
        <v>47.670990000000003</v>
      </c>
      <c r="AH219">
        <v>-122.165103</v>
      </c>
      <c r="AI219" t="s">
        <v>1058</v>
      </c>
      <c r="AJ219">
        <v>98033</v>
      </c>
      <c r="AN219">
        <v>499000</v>
      </c>
      <c r="BC219" s="22">
        <v>39325.662037037036</v>
      </c>
      <c r="BI219" s="7">
        <v>39539</v>
      </c>
      <c r="BL219">
        <v>12879</v>
      </c>
      <c r="BM219">
        <v>1096172</v>
      </c>
      <c r="BN219" t="s">
        <v>1798</v>
      </c>
      <c r="BO219" s="17">
        <f t="shared" ca="1" si="3"/>
        <v>223.64736886574246</v>
      </c>
      <c r="BP219" t="b">
        <v>0</v>
      </c>
      <c r="BQ219">
        <v>1</v>
      </c>
      <c r="BR219" t="s">
        <v>1842</v>
      </c>
      <c r="BS219" t="s">
        <v>4521</v>
      </c>
      <c r="BT219" t="b">
        <v>0</v>
      </c>
      <c r="BV219" t="s">
        <v>1668</v>
      </c>
      <c r="BW219">
        <v>7405</v>
      </c>
      <c r="BX219" t="s">
        <v>1738</v>
      </c>
      <c r="BY219">
        <v>517172</v>
      </c>
      <c r="BZ219" t="s">
        <v>1672</v>
      </c>
      <c r="CA219">
        <v>1</v>
      </c>
      <c r="CB219" t="b">
        <v>1</v>
      </c>
      <c r="CC219">
        <v>0</v>
      </c>
      <c r="CD219" t="b">
        <v>0</v>
      </c>
      <c r="CE219" t="b">
        <v>0</v>
      </c>
      <c r="CF219" t="b">
        <v>1</v>
      </c>
      <c r="CG219">
        <v>2404000</v>
      </c>
      <c r="CH219" t="s">
        <v>1681</v>
      </c>
      <c r="CI219" s="10">
        <v>643950</v>
      </c>
      <c r="CJ219" s="7">
        <v>38161</v>
      </c>
    </row>
    <row r="220" spans="1:88">
      <c r="A220">
        <v>27160007</v>
      </c>
      <c r="B220" s="2" t="str">
        <f>HYPERLINK("http://www.redfin.com/stingray/do/printable-listing?listing-id=1101501","Active")</f>
        <v>Active</v>
      </c>
      <c r="D220" t="s">
        <v>2552</v>
      </c>
      <c r="E220" t="s">
        <v>3414</v>
      </c>
      <c r="F220">
        <v>499950</v>
      </c>
      <c r="G220">
        <v>1997</v>
      </c>
      <c r="H220">
        <v>1810</v>
      </c>
      <c r="I220">
        <v>0</v>
      </c>
      <c r="J220">
        <v>3</v>
      </c>
      <c r="K220">
        <v>2.25</v>
      </c>
      <c r="M220" s="2" t="str">
        <f>HYPERLINK("http://maps.live.com/default.aspx?v=2&amp;lvl=15&amp;sp=Point.47.651323_-122.385536_3436 23 Ave W&amp;cp=47.651323~-122.385536","Map")</f>
        <v>Map</v>
      </c>
      <c r="N220" s="2" t="str">
        <f>HYPERLINK("http://i-0.rfimg.us/photo/1/bigphoto/007/27160007_6.jpg","Photo")</f>
        <v>Photo</v>
      </c>
      <c r="AG220">
        <v>47.651322999999998</v>
      </c>
      <c r="AH220">
        <v>-122.385536</v>
      </c>
      <c r="AI220" t="s">
        <v>66</v>
      </c>
      <c r="AJ220">
        <v>98199</v>
      </c>
      <c r="AN220">
        <v>209950</v>
      </c>
      <c r="BC220" s="22">
        <v>39329.254340277781</v>
      </c>
      <c r="BI220" s="7">
        <v>39535</v>
      </c>
      <c r="BL220">
        <v>9999</v>
      </c>
      <c r="BM220">
        <v>1101501</v>
      </c>
      <c r="BN220" t="s">
        <v>1678</v>
      </c>
      <c r="BO220" s="17">
        <f t="shared" ca="1" si="3"/>
        <v>220.05506562499795</v>
      </c>
      <c r="BP220" t="b">
        <v>0</v>
      </c>
      <c r="BQ220">
        <v>1</v>
      </c>
      <c r="BR220" t="s">
        <v>1667</v>
      </c>
      <c r="BS220">
        <v>23</v>
      </c>
      <c r="BT220" t="b">
        <v>0</v>
      </c>
      <c r="BV220" t="s">
        <v>1668</v>
      </c>
      <c r="BW220">
        <v>3436</v>
      </c>
      <c r="BX220" t="s">
        <v>2423</v>
      </c>
      <c r="BY220">
        <v>124801</v>
      </c>
      <c r="BZ220" t="s">
        <v>3415</v>
      </c>
      <c r="CA220">
        <v>1</v>
      </c>
      <c r="CB220" t="b">
        <v>1</v>
      </c>
      <c r="CC220">
        <v>0</v>
      </c>
      <c r="CD220" t="b">
        <v>0</v>
      </c>
      <c r="CE220" t="b">
        <v>0</v>
      </c>
      <c r="CF220" t="b">
        <v>1</v>
      </c>
      <c r="CG220">
        <v>2372927</v>
      </c>
      <c r="CH220" t="s">
        <v>1681</v>
      </c>
      <c r="CI220" s="10">
        <v>499950</v>
      </c>
      <c r="CJ220" s="7">
        <v>35643</v>
      </c>
    </row>
    <row r="221" spans="1:88">
      <c r="A221">
        <v>27160127</v>
      </c>
      <c r="B221" s="2" t="str">
        <f>HYPERLINK("http://www.redfin.com/stingray/do/printable-listing?listing-id=1095950","Active")</f>
        <v>Active</v>
      </c>
      <c r="D221" t="s">
        <v>3249</v>
      </c>
      <c r="E221" t="s">
        <v>3556</v>
      </c>
      <c r="F221">
        <v>749000</v>
      </c>
      <c r="G221">
        <v>1910</v>
      </c>
      <c r="H221">
        <v>0</v>
      </c>
      <c r="I221">
        <v>3300</v>
      </c>
      <c r="J221">
        <v>2</v>
      </c>
      <c r="K221">
        <v>2</v>
      </c>
      <c r="M221" s="2" t="str">
        <f>HYPERLINK("http://maps.live.com/default.aspx?v=2&amp;lvl=15&amp;sp=Point.47.642485_-122.365513_611 W Pleasant Pl&amp;cp=47.642485~-122.365513","Map")</f>
        <v>Map</v>
      </c>
      <c r="N221" s="2" t="str">
        <f>HYPERLINK("http://i-0.rfimg.us/photo/1/bigphoto/127/27160127_0.jpg","Photo")</f>
        <v>Photo</v>
      </c>
      <c r="AG221">
        <v>47.642485000000001</v>
      </c>
      <c r="AH221">
        <v>-122.36551300000001</v>
      </c>
      <c r="AI221" t="s">
        <v>66</v>
      </c>
      <c r="AJ221">
        <v>98109</v>
      </c>
      <c r="AN221">
        <v>510000</v>
      </c>
      <c r="BC221" s="22">
        <v>39325.616851851853</v>
      </c>
      <c r="BI221" s="22">
        <v>39549.294907407406</v>
      </c>
      <c r="BL221">
        <v>14980</v>
      </c>
      <c r="BM221">
        <v>1095950</v>
      </c>
      <c r="BN221" t="s">
        <v>1678</v>
      </c>
      <c r="BO221" s="17">
        <f t="shared" ca="1" si="3"/>
        <v>223.69255405092554</v>
      </c>
      <c r="BP221" t="b">
        <v>0</v>
      </c>
      <c r="BQ221">
        <v>1</v>
      </c>
      <c r="BR221" t="s">
        <v>1842</v>
      </c>
      <c r="BS221" t="s">
        <v>3557</v>
      </c>
      <c r="BT221" t="b">
        <v>0</v>
      </c>
      <c r="BU221" t="s">
        <v>2423</v>
      </c>
      <c r="BV221" t="s">
        <v>1668</v>
      </c>
      <c r="BW221">
        <v>611</v>
      </c>
      <c r="BY221">
        <v>129629</v>
      </c>
      <c r="BZ221" t="s">
        <v>1672</v>
      </c>
      <c r="CA221">
        <v>1</v>
      </c>
      <c r="CB221" t="b">
        <v>1</v>
      </c>
      <c r="CC221">
        <v>0</v>
      </c>
      <c r="CD221" t="b">
        <v>0</v>
      </c>
      <c r="CE221" t="b">
        <v>0</v>
      </c>
      <c r="CF221" t="b">
        <v>1</v>
      </c>
      <c r="CG221">
        <v>2599989</v>
      </c>
      <c r="CH221" t="s">
        <v>1681</v>
      </c>
      <c r="CI221" s="10">
        <v>749000</v>
      </c>
      <c r="CJ221" s="7">
        <v>38058</v>
      </c>
    </row>
    <row r="222" spans="1:88">
      <c r="A222">
        <v>27160140</v>
      </c>
      <c r="B222" s="2" t="str">
        <f>HYPERLINK("http://www.redfin.com/stingray/do/printable-listing?listing-id=1101817","Active")</f>
        <v>Active</v>
      </c>
      <c r="D222" t="s">
        <v>1972</v>
      </c>
      <c r="E222" t="s">
        <v>1977</v>
      </c>
      <c r="F222">
        <v>6950000</v>
      </c>
      <c r="G222">
        <v>1922</v>
      </c>
      <c r="H222">
        <v>9830</v>
      </c>
      <c r="I222">
        <v>94961</v>
      </c>
      <c r="J222">
        <v>7</v>
      </c>
      <c r="K222">
        <v>7.5</v>
      </c>
      <c r="M222" s="2" t="str">
        <f>HYPERLINK("http://maps.live.com/default.aspx?v=2&amp;lvl=15&amp;sp=adr.0 The Highlands nLot 49 (Unable to map),98177","Map")</f>
        <v>Map</v>
      </c>
      <c r="N222" s="2" t="str">
        <f>HYPERLINK("http://i-0.rfimg.us/photo/1/bigphoto/140/27160140_1.jpg","Photo")</f>
        <v>Photo</v>
      </c>
      <c r="AI222" t="s">
        <v>66</v>
      </c>
      <c r="AJ222">
        <v>98177</v>
      </c>
      <c r="AM222" t="s">
        <v>1978</v>
      </c>
      <c r="BC222" s="22">
        <v>39329.3984375</v>
      </c>
      <c r="BI222" s="22">
        <v>39549.294907407406</v>
      </c>
      <c r="BL222">
        <v>139000</v>
      </c>
      <c r="BM222">
        <v>1101817</v>
      </c>
      <c r="BN222" t="s">
        <v>1829</v>
      </c>
      <c r="BO222" s="17">
        <f t="shared" ca="1" si="3"/>
        <v>219.91096851851762</v>
      </c>
      <c r="BP222" t="b">
        <v>0</v>
      </c>
      <c r="BQ222">
        <v>1</v>
      </c>
      <c r="BS222" t="s">
        <v>1972</v>
      </c>
      <c r="BT222" t="b">
        <v>0</v>
      </c>
      <c r="BV222" t="s">
        <v>1668</v>
      </c>
      <c r="BW222">
        <v>0</v>
      </c>
      <c r="BY222">
        <v>0</v>
      </c>
      <c r="BZ222" t="s">
        <v>1709</v>
      </c>
      <c r="CA222">
        <v>1</v>
      </c>
      <c r="CB222" t="b">
        <v>1</v>
      </c>
      <c r="CC222">
        <v>0</v>
      </c>
      <c r="CD222" t="b">
        <v>0</v>
      </c>
      <c r="CE222" t="b">
        <v>0</v>
      </c>
      <c r="CF222" t="b">
        <v>1</v>
      </c>
      <c r="CG222" t="s">
        <v>1870</v>
      </c>
      <c r="CH222" t="s">
        <v>1681</v>
      </c>
      <c r="CI222" s="10">
        <v>6950000</v>
      </c>
    </row>
    <row r="223" spans="1:88">
      <c r="A223">
        <v>27160622</v>
      </c>
      <c r="B223" s="2" t="str">
        <f>HYPERLINK("http://www.redfin.com/stingray/do/printable-listing?listing-id=1098335","Active")</f>
        <v>Active</v>
      </c>
      <c r="D223" t="s">
        <v>60</v>
      </c>
      <c r="E223" t="s">
        <v>2350</v>
      </c>
      <c r="F223">
        <v>864950</v>
      </c>
      <c r="G223">
        <v>2007</v>
      </c>
      <c r="H223">
        <v>1715</v>
      </c>
      <c r="I223">
        <v>0</v>
      </c>
      <c r="J223">
        <v>2</v>
      </c>
      <c r="K223">
        <v>2.25</v>
      </c>
      <c r="M223" s="2" t="str">
        <f>HYPERLINK("http://maps.live.com/default.aspx?v=2&amp;lvl=15&amp;sp=Point.47.687231_-122.33797_8011 Densmore Ave N&amp;cp=47.687231~-122.33797","Map")</f>
        <v>Map</v>
      </c>
      <c r="N223" s="2" t="str">
        <f>HYPERLINK("http://i-0.rfimg.us/photo/1/bigphoto/622/27160622_1.jpg","Photo")</f>
        <v>Photo</v>
      </c>
      <c r="AG223">
        <v>47.687230999999997</v>
      </c>
      <c r="AH223">
        <v>-122.33797</v>
      </c>
      <c r="AI223" t="s">
        <v>66</v>
      </c>
      <c r="AJ223">
        <v>98103</v>
      </c>
      <c r="BC223" s="22">
        <v>39326.50922453704</v>
      </c>
      <c r="BI223" s="22">
        <v>39546.925937499997</v>
      </c>
      <c r="BL223">
        <v>17299</v>
      </c>
      <c r="BM223">
        <v>1098335</v>
      </c>
      <c r="BN223" t="s">
        <v>1768</v>
      </c>
      <c r="BO223" s="17">
        <f t="shared" ca="1" si="3"/>
        <v>222.80018148147792</v>
      </c>
      <c r="BP223" t="b">
        <v>0</v>
      </c>
      <c r="BQ223">
        <v>1</v>
      </c>
      <c r="BR223" t="s">
        <v>1667</v>
      </c>
      <c r="BS223" t="s">
        <v>2349</v>
      </c>
      <c r="BT223" t="b">
        <v>0</v>
      </c>
      <c r="BV223" t="s">
        <v>1668</v>
      </c>
      <c r="BW223">
        <v>8011</v>
      </c>
      <c r="BX223" t="s">
        <v>1712</v>
      </c>
      <c r="BY223">
        <v>12137655</v>
      </c>
      <c r="BZ223" t="s">
        <v>1742</v>
      </c>
      <c r="CA223">
        <v>1</v>
      </c>
      <c r="CB223" t="b">
        <v>1</v>
      </c>
      <c r="CC223">
        <v>0</v>
      </c>
      <c r="CD223" t="b">
        <v>0</v>
      </c>
      <c r="CE223" t="b">
        <v>0</v>
      </c>
      <c r="CF223" t="b">
        <v>1</v>
      </c>
      <c r="CG223">
        <v>15379618</v>
      </c>
      <c r="CH223" t="s">
        <v>1681</v>
      </c>
      <c r="CI223" s="10">
        <v>864950</v>
      </c>
    </row>
    <row r="224" spans="1:88">
      <c r="A224">
        <v>27160736</v>
      </c>
      <c r="B224" s="2" t="str">
        <f>HYPERLINK("http://www.redfin.com/stingray/do/printable-listing?listing-id=1098678","Active")</f>
        <v>Active</v>
      </c>
      <c r="D224" t="s">
        <v>3064</v>
      </c>
      <c r="E224" t="s">
        <v>6099</v>
      </c>
      <c r="F224">
        <v>469950</v>
      </c>
      <c r="G224">
        <v>2005</v>
      </c>
      <c r="H224">
        <v>2978</v>
      </c>
      <c r="I224">
        <v>5338</v>
      </c>
      <c r="J224">
        <v>5</v>
      </c>
      <c r="K224">
        <v>2.5</v>
      </c>
      <c r="M224" s="2" t="str">
        <f>HYPERLINK("http://maps.live.com/default.aspx?v=2&amp;lvl=15&amp;sp=Point.47.490537798828_-122.14917909878_508 Ilwaco Ave NE&amp;cp=47.490537798828~-122.14917909878","Map")</f>
        <v>Map</v>
      </c>
      <c r="N224" s="2" t="str">
        <f>HYPERLINK("http://i-0.rfimg.us/photo/1/bigphoto/736/27160736_0.jpg","Photo")</f>
        <v>Photo</v>
      </c>
      <c r="AG224">
        <v>47.490537798828001</v>
      </c>
      <c r="AH224">
        <v>-122.14917909878</v>
      </c>
      <c r="AI224" t="s">
        <v>1077</v>
      </c>
      <c r="AJ224">
        <v>98059</v>
      </c>
      <c r="AN224">
        <v>445950</v>
      </c>
      <c r="BC224" s="22">
        <v>39326.643530092595</v>
      </c>
      <c r="BI224" s="22">
        <v>39549.294907407406</v>
      </c>
      <c r="BL224">
        <v>9399</v>
      </c>
      <c r="BM224">
        <v>1098678</v>
      </c>
      <c r="BN224" t="s">
        <v>1737</v>
      </c>
      <c r="BO224" s="17">
        <f t="shared" ca="1" si="3"/>
        <v>222.66587581018393</v>
      </c>
      <c r="BP224" t="b">
        <v>0</v>
      </c>
      <c r="BQ224">
        <v>1</v>
      </c>
      <c r="BR224" t="s">
        <v>1667</v>
      </c>
      <c r="BS224" t="s">
        <v>3939</v>
      </c>
      <c r="BT224" t="b">
        <v>0</v>
      </c>
      <c r="BV224" t="s">
        <v>1668</v>
      </c>
      <c r="BW224">
        <v>508</v>
      </c>
      <c r="BX224" t="s">
        <v>1738</v>
      </c>
      <c r="BY224">
        <v>2071169</v>
      </c>
      <c r="BZ224" t="s">
        <v>1670</v>
      </c>
      <c r="CA224">
        <v>1</v>
      </c>
      <c r="CB224" t="b">
        <v>1</v>
      </c>
      <c r="CC224">
        <v>0</v>
      </c>
      <c r="CD224" t="b">
        <v>0</v>
      </c>
      <c r="CE224" t="b">
        <v>0</v>
      </c>
      <c r="CF224" t="b">
        <v>1</v>
      </c>
      <c r="CG224">
        <v>2547723</v>
      </c>
      <c r="CH224" t="s">
        <v>1681</v>
      </c>
      <c r="CI224" s="10">
        <v>469950</v>
      </c>
      <c r="CJ224" s="7">
        <v>38656</v>
      </c>
    </row>
    <row r="225" spans="1:88">
      <c r="A225">
        <v>27160868</v>
      </c>
      <c r="B225" s="2" t="str">
        <f>HYPERLINK("http://www.redfin.com/stingray/do/printable-listing?listing-id=1099908","Active")</f>
        <v>Active</v>
      </c>
      <c r="D225" t="s">
        <v>369</v>
      </c>
      <c r="E225" t="s">
        <v>5784</v>
      </c>
      <c r="F225">
        <v>989000</v>
      </c>
      <c r="G225">
        <v>2008</v>
      </c>
      <c r="H225">
        <v>4091</v>
      </c>
      <c r="I225">
        <v>8400</v>
      </c>
      <c r="J225">
        <v>4</v>
      </c>
      <c r="K225">
        <v>3.5</v>
      </c>
      <c r="M225" s="2" t="str">
        <f>HYPERLINK("http://maps.live.com/default.aspx?v=2&amp;lvl=15&amp;sp=Point.47.545663_-122.189566_11241 SE 64th St./Lot 5&amp;cp=47.545663~-122.189566","Map")</f>
        <v>Map</v>
      </c>
      <c r="N225" s="2" t="str">
        <f>HYPERLINK("http://i-0.rfimg.us/photo/1/bigphoto/868/27160868_0.jpg","Photo")</f>
        <v>Photo</v>
      </c>
      <c r="AG225">
        <v>47.545662999999998</v>
      </c>
      <c r="AH225">
        <v>-122.189566</v>
      </c>
      <c r="AI225" t="s">
        <v>369</v>
      </c>
      <c r="AJ225">
        <v>98006</v>
      </c>
      <c r="BC225" s="22">
        <v>39327.431747685187</v>
      </c>
      <c r="BI225" s="22">
        <v>39549.294907407406</v>
      </c>
      <c r="BL225">
        <v>19780</v>
      </c>
      <c r="BM225">
        <v>1099908</v>
      </c>
      <c r="BN225" t="s">
        <v>2136</v>
      </c>
      <c r="BO225" s="17">
        <f t="shared" ca="1" si="3"/>
        <v>221.8776582175924</v>
      </c>
      <c r="BP225" t="b">
        <v>0</v>
      </c>
      <c r="BQ225">
        <v>1</v>
      </c>
      <c r="BS225" t="s">
        <v>5785</v>
      </c>
      <c r="BT225" t="b">
        <v>0</v>
      </c>
      <c r="BU225" t="s">
        <v>3856</v>
      </c>
      <c r="BV225" t="s">
        <v>1668</v>
      </c>
      <c r="BW225">
        <v>11241</v>
      </c>
      <c r="BY225">
        <v>12309988</v>
      </c>
      <c r="BZ225" t="s">
        <v>5786</v>
      </c>
      <c r="CA225">
        <v>1</v>
      </c>
      <c r="CB225" t="b">
        <v>1</v>
      </c>
      <c r="CC225">
        <v>0</v>
      </c>
      <c r="CD225" t="b">
        <v>0</v>
      </c>
      <c r="CE225" t="b">
        <v>0</v>
      </c>
      <c r="CF225" t="b">
        <v>1</v>
      </c>
      <c r="CG225">
        <v>15516570</v>
      </c>
      <c r="CH225" t="s">
        <v>1681</v>
      </c>
      <c r="CI225" s="10">
        <v>989000</v>
      </c>
    </row>
    <row r="226" spans="1:88">
      <c r="A226">
        <v>27160988</v>
      </c>
      <c r="B226" s="2" t="str">
        <f>HYPERLINK("http://www.redfin.com/stingray/do/printable-listing?listing-id=1101960","Active")</f>
        <v>Active</v>
      </c>
      <c r="D226" t="s">
        <v>3064</v>
      </c>
      <c r="E226" t="s">
        <v>3868</v>
      </c>
      <c r="F226">
        <v>588950</v>
      </c>
      <c r="G226">
        <v>2007</v>
      </c>
      <c r="H226">
        <v>2943</v>
      </c>
      <c r="I226">
        <v>6267</v>
      </c>
      <c r="J226">
        <v>4</v>
      </c>
      <c r="K226">
        <v>2.5</v>
      </c>
      <c r="M226" s="2" t="str">
        <f>HYPERLINK("http://maps.live.com/default.aspx?v=2&amp;lvl=15&amp;sp=adr.16026 SE 137th Ter (Unable to map),98059","Map")</f>
        <v>Map</v>
      </c>
      <c r="N226" s="2" t="str">
        <f>HYPERLINK("http://i-0.rfimg.us/photo/1/bigphoto/988/27160988_2.jpg","Photo")</f>
        <v>Photo</v>
      </c>
      <c r="AI226" t="s">
        <v>1077</v>
      </c>
      <c r="AJ226">
        <v>98059</v>
      </c>
      <c r="BC226" s="22">
        <v>39329.422233796293</v>
      </c>
      <c r="BI226" s="22">
        <v>39549.294907407406</v>
      </c>
      <c r="BL226">
        <v>11779</v>
      </c>
      <c r="BM226">
        <v>1101960</v>
      </c>
      <c r="BN226" t="s">
        <v>1688</v>
      </c>
      <c r="BO226" s="17">
        <f t="shared" ca="1" si="3"/>
        <v>219.8871721064861</v>
      </c>
      <c r="BP226" t="b">
        <v>0</v>
      </c>
      <c r="BQ226">
        <v>1</v>
      </c>
      <c r="BR226" t="s">
        <v>2852</v>
      </c>
      <c r="BS226" t="s">
        <v>3855</v>
      </c>
      <c r="BT226" t="b">
        <v>0</v>
      </c>
      <c r="BU226" t="s">
        <v>3856</v>
      </c>
      <c r="BV226" t="s">
        <v>1668</v>
      </c>
      <c r="BW226">
        <v>16026</v>
      </c>
      <c r="BY226">
        <v>0</v>
      </c>
      <c r="BZ226" t="s">
        <v>3869</v>
      </c>
      <c r="CA226">
        <v>1</v>
      </c>
      <c r="CB226" t="b">
        <v>1</v>
      </c>
      <c r="CC226">
        <v>0</v>
      </c>
      <c r="CD226" t="b">
        <v>0</v>
      </c>
      <c r="CE226" t="b">
        <v>0</v>
      </c>
      <c r="CF226" t="b">
        <v>1</v>
      </c>
      <c r="CG226" t="s">
        <v>1870</v>
      </c>
      <c r="CH226" t="s">
        <v>1681</v>
      </c>
      <c r="CI226" s="10">
        <v>588950</v>
      </c>
    </row>
    <row r="227" spans="1:88">
      <c r="A227">
        <v>27160995</v>
      </c>
      <c r="B227" s="2" t="str">
        <f>HYPERLINK("http://www.redfin.com/stingray/do/printable-listing?listing-id=1101959","Active")</f>
        <v>Active</v>
      </c>
      <c r="D227" t="s">
        <v>3064</v>
      </c>
      <c r="E227" t="s">
        <v>3864</v>
      </c>
      <c r="F227">
        <v>564950</v>
      </c>
      <c r="G227">
        <v>2007</v>
      </c>
      <c r="H227">
        <v>2887</v>
      </c>
      <c r="I227">
        <v>5523</v>
      </c>
      <c r="J227">
        <v>5</v>
      </c>
      <c r="K227">
        <v>2.5</v>
      </c>
      <c r="M227" s="2" t="str">
        <f>HYPERLINK("http://maps.live.com/default.aspx?v=2&amp;lvl=15&amp;sp=adr.16032 SE 137th Ter (Unable to map),98059","Map")</f>
        <v>Map</v>
      </c>
      <c r="N227" s="2" t="str">
        <f>HYPERLINK("http://i-0.rfimg.us/photo/1/bigphoto/995/27160995_2.jpg","Photo")</f>
        <v>Photo</v>
      </c>
      <c r="AI227" t="s">
        <v>1077</v>
      </c>
      <c r="AJ227">
        <v>98059</v>
      </c>
      <c r="BC227" s="22">
        <v>39329.4221875</v>
      </c>
      <c r="BI227" s="22">
        <v>39549.294907407406</v>
      </c>
      <c r="BL227">
        <v>11299</v>
      </c>
      <c r="BM227">
        <v>1101959</v>
      </c>
      <c r="BN227" t="s">
        <v>1688</v>
      </c>
      <c r="BO227" s="17">
        <f t="shared" ca="1" si="3"/>
        <v>219.88721840277867</v>
      </c>
      <c r="BP227" t="b">
        <v>0</v>
      </c>
      <c r="BQ227">
        <v>1</v>
      </c>
      <c r="BR227" t="s">
        <v>2852</v>
      </c>
      <c r="BS227" t="s">
        <v>3855</v>
      </c>
      <c r="BT227" t="b">
        <v>0</v>
      </c>
      <c r="BU227" t="s">
        <v>3856</v>
      </c>
      <c r="BV227" t="s">
        <v>1668</v>
      </c>
      <c r="BW227">
        <v>16032</v>
      </c>
      <c r="BY227">
        <v>0</v>
      </c>
      <c r="BZ227" t="s">
        <v>3857</v>
      </c>
      <c r="CA227">
        <v>1</v>
      </c>
      <c r="CB227" t="b">
        <v>1</v>
      </c>
      <c r="CC227">
        <v>0</v>
      </c>
      <c r="CD227" t="b">
        <v>0</v>
      </c>
      <c r="CE227" t="b">
        <v>0</v>
      </c>
      <c r="CF227" t="b">
        <v>1</v>
      </c>
      <c r="CG227" t="s">
        <v>1870</v>
      </c>
      <c r="CH227" t="s">
        <v>1681</v>
      </c>
      <c r="CI227" s="10">
        <v>564950</v>
      </c>
    </row>
    <row r="228" spans="1:88">
      <c r="A228">
        <v>27161081</v>
      </c>
      <c r="B228" s="2" t="str">
        <f>HYPERLINK("http://www.redfin.com/stingray/do/printable-listing?listing-id=1101507","Active")</f>
        <v>Active</v>
      </c>
      <c r="D228" t="s">
        <v>5050</v>
      </c>
      <c r="E228" t="s">
        <v>5126</v>
      </c>
      <c r="F228" s="19">
        <v>659990</v>
      </c>
      <c r="G228">
        <v>1987</v>
      </c>
      <c r="H228">
        <v>2400</v>
      </c>
      <c r="I228">
        <v>26572</v>
      </c>
      <c r="J228">
        <v>4</v>
      </c>
      <c r="K228">
        <v>2</v>
      </c>
      <c r="M228" s="2" t="str">
        <f>HYPERLINK("http://maps.live.com/default.aspx?v=2&amp;lvl=15&amp;sp=Point.47.600887_-122.15818_13607 SE 10th St&amp;cp=47.600887~-122.15818","Map")</f>
        <v>Map</v>
      </c>
      <c r="N228" s="2" t="str">
        <f>HYPERLINK("http://i-0.rfimg.us/photo/1/bigphoto/081/27161081_0.jpg","Photo")</f>
        <v>Photo</v>
      </c>
      <c r="AG228">
        <v>47.600887</v>
      </c>
      <c r="AH228">
        <v>-122.15818</v>
      </c>
      <c r="AI228" t="s">
        <v>369</v>
      </c>
      <c r="AJ228">
        <v>98005</v>
      </c>
      <c r="AN228">
        <v>249000</v>
      </c>
      <c r="BC228" s="22">
        <v>39329.264953703707</v>
      </c>
      <c r="BI228" s="22">
        <v>39549.294907407406</v>
      </c>
      <c r="BL228">
        <v>13400</v>
      </c>
      <c r="BM228">
        <v>1101507</v>
      </c>
      <c r="BN228" t="s">
        <v>2836</v>
      </c>
      <c r="BO228" s="17">
        <f t="shared" ca="1" si="3"/>
        <v>220.04445219907211</v>
      </c>
      <c r="BP228" t="b">
        <v>0</v>
      </c>
      <c r="BQ228">
        <v>1</v>
      </c>
      <c r="BR228" t="s">
        <v>1686</v>
      </c>
      <c r="BS228" t="s">
        <v>1788</v>
      </c>
      <c r="BT228" t="b">
        <v>0</v>
      </c>
      <c r="BU228" t="s">
        <v>3856</v>
      </c>
      <c r="BV228" t="s">
        <v>1668</v>
      </c>
      <c r="BW228">
        <v>13607</v>
      </c>
      <c r="BY228">
        <v>508527</v>
      </c>
      <c r="BZ228" t="s">
        <v>1701</v>
      </c>
      <c r="CA228">
        <v>1</v>
      </c>
      <c r="CB228" t="b">
        <v>1</v>
      </c>
      <c r="CC228">
        <v>0</v>
      </c>
      <c r="CD228" t="b">
        <v>0</v>
      </c>
      <c r="CE228" t="b">
        <v>0</v>
      </c>
      <c r="CF228" t="b">
        <v>1</v>
      </c>
      <c r="CG228">
        <v>2709045</v>
      </c>
      <c r="CH228" t="s">
        <v>1681</v>
      </c>
      <c r="CI228" s="10">
        <v>669990</v>
      </c>
      <c r="CJ228" s="7">
        <v>36140</v>
      </c>
    </row>
    <row r="229" spans="1:88">
      <c r="A229">
        <v>27161206</v>
      </c>
      <c r="B229" s="2" t="str">
        <f>HYPERLINK("http://www.redfin.com/stingray/do/printable-listing?listing-id=1101962","Active")</f>
        <v>Active</v>
      </c>
      <c r="D229" t="s">
        <v>3064</v>
      </c>
      <c r="E229" t="s">
        <v>3922</v>
      </c>
      <c r="F229">
        <v>526950</v>
      </c>
      <c r="G229">
        <v>2007</v>
      </c>
      <c r="H229">
        <v>2568</v>
      </c>
      <c r="I229">
        <v>5667</v>
      </c>
      <c r="J229">
        <v>4</v>
      </c>
      <c r="K229">
        <v>2.5</v>
      </c>
      <c r="M229" s="2" t="str">
        <f>HYPERLINK("http://maps.live.com/default.aspx?v=2&amp;lvl=15&amp;sp=adr.16038 SE 137th Ter (Unable to map),98059","Map")</f>
        <v>Map</v>
      </c>
      <c r="N229" s="2" t="str">
        <f>HYPERLINK("http://i-0.rfimg.us/photo/1/bigphoto/206/27161206_5.jpg","Photo")</f>
        <v>Photo</v>
      </c>
      <c r="AI229" t="s">
        <v>1077</v>
      </c>
      <c r="AJ229">
        <v>98059</v>
      </c>
      <c r="BC229" s="22">
        <v>39329.422256944446</v>
      </c>
      <c r="BI229" s="22">
        <v>39549.294907407406</v>
      </c>
      <c r="BL229">
        <v>10539</v>
      </c>
      <c r="BM229">
        <v>1101962</v>
      </c>
      <c r="BN229" t="s">
        <v>1688</v>
      </c>
      <c r="BO229" s="17">
        <f t="shared" ca="1" si="3"/>
        <v>219.88714895833255</v>
      </c>
      <c r="BP229" t="b">
        <v>0</v>
      </c>
      <c r="BQ229">
        <v>1</v>
      </c>
      <c r="BR229" t="s">
        <v>2852</v>
      </c>
      <c r="BS229" t="s">
        <v>3855</v>
      </c>
      <c r="BT229" t="b">
        <v>0</v>
      </c>
      <c r="BU229" t="s">
        <v>3856</v>
      </c>
      <c r="BV229" t="s">
        <v>1668</v>
      </c>
      <c r="BW229">
        <v>16038</v>
      </c>
      <c r="BY229">
        <v>0</v>
      </c>
      <c r="BZ229" t="s">
        <v>3923</v>
      </c>
      <c r="CA229">
        <v>1</v>
      </c>
      <c r="CB229" t="b">
        <v>1</v>
      </c>
      <c r="CC229">
        <v>0</v>
      </c>
      <c r="CD229" t="b">
        <v>0</v>
      </c>
      <c r="CE229" t="b">
        <v>0</v>
      </c>
      <c r="CF229" t="b">
        <v>1</v>
      </c>
      <c r="CG229" t="s">
        <v>1870</v>
      </c>
      <c r="CH229" t="s">
        <v>1681</v>
      </c>
      <c r="CI229" s="10">
        <v>526950</v>
      </c>
    </row>
    <row r="230" spans="1:88">
      <c r="A230">
        <v>27161213</v>
      </c>
      <c r="B230" s="2" t="str">
        <f>HYPERLINK("http://www.redfin.com/stingray/do/printable-listing?listing-id=1101961","Active")</f>
        <v>Active</v>
      </c>
      <c r="D230" t="s">
        <v>3064</v>
      </c>
      <c r="E230" t="s">
        <v>3854</v>
      </c>
      <c r="F230">
        <v>556950</v>
      </c>
      <c r="G230">
        <v>2007</v>
      </c>
      <c r="H230">
        <v>2780</v>
      </c>
      <c r="I230">
        <v>0</v>
      </c>
      <c r="J230">
        <v>4</v>
      </c>
      <c r="K230">
        <v>2.5</v>
      </c>
      <c r="M230" s="2" t="str">
        <f>HYPERLINK("http://maps.live.com/default.aspx?v=2&amp;lvl=15&amp;sp=adr.16049 SE 137th Ter (Unable to map),98059","Map")</f>
        <v>Map</v>
      </c>
      <c r="N230" s="2" t="str">
        <f>HYPERLINK("http://i-0.rfimg.us/photo/1/bigphoto/213/27161213_2.jpg","Photo")</f>
        <v>Photo</v>
      </c>
      <c r="AI230" t="s">
        <v>1077</v>
      </c>
      <c r="AJ230">
        <v>98059</v>
      </c>
      <c r="BC230" s="22">
        <v>39329.422256944446</v>
      </c>
      <c r="BI230" s="22">
        <v>39549.294907407406</v>
      </c>
      <c r="BL230">
        <v>11139</v>
      </c>
      <c r="BM230">
        <v>1101961</v>
      </c>
      <c r="BN230" t="s">
        <v>1688</v>
      </c>
      <c r="BO230" s="17">
        <f t="shared" ca="1" si="3"/>
        <v>219.88714895833255</v>
      </c>
      <c r="BP230" t="b">
        <v>0</v>
      </c>
      <c r="BQ230">
        <v>1</v>
      </c>
      <c r="BR230" t="s">
        <v>2852</v>
      </c>
      <c r="BS230" t="s">
        <v>3855</v>
      </c>
      <c r="BT230" t="b">
        <v>0</v>
      </c>
      <c r="BU230" t="s">
        <v>3856</v>
      </c>
      <c r="BV230" t="s">
        <v>1668</v>
      </c>
      <c r="BW230">
        <v>16049</v>
      </c>
      <c r="BY230">
        <v>0</v>
      </c>
      <c r="BZ230" t="s">
        <v>3857</v>
      </c>
      <c r="CA230">
        <v>1</v>
      </c>
      <c r="CB230" t="b">
        <v>1</v>
      </c>
      <c r="CC230">
        <v>0</v>
      </c>
      <c r="CD230" t="b">
        <v>0</v>
      </c>
      <c r="CE230" t="b">
        <v>0</v>
      </c>
      <c r="CF230" t="b">
        <v>1</v>
      </c>
      <c r="CG230" t="s">
        <v>1870</v>
      </c>
      <c r="CH230" t="s">
        <v>1681</v>
      </c>
      <c r="CI230" s="10">
        <v>556950</v>
      </c>
    </row>
    <row r="231" spans="1:88">
      <c r="A231">
        <v>27161232</v>
      </c>
      <c r="B231" s="2" t="str">
        <f>HYPERLINK("http://www.redfin.com/stingray/do/printable-listing?listing-id=1101214","Active")</f>
        <v>Active</v>
      </c>
      <c r="D231" t="s">
        <v>3066</v>
      </c>
      <c r="E231" t="s">
        <v>4770</v>
      </c>
      <c r="F231">
        <v>599950</v>
      </c>
      <c r="G231">
        <v>1974</v>
      </c>
      <c r="H231">
        <v>2528</v>
      </c>
      <c r="I231">
        <v>7480</v>
      </c>
      <c r="J231">
        <v>5</v>
      </c>
      <c r="K231">
        <v>2.5</v>
      </c>
      <c r="M231" s="2" t="str">
        <f>HYPERLINK("http://maps.live.com/default.aspx?v=2&amp;lvl=15&amp;sp=Point.47.671923_-122.16785_12902 NE 75th St&amp;cp=47.671923~-122.16785","Map")</f>
        <v>Map</v>
      </c>
      <c r="N231" s="2" t="str">
        <f>HYPERLINK("http://i-0.rfimg.us/photo/1/bigphoto/232/27161232_5.jpg","Photo")</f>
        <v>Photo</v>
      </c>
      <c r="AG231">
        <v>47.671923</v>
      </c>
      <c r="AH231">
        <v>-122.16785</v>
      </c>
      <c r="AI231" t="s">
        <v>1058</v>
      </c>
      <c r="AJ231">
        <v>98033</v>
      </c>
      <c r="BC231" s="22">
        <v>39328.870856481481</v>
      </c>
      <c r="BI231" s="7">
        <v>39539</v>
      </c>
      <c r="BL231">
        <v>11999</v>
      </c>
      <c r="BM231">
        <v>1101214</v>
      </c>
      <c r="BN231" t="s">
        <v>4601</v>
      </c>
      <c r="BO231" s="17">
        <f t="shared" ca="1" si="3"/>
        <v>220.43854942129838</v>
      </c>
      <c r="BP231" t="b">
        <v>0</v>
      </c>
      <c r="BQ231">
        <v>1</v>
      </c>
      <c r="BR231" t="s">
        <v>1686</v>
      </c>
      <c r="BS231" t="s">
        <v>1837</v>
      </c>
      <c r="BT231" t="b">
        <v>0</v>
      </c>
      <c r="BU231" t="s">
        <v>1738</v>
      </c>
      <c r="BV231" t="s">
        <v>1668</v>
      </c>
      <c r="BW231">
        <v>12902</v>
      </c>
      <c r="BY231">
        <v>515578</v>
      </c>
      <c r="BZ231" t="s">
        <v>4771</v>
      </c>
      <c r="CA231">
        <v>1</v>
      </c>
      <c r="CB231" t="b">
        <v>1</v>
      </c>
      <c r="CC231">
        <v>0</v>
      </c>
      <c r="CD231" t="b">
        <v>0</v>
      </c>
      <c r="CE231" t="b">
        <v>0</v>
      </c>
      <c r="CF231" t="b">
        <v>1</v>
      </c>
      <c r="CG231">
        <v>2353545</v>
      </c>
      <c r="CH231" t="s">
        <v>1681</v>
      </c>
      <c r="CI231" s="10">
        <v>599950</v>
      </c>
    </row>
    <row r="232" spans="1:88">
      <c r="A232">
        <v>27161295</v>
      </c>
      <c r="B232" s="2" t="str">
        <f>HYPERLINK("http://www.redfin.com/stingray/do/printable-listing?listing-id=1103659","Active")</f>
        <v>Active</v>
      </c>
      <c r="D232" t="s">
        <v>5204</v>
      </c>
      <c r="E232" t="s">
        <v>5444</v>
      </c>
      <c r="F232">
        <v>550000</v>
      </c>
      <c r="G232">
        <v>1961</v>
      </c>
      <c r="H232">
        <v>0</v>
      </c>
      <c r="I232">
        <v>8208</v>
      </c>
      <c r="J232">
        <v>6</v>
      </c>
      <c r="K232">
        <v>3.75</v>
      </c>
      <c r="M232" s="2" t="str">
        <f>HYPERLINK("http://maps.live.com/default.aspx?v=2&amp;lvl=15&amp;sp=Point.47.59672_-122.138753_1512 150th Ave SE&amp;cp=47.59672~-122.138753","Map")</f>
        <v>Map</v>
      </c>
      <c r="N232" s="2" t="str">
        <f>HYPERLINK("http://i-0.rfimg.us/photo/1/bigphoto/295/27161295_1.jpg","Photo")</f>
        <v>Photo</v>
      </c>
      <c r="AG232">
        <v>47.596719999999998</v>
      </c>
      <c r="AH232">
        <v>-122.13875299999999</v>
      </c>
      <c r="AI232" t="s">
        <v>369</v>
      </c>
      <c r="AJ232">
        <v>98007</v>
      </c>
      <c r="AN232">
        <v>292000</v>
      </c>
      <c r="BC232" s="22">
        <v>39329.818472222221</v>
      </c>
      <c r="BI232" s="7">
        <v>39538</v>
      </c>
      <c r="BL232">
        <v>11000</v>
      </c>
      <c r="BM232">
        <v>1103659</v>
      </c>
      <c r="BN232" t="s">
        <v>1688</v>
      </c>
      <c r="BO232" s="17">
        <f t="shared" ca="1" si="3"/>
        <v>219.49093368055765</v>
      </c>
      <c r="BP232" t="b">
        <v>0</v>
      </c>
      <c r="BQ232">
        <v>1</v>
      </c>
      <c r="BR232" t="s">
        <v>1667</v>
      </c>
      <c r="BS232" t="s">
        <v>4926</v>
      </c>
      <c r="BT232" t="b">
        <v>0</v>
      </c>
      <c r="BV232" t="s">
        <v>1668</v>
      </c>
      <c r="BW232">
        <v>1512</v>
      </c>
      <c r="BX232" t="s">
        <v>3856</v>
      </c>
      <c r="BY232">
        <v>425938</v>
      </c>
      <c r="BZ232" t="s">
        <v>1704</v>
      </c>
      <c r="CA232">
        <v>1</v>
      </c>
      <c r="CB232" t="b">
        <v>1</v>
      </c>
      <c r="CC232">
        <v>0</v>
      </c>
      <c r="CD232" t="b">
        <v>0</v>
      </c>
      <c r="CE232" t="b">
        <v>0</v>
      </c>
      <c r="CF232" t="b">
        <v>1</v>
      </c>
      <c r="CG232">
        <v>2459762</v>
      </c>
      <c r="CH232" t="s">
        <v>1681</v>
      </c>
      <c r="CI232" s="10">
        <v>550000</v>
      </c>
      <c r="CJ232" s="7">
        <v>38239</v>
      </c>
    </row>
    <row r="233" spans="1:88">
      <c r="A233">
        <v>27161517</v>
      </c>
      <c r="B233" s="2" t="str">
        <f>HYPERLINK("http://www.redfin.com/stingray/do/printable-listing?listing-id=1102229","Active")</f>
        <v>Active</v>
      </c>
      <c r="D233" t="s">
        <v>3704</v>
      </c>
      <c r="E233" t="s">
        <v>4225</v>
      </c>
      <c r="F233">
        <v>899000</v>
      </c>
      <c r="G233">
        <v>1901</v>
      </c>
      <c r="H233">
        <v>3600</v>
      </c>
      <c r="I233">
        <v>5400</v>
      </c>
      <c r="J233">
        <v>6</v>
      </c>
      <c r="K233">
        <v>4</v>
      </c>
      <c r="M233" s="2" t="str">
        <f>HYPERLINK("http://maps.live.com/default.aspx?v=2&amp;lvl=15&amp;sp=Point.47.623526_-122.309627_506 17th Ave E&amp;cp=47.623526~-122.309627","Map")</f>
        <v>Map</v>
      </c>
      <c r="N233" s="2" t="str">
        <f>HYPERLINK("http://i-0.rfimg.us/photo/1/bigphoto/517/27161517_0.jpg","Photo")</f>
        <v>Photo</v>
      </c>
      <c r="AG233">
        <v>47.623525999999998</v>
      </c>
      <c r="AH233">
        <v>-122.30962700000001</v>
      </c>
      <c r="AI233" t="s">
        <v>66</v>
      </c>
      <c r="AJ233">
        <v>98112</v>
      </c>
      <c r="AN233">
        <v>172000</v>
      </c>
      <c r="BC233" s="22">
        <v>39329.487662037034</v>
      </c>
      <c r="BI233" s="22">
        <v>39549.294907407406</v>
      </c>
      <c r="BL233">
        <v>17980</v>
      </c>
      <c r="BM233">
        <v>1102229</v>
      </c>
      <c r="BN233" t="s">
        <v>1731</v>
      </c>
      <c r="BO233" s="17">
        <f t="shared" ca="1" si="3"/>
        <v>219.82174386574479</v>
      </c>
      <c r="BP233" t="b">
        <v>0</v>
      </c>
      <c r="BQ233">
        <v>1</v>
      </c>
      <c r="BR233" t="s">
        <v>1667</v>
      </c>
      <c r="BS233" t="s">
        <v>1683</v>
      </c>
      <c r="BT233" t="b">
        <v>0</v>
      </c>
      <c r="BV233" t="s">
        <v>1668</v>
      </c>
      <c r="BW233">
        <v>506</v>
      </c>
      <c r="BX233" t="s">
        <v>2436</v>
      </c>
      <c r="BY233">
        <v>143242</v>
      </c>
      <c r="BZ233" t="s">
        <v>1813</v>
      </c>
      <c r="CA233">
        <v>1</v>
      </c>
      <c r="CB233" t="b">
        <v>1</v>
      </c>
      <c r="CC233">
        <v>0</v>
      </c>
      <c r="CD233" t="b">
        <v>0</v>
      </c>
      <c r="CE233" t="b">
        <v>0</v>
      </c>
      <c r="CF233" t="b">
        <v>1</v>
      </c>
      <c r="CG233">
        <v>2953923</v>
      </c>
      <c r="CH233" t="s">
        <v>1681</v>
      </c>
      <c r="CI233" s="10">
        <v>899000</v>
      </c>
      <c r="CJ233" s="7">
        <v>32671</v>
      </c>
    </row>
    <row r="234" spans="1:88">
      <c r="A234">
        <v>27161560</v>
      </c>
      <c r="B234" s="2" t="str">
        <f>HYPERLINK("http://www.redfin.com/stingray/do/printable-listing?listing-id=1106840","Active")</f>
        <v>Active</v>
      </c>
      <c r="D234" t="s">
        <v>3704</v>
      </c>
      <c r="E234" t="s">
        <v>3744</v>
      </c>
      <c r="F234">
        <v>1790000</v>
      </c>
      <c r="G234">
        <v>1926</v>
      </c>
      <c r="H234">
        <v>7360</v>
      </c>
      <c r="I234">
        <v>39000</v>
      </c>
      <c r="J234">
        <v>4</v>
      </c>
      <c r="K234">
        <v>4</v>
      </c>
      <c r="M234" s="2" t="str">
        <f>HYPERLINK("http://maps.live.com/default.aspx?v=2&amp;lvl=15&amp;sp=Point.47.639032_-122.314593_2222 Everett Ave E&amp;cp=47.639032~-122.314593","Map")</f>
        <v>Map</v>
      </c>
      <c r="N234" s="2" t="str">
        <f>HYPERLINK("http://i-0.rfimg.us/photo/1/bigphoto/560/27161560_1.jpg","Photo")</f>
        <v>Photo</v>
      </c>
      <c r="AG234">
        <v>47.639032</v>
      </c>
      <c r="AH234">
        <v>-122.314593</v>
      </c>
      <c r="AI234" t="s">
        <v>66</v>
      </c>
      <c r="AJ234">
        <v>98102</v>
      </c>
      <c r="AN234">
        <v>1100000</v>
      </c>
      <c r="BC234" s="22">
        <v>39330.684074074074</v>
      </c>
      <c r="BI234" s="22">
        <v>39549.294907407406</v>
      </c>
      <c r="BL234">
        <v>35800</v>
      </c>
      <c r="BM234">
        <v>1106840</v>
      </c>
      <c r="BN234" t="s">
        <v>1678</v>
      </c>
      <c r="BO234" s="17">
        <f t="shared" ca="1" si="3"/>
        <v>218.62533182870538</v>
      </c>
      <c r="BP234" t="b">
        <v>0</v>
      </c>
      <c r="BQ234">
        <v>1</v>
      </c>
      <c r="BR234" t="s">
        <v>1667</v>
      </c>
      <c r="BS234" t="s">
        <v>3055</v>
      </c>
      <c r="BT234" t="b">
        <v>0</v>
      </c>
      <c r="BV234" t="s">
        <v>1668</v>
      </c>
      <c r="BW234">
        <v>2222</v>
      </c>
      <c r="BX234" t="s">
        <v>2436</v>
      </c>
      <c r="BY234">
        <v>135344</v>
      </c>
      <c r="BZ234" t="s">
        <v>1679</v>
      </c>
      <c r="CA234">
        <v>1</v>
      </c>
      <c r="CB234" t="b">
        <v>1</v>
      </c>
      <c r="CC234">
        <v>0</v>
      </c>
      <c r="CD234" t="b">
        <v>0</v>
      </c>
      <c r="CE234" t="b">
        <v>0</v>
      </c>
      <c r="CF234" t="b">
        <v>1</v>
      </c>
      <c r="CG234">
        <v>2501555</v>
      </c>
      <c r="CH234" t="s">
        <v>1681</v>
      </c>
      <c r="CI234" s="10">
        <v>1790000</v>
      </c>
      <c r="CJ234" s="7">
        <v>33540</v>
      </c>
    </row>
    <row r="235" spans="1:88">
      <c r="A235">
        <v>27161818</v>
      </c>
      <c r="B235" s="2" t="str">
        <f>HYPERLINK("http://www.redfin.com/stingray/do/printable-listing?listing-id=1103884","Active")</f>
        <v>Active</v>
      </c>
      <c r="D235" t="s">
        <v>5164</v>
      </c>
      <c r="E235" t="s">
        <v>5177</v>
      </c>
      <c r="F235">
        <v>840000</v>
      </c>
      <c r="G235">
        <v>1957</v>
      </c>
      <c r="H235">
        <v>2880</v>
      </c>
      <c r="I235">
        <v>12992</v>
      </c>
      <c r="J235">
        <v>2</v>
      </c>
      <c r="K235">
        <v>2.5</v>
      </c>
      <c r="M235" s="2" t="str">
        <f>HYPERLINK("http://maps.live.com/default.aspx?v=2&amp;lvl=15&amp;sp=Point.47.574802_-122.210287_9726 SE 40 St&amp;cp=47.574802~-122.210287","Map")</f>
        <v>Map</v>
      </c>
      <c r="N235" s="2" t="str">
        <f>HYPERLINK("http://i-0.rfimg.us/photo/1/bigphoto/818/27161818_9.jpg","Photo")</f>
        <v>Photo</v>
      </c>
      <c r="AG235">
        <v>47.574801999999998</v>
      </c>
      <c r="AH235">
        <v>-122.21028699999999</v>
      </c>
      <c r="AI235" t="s">
        <v>5139</v>
      </c>
      <c r="AJ235">
        <v>98040</v>
      </c>
      <c r="AN235">
        <v>300000</v>
      </c>
      <c r="BC235" s="22">
        <v>39329.9143287037</v>
      </c>
      <c r="BI235" s="22">
        <v>39549.294907407406</v>
      </c>
      <c r="BL235">
        <v>16800</v>
      </c>
      <c r="BM235">
        <v>1103884</v>
      </c>
      <c r="BN235" t="s">
        <v>4563</v>
      </c>
      <c r="BO235" s="17">
        <f t="shared" ca="1" si="3"/>
        <v>219.39507719907851</v>
      </c>
      <c r="BP235" t="b">
        <v>0</v>
      </c>
      <c r="BQ235">
        <v>1</v>
      </c>
      <c r="BR235" t="s">
        <v>1686</v>
      </c>
      <c r="BS235">
        <v>40</v>
      </c>
      <c r="BT235" t="b">
        <v>0</v>
      </c>
      <c r="BU235" t="s">
        <v>3856</v>
      </c>
      <c r="BV235" t="s">
        <v>1668</v>
      </c>
      <c r="BW235">
        <v>9726</v>
      </c>
      <c r="BY235">
        <v>255066</v>
      </c>
      <c r="BZ235" t="s">
        <v>5178</v>
      </c>
      <c r="CA235">
        <v>1</v>
      </c>
      <c r="CB235" t="b">
        <v>1</v>
      </c>
      <c r="CC235">
        <v>0</v>
      </c>
      <c r="CD235" t="b">
        <v>0</v>
      </c>
      <c r="CE235" t="b">
        <v>0</v>
      </c>
      <c r="CF235" t="b">
        <v>1</v>
      </c>
      <c r="CG235">
        <v>2737478</v>
      </c>
      <c r="CH235" t="s">
        <v>1681</v>
      </c>
      <c r="CI235" s="10">
        <v>840000</v>
      </c>
      <c r="CJ235" s="7">
        <v>38230</v>
      </c>
    </row>
    <row r="236" spans="1:88">
      <c r="A236">
        <v>27161866</v>
      </c>
      <c r="B236" s="2" t="str">
        <f>HYPERLINK("http://www.redfin.com/stingray/do/printable-listing?listing-id=1103219","Active")</f>
        <v>Active</v>
      </c>
      <c r="D236" t="s">
        <v>5539</v>
      </c>
      <c r="E236" t="s">
        <v>5900</v>
      </c>
      <c r="F236">
        <v>1148000</v>
      </c>
      <c r="G236">
        <v>1990</v>
      </c>
      <c r="H236">
        <v>3590</v>
      </c>
      <c r="I236">
        <v>10216</v>
      </c>
      <c r="J236">
        <v>4</v>
      </c>
      <c r="K236">
        <v>3</v>
      </c>
      <c r="M236" s="2" t="str">
        <f>HYPERLINK("http://maps.live.com/default.aspx?v=2&amp;lvl=15&amp;sp=Point.47.551739_-122.132543_5572 156 Ave SE&amp;cp=47.551739~-122.132543","Map")</f>
        <v>Map</v>
      </c>
      <c r="N236" s="2" t="str">
        <f>HYPERLINK("http://i-0.rfimg.us/photo/1/bigphoto/866/27161866_3.jpg","Photo")</f>
        <v>Photo</v>
      </c>
      <c r="AG236">
        <v>47.551738999999998</v>
      </c>
      <c r="AH236">
        <v>-122.132543</v>
      </c>
      <c r="AI236" t="s">
        <v>369</v>
      </c>
      <c r="AJ236">
        <v>98006</v>
      </c>
      <c r="AN236">
        <v>749300</v>
      </c>
      <c r="BC236" s="22">
        <v>39329.652418981481</v>
      </c>
      <c r="BI236" s="22">
        <v>39549.294907407406</v>
      </c>
      <c r="BL236">
        <v>22960</v>
      </c>
      <c r="BM236">
        <v>1103219</v>
      </c>
      <c r="BN236" t="s">
        <v>1674</v>
      </c>
      <c r="BO236" s="17">
        <f t="shared" ca="1" si="3"/>
        <v>219.65698692129808</v>
      </c>
      <c r="BP236" t="b">
        <v>0</v>
      </c>
      <c r="BQ236">
        <v>1</v>
      </c>
      <c r="BR236" t="s">
        <v>1667</v>
      </c>
      <c r="BS236">
        <v>156</v>
      </c>
      <c r="BT236" t="b">
        <v>0</v>
      </c>
      <c r="BV236" t="s">
        <v>1668</v>
      </c>
      <c r="BW236">
        <v>5572</v>
      </c>
      <c r="BX236" t="s">
        <v>3856</v>
      </c>
      <c r="BY236">
        <v>238810</v>
      </c>
      <c r="BZ236" t="s">
        <v>5901</v>
      </c>
      <c r="CA236">
        <v>1</v>
      </c>
      <c r="CB236" t="b">
        <v>1</v>
      </c>
      <c r="CC236">
        <v>0</v>
      </c>
      <c r="CD236" t="b">
        <v>0</v>
      </c>
      <c r="CE236" t="b">
        <v>0</v>
      </c>
      <c r="CF236" t="b">
        <v>1</v>
      </c>
      <c r="CG236">
        <v>2449930</v>
      </c>
      <c r="CH236" t="s">
        <v>1681</v>
      </c>
      <c r="CI236" s="10">
        <v>1148000</v>
      </c>
      <c r="CJ236" s="7">
        <v>37011</v>
      </c>
    </row>
    <row r="237" spans="1:88">
      <c r="A237">
        <v>27162013</v>
      </c>
      <c r="B237" s="2" t="str">
        <f>HYPERLINK("http://www.redfin.com/stingray/do/printable-listing?listing-id=1103496","Active")</f>
        <v>Active</v>
      </c>
      <c r="D237" t="s">
        <v>4663</v>
      </c>
      <c r="E237" t="s">
        <v>5002</v>
      </c>
      <c r="F237">
        <v>454900</v>
      </c>
      <c r="G237">
        <v>1977</v>
      </c>
      <c r="H237">
        <v>1510</v>
      </c>
      <c r="I237">
        <v>9180</v>
      </c>
      <c r="J237">
        <v>3</v>
      </c>
      <c r="K237">
        <v>1.75</v>
      </c>
      <c r="M237" s="2" t="str">
        <f>HYPERLINK("http://maps.live.com/default.aspx?v=2&amp;lvl=15&amp;sp=Point.47.661538_-122.184531_11626 NE 61st St&amp;cp=47.661538~-122.184531","Map")</f>
        <v>Map</v>
      </c>
      <c r="N237" s="2" t="str">
        <f>HYPERLINK("http://i-0.rfimg.us/photo/1/bigphoto/013/27162013_3.jpg","Photo")</f>
        <v>Photo</v>
      </c>
      <c r="AG237">
        <v>47.661538</v>
      </c>
      <c r="AH237">
        <v>-122.18453100000001</v>
      </c>
      <c r="AI237" t="s">
        <v>1058</v>
      </c>
      <c r="AJ237">
        <v>98033</v>
      </c>
      <c r="AN237">
        <v>159500</v>
      </c>
      <c r="BC237" s="22">
        <v>39329.766076388885</v>
      </c>
      <c r="BI237" s="22">
        <v>39549.294907407406</v>
      </c>
      <c r="BL237">
        <v>9098</v>
      </c>
      <c r="BM237">
        <v>1103496</v>
      </c>
      <c r="BN237" t="s">
        <v>1673</v>
      </c>
      <c r="BO237" s="17">
        <f t="shared" ca="1" si="3"/>
        <v>219.5433295138937</v>
      </c>
      <c r="BP237" t="b">
        <v>0</v>
      </c>
      <c r="BQ237">
        <v>1</v>
      </c>
      <c r="BR237" t="s">
        <v>1686</v>
      </c>
      <c r="BS237" t="s">
        <v>2431</v>
      </c>
      <c r="BT237" t="b">
        <v>0</v>
      </c>
      <c r="BU237" t="s">
        <v>1738</v>
      </c>
      <c r="BV237" t="s">
        <v>1668</v>
      </c>
      <c r="BW237">
        <v>11626</v>
      </c>
      <c r="BY237">
        <v>516641</v>
      </c>
      <c r="BZ237" t="s">
        <v>2592</v>
      </c>
      <c r="CA237">
        <v>1</v>
      </c>
      <c r="CB237" t="b">
        <v>1</v>
      </c>
      <c r="CC237">
        <v>0</v>
      </c>
      <c r="CD237" t="b">
        <v>0</v>
      </c>
      <c r="CE237" t="b">
        <v>0</v>
      </c>
      <c r="CF237" t="b">
        <v>1</v>
      </c>
      <c r="CG237">
        <v>2504185</v>
      </c>
      <c r="CH237" t="s">
        <v>1681</v>
      </c>
      <c r="CI237" s="10">
        <v>454900</v>
      </c>
      <c r="CJ237" s="7">
        <v>34885</v>
      </c>
    </row>
    <row r="238" spans="1:88">
      <c r="A238">
        <v>27162297</v>
      </c>
      <c r="B238" s="2" t="str">
        <f>HYPERLINK("http://www.redfin.com/stingray/do/printable-listing?listing-id=1106245","Active")</f>
        <v>Active</v>
      </c>
      <c r="D238" t="s">
        <v>3959</v>
      </c>
      <c r="E238" t="s">
        <v>4062</v>
      </c>
      <c r="F238">
        <v>494000</v>
      </c>
      <c r="G238">
        <v>2007</v>
      </c>
      <c r="H238">
        <v>1875</v>
      </c>
      <c r="I238">
        <v>0</v>
      </c>
      <c r="J238">
        <v>3</v>
      </c>
      <c r="K238">
        <v>3.5</v>
      </c>
      <c r="M238" s="2" t="str">
        <f>HYPERLINK("http://maps.live.com/default.aspx?v=2&amp;lvl=15&amp;sp=Point.47.605312_-122.305418_403 21st Ave&amp;cp=47.605312~-122.305418","Map")</f>
        <v>Map</v>
      </c>
      <c r="N238" s="2" t="str">
        <f>HYPERLINK("http://i-0.rfimg.us/photo/1/bigphoto/297/27162297_D.jpg","Photo")</f>
        <v>Photo</v>
      </c>
      <c r="AG238">
        <v>47.605311999999998</v>
      </c>
      <c r="AH238">
        <v>-122.305418</v>
      </c>
      <c r="AI238" t="s">
        <v>66</v>
      </c>
      <c r="AJ238">
        <v>98122</v>
      </c>
      <c r="BC238" s="22">
        <v>39330.560856481483</v>
      </c>
      <c r="BI238" s="22">
        <v>39549.294907407406</v>
      </c>
      <c r="BL238">
        <v>9880</v>
      </c>
      <c r="BM238">
        <v>1106245</v>
      </c>
      <c r="BN238" t="s">
        <v>1939</v>
      </c>
      <c r="BO238" s="17">
        <f t="shared" ca="1" si="3"/>
        <v>218.74854942129605</v>
      </c>
      <c r="BP238" t="b">
        <v>0</v>
      </c>
      <c r="BQ238">
        <v>1</v>
      </c>
      <c r="BR238" t="s">
        <v>1667</v>
      </c>
      <c r="BS238" t="s">
        <v>1903</v>
      </c>
      <c r="BT238" t="b">
        <v>0</v>
      </c>
      <c r="BV238" t="s">
        <v>1668</v>
      </c>
      <c r="BW238">
        <v>403</v>
      </c>
      <c r="BY238">
        <v>12322054</v>
      </c>
      <c r="BZ238" t="s">
        <v>4063</v>
      </c>
      <c r="CA238">
        <v>1</v>
      </c>
      <c r="CB238" t="b">
        <v>1</v>
      </c>
      <c r="CC238">
        <v>0</v>
      </c>
      <c r="CD238" t="b">
        <v>0</v>
      </c>
      <c r="CE238" t="b">
        <v>0</v>
      </c>
      <c r="CF238" t="b">
        <v>1</v>
      </c>
      <c r="CG238">
        <v>15528090</v>
      </c>
      <c r="CH238" t="s">
        <v>1681</v>
      </c>
      <c r="CI238" s="10">
        <v>494000</v>
      </c>
    </row>
    <row r="239" spans="1:88">
      <c r="A239">
        <v>27162418</v>
      </c>
      <c r="B239" s="2" t="str">
        <f>HYPERLINK("http://www.redfin.com/stingray/do/printable-listing?listing-id=1106559","Active")</f>
        <v>Active</v>
      </c>
      <c r="D239" t="s">
        <v>4777</v>
      </c>
      <c r="E239" t="s">
        <v>4970</v>
      </c>
      <c r="F239">
        <v>1150000</v>
      </c>
      <c r="G239">
        <v>2004</v>
      </c>
      <c r="H239">
        <v>3480</v>
      </c>
      <c r="I239">
        <v>8712</v>
      </c>
      <c r="J239">
        <v>4</v>
      </c>
      <c r="K239">
        <v>2.5</v>
      </c>
      <c r="M239" s="2" t="str">
        <f>HYPERLINK("http://maps.live.com/default.aspx?v=2&amp;lvl=15&amp;sp=Point.47.655083273747_-122.19129954513_5210 111th Ln NE&amp;cp=47.655083273747~-122.19129954513","Map")</f>
        <v>Map</v>
      </c>
      <c r="N239" s="2" t="str">
        <f>HYPERLINK("http://i-0.rfimg.us/photo/1/bigphoto/418/27162418_0.jpg","Photo")</f>
        <v>Photo</v>
      </c>
      <c r="AG239">
        <v>47.655083273747003</v>
      </c>
      <c r="AH239">
        <v>-122.19129954512999</v>
      </c>
      <c r="AI239" t="s">
        <v>1058</v>
      </c>
      <c r="AJ239">
        <v>98033</v>
      </c>
      <c r="AN239">
        <v>775000</v>
      </c>
      <c r="BC239" s="22">
        <v>39330.612071759257</v>
      </c>
      <c r="BI239" s="22">
        <v>39549.294907407406</v>
      </c>
      <c r="BL239">
        <v>23000</v>
      </c>
      <c r="BM239">
        <v>1106559</v>
      </c>
      <c r="BN239" t="s">
        <v>1768</v>
      </c>
      <c r="BO239" s="17">
        <f t="shared" ca="1" si="3"/>
        <v>218.69733414352231</v>
      </c>
      <c r="BP239" t="b">
        <v>0</v>
      </c>
      <c r="BQ239">
        <v>1</v>
      </c>
      <c r="BR239" t="s">
        <v>2963</v>
      </c>
      <c r="BS239" t="s">
        <v>4388</v>
      </c>
      <c r="BT239" t="b">
        <v>0</v>
      </c>
      <c r="BV239" t="s">
        <v>1668</v>
      </c>
      <c r="BW239">
        <v>5210</v>
      </c>
      <c r="BX239" t="s">
        <v>1738</v>
      </c>
      <c r="BY239">
        <v>460678</v>
      </c>
      <c r="BZ239" t="s">
        <v>1672</v>
      </c>
      <c r="CA239">
        <v>1</v>
      </c>
      <c r="CB239" t="b">
        <v>1</v>
      </c>
      <c r="CC239">
        <v>0</v>
      </c>
      <c r="CD239" t="b">
        <v>0</v>
      </c>
      <c r="CE239" t="b">
        <v>0</v>
      </c>
      <c r="CF239" t="b">
        <v>1</v>
      </c>
      <c r="CG239">
        <v>2633418</v>
      </c>
      <c r="CH239" t="s">
        <v>1681</v>
      </c>
      <c r="CI239" s="10">
        <v>1150000</v>
      </c>
      <c r="CJ239" s="7">
        <v>38351</v>
      </c>
    </row>
    <row r="240" spans="1:88">
      <c r="A240">
        <v>27162455</v>
      </c>
      <c r="B240" s="2" t="str">
        <f>HYPERLINK("http://www.redfin.com/stingray/do/printable-listing?listing-id=1106243","Active")</f>
        <v>Active</v>
      </c>
      <c r="D240" t="s">
        <v>3959</v>
      </c>
      <c r="E240" t="s">
        <v>4175</v>
      </c>
      <c r="F240" s="19">
        <v>725000</v>
      </c>
      <c r="G240">
        <v>1904</v>
      </c>
      <c r="H240">
        <v>2200</v>
      </c>
      <c r="I240">
        <v>4848</v>
      </c>
      <c r="J240">
        <v>4</v>
      </c>
      <c r="K240">
        <v>2</v>
      </c>
      <c r="M240" s="2" t="str">
        <f>HYPERLINK("http://maps.live.com/default.aspx?v=2&amp;lvl=15&amp;sp=Point.47.614357_-122.307088_1506 19th Ave&amp;cp=47.614357~-122.307088","Map")</f>
        <v>Map</v>
      </c>
      <c r="N240" s="2" t="str">
        <f>HYPERLINK("http://i-0.rfimg.us/photo/1/bigphoto/455/27162455_2.jpg","Photo")</f>
        <v>Photo</v>
      </c>
      <c r="AG240">
        <v>47.614356999999998</v>
      </c>
      <c r="AH240">
        <v>-122.30708799999999</v>
      </c>
      <c r="AI240" t="s">
        <v>66</v>
      </c>
      <c r="AJ240">
        <v>98122</v>
      </c>
      <c r="AN240">
        <v>270000</v>
      </c>
      <c r="BC240" s="22">
        <v>39330.560833333337</v>
      </c>
      <c r="BI240" s="22">
        <v>39549.294907407406</v>
      </c>
      <c r="BL240">
        <v>15000</v>
      </c>
      <c r="BM240">
        <v>1106243</v>
      </c>
      <c r="BN240" t="s">
        <v>1674</v>
      </c>
      <c r="BO240" s="17">
        <f t="shared" ca="1" si="3"/>
        <v>218.74857256944233</v>
      </c>
      <c r="BP240" t="b">
        <v>0</v>
      </c>
      <c r="BQ240">
        <v>1</v>
      </c>
      <c r="BR240" t="s">
        <v>1667</v>
      </c>
      <c r="BS240" t="s">
        <v>1906</v>
      </c>
      <c r="BT240" t="b">
        <v>0</v>
      </c>
      <c r="BV240" t="s">
        <v>1668</v>
      </c>
      <c r="BW240">
        <v>1506</v>
      </c>
      <c r="BY240">
        <v>142492</v>
      </c>
      <c r="BZ240" t="s">
        <v>4176</v>
      </c>
      <c r="CA240">
        <v>1</v>
      </c>
      <c r="CB240" t="b">
        <v>1</v>
      </c>
      <c r="CC240">
        <v>0</v>
      </c>
      <c r="CD240" t="b">
        <v>0</v>
      </c>
      <c r="CE240" t="b">
        <v>0</v>
      </c>
      <c r="CF240" t="b">
        <v>1</v>
      </c>
      <c r="CG240">
        <v>2384494</v>
      </c>
      <c r="CH240" t="s">
        <v>1681</v>
      </c>
      <c r="CI240" s="10">
        <v>750000</v>
      </c>
      <c r="CJ240" s="7">
        <v>37036</v>
      </c>
    </row>
    <row r="241" spans="1:89">
      <c r="A241">
        <v>27162475</v>
      </c>
      <c r="B241" s="2" t="str">
        <f>HYPERLINK("http://www.redfin.com/stingray/do/printable-listing?listing-id=1106242","Active")</f>
        <v>Active</v>
      </c>
      <c r="D241" t="s">
        <v>3704</v>
      </c>
      <c r="E241" t="s">
        <v>4076</v>
      </c>
      <c r="F241">
        <v>565000</v>
      </c>
      <c r="G241">
        <v>1994</v>
      </c>
      <c r="H241">
        <v>1920</v>
      </c>
      <c r="I241">
        <v>2495</v>
      </c>
      <c r="J241">
        <v>3</v>
      </c>
      <c r="K241">
        <v>2.5</v>
      </c>
      <c r="M241" s="2" t="str">
        <f>HYPERLINK("http://maps.live.com/default.aspx?v=2&amp;lvl=15&amp;sp=Point.47.621833_-122.299531_314 25th Ave E&amp;cp=47.621833~-122.299531","Map")</f>
        <v>Map</v>
      </c>
      <c r="N241" s="2" t="str">
        <f>HYPERLINK("http://i-0.rfimg.us/photo/1/bigphoto/475/27162475_0.jpg","Photo")</f>
        <v>Photo</v>
      </c>
      <c r="AG241">
        <v>47.621833000000002</v>
      </c>
      <c r="AH241">
        <v>-122.299531</v>
      </c>
      <c r="AI241" t="s">
        <v>66</v>
      </c>
      <c r="AJ241">
        <v>98112</v>
      </c>
      <c r="AN241">
        <v>225000</v>
      </c>
      <c r="BC241" s="22">
        <v>39330.56082175926</v>
      </c>
      <c r="BI241" s="22">
        <v>39549.294907407406</v>
      </c>
      <c r="BL241">
        <v>11300</v>
      </c>
      <c r="BM241">
        <v>1106242</v>
      </c>
      <c r="BN241" t="s">
        <v>1674</v>
      </c>
      <c r="BO241" s="17">
        <f t="shared" ca="1" si="3"/>
        <v>218.74858414351911</v>
      </c>
      <c r="BP241" t="b">
        <v>0</v>
      </c>
      <c r="BQ241">
        <v>1</v>
      </c>
      <c r="BR241" t="s">
        <v>1667</v>
      </c>
      <c r="BS241" t="s">
        <v>1819</v>
      </c>
      <c r="BT241" t="b">
        <v>0</v>
      </c>
      <c r="BV241" t="s">
        <v>1668</v>
      </c>
      <c r="BW241">
        <v>314</v>
      </c>
      <c r="BX241" t="s">
        <v>2436</v>
      </c>
      <c r="BY241">
        <v>146163</v>
      </c>
      <c r="BZ241" t="s">
        <v>1672</v>
      </c>
      <c r="CA241">
        <v>1</v>
      </c>
      <c r="CB241" t="b">
        <v>1</v>
      </c>
      <c r="CC241">
        <v>0</v>
      </c>
      <c r="CD241" t="b">
        <v>0</v>
      </c>
      <c r="CE241" t="b">
        <v>0</v>
      </c>
      <c r="CF241" t="b">
        <v>1</v>
      </c>
      <c r="CG241">
        <v>2789133</v>
      </c>
      <c r="CH241" t="s">
        <v>1681</v>
      </c>
      <c r="CI241" s="10">
        <v>565000</v>
      </c>
      <c r="CJ241" s="7">
        <v>34467</v>
      </c>
    </row>
    <row r="242" spans="1:89">
      <c r="A242">
        <v>27162904</v>
      </c>
      <c r="B242" s="2" t="str">
        <f>HYPERLINK("http://www.redfin.com/stingray/do/printable-listing?listing-id=1109727","Active")</f>
        <v>Active</v>
      </c>
      <c r="D242" t="s">
        <v>5014</v>
      </c>
      <c r="E242" t="s">
        <v>5075</v>
      </c>
      <c r="F242">
        <v>1150000</v>
      </c>
      <c r="G242">
        <v>1911</v>
      </c>
      <c r="H242">
        <v>0</v>
      </c>
      <c r="I242">
        <v>20473</v>
      </c>
      <c r="J242">
        <v>2</v>
      </c>
      <c r="K242">
        <v>1</v>
      </c>
      <c r="M242" s="2" t="str">
        <f>HYPERLINK("http://maps.live.com/default.aspx?v=2&amp;lvl=15&amp;sp=Point.47.635267_-122.222732_8811 NE 28 St&amp;cp=47.635267~-122.222732","Map")</f>
        <v>Map</v>
      </c>
      <c r="N242" s="2" t="str">
        <f>HYPERLINK("http://i-0.rfimg.us/photo/1/bigphoto/904/27162904_0.jpg","Photo")</f>
        <v>Photo</v>
      </c>
      <c r="AG242">
        <v>47.635266999999999</v>
      </c>
      <c r="AH242">
        <v>-122.22273199999999</v>
      </c>
      <c r="AI242" t="s">
        <v>5014</v>
      </c>
      <c r="AJ242">
        <v>98004</v>
      </c>
      <c r="BC242" s="22">
        <v>39331.609664351854</v>
      </c>
      <c r="BI242" s="22">
        <v>39549.294907407406</v>
      </c>
      <c r="BL242">
        <v>23000</v>
      </c>
      <c r="BM242">
        <v>1109727</v>
      </c>
      <c r="BN242" t="s">
        <v>1768</v>
      </c>
      <c r="BO242" s="17">
        <f t="shared" ca="1" si="3"/>
        <v>217.69974155092495</v>
      </c>
      <c r="BP242" t="b">
        <v>0</v>
      </c>
      <c r="BQ242">
        <v>1</v>
      </c>
      <c r="BR242" t="s">
        <v>1686</v>
      </c>
      <c r="BS242">
        <v>28</v>
      </c>
      <c r="BT242" t="b">
        <v>0</v>
      </c>
      <c r="BU242" t="s">
        <v>1738</v>
      </c>
      <c r="BV242" t="s">
        <v>1668</v>
      </c>
      <c r="BW242">
        <v>8811</v>
      </c>
      <c r="BY242">
        <v>252544</v>
      </c>
      <c r="BZ242" s="21">
        <v>0</v>
      </c>
      <c r="CA242">
        <v>1</v>
      </c>
      <c r="CB242" t="b">
        <v>1</v>
      </c>
      <c r="CC242">
        <v>0</v>
      </c>
      <c r="CD242" t="b">
        <v>0</v>
      </c>
      <c r="CE242" t="b">
        <v>0</v>
      </c>
      <c r="CF242" t="b">
        <v>1</v>
      </c>
      <c r="CG242">
        <v>2633397</v>
      </c>
      <c r="CH242" t="s">
        <v>1681</v>
      </c>
      <c r="CI242" s="10">
        <v>1150000</v>
      </c>
    </row>
    <row r="243" spans="1:89">
      <c r="A243">
        <v>27163062</v>
      </c>
      <c r="B243" s="2" t="str">
        <f>HYPERLINK("http://www.redfin.com/stingray/do/printable-listing?listing-id=1108486","Active")</f>
        <v>Active</v>
      </c>
      <c r="D243" t="s">
        <v>5089</v>
      </c>
      <c r="E243" t="s">
        <v>5507</v>
      </c>
      <c r="F243">
        <v>575000</v>
      </c>
      <c r="G243">
        <v>1986</v>
      </c>
      <c r="H243">
        <v>1536</v>
      </c>
      <c r="I243">
        <v>20050</v>
      </c>
      <c r="J243">
        <v>3</v>
      </c>
      <c r="K243">
        <v>2.75</v>
      </c>
      <c r="M243" s="2" t="str">
        <f>HYPERLINK("http://maps.live.com/default.aspx?v=2&amp;lvl=15&amp;sp=Point.47.600952_-122.156996_13643 SE 10th St&amp;cp=47.600952~-122.156996","Map")</f>
        <v>Map</v>
      </c>
      <c r="N243" s="2" t="str">
        <f>HYPERLINK("http://i-0.rfimg.us/photo/1/bigphoto/062/27163062_0.jpg","Photo")</f>
        <v>Photo</v>
      </c>
      <c r="AG243">
        <v>47.600951999999999</v>
      </c>
      <c r="AH243">
        <v>-122.15699600000001</v>
      </c>
      <c r="AI243" t="s">
        <v>369</v>
      </c>
      <c r="AJ243">
        <v>98005</v>
      </c>
      <c r="BC243" s="22">
        <v>39331.396840277775</v>
      </c>
      <c r="BI243" s="22">
        <v>39549.294907407406</v>
      </c>
      <c r="BL243">
        <v>11500</v>
      </c>
      <c r="BM243">
        <v>1108486</v>
      </c>
      <c r="BN243" t="s">
        <v>1823</v>
      </c>
      <c r="BO243" s="17">
        <f t="shared" ca="1" si="3"/>
        <v>217.91256562500348</v>
      </c>
      <c r="BP243" t="b">
        <v>0</v>
      </c>
      <c r="BQ243">
        <v>1</v>
      </c>
      <c r="BR243" t="s">
        <v>1686</v>
      </c>
      <c r="BS243" t="s">
        <v>1788</v>
      </c>
      <c r="BT243" t="b">
        <v>0</v>
      </c>
      <c r="BU243" t="s">
        <v>3856</v>
      </c>
      <c r="BV243" t="s">
        <v>1668</v>
      </c>
      <c r="BW243">
        <v>13643</v>
      </c>
      <c r="BY243">
        <v>508663</v>
      </c>
      <c r="BZ243" t="s">
        <v>1741</v>
      </c>
      <c r="CA243">
        <v>1</v>
      </c>
      <c r="CB243" t="b">
        <v>1</v>
      </c>
      <c r="CC243">
        <v>0</v>
      </c>
      <c r="CD243" t="b">
        <v>0</v>
      </c>
      <c r="CE243" t="b">
        <v>0</v>
      </c>
      <c r="CF243" t="b">
        <v>1</v>
      </c>
      <c r="CG243">
        <v>2681531</v>
      </c>
      <c r="CH243" t="s">
        <v>1681</v>
      </c>
      <c r="CI243" s="10">
        <v>575000</v>
      </c>
    </row>
    <row r="244" spans="1:89">
      <c r="A244">
        <v>27163257</v>
      </c>
      <c r="B244" s="2" t="str">
        <f>HYPERLINK("http://www.redfin.com/stingray/do/printable-listing?listing-id=1114247","Active")</f>
        <v>Active</v>
      </c>
      <c r="D244" t="s">
        <v>2552</v>
      </c>
      <c r="E244" t="s">
        <v>3401</v>
      </c>
      <c r="F244">
        <v>649000</v>
      </c>
      <c r="G244">
        <v>1942</v>
      </c>
      <c r="H244">
        <v>1830</v>
      </c>
      <c r="I244">
        <v>7206</v>
      </c>
      <c r="J244">
        <v>3</v>
      </c>
      <c r="K244">
        <v>2.5</v>
      </c>
      <c r="M244" s="2" t="str">
        <f>HYPERLINK("http://maps.live.com/default.aspx?v=2&amp;lvl=15&amp;sp=Point.47.651307_-122.410975_3439 42nd Ave W&amp;cp=47.651307~-122.410975","Map")</f>
        <v>Map</v>
      </c>
      <c r="N244" s="2" t="str">
        <f>HYPERLINK("http://i-0.rfimg.us/photo/1/bigphoto/257/27163257_0.jpg","Photo")</f>
        <v>Photo</v>
      </c>
      <c r="AG244">
        <v>47.651307000000003</v>
      </c>
      <c r="AH244">
        <v>-122.41097499999999</v>
      </c>
      <c r="AI244" t="s">
        <v>66</v>
      </c>
      <c r="AJ244">
        <v>98199</v>
      </c>
      <c r="BC244" s="22">
        <v>39332.648541666669</v>
      </c>
      <c r="BI244" s="7">
        <v>39539</v>
      </c>
      <c r="BL244">
        <v>12980</v>
      </c>
      <c r="BM244">
        <v>1114247</v>
      </c>
      <c r="BN244" t="s">
        <v>1766</v>
      </c>
      <c r="BO244" s="17">
        <f t="shared" ca="1" si="3"/>
        <v>216.66086423610977</v>
      </c>
      <c r="BP244" t="b">
        <v>0</v>
      </c>
      <c r="BQ244">
        <v>1</v>
      </c>
      <c r="BR244" t="s">
        <v>1667</v>
      </c>
      <c r="BS244" t="s">
        <v>3371</v>
      </c>
      <c r="BT244" t="b">
        <v>0</v>
      </c>
      <c r="BV244" t="s">
        <v>1668</v>
      </c>
      <c r="BW244">
        <v>3439</v>
      </c>
      <c r="BX244" t="s">
        <v>2423</v>
      </c>
      <c r="BY244">
        <v>127378</v>
      </c>
      <c r="BZ244" t="s">
        <v>1672</v>
      </c>
      <c r="CA244">
        <v>1</v>
      </c>
      <c r="CB244" t="b">
        <v>1</v>
      </c>
      <c r="CC244">
        <v>0</v>
      </c>
      <c r="CD244" t="b">
        <v>0</v>
      </c>
      <c r="CE244" t="b">
        <v>0</v>
      </c>
      <c r="CF244" t="b">
        <v>1</v>
      </c>
      <c r="CG244">
        <v>2623098</v>
      </c>
      <c r="CH244" t="s">
        <v>1681</v>
      </c>
      <c r="CI244" s="10">
        <v>649000</v>
      </c>
    </row>
    <row r="245" spans="1:89">
      <c r="A245">
        <v>27163288</v>
      </c>
      <c r="B245" s="2" t="str">
        <f>HYPERLINK("http://www.redfin.com/stingray/do/printable-listing?listing-id=1109535","Active")</f>
        <v>Active</v>
      </c>
      <c r="D245" t="s">
        <v>1058</v>
      </c>
      <c r="E245" t="s">
        <v>4410</v>
      </c>
      <c r="F245">
        <v>425950</v>
      </c>
      <c r="G245">
        <v>2008</v>
      </c>
      <c r="H245">
        <v>1276</v>
      </c>
      <c r="I245">
        <v>0</v>
      </c>
      <c r="J245">
        <v>2</v>
      </c>
      <c r="K245">
        <v>2.5</v>
      </c>
      <c r="M245" s="2" t="str">
        <f>HYPERLINK("http://maps.live.com/default.aspx?v=2&amp;lvl=15&amp;sp=Point.47.72109_-122.161905_13356 NE 134th Pl&amp;cp=47.72109~-122.161905","Map")</f>
        <v>Map</v>
      </c>
      <c r="N245" s="2" t="str">
        <f>HYPERLINK("http://i-0.rfimg.us/photo/1/bigphoto/288/27163288_2.jpg","Photo")</f>
        <v>Photo</v>
      </c>
      <c r="AG245">
        <v>47.721089999999997</v>
      </c>
      <c r="AH245">
        <v>-122.161905</v>
      </c>
      <c r="AI245" t="s">
        <v>1058</v>
      </c>
      <c r="AJ245">
        <v>98034</v>
      </c>
      <c r="AN245">
        <v>1150000</v>
      </c>
      <c r="BC245" s="22">
        <v>39331.537187499998</v>
      </c>
      <c r="BI245" s="22">
        <v>39549.294907407406</v>
      </c>
      <c r="BL245">
        <v>8519</v>
      </c>
      <c r="BM245">
        <v>1109535</v>
      </c>
      <c r="BN245" t="s">
        <v>1775</v>
      </c>
      <c r="BO245" s="17">
        <f t="shared" ca="1" si="3"/>
        <v>217.77221840278071</v>
      </c>
      <c r="BP245" t="b">
        <v>0</v>
      </c>
      <c r="BQ245">
        <v>1</v>
      </c>
      <c r="BR245" t="s">
        <v>1842</v>
      </c>
      <c r="BS245" t="s">
        <v>2855</v>
      </c>
      <c r="BT245" t="b">
        <v>0</v>
      </c>
      <c r="BU245" t="s">
        <v>1738</v>
      </c>
      <c r="BV245" t="s">
        <v>1668</v>
      </c>
      <c r="BW245">
        <v>13356</v>
      </c>
      <c r="BY245">
        <v>513202</v>
      </c>
      <c r="BZ245" t="s">
        <v>4412</v>
      </c>
      <c r="CA245">
        <v>1</v>
      </c>
      <c r="CB245" t="b">
        <v>1</v>
      </c>
      <c r="CC245">
        <v>0</v>
      </c>
      <c r="CD245" t="b">
        <v>0</v>
      </c>
      <c r="CE245" t="b">
        <v>0</v>
      </c>
      <c r="CF245" t="b">
        <v>1</v>
      </c>
      <c r="CG245">
        <v>2500930</v>
      </c>
      <c r="CH245" t="s">
        <v>1681</v>
      </c>
      <c r="CI245" s="10">
        <v>425950</v>
      </c>
      <c r="CJ245" s="7">
        <v>38534</v>
      </c>
    </row>
    <row r="246" spans="1:89">
      <c r="A246">
        <v>27163297</v>
      </c>
      <c r="B246" s="2" t="str">
        <f>HYPERLINK("http://www.redfin.com/stingray/do/printable-listing?listing-id=1109532","Active")</f>
        <v>Active</v>
      </c>
      <c r="D246" t="s">
        <v>3061</v>
      </c>
      <c r="E246" t="s">
        <v>4410</v>
      </c>
      <c r="F246">
        <v>529950</v>
      </c>
      <c r="G246">
        <v>2008</v>
      </c>
      <c r="H246">
        <v>1575</v>
      </c>
      <c r="I246">
        <v>0</v>
      </c>
      <c r="J246">
        <v>3</v>
      </c>
      <c r="K246">
        <v>2.5</v>
      </c>
      <c r="M246" s="2" t="str">
        <f>HYPERLINK("http://maps.live.com/default.aspx?v=2&amp;lvl=15&amp;sp=Point.47.72109_-122.161905_13356 NE 134th Pl&amp;cp=47.72109~-122.161905","Map")</f>
        <v>Map</v>
      </c>
      <c r="N246" s="2" t="str">
        <f>HYPERLINK("http://i-0.rfimg.us/photo/1/bigphoto/297/27163297_1.jpg","Photo")</f>
        <v>Photo</v>
      </c>
      <c r="AG246">
        <v>47.721089999999997</v>
      </c>
      <c r="AH246">
        <v>-122.161905</v>
      </c>
      <c r="AI246" t="s">
        <v>1058</v>
      </c>
      <c r="AJ246">
        <v>98034</v>
      </c>
      <c r="AN246">
        <v>1150000</v>
      </c>
      <c r="BC246" s="22">
        <v>39331.537129629629</v>
      </c>
      <c r="BI246" s="22">
        <v>39549.294907407406</v>
      </c>
      <c r="BL246">
        <v>10599</v>
      </c>
      <c r="BM246">
        <v>1109532</v>
      </c>
      <c r="BN246" t="s">
        <v>1775</v>
      </c>
      <c r="BO246" s="17">
        <f t="shared" ca="1" si="3"/>
        <v>217.77227627315006</v>
      </c>
      <c r="BP246" t="b">
        <v>0</v>
      </c>
      <c r="BQ246">
        <v>1</v>
      </c>
      <c r="BR246" t="s">
        <v>1842</v>
      </c>
      <c r="BS246" t="s">
        <v>2855</v>
      </c>
      <c r="BT246" t="b">
        <v>0</v>
      </c>
      <c r="BU246" t="s">
        <v>1738</v>
      </c>
      <c r="BV246" t="s">
        <v>1668</v>
      </c>
      <c r="BW246">
        <v>13356</v>
      </c>
      <c r="BY246">
        <v>513202</v>
      </c>
      <c r="BZ246" t="s">
        <v>4411</v>
      </c>
      <c r="CA246">
        <v>1</v>
      </c>
      <c r="CB246" t="b">
        <v>1</v>
      </c>
      <c r="CC246">
        <v>0</v>
      </c>
      <c r="CD246" t="b">
        <v>0</v>
      </c>
      <c r="CE246" t="b">
        <v>0</v>
      </c>
      <c r="CF246" t="b">
        <v>1</v>
      </c>
      <c r="CG246">
        <v>2500930</v>
      </c>
      <c r="CH246" t="s">
        <v>1681</v>
      </c>
      <c r="CI246" s="10">
        <v>529950</v>
      </c>
      <c r="CJ246" s="7">
        <v>38534</v>
      </c>
    </row>
    <row r="247" spans="1:89">
      <c r="A247">
        <v>27164152</v>
      </c>
      <c r="B247" s="2" t="str">
        <f>HYPERLINK("http://www.redfin.com/stingray/do/printable-listing?listing-id=1113361","Active")</f>
        <v>Active</v>
      </c>
      <c r="D247" t="s">
        <v>63</v>
      </c>
      <c r="E247" t="s">
        <v>2147</v>
      </c>
      <c r="F247">
        <v>499950</v>
      </c>
      <c r="G247">
        <v>2007</v>
      </c>
      <c r="H247">
        <v>2100</v>
      </c>
      <c r="I247">
        <v>0</v>
      </c>
      <c r="J247">
        <v>3</v>
      </c>
      <c r="K247">
        <v>3.5</v>
      </c>
      <c r="M247" s="2" t="str">
        <f>HYPERLINK("http://maps.live.com/default.aspx?v=2&amp;lvl=15&amp;sp=Point.47.66665_-122.368113_842 NW 52nd St&amp;cp=47.66665~-122.368113","Map")</f>
        <v>Map</v>
      </c>
      <c r="N247" s="2" t="str">
        <f>HYPERLINK("http://i-0.rfimg.us/photo/1/bigphoto/152/27164152_B.jpg","Photo")</f>
        <v>Photo</v>
      </c>
      <c r="AG247">
        <v>47.666649999999997</v>
      </c>
      <c r="AH247">
        <v>-122.36811299999999</v>
      </c>
      <c r="AI247" t="s">
        <v>66</v>
      </c>
      <c r="AJ247">
        <v>98107</v>
      </c>
      <c r="AN247">
        <v>525000</v>
      </c>
      <c r="BC247" s="22">
        <v>39332.487488425926</v>
      </c>
      <c r="BI247" s="22">
        <v>39549.294907407406</v>
      </c>
      <c r="BL247">
        <v>9999</v>
      </c>
      <c r="BM247">
        <v>1113361</v>
      </c>
      <c r="BN247" t="s">
        <v>1693</v>
      </c>
      <c r="BO247" s="17">
        <f t="shared" ca="1" si="3"/>
        <v>216.82191759259149</v>
      </c>
      <c r="BP247" t="b">
        <v>0</v>
      </c>
      <c r="BQ247">
        <v>1</v>
      </c>
      <c r="BR247" t="s">
        <v>1686</v>
      </c>
      <c r="BS247" t="s">
        <v>2455</v>
      </c>
      <c r="BT247" t="b">
        <v>0</v>
      </c>
      <c r="BU247" t="s">
        <v>1669</v>
      </c>
      <c r="BV247" t="s">
        <v>1668</v>
      </c>
      <c r="BW247">
        <v>842</v>
      </c>
      <c r="BY247">
        <v>302883</v>
      </c>
      <c r="BZ247" t="s">
        <v>2559</v>
      </c>
      <c r="CA247">
        <v>1</v>
      </c>
      <c r="CB247" t="b">
        <v>1</v>
      </c>
      <c r="CC247">
        <v>0</v>
      </c>
      <c r="CD247" t="b">
        <v>0</v>
      </c>
      <c r="CE247" t="b">
        <v>0</v>
      </c>
      <c r="CF247" t="b">
        <v>1</v>
      </c>
      <c r="CG247">
        <v>2416329</v>
      </c>
      <c r="CH247" t="s">
        <v>1681</v>
      </c>
      <c r="CI247" s="10">
        <v>499950</v>
      </c>
      <c r="CJ247" s="7">
        <v>38848</v>
      </c>
    </row>
    <row r="248" spans="1:89">
      <c r="A248">
        <v>27164482</v>
      </c>
      <c r="B248" s="2" t="str">
        <f>HYPERLINK("http://www.redfin.com/stingray/do/printable-listing?listing-id=1120046","Active")</f>
        <v>Active</v>
      </c>
      <c r="D248" t="s">
        <v>5742</v>
      </c>
      <c r="E248" t="s">
        <v>5740</v>
      </c>
      <c r="F248">
        <v>1125000</v>
      </c>
      <c r="G248">
        <v>1987</v>
      </c>
      <c r="H248">
        <v>3100</v>
      </c>
      <c r="I248">
        <v>14091</v>
      </c>
      <c r="J248">
        <v>3</v>
      </c>
      <c r="K248">
        <v>2.5</v>
      </c>
      <c r="M248" s="2" t="str">
        <f>HYPERLINK("http://maps.live.com/default.aspx?v=2&amp;lvl=15&amp;sp=Point.47.560428_-122.226265_8410 SE 47th Pl&amp;cp=47.560428~-122.226265","Map")</f>
        <v>Map</v>
      </c>
      <c r="N248" s="2" t="str">
        <f>HYPERLINK("http://i-0.rfimg.us/photo/1/bigphoto/482/27164482_4.jpg","Photo")</f>
        <v>Photo</v>
      </c>
      <c r="AG248">
        <v>47.560428000000002</v>
      </c>
      <c r="AH248">
        <v>-122.226265</v>
      </c>
      <c r="AI248" t="s">
        <v>5139</v>
      </c>
      <c r="AJ248">
        <v>98040</v>
      </c>
      <c r="AN248">
        <v>499000</v>
      </c>
      <c r="BC248" s="22">
        <v>39335.418113425927</v>
      </c>
      <c r="BI248" s="22">
        <v>39549.294907407406</v>
      </c>
      <c r="BL248">
        <v>22500</v>
      </c>
      <c r="BM248">
        <v>1120046</v>
      </c>
      <c r="BN248" t="s">
        <v>1674</v>
      </c>
      <c r="BO248" s="17">
        <f t="shared" ca="1" si="3"/>
        <v>213.89129247685196</v>
      </c>
      <c r="BP248" t="b">
        <v>0</v>
      </c>
      <c r="BQ248">
        <v>1</v>
      </c>
      <c r="BR248" t="s">
        <v>1842</v>
      </c>
      <c r="BS248" t="s">
        <v>2453</v>
      </c>
      <c r="BT248" t="b">
        <v>0</v>
      </c>
      <c r="BU248" t="s">
        <v>3856</v>
      </c>
      <c r="BV248" t="s">
        <v>1668</v>
      </c>
      <c r="BW248">
        <v>8410</v>
      </c>
      <c r="BY248">
        <v>260871</v>
      </c>
      <c r="BZ248" t="s">
        <v>5741</v>
      </c>
      <c r="CA248">
        <v>1</v>
      </c>
      <c r="CB248" t="b">
        <v>1</v>
      </c>
      <c r="CC248">
        <v>0</v>
      </c>
      <c r="CD248" t="b">
        <v>0</v>
      </c>
      <c r="CE248" t="b">
        <v>0</v>
      </c>
      <c r="CF248" t="b">
        <v>1</v>
      </c>
      <c r="CG248">
        <v>2455786</v>
      </c>
      <c r="CH248" t="s">
        <v>1681</v>
      </c>
      <c r="CI248" s="10">
        <v>1125000</v>
      </c>
      <c r="CJ248" s="7">
        <v>37239</v>
      </c>
    </row>
    <row r="249" spans="1:89">
      <c r="A249">
        <v>27164591</v>
      </c>
      <c r="B249" s="2" t="str">
        <f>HYPERLINK("http://www.redfin.com/stingray/do/printable-listing?listing-id=1114651","Active")</f>
        <v>Active</v>
      </c>
      <c r="D249" t="s">
        <v>2552</v>
      </c>
      <c r="E249" t="s">
        <v>3440</v>
      </c>
      <c r="F249">
        <v>799000</v>
      </c>
      <c r="G249">
        <v>1958</v>
      </c>
      <c r="H249">
        <v>2756</v>
      </c>
      <c r="I249">
        <v>8280</v>
      </c>
      <c r="J249">
        <v>5</v>
      </c>
      <c r="K249">
        <v>2.5</v>
      </c>
      <c r="M249" s="2" t="str">
        <f>HYPERLINK("http://maps.live.com/default.aspx?v=2&amp;lvl=15&amp;sp=Point.47.644864_-122.388631_2802 25th Ave W&amp;cp=47.644864~-122.388631","Map")</f>
        <v>Map</v>
      </c>
      <c r="N249" s="2" t="str">
        <f>HYPERLINK("http://i-0.rfimg.us/photo/1/bigphoto/591/27164591_3.jpg","Photo")</f>
        <v>Photo</v>
      </c>
      <c r="AG249">
        <v>47.644863999999998</v>
      </c>
      <c r="AH249">
        <v>-122.388631</v>
      </c>
      <c r="AI249" t="s">
        <v>66</v>
      </c>
      <c r="AJ249">
        <v>98199</v>
      </c>
      <c r="AN249">
        <v>661089</v>
      </c>
      <c r="BC249" s="22">
        <v>39332.780868055554</v>
      </c>
      <c r="BI249" s="22">
        <v>39549.294907407406</v>
      </c>
      <c r="BL249">
        <v>15980</v>
      </c>
      <c r="BM249">
        <v>1114651</v>
      </c>
      <c r="BN249" t="s">
        <v>1768</v>
      </c>
      <c r="BO249" s="17">
        <f t="shared" ca="1" si="3"/>
        <v>216.52853784722538</v>
      </c>
      <c r="BP249" t="b">
        <v>0</v>
      </c>
      <c r="BQ249">
        <v>1</v>
      </c>
      <c r="BR249" t="s">
        <v>1667</v>
      </c>
      <c r="BS249" t="s">
        <v>1819</v>
      </c>
      <c r="BT249" t="b">
        <v>0</v>
      </c>
      <c r="BV249" t="s">
        <v>1668</v>
      </c>
      <c r="BW249">
        <v>2802</v>
      </c>
      <c r="BX249" t="s">
        <v>2423</v>
      </c>
      <c r="BY249">
        <v>124115</v>
      </c>
      <c r="BZ249" t="s">
        <v>3318</v>
      </c>
      <c r="CA249">
        <v>1</v>
      </c>
      <c r="CB249" t="b">
        <v>1</v>
      </c>
      <c r="CC249">
        <v>0</v>
      </c>
      <c r="CD249" t="b">
        <v>0</v>
      </c>
      <c r="CE249" t="b">
        <v>0</v>
      </c>
      <c r="CF249" t="b">
        <v>1</v>
      </c>
      <c r="CG249">
        <v>2674884</v>
      </c>
      <c r="CH249" t="s">
        <v>1681</v>
      </c>
      <c r="CI249" s="10">
        <v>799000</v>
      </c>
      <c r="CJ249" s="7">
        <v>39206</v>
      </c>
    </row>
    <row r="250" spans="1:89">
      <c r="A250">
        <v>27164671</v>
      </c>
      <c r="B250" s="2" t="str">
        <f>HYPERLINK("http://www.redfin.com/stingray/do/printable-listing?listing-id=1114752","Active")</f>
        <v>Active</v>
      </c>
      <c r="D250" t="s">
        <v>3066</v>
      </c>
      <c r="E250" t="s">
        <v>4735</v>
      </c>
      <c r="F250">
        <v>424500</v>
      </c>
      <c r="G250">
        <v>1986</v>
      </c>
      <c r="H250">
        <v>1400</v>
      </c>
      <c r="I250">
        <v>1920</v>
      </c>
      <c r="J250">
        <v>3</v>
      </c>
      <c r="K250">
        <v>2.5</v>
      </c>
      <c r="M250" s="2" t="str">
        <f>HYPERLINK("http://maps.live.com/default.aspx?v=2&amp;lvl=15&amp;sp=Point.47.682042_-122.162253_13402 NE 89th St&amp;cp=47.682042~-122.162253","Map")</f>
        <v>Map</v>
      </c>
      <c r="N250" s="2" t="str">
        <f>HYPERLINK("http://i-0.rfimg.us/photo/1/bigphoto/671/27164671_1.jpg","Photo")</f>
        <v>Photo</v>
      </c>
      <c r="AG250">
        <v>47.682042000000003</v>
      </c>
      <c r="AH250">
        <v>-122.16225300000001</v>
      </c>
      <c r="AI250" t="s">
        <v>4363</v>
      </c>
      <c r="AJ250">
        <v>98052</v>
      </c>
      <c r="AN250">
        <v>290000</v>
      </c>
      <c r="BC250" s="22">
        <v>39332.843124999999</v>
      </c>
      <c r="BI250" s="22">
        <v>39549.294907407406</v>
      </c>
      <c r="BL250">
        <v>8490</v>
      </c>
      <c r="BM250">
        <v>1114752</v>
      </c>
      <c r="BN250" t="s">
        <v>1674</v>
      </c>
      <c r="BO250" s="17">
        <f t="shared" ca="1" si="3"/>
        <v>216.46628090277954</v>
      </c>
      <c r="BP250" t="b">
        <v>0</v>
      </c>
      <c r="BQ250">
        <v>1</v>
      </c>
      <c r="BR250" t="s">
        <v>1686</v>
      </c>
      <c r="BS250" t="s">
        <v>2741</v>
      </c>
      <c r="BT250" t="b">
        <v>0</v>
      </c>
      <c r="BU250" t="s">
        <v>1738</v>
      </c>
      <c r="BV250" t="s">
        <v>1668</v>
      </c>
      <c r="BW250">
        <v>13402</v>
      </c>
      <c r="BY250">
        <v>513196</v>
      </c>
      <c r="BZ250" t="s">
        <v>4736</v>
      </c>
      <c r="CA250">
        <v>1</v>
      </c>
      <c r="CB250" t="b">
        <v>1</v>
      </c>
      <c r="CC250">
        <v>0</v>
      </c>
      <c r="CD250" t="b">
        <v>0</v>
      </c>
      <c r="CE250" t="b">
        <v>0</v>
      </c>
      <c r="CF250" t="b">
        <v>1</v>
      </c>
      <c r="CG250">
        <v>2447016</v>
      </c>
      <c r="CH250" t="s">
        <v>1681</v>
      </c>
      <c r="CI250" s="10">
        <v>424500</v>
      </c>
      <c r="CJ250" s="7">
        <v>38091</v>
      </c>
    </row>
    <row r="251" spans="1:89">
      <c r="A251">
        <v>27165712</v>
      </c>
      <c r="B251" s="2" t="str">
        <f>HYPERLINK("http://www.redfin.com/stingray/do/printable-listing?listing-id=1120715","Active")</f>
        <v>Active</v>
      </c>
      <c r="D251" t="s">
        <v>3066</v>
      </c>
      <c r="E251" t="s">
        <v>4764</v>
      </c>
      <c r="F251">
        <v>1095000</v>
      </c>
      <c r="G251">
        <v>2008</v>
      </c>
      <c r="H251">
        <v>4033</v>
      </c>
      <c r="I251">
        <v>6600</v>
      </c>
      <c r="J251">
        <v>4</v>
      </c>
      <c r="K251">
        <v>3.5</v>
      </c>
      <c r="M251" s="2" t="str">
        <f>HYPERLINK("http://maps.live.com/default.aspx?v=2&amp;lvl=15&amp;sp=Point.47.670162_-122.184207_11701 NE 73 St&amp;cp=47.670162~-122.184207","Map")</f>
        <v>Map</v>
      </c>
      <c r="N251" s="2" t="str">
        <f>HYPERLINK("http://i-0.rfimg.us/photo/1/bigphoto/712/27165712_4.jpg","Photo")</f>
        <v>Photo</v>
      </c>
      <c r="AG251">
        <v>47.670161999999998</v>
      </c>
      <c r="AH251">
        <v>-122.184207</v>
      </c>
      <c r="AI251" t="s">
        <v>1058</v>
      </c>
      <c r="AJ251">
        <v>98033</v>
      </c>
      <c r="BC251" s="22">
        <v>39335.625543981485</v>
      </c>
      <c r="BI251" s="22">
        <v>39549.294907407406</v>
      </c>
      <c r="BL251">
        <v>21900</v>
      </c>
      <c r="BM251">
        <v>1120715</v>
      </c>
      <c r="BN251" t="s">
        <v>1768</v>
      </c>
      <c r="BO251" s="17">
        <f t="shared" ca="1" si="3"/>
        <v>213.68386192129401</v>
      </c>
      <c r="BP251" t="b">
        <v>0</v>
      </c>
      <c r="BQ251">
        <v>1</v>
      </c>
      <c r="BR251" t="s">
        <v>1686</v>
      </c>
      <c r="BS251">
        <v>73</v>
      </c>
      <c r="BT251" t="b">
        <v>0</v>
      </c>
      <c r="BU251" t="s">
        <v>1738</v>
      </c>
      <c r="BV251" t="s">
        <v>1668</v>
      </c>
      <c r="BW251">
        <v>11701</v>
      </c>
      <c r="BY251">
        <v>12423742</v>
      </c>
      <c r="BZ251" t="s">
        <v>4765</v>
      </c>
      <c r="CA251">
        <v>1</v>
      </c>
      <c r="CB251" t="b">
        <v>1</v>
      </c>
      <c r="CC251">
        <v>0</v>
      </c>
      <c r="CD251" t="b">
        <v>0</v>
      </c>
      <c r="CE251" t="b">
        <v>0</v>
      </c>
      <c r="CF251" t="b">
        <v>1</v>
      </c>
      <c r="CG251">
        <v>15627490</v>
      </c>
      <c r="CH251" t="s">
        <v>1681</v>
      </c>
      <c r="CI251" s="10">
        <v>1095000</v>
      </c>
    </row>
    <row r="252" spans="1:89">
      <c r="A252">
        <v>27165747</v>
      </c>
      <c r="B252" s="15" t="str">
        <f>HYPERLINK("http://www.redfin.com/stingray/do/printable-listing?listing-id=1123253","Subject To Inspection")</f>
        <v>Subject To Inspection</v>
      </c>
      <c r="D252" t="s">
        <v>6757</v>
      </c>
      <c r="E252" t="s">
        <v>6756</v>
      </c>
      <c r="F252">
        <v>450000</v>
      </c>
      <c r="G252">
        <v>2006</v>
      </c>
      <c r="H252">
        <v>2560</v>
      </c>
      <c r="I252">
        <v>7006</v>
      </c>
      <c r="J252">
        <v>5</v>
      </c>
      <c r="K252">
        <v>3</v>
      </c>
      <c r="M252" s="2" t="str">
        <f>HYPERLINK("http://maps.live.com/default.aspx?v=2&amp;lvl=15&amp;sp=Point.47.5035_-122.142_14723 SE 111th St&amp;cp=47.5035~-122.142","Map")</f>
        <v>Map</v>
      </c>
      <c r="N252" s="2" t="str">
        <f>HYPERLINK("http://i-0.rfimg.us/photo/1/bigphoto/747/27165747_2.jpg","Photo")</f>
        <v>Photo</v>
      </c>
      <c r="AG252">
        <v>47.503500000000003</v>
      </c>
      <c r="AH252">
        <v>-122.142</v>
      </c>
      <c r="AI252" t="s">
        <v>1077</v>
      </c>
      <c r="AJ252">
        <v>98059</v>
      </c>
      <c r="BC252" s="22">
        <v>39336.483078703706</v>
      </c>
      <c r="BI252" s="22">
        <v>39549.294907407406</v>
      </c>
      <c r="BL252">
        <v>9000</v>
      </c>
      <c r="BM252">
        <v>1123253</v>
      </c>
      <c r="BN252" t="s">
        <v>3236</v>
      </c>
      <c r="BO252" s="17">
        <f t="shared" ca="1" si="3"/>
        <v>212.82632719907269</v>
      </c>
      <c r="BP252" t="b">
        <v>0</v>
      </c>
      <c r="BQ252">
        <v>1</v>
      </c>
      <c r="BR252" t="s">
        <v>1686</v>
      </c>
      <c r="BS252" t="s">
        <v>4388</v>
      </c>
      <c r="BT252" t="b">
        <v>0</v>
      </c>
      <c r="BU252" t="s">
        <v>3856</v>
      </c>
      <c r="BV252" t="s">
        <v>1668</v>
      </c>
      <c r="BW252">
        <v>14723</v>
      </c>
      <c r="BY252">
        <v>12168462</v>
      </c>
      <c r="BZ252" t="s">
        <v>3403</v>
      </c>
      <c r="CA252">
        <v>1</v>
      </c>
      <c r="CB252" t="b">
        <v>1</v>
      </c>
      <c r="CC252">
        <v>0</v>
      </c>
      <c r="CD252" t="b">
        <v>0</v>
      </c>
      <c r="CE252" t="b">
        <v>0</v>
      </c>
      <c r="CF252" t="b">
        <v>1</v>
      </c>
      <c r="CG252">
        <v>15399126</v>
      </c>
      <c r="CH252" t="s">
        <v>1681</v>
      </c>
      <c r="CI252" s="10">
        <v>450000</v>
      </c>
    </row>
    <row r="253" spans="1:89">
      <c r="A253">
        <v>27165871</v>
      </c>
      <c r="B253" s="2" t="str">
        <f>HYPERLINK("http://www.redfin.com/stingray/do/printable-listing?listing-id=1122802","Active")</f>
        <v>Active</v>
      </c>
      <c r="D253" t="s">
        <v>63</v>
      </c>
      <c r="E253" t="s">
        <v>1173</v>
      </c>
      <c r="F253" s="19">
        <v>499950</v>
      </c>
      <c r="G253">
        <v>1951</v>
      </c>
      <c r="H253">
        <v>2060</v>
      </c>
      <c r="I253">
        <v>3796</v>
      </c>
      <c r="J253">
        <v>4</v>
      </c>
      <c r="K253">
        <v>2</v>
      </c>
      <c r="M253" s="2" t="str">
        <f>HYPERLINK("http://maps.live.com/default.aspx?v=2&amp;lvl=15&amp;sp=Point.47.676101_-122.391614_2716 NW 65th St&amp;cp=47.676101~-122.391614","Map")</f>
        <v>Map</v>
      </c>
      <c r="N253" s="2" t="str">
        <f>HYPERLINK("http://i-0.rfimg.us/photo/1/bigphoto/871/27165871_2.jpg","Photo")</f>
        <v>Photo</v>
      </c>
      <c r="AG253">
        <v>47.676101000000003</v>
      </c>
      <c r="AH253">
        <v>-122.391614</v>
      </c>
      <c r="AI253" t="s">
        <v>66</v>
      </c>
      <c r="AJ253">
        <v>98117</v>
      </c>
      <c r="AN253">
        <v>411000</v>
      </c>
      <c r="BC253" s="22">
        <v>39336.429120370369</v>
      </c>
      <c r="BI253" s="22">
        <v>39549.294907407406</v>
      </c>
      <c r="BL253">
        <v>10700</v>
      </c>
      <c r="BM253">
        <v>1122802</v>
      </c>
      <c r="BN253" t="s">
        <v>1673</v>
      </c>
      <c r="BO253" s="17">
        <f t="shared" ca="1" si="3"/>
        <v>212.88028564814886</v>
      </c>
      <c r="BP253" t="b">
        <v>0</v>
      </c>
      <c r="BQ253">
        <v>1</v>
      </c>
      <c r="BR253" t="s">
        <v>1686</v>
      </c>
      <c r="BS253" t="s">
        <v>1708</v>
      </c>
      <c r="BT253" t="b">
        <v>0</v>
      </c>
      <c r="BU253" t="s">
        <v>1669</v>
      </c>
      <c r="BV253" t="s">
        <v>1668</v>
      </c>
      <c r="BW253">
        <v>2716</v>
      </c>
      <c r="BY253">
        <v>163776</v>
      </c>
      <c r="BZ253" t="s">
        <v>1763</v>
      </c>
      <c r="CA253">
        <v>1</v>
      </c>
      <c r="CB253" t="b">
        <v>1</v>
      </c>
      <c r="CC253">
        <v>0</v>
      </c>
      <c r="CD253" t="b">
        <v>0</v>
      </c>
      <c r="CE253" t="b">
        <v>0</v>
      </c>
      <c r="CF253" t="b">
        <v>1</v>
      </c>
      <c r="CG253">
        <v>2409553</v>
      </c>
      <c r="CH253" t="s">
        <v>1681</v>
      </c>
      <c r="CI253" s="10">
        <v>535000</v>
      </c>
      <c r="CJ253" s="7">
        <v>39266</v>
      </c>
      <c r="CK253" t="s">
        <v>2004</v>
      </c>
    </row>
    <row r="254" spans="1:89">
      <c r="A254">
        <v>27166080</v>
      </c>
      <c r="B254" s="2" t="str">
        <f>HYPERLINK("http://www.redfin.com/stingray/do/printable-listing?listing-id=1123270","Subject To Inspection")</f>
        <v>Subject To Inspection</v>
      </c>
      <c r="D254" t="s">
        <v>60</v>
      </c>
      <c r="E254" t="s">
        <v>2661</v>
      </c>
      <c r="F254">
        <v>590000</v>
      </c>
      <c r="G254">
        <v>1945</v>
      </c>
      <c r="H254">
        <v>2260</v>
      </c>
      <c r="I254">
        <v>7440</v>
      </c>
      <c r="J254">
        <v>4</v>
      </c>
      <c r="K254">
        <v>3</v>
      </c>
      <c r="M254" s="2" t="str">
        <f>HYPERLINK("http://maps.live.com/default.aspx?v=2&amp;lvl=15&amp;sp=Point.47.688807_-122.330086_8203 Sunnyside Ave N&amp;cp=47.688807~-122.330086","Map")</f>
        <v>Map</v>
      </c>
      <c r="N254" s="2" t="str">
        <f>HYPERLINK("http://i-0.rfimg.us/photo/1/bigphoto/080/27166080_2.jpg","Photo")</f>
        <v>Photo</v>
      </c>
      <c r="AG254">
        <v>47.688806999999997</v>
      </c>
      <c r="AH254">
        <v>-122.33008599999999</v>
      </c>
      <c r="AI254" t="s">
        <v>66</v>
      </c>
      <c r="AJ254">
        <v>98103</v>
      </c>
      <c r="AN254">
        <v>89500</v>
      </c>
      <c r="BC254" s="22">
        <v>39336.485011574077</v>
      </c>
      <c r="BI254" s="22">
        <v>39545.917314814818</v>
      </c>
      <c r="BL254">
        <v>11800</v>
      </c>
      <c r="BM254">
        <v>1123270</v>
      </c>
      <c r="BN254" t="s">
        <v>2659</v>
      </c>
      <c r="BO254" s="17">
        <f t="shared" ca="1" si="3"/>
        <v>212.82439444444026</v>
      </c>
      <c r="BP254" t="b">
        <v>0</v>
      </c>
      <c r="BQ254">
        <v>2</v>
      </c>
      <c r="BR254" t="s">
        <v>1667</v>
      </c>
      <c r="BS254" t="s">
        <v>2427</v>
      </c>
      <c r="BT254" t="b">
        <v>0</v>
      </c>
      <c r="BV254" t="s">
        <v>1668</v>
      </c>
      <c r="BW254">
        <v>8203</v>
      </c>
      <c r="BX254" t="s">
        <v>1712</v>
      </c>
      <c r="BY254">
        <v>306430</v>
      </c>
      <c r="BZ254" t="s">
        <v>2662</v>
      </c>
      <c r="CA254">
        <v>1</v>
      </c>
      <c r="CB254" t="b">
        <v>1</v>
      </c>
      <c r="CC254">
        <v>0</v>
      </c>
      <c r="CD254" t="b">
        <v>0</v>
      </c>
      <c r="CE254" t="b">
        <v>0</v>
      </c>
      <c r="CF254" t="b">
        <v>1</v>
      </c>
      <c r="CG254">
        <v>2405008</v>
      </c>
      <c r="CH254" t="s">
        <v>1681</v>
      </c>
      <c r="CI254" s="10">
        <v>590000</v>
      </c>
      <c r="CJ254" s="7">
        <v>31761</v>
      </c>
      <c r="CK254" t="s">
        <v>2660</v>
      </c>
    </row>
    <row r="255" spans="1:89">
      <c r="A255">
        <v>27166304</v>
      </c>
      <c r="B255" s="2" t="str">
        <f>HYPERLINK("http://www.redfin.com/stingray/do/printable-listing?listing-id=1123400","Active")</f>
        <v>Active</v>
      </c>
      <c r="D255" t="s">
        <v>4710</v>
      </c>
      <c r="E255" t="s">
        <v>5097</v>
      </c>
      <c r="F255">
        <v>1195000</v>
      </c>
      <c r="G255">
        <v>1920</v>
      </c>
      <c r="H255">
        <v>2100</v>
      </c>
      <c r="I255">
        <v>12855</v>
      </c>
      <c r="J255">
        <v>4</v>
      </c>
      <c r="K255">
        <v>3</v>
      </c>
      <c r="M255" s="2" t="str">
        <f>HYPERLINK("http://maps.live.com/default.aspx?v=2&amp;lvl=15&amp;sp=Point.47.616855_-122.212045_720 96th Ave NE&amp;cp=47.616855~-122.212045","Map")</f>
        <v>Map</v>
      </c>
      <c r="N255" s="2" t="str">
        <f>HYPERLINK("http://i-0.rfimg.us/photo/1/bigphoto/304/27166304_0.jpg","Photo")</f>
        <v>Photo</v>
      </c>
      <c r="AG255">
        <v>47.616855000000001</v>
      </c>
      <c r="AH255">
        <v>-122.212045</v>
      </c>
      <c r="AI255" t="s">
        <v>369</v>
      </c>
      <c r="AJ255">
        <v>98004</v>
      </c>
      <c r="BC255" s="22">
        <v>39336.496296296296</v>
      </c>
      <c r="BI255" s="22">
        <v>39549.294907407406</v>
      </c>
      <c r="BL255">
        <v>23900</v>
      </c>
      <c r="BM255">
        <v>1123400</v>
      </c>
      <c r="BN255" t="s">
        <v>2617</v>
      </c>
      <c r="BO255" s="17">
        <f t="shared" ca="1" si="3"/>
        <v>212.81310960648261</v>
      </c>
      <c r="BP255" t="b">
        <v>0</v>
      </c>
      <c r="BQ255">
        <v>1</v>
      </c>
      <c r="BR255" t="s">
        <v>1667</v>
      </c>
      <c r="BS255" t="s">
        <v>1961</v>
      </c>
      <c r="BT255" t="b">
        <v>0</v>
      </c>
      <c r="BV255" t="s">
        <v>1668</v>
      </c>
      <c r="BW255">
        <v>720</v>
      </c>
      <c r="BX255" t="s">
        <v>1738</v>
      </c>
      <c r="BY255">
        <v>251564</v>
      </c>
      <c r="BZ255" t="s">
        <v>1676</v>
      </c>
      <c r="CA255">
        <v>1</v>
      </c>
      <c r="CB255" t="b">
        <v>1</v>
      </c>
      <c r="CC255">
        <v>0</v>
      </c>
      <c r="CD255" t="b">
        <v>0</v>
      </c>
      <c r="CE255" t="b">
        <v>0</v>
      </c>
      <c r="CF255" t="b">
        <v>1</v>
      </c>
      <c r="CG255">
        <v>2908192</v>
      </c>
      <c r="CH255" t="s">
        <v>1681</v>
      </c>
      <c r="CI255" s="10">
        <v>1195000</v>
      </c>
    </row>
    <row r="256" spans="1:89">
      <c r="A256">
        <v>27166657</v>
      </c>
      <c r="B256" s="2" t="str">
        <f>HYPERLINK("http://www.redfin.com/stingray/do/printable-listing?listing-id=1126401","Active")</f>
        <v>Active</v>
      </c>
      <c r="D256" t="s">
        <v>60</v>
      </c>
      <c r="E256" t="s">
        <v>878</v>
      </c>
      <c r="F256" s="19">
        <v>475500</v>
      </c>
      <c r="G256">
        <v>1912</v>
      </c>
      <c r="H256">
        <v>1484</v>
      </c>
      <c r="I256">
        <v>3720</v>
      </c>
      <c r="J256">
        <v>2</v>
      </c>
      <c r="K256">
        <v>1.5</v>
      </c>
      <c r="M256" s="2" t="str">
        <f>HYPERLINK("http://maps.live.com/default.aspx?v=2&amp;lvl=15&amp;sp=Point.47.678427_-122.346835_907 N 68th St&amp;cp=47.678427~-122.346835","Map")</f>
        <v>Map</v>
      </c>
      <c r="N256" s="2" t="str">
        <f>HYPERLINK("http://i-0.rfimg.us/photo/1/bigphoto/657/27166657_0.jpg","Photo")</f>
        <v>Photo</v>
      </c>
      <c r="AG256">
        <v>47.678426999999999</v>
      </c>
      <c r="AH256">
        <v>-122.346835</v>
      </c>
      <c r="AI256" t="s">
        <v>66</v>
      </c>
      <c r="AJ256">
        <v>98103</v>
      </c>
      <c r="AN256">
        <v>89950</v>
      </c>
      <c r="BC256" s="22">
        <v>39337.450601851851</v>
      </c>
      <c r="BI256" s="22">
        <v>39549.294907407406</v>
      </c>
      <c r="BL256">
        <v>9850</v>
      </c>
      <c r="BM256">
        <v>1126401</v>
      </c>
      <c r="BN256" t="s">
        <v>2136</v>
      </c>
      <c r="BO256" s="17">
        <f t="shared" ca="1" si="3"/>
        <v>211.85880416666623</v>
      </c>
      <c r="BP256" t="b">
        <v>0</v>
      </c>
      <c r="BQ256">
        <v>1</v>
      </c>
      <c r="BR256" t="s">
        <v>1686</v>
      </c>
      <c r="BS256" t="s">
        <v>1863</v>
      </c>
      <c r="BT256" t="b">
        <v>0</v>
      </c>
      <c r="BU256" t="s">
        <v>1712</v>
      </c>
      <c r="BV256" t="s">
        <v>1668</v>
      </c>
      <c r="BW256">
        <v>907</v>
      </c>
      <c r="BY256">
        <v>301065</v>
      </c>
      <c r="BZ256" t="s">
        <v>1672</v>
      </c>
      <c r="CA256">
        <v>1</v>
      </c>
      <c r="CB256" t="b">
        <v>1</v>
      </c>
      <c r="CC256">
        <v>0</v>
      </c>
      <c r="CD256" t="b">
        <v>0</v>
      </c>
      <c r="CE256" t="b">
        <v>0</v>
      </c>
      <c r="CF256" t="b">
        <v>1</v>
      </c>
      <c r="CG256">
        <v>2642734</v>
      </c>
      <c r="CH256" t="s">
        <v>1681</v>
      </c>
      <c r="CI256" s="10">
        <v>492500</v>
      </c>
      <c r="CJ256" s="7">
        <v>30453</v>
      </c>
    </row>
    <row r="257" spans="1:88">
      <c r="A257">
        <v>27166689</v>
      </c>
      <c r="B257" s="2" t="str">
        <f>HYPERLINK("http://www.redfin.com/stingray/do/printable-listing?listing-id=1124201","Active")</f>
        <v>Active</v>
      </c>
      <c r="D257" t="s">
        <v>4663</v>
      </c>
      <c r="E257" t="s">
        <v>4744</v>
      </c>
      <c r="F257">
        <v>929950</v>
      </c>
      <c r="G257">
        <v>2007</v>
      </c>
      <c r="H257">
        <v>3440</v>
      </c>
      <c r="I257">
        <v>11450</v>
      </c>
      <c r="J257">
        <v>5</v>
      </c>
      <c r="K257">
        <v>3.5</v>
      </c>
      <c r="M257" s="2" t="str">
        <f>HYPERLINK("http://maps.live.com/default.aspx?v=2&amp;lvl=15&amp;sp=Point.47.668063_-122.179366_12027 NE 70th St&amp;cp=47.668063~-122.179366","Map")</f>
        <v>Map</v>
      </c>
      <c r="N257" s="2" t="str">
        <f>HYPERLINK("http://i-0.rfimg.us/photo/1/bigphoto/689/27166689_2.jpg","Photo")</f>
        <v>Photo</v>
      </c>
      <c r="AG257">
        <v>47.668062999999997</v>
      </c>
      <c r="AH257">
        <v>-122.179366</v>
      </c>
      <c r="AI257" t="s">
        <v>1058</v>
      </c>
      <c r="AJ257">
        <v>98033</v>
      </c>
      <c r="BC257" s="22">
        <v>39336.689131944448</v>
      </c>
      <c r="BI257" s="22">
        <v>39549.294907407406</v>
      </c>
      <c r="BL257">
        <v>18599</v>
      </c>
      <c r="BM257">
        <v>1124201</v>
      </c>
      <c r="BN257" t="s">
        <v>1674</v>
      </c>
      <c r="BO257" s="17">
        <f t="shared" ca="1" si="3"/>
        <v>212.62027395833138</v>
      </c>
      <c r="BP257" t="b">
        <v>0</v>
      </c>
      <c r="BQ257">
        <v>1</v>
      </c>
      <c r="BR257" t="s">
        <v>1686</v>
      </c>
      <c r="BS257" t="s">
        <v>1703</v>
      </c>
      <c r="BT257" t="b">
        <v>0</v>
      </c>
      <c r="BU257" t="s">
        <v>1738</v>
      </c>
      <c r="BV257" t="s">
        <v>1668</v>
      </c>
      <c r="BW257">
        <v>12027</v>
      </c>
      <c r="BY257">
        <v>12168593</v>
      </c>
      <c r="BZ257" t="s">
        <v>4745</v>
      </c>
      <c r="CA257">
        <v>1</v>
      </c>
      <c r="CB257" t="b">
        <v>1</v>
      </c>
      <c r="CC257">
        <v>0</v>
      </c>
      <c r="CD257" t="b">
        <v>0</v>
      </c>
      <c r="CE257" t="b">
        <v>0</v>
      </c>
      <c r="CF257" t="b">
        <v>1</v>
      </c>
      <c r="CG257">
        <v>15399257</v>
      </c>
      <c r="CH257" t="s">
        <v>1681</v>
      </c>
      <c r="CI257" s="10">
        <v>929950</v>
      </c>
    </row>
    <row r="258" spans="1:88">
      <c r="A258">
        <v>27166721</v>
      </c>
      <c r="B258" s="2" t="str">
        <f>HYPERLINK("http://www.redfin.com/stingray/do/printable-listing?listing-id=1124200","Active")</f>
        <v>Active</v>
      </c>
      <c r="D258" t="s">
        <v>4663</v>
      </c>
      <c r="E258" t="s">
        <v>4908</v>
      </c>
      <c r="F258">
        <v>919950</v>
      </c>
      <c r="G258">
        <v>2007</v>
      </c>
      <c r="H258">
        <v>3258</v>
      </c>
      <c r="I258">
        <v>7955</v>
      </c>
      <c r="J258">
        <v>5</v>
      </c>
      <c r="K258">
        <v>3</v>
      </c>
      <c r="M258" s="2" t="str">
        <f>HYPERLINK("http://maps.live.com/default.aspx?v=2&amp;lvl=15&amp;sp=Point.47.668063_-122.179227_12033 NE 70th St&amp;cp=47.668063~-122.179227","Map")</f>
        <v>Map</v>
      </c>
      <c r="N258" s="2" t="str">
        <f>HYPERLINK("http://i-0.rfimg.us/photo/1/bigphoto/721/27166721_2.jpg","Photo")</f>
        <v>Photo</v>
      </c>
      <c r="AG258">
        <v>47.668062999999997</v>
      </c>
      <c r="AH258">
        <v>-122.179227</v>
      </c>
      <c r="AI258" t="s">
        <v>1058</v>
      </c>
      <c r="AJ258">
        <v>98033</v>
      </c>
      <c r="AN258">
        <v>325000</v>
      </c>
      <c r="BC258" s="22">
        <v>39336.689085648148</v>
      </c>
      <c r="BI258" s="22">
        <v>39549.294907407406</v>
      </c>
      <c r="BL258">
        <v>18399</v>
      </c>
      <c r="BM258">
        <v>1124200</v>
      </c>
      <c r="BN258" t="s">
        <v>1674</v>
      </c>
      <c r="BO258" s="17">
        <f t="shared" ref="BO258:BO321" ca="1" si="4">NOW()-BC258</f>
        <v>212.62032025463122</v>
      </c>
      <c r="BP258" t="b">
        <v>0</v>
      </c>
      <c r="BQ258">
        <v>1</v>
      </c>
      <c r="BR258" t="s">
        <v>1686</v>
      </c>
      <c r="BS258" t="s">
        <v>1703</v>
      </c>
      <c r="BT258" t="b">
        <v>0</v>
      </c>
      <c r="BU258" t="s">
        <v>1738</v>
      </c>
      <c r="BV258" t="s">
        <v>1668</v>
      </c>
      <c r="BW258">
        <v>12033</v>
      </c>
      <c r="BY258">
        <v>515946</v>
      </c>
      <c r="BZ258" t="s">
        <v>4909</v>
      </c>
      <c r="CA258">
        <v>1</v>
      </c>
      <c r="CB258" t="b">
        <v>1</v>
      </c>
      <c r="CC258">
        <v>0</v>
      </c>
      <c r="CD258" t="b">
        <v>0</v>
      </c>
      <c r="CE258" t="b">
        <v>0</v>
      </c>
      <c r="CF258" t="b">
        <v>1</v>
      </c>
      <c r="CG258">
        <v>2705366</v>
      </c>
      <c r="CH258" t="s">
        <v>1681</v>
      </c>
      <c r="CI258" s="10">
        <v>919950</v>
      </c>
      <c r="CJ258" s="7">
        <v>39048</v>
      </c>
    </row>
    <row r="259" spans="1:88">
      <c r="A259">
        <v>27166896</v>
      </c>
      <c r="B259" s="2" t="str">
        <f>HYPERLINK("http://www.redfin.com/stingray/do/printable-listing?listing-id=1128948","Active")</f>
        <v>Active</v>
      </c>
      <c r="D259" t="s">
        <v>5153</v>
      </c>
      <c r="E259" t="s">
        <v>5152</v>
      </c>
      <c r="F259" s="19">
        <v>460000</v>
      </c>
      <c r="G259">
        <v>1955</v>
      </c>
      <c r="H259">
        <v>1550</v>
      </c>
      <c r="I259">
        <v>10440</v>
      </c>
      <c r="J259">
        <v>4</v>
      </c>
      <c r="K259">
        <v>1.5</v>
      </c>
      <c r="M259" s="2" t="str">
        <f>HYPERLINK("http://maps.live.com/default.aspx?v=2&amp;lvl=15&amp;sp=Point.47.573887_-122.150486_14222 SE 41st St&amp;cp=47.573887~-122.150486","Map")</f>
        <v>Map</v>
      </c>
      <c r="N259" s="2" t="str">
        <f>HYPERLINK("http://i-0.rfimg.us/photo/1/bigphoto/896/27166896_1.jpg","Photo")</f>
        <v>Photo</v>
      </c>
      <c r="AG259">
        <v>47.573886999999999</v>
      </c>
      <c r="AH259">
        <v>-122.150486</v>
      </c>
      <c r="AI259" t="s">
        <v>369</v>
      </c>
      <c r="AJ259">
        <v>98006</v>
      </c>
      <c r="AN259">
        <v>239900</v>
      </c>
      <c r="BC259" s="22">
        <v>39338.34847222222</v>
      </c>
      <c r="BI259" s="22">
        <v>39549.294907407406</v>
      </c>
      <c r="BL259">
        <v>9900</v>
      </c>
      <c r="BM259">
        <v>1128948</v>
      </c>
      <c r="BN259" t="s">
        <v>1688</v>
      </c>
      <c r="BO259" s="17">
        <f t="shared" ca="1" si="4"/>
        <v>210.96093368055881</v>
      </c>
      <c r="BP259" t="b">
        <v>0</v>
      </c>
      <c r="BQ259">
        <v>1</v>
      </c>
      <c r="BR259" t="s">
        <v>1686</v>
      </c>
      <c r="BS259" t="s">
        <v>3222</v>
      </c>
      <c r="BT259" t="b">
        <v>0</v>
      </c>
      <c r="BU259" t="s">
        <v>3856</v>
      </c>
      <c r="BV259" t="s">
        <v>1668</v>
      </c>
      <c r="BW259">
        <v>14222</v>
      </c>
      <c r="BY259">
        <v>233714</v>
      </c>
      <c r="BZ259" t="s">
        <v>1689</v>
      </c>
      <c r="CA259">
        <v>1</v>
      </c>
      <c r="CB259" t="b">
        <v>1</v>
      </c>
      <c r="CC259">
        <v>0</v>
      </c>
      <c r="CD259" t="b">
        <v>0</v>
      </c>
      <c r="CE259" t="b">
        <v>0</v>
      </c>
      <c r="CF259" t="b">
        <v>1</v>
      </c>
      <c r="CG259">
        <v>2512602</v>
      </c>
      <c r="CH259" t="s">
        <v>1681</v>
      </c>
      <c r="CI259" s="10">
        <v>495000</v>
      </c>
      <c r="CJ259" s="7">
        <v>37385</v>
      </c>
    </row>
    <row r="260" spans="1:88">
      <c r="A260">
        <v>27167148</v>
      </c>
      <c r="B260" s="2" t="str">
        <f>HYPERLINK("http://www.redfin.com/stingray/do/printable-listing?listing-id=1126527","Active")</f>
        <v>Active</v>
      </c>
      <c r="D260" t="s">
        <v>3681</v>
      </c>
      <c r="E260" t="s">
        <v>3833</v>
      </c>
      <c r="F260" s="19">
        <v>649950</v>
      </c>
      <c r="G260">
        <v>1930</v>
      </c>
      <c r="H260">
        <v>1900</v>
      </c>
      <c r="I260">
        <v>3720</v>
      </c>
      <c r="J260">
        <v>3</v>
      </c>
      <c r="K260">
        <v>1</v>
      </c>
      <c r="M260" s="2" t="str">
        <f>HYPERLINK("http://maps.live.com/default.aspx?v=2&amp;lvl=15&amp;sp=Point.47.631793_-122.300674_1413 25th Ave E&amp;cp=47.631793~-122.300674","Map")</f>
        <v>Map</v>
      </c>
      <c r="N260" s="2" t="str">
        <f>HYPERLINK("http://i-0.rfimg.us/photo/1/bigphoto/148/27167148_0.jpg","Photo")</f>
        <v>Photo</v>
      </c>
      <c r="AG260">
        <v>47.631793000000002</v>
      </c>
      <c r="AH260">
        <v>-122.300674</v>
      </c>
      <c r="AI260" t="s">
        <v>66</v>
      </c>
      <c r="AJ260">
        <v>98112</v>
      </c>
      <c r="AN260">
        <v>545000</v>
      </c>
      <c r="BC260" s="22">
        <v>39337.487974537034</v>
      </c>
      <c r="BI260" s="22">
        <v>39549.294907407406</v>
      </c>
      <c r="BL260">
        <v>13499</v>
      </c>
      <c r="BM260">
        <v>1126527</v>
      </c>
      <c r="BN260" t="s">
        <v>1823</v>
      </c>
      <c r="BO260" s="17">
        <f t="shared" ca="1" si="4"/>
        <v>211.8214313657445</v>
      </c>
      <c r="BP260" t="b">
        <v>0</v>
      </c>
      <c r="BQ260">
        <v>1</v>
      </c>
      <c r="BR260" t="s">
        <v>1667</v>
      </c>
      <c r="BS260" t="s">
        <v>1819</v>
      </c>
      <c r="BT260" t="b">
        <v>0</v>
      </c>
      <c r="BV260" t="s">
        <v>1668</v>
      </c>
      <c r="BW260">
        <v>1413</v>
      </c>
      <c r="BX260" t="s">
        <v>2436</v>
      </c>
      <c r="BY260">
        <v>148085</v>
      </c>
      <c r="BZ260" t="s">
        <v>1762</v>
      </c>
      <c r="CA260">
        <v>1</v>
      </c>
      <c r="CB260" t="b">
        <v>1</v>
      </c>
      <c r="CC260">
        <v>0</v>
      </c>
      <c r="CD260" t="b">
        <v>0</v>
      </c>
      <c r="CE260" t="b">
        <v>0</v>
      </c>
      <c r="CF260" t="b">
        <v>1</v>
      </c>
      <c r="CG260">
        <v>2726816</v>
      </c>
      <c r="CH260" t="s">
        <v>1681</v>
      </c>
      <c r="CI260" s="10">
        <v>674950</v>
      </c>
      <c r="CJ260" s="7">
        <v>39317</v>
      </c>
    </row>
    <row r="261" spans="1:88">
      <c r="A261">
        <v>27167463</v>
      </c>
      <c r="B261" s="2" t="str">
        <f>HYPERLINK("http://www.redfin.com/stingray/do/printable-listing?listing-id=1128927","Active")</f>
        <v>Active</v>
      </c>
      <c r="D261" t="s">
        <v>2552</v>
      </c>
      <c r="E261" t="s">
        <v>3416</v>
      </c>
      <c r="F261" s="19">
        <v>714000</v>
      </c>
      <c r="G261">
        <v>1950</v>
      </c>
      <c r="H261">
        <v>2400</v>
      </c>
      <c r="I261">
        <v>0</v>
      </c>
      <c r="J261">
        <v>4</v>
      </c>
      <c r="K261">
        <v>1.75</v>
      </c>
      <c r="M261" s="2" t="str">
        <f>HYPERLINK("http://maps.live.com/default.aspx?v=2&amp;lvl=15&amp;sp=Point.47.651277_-122.408216_3425 40th Ave W&amp;cp=47.651277~-122.408216","Map")</f>
        <v>Map</v>
      </c>
      <c r="N261" s="2" t="str">
        <f>HYPERLINK("http://i-0.rfimg.us/photo/1/bigphoto/463/27167463_1.jpg","Photo")</f>
        <v>Photo</v>
      </c>
      <c r="AG261">
        <v>47.651277</v>
      </c>
      <c r="AH261">
        <v>-122.408216</v>
      </c>
      <c r="AI261" t="s">
        <v>66</v>
      </c>
      <c r="AJ261">
        <v>98199</v>
      </c>
      <c r="AN261">
        <v>525000</v>
      </c>
      <c r="BC261" s="22">
        <v>39338.328032407408</v>
      </c>
      <c r="BI261" s="22">
        <v>39549.294907407406</v>
      </c>
      <c r="BL261">
        <v>14980</v>
      </c>
      <c r="BM261">
        <v>1128927</v>
      </c>
      <c r="BN261" t="s">
        <v>1746</v>
      </c>
      <c r="BO261" s="17">
        <f t="shared" ca="1" si="4"/>
        <v>210.98137349537137</v>
      </c>
      <c r="BP261" t="b">
        <v>0</v>
      </c>
      <c r="BQ261">
        <v>1</v>
      </c>
      <c r="BR261" t="s">
        <v>1667</v>
      </c>
      <c r="BS261" t="s">
        <v>2832</v>
      </c>
      <c r="BT261" t="b">
        <v>0</v>
      </c>
      <c r="BV261" t="s">
        <v>1668</v>
      </c>
      <c r="BW261">
        <v>3425</v>
      </c>
      <c r="BX261" t="s">
        <v>2423</v>
      </c>
      <c r="BY261">
        <v>128636</v>
      </c>
      <c r="BZ261" t="s">
        <v>1756</v>
      </c>
      <c r="CA261">
        <v>1</v>
      </c>
      <c r="CB261" t="b">
        <v>1</v>
      </c>
      <c r="CC261">
        <v>0</v>
      </c>
      <c r="CD261" t="b">
        <v>0</v>
      </c>
      <c r="CE261" t="b">
        <v>0</v>
      </c>
      <c r="CF261" t="b">
        <v>1</v>
      </c>
      <c r="CG261">
        <v>2617558</v>
      </c>
      <c r="CH261" t="s">
        <v>1681</v>
      </c>
      <c r="CI261" s="10">
        <v>749000</v>
      </c>
      <c r="CJ261" s="7">
        <v>38254</v>
      </c>
    </row>
    <row r="262" spans="1:88">
      <c r="A262">
        <v>27167528</v>
      </c>
      <c r="B262" s="2" t="str">
        <f>HYPERLINK("http://www.redfin.com/stingray/do/printable-listing?listing-id=1127394","Active")</f>
        <v>Active</v>
      </c>
      <c r="D262" t="s">
        <v>78</v>
      </c>
      <c r="E262" t="s">
        <v>1301</v>
      </c>
      <c r="F262">
        <v>1445000</v>
      </c>
      <c r="G262">
        <v>1966</v>
      </c>
      <c r="H262">
        <v>2310</v>
      </c>
      <c r="I262">
        <v>11283</v>
      </c>
      <c r="J262">
        <v>4</v>
      </c>
      <c r="K262">
        <v>3</v>
      </c>
      <c r="M262" s="2" t="str">
        <f>HYPERLINK("http://maps.live.com/default.aspx?v=2&amp;lvl=15&amp;sp=Point.47.694839_-122.40171_9037 View Ave NW&amp;cp=47.694839~-122.40171","Map")</f>
        <v>Map</v>
      </c>
      <c r="N262" s="2" t="str">
        <f>HYPERLINK("http://i-0.rfimg.us/photo/1/bigphoto/528/27167528_2.jpg","Photo")</f>
        <v>Photo</v>
      </c>
      <c r="AG262">
        <v>47.694839000000002</v>
      </c>
      <c r="AH262">
        <v>-122.40170999999999</v>
      </c>
      <c r="AI262" t="s">
        <v>66</v>
      </c>
      <c r="AJ262">
        <v>98117</v>
      </c>
      <c r="AN262">
        <v>975000</v>
      </c>
      <c r="BC262" s="22">
        <v>39337.645729166667</v>
      </c>
      <c r="BI262" s="7">
        <v>39523</v>
      </c>
      <c r="BL262">
        <v>28900</v>
      </c>
      <c r="BM262">
        <v>1127394</v>
      </c>
      <c r="BN262" t="s">
        <v>1674</v>
      </c>
      <c r="BO262" s="17">
        <f t="shared" ca="1" si="4"/>
        <v>211.66367685185105</v>
      </c>
      <c r="BP262" t="b">
        <v>0</v>
      </c>
      <c r="BQ262">
        <v>1</v>
      </c>
      <c r="BR262" t="s">
        <v>1667</v>
      </c>
      <c r="BS262" t="s">
        <v>32</v>
      </c>
      <c r="BT262" t="b">
        <v>0</v>
      </c>
      <c r="BV262" t="s">
        <v>1668</v>
      </c>
      <c r="BW262">
        <v>9037</v>
      </c>
      <c r="BX262" t="s">
        <v>1669</v>
      </c>
      <c r="BY262">
        <v>289167</v>
      </c>
      <c r="BZ262" t="s">
        <v>2064</v>
      </c>
      <c r="CA262">
        <v>1</v>
      </c>
      <c r="CB262" t="b">
        <v>1</v>
      </c>
      <c r="CC262">
        <v>0</v>
      </c>
      <c r="CD262" t="b">
        <v>0</v>
      </c>
      <c r="CE262" t="b">
        <v>0</v>
      </c>
      <c r="CF262" t="b">
        <v>1</v>
      </c>
      <c r="CG262">
        <v>2604788</v>
      </c>
      <c r="CH262" t="s">
        <v>1681</v>
      </c>
      <c r="CI262" s="10">
        <v>1445000</v>
      </c>
      <c r="CJ262" s="7">
        <v>38414</v>
      </c>
    </row>
    <row r="263" spans="1:88">
      <c r="A263">
        <v>27167606</v>
      </c>
      <c r="B263" s="15" t="str">
        <f>HYPERLINK("http://www.redfin.com/stingray/do/printable-listing?listing-id=1127566","Subject To Inspection")</f>
        <v>Subject To Inspection</v>
      </c>
      <c r="D263" t="s">
        <v>70</v>
      </c>
      <c r="E263" t="s">
        <v>2756</v>
      </c>
      <c r="F263">
        <v>1150000</v>
      </c>
      <c r="G263">
        <v>1929</v>
      </c>
      <c r="H263">
        <v>3840</v>
      </c>
      <c r="I263">
        <v>55272</v>
      </c>
      <c r="J263">
        <v>4</v>
      </c>
      <c r="K263">
        <v>2.75</v>
      </c>
      <c r="M263" s="2" t="str">
        <f>HYPERLINK("http://maps.live.com/default.aspx?v=2&amp;lvl=15&amp;sp=Point.47.711761_-122.366581_11323 8th Ave NW&amp;cp=47.711761~-122.366581","Map")</f>
        <v>Map</v>
      </c>
      <c r="N263" s="2" t="str">
        <f>HYPERLINK("http://i-0.rfimg.us/photo/1/bigphoto/606/27167606_1.jpg","Photo")</f>
        <v>Photo</v>
      </c>
      <c r="AG263">
        <v>47.711761000000003</v>
      </c>
      <c r="AH263">
        <v>-122.366581</v>
      </c>
      <c r="AI263" t="s">
        <v>66</v>
      </c>
      <c r="AJ263">
        <v>98177</v>
      </c>
      <c r="BC263" s="22">
        <v>39337.696342592593</v>
      </c>
      <c r="BI263" s="22">
        <v>39549.294907407406</v>
      </c>
      <c r="BL263">
        <v>23000</v>
      </c>
      <c r="BM263">
        <v>1127566</v>
      </c>
      <c r="BN263" t="s">
        <v>1715</v>
      </c>
      <c r="BO263" s="17">
        <f t="shared" ca="1" si="4"/>
        <v>211.61306342592434</v>
      </c>
      <c r="BP263" t="b">
        <v>0</v>
      </c>
      <c r="BQ263">
        <v>1</v>
      </c>
      <c r="BR263" t="s">
        <v>1667</v>
      </c>
      <c r="BS263" t="s">
        <v>1723</v>
      </c>
      <c r="BT263" t="b">
        <v>0</v>
      </c>
      <c r="BV263" t="s">
        <v>1668</v>
      </c>
      <c r="BW263">
        <v>11323</v>
      </c>
      <c r="BX263" t="s">
        <v>1669</v>
      </c>
      <c r="BY263">
        <v>291183</v>
      </c>
      <c r="BZ263" t="s">
        <v>1756</v>
      </c>
      <c r="CA263">
        <v>1</v>
      </c>
      <c r="CB263" t="b">
        <v>1</v>
      </c>
      <c r="CC263">
        <v>0</v>
      </c>
      <c r="CD263" t="b">
        <v>0</v>
      </c>
      <c r="CE263" t="b">
        <v>0</v>
      </c>
      <c r="CF263" t="b">
        <v>1</v>
      </c>
      <c r="CG263">
        <v>2571137</v>
      </c>
      <c r="CH263" t="s">
        <v>1681</v>
      </c>
      <c r="CI263" s="10">
        <v>1150000</v>
      </c>
    </row>
    <row r="264" spans="1:88">
      <c r="A264">
        <v>27167682</v>
      </c>
      <c r="B264" s="2" t="str">
        <f>HYPERLINK("http://www.redfin.com/stingray/do/printable-listing?listing-id=1127773","Active")</f>
        <v>Active</v>
      </c>
      <c r="D264" t="s">
        <v>3064</v>
      </c>
      <c r="E264" t="s">
        <v>6935</v>
      </c>
      <c r="F264">
        <v>549900</v>
      </c>
      <c r="G264">
        <v>2007</v>
      </c>
      <c r="H264">
        <v>3016</v>
      </c>
      <c r="I264">
        <v>0</v>
      </c>
      <c r="J264">
        <v>3</v>
      </c>
      <c r="K264">
        <v>2.5</v>
      </c>
      <c r="M264" s="2" t="str">
        <f>HYPERLINK("http://maps.live.com/default.aspx?v=2&amp;lvl=15&amp;sp=Point.47.4957_-122.1567_5225 NE 8th Pl (Lot 301)&amp;cp=47.4957~-122.1567","Map")</f>
        <v>Map</v>
      </c>
      <c r="N264" s="2" t="str">
        <f>HYPERLINK("http://i-0.rfimg.us/photo/1/bigphoto/682/27167682_2.jpg","Photo")</f>
        <v>Photo</v>
      </c>
      <c r="AG264">
        <v>47.495699999999999</v>
      </c>
      <c r="AH264">
        <v>-122.1567</v>
      </c>
      <c r="AI264" t="s">
        <v>1077</v>
      </c>
      <c r="AJ264">
        <v>98059</v>
      </c>
      <c r="BC264" s="22">
        <v>39337.796724537038</v>
      </c>
      <c r="BI264" s="22">
        <v>39549.294907407406</v>
      </c>
      <c r="BL264">
        <v>10998</v>
      </c>
      <c r="BM264">
        <v>1127773</v>
      </c>
      <c r="BN264" t="s">
        <v>3236</v>
      </c>
      <c r="BO264" s="17">
        <f t="shared" ca="1" si="4"/>
        <v>211.51268136574072</v>
      </c>
      <c r="BP264" t="b">
        <v>0</v>
      </c>
      <c r="BQ264">
        <v>1</v>
      </c>
      <c r="BR264" t="s">
        <v>1842</v>
      </c>
      <c r="BS264" t="s">
        <v>6936</v>
      </c>
      <c r="BT264" t="b">
        <v>0</v>
      </c>
      <c r="BU264" t="s">
        <v>1738</v>
      </c>
      <c r="BV264" t="s">
        <v>1668</v>
      </c>
      <c r="BW264">
        <v>5225</v>
      </c>
      <c r="BY264">
        <v>12169095</v>
      </c>
      <c r="BZ264" t="s">
        <v>6937</v>
      </c>
      <c r="CA264">
        <v>1</v>
      </c>
      <c r="CB264" t="b">
        <v>1</v>
      </c>
      <c r="CC264">
        <v>0</v>
      </c>
      <c r="CD264" t="b">
        <v>0</v>
      </c>
      <c r="CE264" t="b">
        <v>0</v>
      </c>
      <c r="CF264" t="b">
        <v>1</v>
      </c>
      <c r="CG264">
        <v>15363787</v>
      </c>
      <c r="CH264" t="s">
        <v>1681</v>
      </c>
      <c r="CI264" s="10">
        <v>549900</v>
      </c>
    </row>
    <row r="265" spans="1:88">
      <c r="A265">
        <v>27167898</v>
      </c>
      <c r="B265" s="2" t="str">
        <f>HYPERLINK("http://www.redfin.com/stingray/do/printable-listing?listing-id=1129734","Active")</f>
        <v>Active</v>
      </c>
      <c r="D265" t="s">
        <v>5140</v>
      </c>
      <c r="E265" t="s">
        <v>5481</v>
      </c>
      <c r="F265">
        <v>800000</v>
      </c>
      <c r="G265">
        <v>1956</v>
      </c>
      <c r="H265">
        <v>1460</v>
      </c>
      <c r="I265">
        <v>8800</v>
      </c>
      <c r="J265">
        <v>3</v>
      </c>
      <c r="K265">
        <v>2.5</v>
      </c>
      <c r="M265" s="2" t="str">
        <f>HYPERLINK("http://maps.live.com/default.aspx?v=2&amp;lvl=15&amp;sp=Point.47.589547_-122.232077_2249 80th Ave SE&amp;cp=47.589547~-122.232077","Map")</f>
        <v>Map</v>
      </c>
      <c r="N265" s="2" t="str">
        <f>HYPERLINK("http://i-0.rfimg.us/photo/1/bigphoto/898/27167898_0.jpg","Photo")</f>
        <v>Photo</v>
      </c>
      <c r="AG265">
        <v>47.589547000000003</v>
      </c>
      <c r="AH265">
        <v>-122.232077</v>
      </c>
      <c r="AI265" t="s">
        <v>5139</v>
      </c>
      <c r="AJ265">
        <v>98040</v>
      </c>
      <c r="BC265" s="22">
        <v>39338.419965277775</v>
      </c>
      <c r="BI265" s="22">
        <v>39549.294907407406</v>
      </c>
      <c r="BL265">
        <v>16000</v>
      </c>
      <c r="BM265">
        <v>1129734</v>
      </c>
      <c r="BN265" t="s">
        <v>1823</v>
      </c>
      <c r="BO265" s="17">
        <f t="shared" ca="1" si="4"/>
        <v>210.88944062500377</v>
      </c>
      <c r="BP265" t="b">
        <v>0</v>
      </c>
      <c r="BQ265">
        <v>1</v>
      </c>
      <c r="BR265" t="s">
        <v>1667</v>
      </c>
      <c r="BS265" t="s">
        <v>1711</v>
      </c>
      <c r="BT265" t="b">
        <v>0</v>
      </c>
      <c r="BV265" t="s">
        <v>1668</v>
      </c>
      <c r="BW265">
        <v>2249</v>
      </c>
      <c r="BX265" t="s">
        <v>3856</v>
      </c>
      <c r="BY265">
        <v>254029</v>
      </c>
      <c r="BZ265" t="s">
        <v>1741</v>
      </c>
      <c r="CA265">
        <v>1</v>
      </c>
      <c r="CB265" t="b">
        <v>1</v>
      </c>
      <c r="CC265">
        <v>0</v>
      </c>
      <c r="CD265" t="b">
        <v>0</v>
      </c>
      <c r="CE265" t="b">
        <v>0</v>
      </c>
      <c r="CF265" t="b">
        <v>1</v>
      </c>
      <c r="CG265">
        <v>2468202</v>
      </c>
      <c r="CH265" t="s">
        <v>1681</v>
      </c>
      <c r="CI265" s="10">
        <v>800000</v>
      </c>
    </row>
    <row r="266" spans="1:88">
      <c r="A266">
        <v>27168044</v>
      </c>
      <c r="B266" s="15" t="str">
        <f>HYPERLINK("http://www.redfin.com/stingray/do/printable-listing?listing-id=1133653","Subject To Inspection")</f>
        <v>Subject To Inspection</v>
      </c>
      <c r="D266" t="s">
        <v>3966</v>
      </c>
      <c r="E266" t="s">
        <v>4277</v>
      </c>
      <c r="F266" s="19">
        <v>385000</v>
      </c>
      <c r="G266">
        <v>2007</v>
      </c>
      <c r="H266">
        <v>1540</v>
      </c>
      <c r="I266">
        <v>0</v>
      </c>
      <c r="J266">
        <v>2</v>
      </c>
      <c r="K266">
        <v>1.5</v>
      </c>
      <c r="M266" s="2" t="str">
        <f>HYPERLINK("http://maps.live.com/default.aspx?v=2&amp;lvl=15&amp;sp=Point.47.611837_-122.295847_2816 E Spring St&amp;cp=47.611837~-122.295847","Map")</f>
        <v>Map</v>
      </c>
      <c r="N266" s="2" t="str">
        <f>HYPERLINK("http://i-0.rfimg.us/photo/1/bigphoto/044/27168044_5.jpg","Photo")</f>
        <v>Photo</v>
      </c>
      <c r="AG266">
        <v>47.611837000000001</v>
      </c>
      <c r="AH266">
        <v>-122.29584699999999</v>
      </c>
      <c r="AI266" t="s">
        <v>66</v>
      </c>
      <c r="AJ266">
        <v>98122</v>
      </c>
      <c r="BC266" s="22">
        <v>39339.553437499999</v>
      </c>
      <c r="BI266" s="22">
        <v>39549.294907407406</v>
      </c>
      <c r="BL266">
        <v>8000</v>
      </c>
      <c r="BM266">
        <v>1133653</v>
      </c>
      <c r="BN266" t="s">
        <v>2829</v>
      </c>
      <c r="BO266" s="17">
        <f t="shared" ca="1" si="4"/>
        <v>209.75596840278013</v>
      </c>
      <c r="BP266" t="b">
        <v>0</v>
      </c>
      <c r="BQ266">
        <v>1</v>
      </c>
      <c r="BR266" t="s">
        <v>1686</v>
      </c>
      <c r="BS266" t="s">
        <v>4178</v>
      </c>
      <c r="BT266" t="b">
        <v>0</v>
      </c>
      <c r="BU266" t="s">
        <v>2436</v>
      </c>
      <c r="BV266" t="s">
        <v>1668</v>
      </c>
      <c r="BW266">
        <v>2816</v>
      </c>
      <c r="BY266">
        <v>12319406</v>
      </c>
      <c r="BZ266" t="s">
        <v>4278</v>
      </c>
      <c r="CA266">
        <v>1</v>
      </c>
      <c r="CB266" t="b">
        <v>1</v>
      </c>
      <c r="CC266">
        <v>0</v>
      </c>
      <c r="CD266" t="b">
        <v>0</v>
      </c>
      <c r="CE266" t="b">
        <v>0</v>
      </c>
      <c r="CF266" t="b">
        <v>1</v>
      </c>
      <c r="CG266">
        <v>15525442</v>
      </c>
      <c r="CH266" t="s">
        <v>1681</v>
      </c>
      <c r="CI266" s="10">
        <v>400000</v>
      </c>
    </row>
    <row r="267" spans="1:88">
      <c r="A267">
        <v>27168106</v>
      </c>
      <c r="B267" s="2" t="str">
        <f>HYPERLINK("http://www.redfin.com/stingray/do/printable-listing?listing-id=1134245","Active")</f>
        <v>Active</v>
      </c>
      <c r="D267" t="s">
        <v>4663</v>
      </c>
      <c r="E267" t="s">
        <v>4989</v>
      </c>
      <c r="F267">
        <v>850000</v>
      </c>
      <c r="G267">
        <v>1988</v>
      </c>
      <c r="H267">
        <v>2560</v>
      </c>
      <c r="I267">
        <v>35284</v>
      </c>
      <c r="J267">
        <v>3</v>
      </c>
      <c r="K267">
        <v>2.5</v>
      </c>
      <c r="M267" s="2" t="str">
        <f>HYPERLINK("http://maps.live.com/default.aspx?v=2&amp;lvl=15&amp;sp=Point.47.646409_-122.151976_14080 NE 40 St&amp;cp=47.646409~-122.151976","Map")</f>
        <v>Map</v>
      </c>
      <c r="N267" s="2" t="str">
        <f>HYPERLINK("http://i-0.rfimg.us/photo/1/bigphoto/106/27168106_2.jpg","Photo")</f>
        <v>Photo</v>
      </c>
      <c r="AG267">
        <v>47.646408999999998</v>
      </c>
      <c r="AH267">
        <v>-122.151976</v>
      </c>
      <c r="AI267" t="s">
        <v>369</v>
      </c>
      <c r="AJ267">
        <v>98007</v>
      </c>
      <c r="AN267">
        <v>200000</v>
      </c>
      <c r="BC267" s="22">
        <v>39339.671793981484</v>
      </c>
      <c r="BI267" s="22">
        <v>39549.294907407406</v>
      </c>
      <c r="BL267">
        <v>17000</v>
      </c>
      <c r="BM267">
        <v>1134245</v>
      </c>
      <c r="BN267" t="s">
        <v>1688</v>
      </c>
      <c r="BO267" s="17">
        <f t="shared" ca="1" si="4"/>
        <v>209.63761192129459</v>
      </c>
      <c r="BP267" t="b">
        <v>0</v>
      </c>
      <c r="BQ267">
        <v>1</v>
      </c>
      <c r="BR267" t="s">
        <v>1686</v>
      </c>
      <c r="BS267">
        <v>40</v>
      </c>
      <c r="BT267" t="b">
        <v>0</v>
      </c>
      <c r="BU267" t="s">
        <v>1738</v>
      </c>
      <c r="BV267" t="s">
        <v>1668</v>
      </c>
      <c r="BW267">
        <v>14080</v>
      </c>
      <c r="BY267">
        <v>430677</v>
      </c>
      <c r="BZ267" t="s">
        <v>3422</v>
      </c>
      <c r="CA267">
        <v>1</v>
      </c>
      <c r="CB267" t="b">
        <v>1</v>
      </c>
      <c r="CC267">
        <v>0</v>
      </c>
      <c r="CD267" t="b">
        <v>0</v>
      </c>
      <c r="CE267" t="b">
        <v>0</v>
      </c>
      <c r="CF267" t="b">
        <v>1</v>
      </c>
      <c r="CG267">
        <v>2358165</v>
      </c>
      <c r="CH267" t="s">
        <v>1681</v>
      </c>
      <c r="CI267" s="10">
        <v>850000</v>
      </c>
      <c r="CJ267" s="7">
        <v>32545</v>
      </c>
    </row>
    <row r="268" spans="1:88">
      <c r="A268">
        <v>27168320</v>
      </c>
      <c r="B268" s="2" t="str">
        <f>HYPERLINK("http://www.redfin.com/stingray/do/printable-listing?listing-id=1130887","Active")</f>
        <v>Active</v>
      </c>
      <c r="D268" t="s">
        <v>99</v>
      </c>
      <c r="E268" t="s">
        <v>1188</v>
      </c>
      <c r="F268">
        <v>509000</v>
      </c>
      <c r="G268">
        <v>1991</v>
      </c>
      <c r="H268">
        <v>1962</v>
      </c>
      <c r="I268">
        <v>5415</v>
      </c>
      <c r="J268">
        <v>5</v>
      </c>
      <c r="K268">
        <v>3</v>
      </c>
      <c r="M268" s="2" t="str">
        <f>HYPERLINK("http://maps.live.com/default.aspx?v=2&amp;lvl=15&amp;sp=Point.47.696201_-122.368319_9202 9th Ave NW&amp;cp=47.696201~-122.368319","Map")</f>
        <v>Map</v>
      </c>
      <c r="N268" s="2" t="str">
        <f>HYPERLINK("http://i-0.rfimg.us/photo/1/bigphoto/320/27168320_3.jpg","Photo")</f>
        <v>Photo</v>
      </c>
      <c r="AG268">
        <v>47.696201000000002</v>
      </c>
      <c r="AH268">
        <v>-122.368319</v>
      </c>
      <c r="AI268" t="s">
        <v>66</v>
      </c>
      <c r="AJ268">
        <v>98117</v>
      </c>
      <c r="AN268">
        <v>334710</v>
      </c>
      <c r="BC268" s="22">
        <v>39338.673773148148</v>
      </c>
      <c r="BI268" s="7">
        <v>39520</v>
      </c>
      <c r="BL268">
        <v>10180</v>
      </c>
      <c r="BM268">
        <v>1130887</v>
      </c>
      <c r="BN268" t="s">
        <v>1823</v>
      </c>
      <c r="BO268" s="17">
        <f t="shared" ca="1" si="4"/>
        <v>210.63563287036959</v>
      </c>
      <c r="BP268" t="b">
        <v>0</v>
      </c>
      <c r="BQ268">
        <v>1</v>
      </c>
      <c r="BR268" t="s">
        <v>1667</v>
      </c>
      <c r="BS268" t="s">
        <v>1785</v>
      </c>
      <c r="BT268" t="b">
        <v>0</v>
      </c>
      <c r="BV268" t="s">
        <v>1668</v>
      </c>
      <c r="BW268">
        <v>9202</v>
      </c>
      <c r="BX268" t="s">
        <v>1669</v>
      </c>
      <c r="BY268">
        <v>101308</v>
      </c>
      <c r="BZ268" t="s">
        <v>2013</v>
      </c>
      <c r="CA268">
        <v>1</v>
      </c>
      <c r="CB268" t="b">
        <v>1</v>
      </c>
      <c r="CC268">
        <v>0</v>
      </c>
      <c r="CD268" t="b">
        <v>0</v>
      </c>
      <c r="CE268" t="b">
        <v>0</v>
      </c>
      <c r="CF268" t="b">
        <v>1</v>
      </c>
      <c r="CG268">
        <v>2905922</v>
      </c>
      <c r="CH268" t="s">
        <v>1681</v>
      </c>
      <c r="CI268" s="10">
        <v>509000</v>
      </c>
      <c r="CJ268" s="7">
        <v>37921</v>
      </c>
    </row>
    <row r="269" spans="1:88">
      <c r="A269">
        <v>27168643</v>
      </c>
      <c r="B269" s="2" t="str">
        <f>HYPERLINK("http://www.redfin.com/stingray/do/printable-listing?listing-id=1132717","Active")</f>
        <v>Active</v>
      </c>
      <c r="D269" t="s">
        <v>60</v>
      </c>
      <c r="E269" t="s">
        <v>2625</v>
      </c>
      <c r="F269">
        <v>549500</v>
      </c>
      <c r="G269">
        <v>2007</v>
      </c>
      <c r="H269">
        <v>0</v>
      </c>
      <c r="I269">
        <v>0</v>
      </c>
      <c r="J269">
        <v>2</v>
      </c>
      <c r="K269">
        <v>1.5</v>
      </c>
      <c r="M269" s="2" t="str">
        <f>HYPERLINK("http://maps.live.com/default.aspx?v=2&amp;lvl=15&amp;sp=Point.47.686863_-122.338776_1515 N 80th St&amp;cp=47.686863~-122.338776","Map")</f>
        <v>Map</v>
      </c>
      <c r="N269" s="2" t="str">
        <f>HYPERLINK("http://i-0.rfimg.us/photo/1/bigphoto/643/27168643_7.jpg","Photo")</f>
        <v>Photo</v>
      </c>
      <c r="AG269">
        <v>47.686863000000002</v>
      </c>
      <c r="AH269">
        <v>-122.338776</v>
      </c>
      <c r="AI269" t="s">
        <v>66</v>
      </c>
      <c r="AJ269">
        <v>98103</v>
      </c>
      <c r="BC269" s="22">
        <v>39339.375219907408</v>
      </c>
      <c r="BI269" s="22">
        <v>39549.294907407406</v>
      </c>
      <c r="BL269">
        <v>10990</v>
      </c>
      <c r="BM269">
        <v>1132717</v>
      </c>
      <c r="BN269" t="s">
        <v>1693</v>
      </c>
      <c r="BO269" s="17">
        <f t="shared" ca="1" si="4"/>
        <v>209.93418611110974</v>
      </c>
      <c r="BP269" t="b">
        <v>0</v>
      </c>
      <c r="BQ269">
        <v>1</v>
      </c>
      <c r="BR269" t="s">
        <v>1686</v>
      </c>
      <c r="BS269" t="s">
        <v>1711</v>
      </c>
      <c r="BT269" t="b">
        <v>0</v>
      </c>
      <c r="BU269" t="s">
        <v>1712</v>
      </c>
      <c r="BV269" t="s">
        <v>1668</v>
      </c>
      <c r="BW269">
        <v>1515</v>
      </c>
      <c r="BY269">
        <v>12169734</v>
      </c>
      <c r="BZ269" t="s">
        <v>2626</v>
      </c>
      <c r="CA269">
        <v>1</v>
      </c>
      <c r="CB269" t="b">
        <v>1</v>
      </c>
      <c r="CC269">
        <v>0</v>
      </c>
      <c r="CD269" t="b">
        <v>0</v>
      </c>
      <c r="CE269" t="b">
        <v>0</v>
      </c>
      <c r="CF269" t="b">
        <v>1</v>
      </c>
      <c r="CG269">
        <v>15400398</v>
      </c>
      <c r="CH269" t="s">
        <v>1681</v>
      </c>
      <c r="CI269" s="10">
        <v>549500</v>
      </c>
    </row>
    <row r="270" spans="1:88">
      <c r="A270">
        <v>27168813</v>
      </c>
      <c r="B270" s="2" t="str">
        <f>HYPERLINK("http://www.redfin.com/stingray/do/printable-listing?listing-id=1136743","Active")</f>
        <v>Active</v>
      </c>
      <c r="D270" t="s">
        <v>3249</v>
      </c>
      <c r="E270" t="s">
        <v>4314</v>
      </c>
      <c r="F270">
        <v>1695000</v>
      </c>
      <c r="G270">
        <v>1993</v>
      </c>
      <c r="H270">
        <v>4830</v>
      </c>
      <c r="I270">
        <v>3261</v>
      </c>
      <c r="J270">
        <v>4</v>
      </c>
      <c r="K270">
        <v>4.5</v>
      </c>
      <c r="M270" s="2" t="str">
        <f>HYPERLINK("http://maps.live.com/default.aspx?v=2&amp;lvl=15&amp;sp=Point.47.629937_-122.350891_300 Highland Dr&amp;cp=47.629937~-122.350891","Map")</f>
        <v>Map</v>
      </c>
      <c r="N270" s="2" t="str">
        <f>HYPERLINK("http://i-0.rfimg.us/photo/1/bigphoto/813/27168813_1.jpg","Photo")</f>
        <v>Photo</v>
      </c>
      <c r="AG270">
        <v>47.629936999999998</v>
      </c>
      <c r="AH270">
        <v>-122.350891</v>
      </c>
      <c r="AI270" t="s">
        <v>66</v>
      </c>
      <c r="AJ270">
        <v>98109</v>
      </c>
      <c r="AN270">
        <v>1575000</v>
      </c>
      <c r="BC270" s="22">
        <v>39341.610520833332</v>
      </c>
      <c r="BI270" s="22">
        <v>39549.294907407406</v>
      </c>
      <c r="BL270">
        <v>33900</v>
      </c>
      <c r="BM270">
        <v>1136743</v>
      </c>
      <c r="BN270" t="s">
        <v>1979</v>
      </c>
      <c r="BO270" s="17">
        <f t="shared" ca="1" si="4"/>
        <v>207.69888506944699</v>
      </c>
      <c r="BP270" t="b">
        <v>0</v>
      </c>
      <c r="BQ270">
        <v>1</v>
      </c>
      <c r="BR270" t="s">
        <v>1816</v>
      </c>
      <c r="BS270" t="s">
        <v>3651</v>
      </c>
      <c r="BT270" t="b">
        <v>0</v>
      </c>
      <c r="BV270" t="s">
        <v>1668</v>
      </c>
      <c r="BW270">
        <v>300</v>
      </c>
      <c r="BY270">
        <v>133320</v>
      </c>
      <c r="BZ270" t="s">
        <v>2799</v>
      </c>
      <c r="CA270">
        <v>1</v>
      </c>
      <c r="CB270" t="b">
        <v>1</v>
      </c>
      <c r="CC270">
        <v>0</v>
      </c>
      <c r="CD270" t="b">
        <v>0</v>
      </c>
      <c r="CE270" t="b">
        <v>0</v>
      </c>
      <c r="CF270" t="b">
        <v>1</v>
      </c>
      <c r="CG270">
        <v>2961052</v>
      </c>
      <c r="CH270" t="s">
        <v>1681</v>
      </c>
      <c r="CI270" s="10">
        <v>1695000</v>
      </c>
      <c r="CJ270" s="7">
        <v>36599</v>
      </c>
    </row>
    <row r="271" spans="1:88">
      <c r="A271">
        <v>27168955</v>
      </c>
      <c r="B271" s="2" t="str">
        <f>HYPERLINK("http://www.redfin.com/stingray/do/printable-listing?listing-id=1133737","Active")</f>
        <v>Active</v>
      </c>
      <c r="D271" t="s">
        <v>369</v>
      </c>
      <c r="E271" t="s">
        <v>5389</v>
      </c>
      <c r="F271">
        <v>559950</v>
      </c>
      <c r="G271">
        <v>1962</v>
      </c>
      <c r="H271">
        <v>1570</v>
      </c>
      <c r="I271">
        <v>8700</v>
      </c>
      <c r="J271">
        <v>3</v>
      </c>
      <c r="K271">
        <v>1.75</v>
      </c>
      <c r="M271" s="2" t="str">
        <f>HYPERLINK("http://maps.live.com/default.aspx?v=2&amp;lvl=15&amp;sp=Point.47.590054_-122.148452_2215 144th Ave SE&amp;cp=47.590054~-122.148452","Map")</f>
        <v>Map</v>
      </c>
      <c r="N271" s="2" t="str">
        <f>HYPERLINK("http://i-0.rfimg.us/photo/1/bigphoto/955/27168955_5.jpg","Photo")</f>
        <v>Photo</v>
      </c>
      <c r="AG271">
        <v>47.590054000000002</v>
      </c>
      <c r="AH271">
        <v>-122.14845200000001</v>
      </c>
      <c r="AI271" t="s">
        <v>369</v>
      </c>
      <c r="AJ271">
        <v>98007</v>
      </c>
      <c r="AN271">
        <v>86000</v>
      </c>
      <c r="BC271" s="22">
        <v>39339.571585648147</v>
      </c>
      <c r="BI271" s="22">
        <v>39549.294907407406</v>
      </c>
      <c r="BL271">
        <v>11199</v>
      </c>
      <c r="BM271">
        <v>1133737</v>
      </c>
      <c r="BN271" t="s">
        <v>1768</v>
      </c>
      <c r="BO271" s="17">
        <f t="shared" ca="1" si="4"/>
        <v>209.73782025463152</v>
      </c>
      <c r="BP271" t="b">
        <v>0</v>
      </c>
      <c r="BQ271">
        <v>1</v>
      </c>
      <c r="BR271" t="s">
        <v>1667</v>
      </c>
      <c r="BS271" t="s">
        <v>4969</v>
      </c>
      <c r="BT271" t="b">
        <v>0</v>
      </c>
      <c r="BV271" t="s">
        <v>1668</v>
      </c>
      <c r="BW271">
        <v>2215</v>
      </c>
      <c r="BX271" t="s">
        <v>3856</v>
      </c>
      <c r="BY271">
        <v>509408</v>
      </c>
      <c r="BZ271" t="s">
        <v>5390</v>
      </c>
      <c r="CA271">
        <v>1</v>
      </c>
      <c r="CB271" t="b">
        <v>1</v>
      </c>
      <c r="CC271">
        <v>0</v>
      </c>
      <c r="CD271" t="b">
        <v>0</v>
      </c>
      <c r="CE271" t="b">
        <v>0</v>
      </c>
      <c r="CF271" t="b">
        <v>1</v>
      </c>
      <c r="CG271">
        <v>2529434</v>
      </c>
      <c r="CH271" t="s">
        <v>1681</v>
      </c>
      <c r="CI271" s="10">
        <v>559950</v>
      </c>
      <c r="CJ271" s="7">
        <v>30529</v>
      </c>
    </row>
    <row r="272" spans="1:88">
      <c r="A272">
        <v>27169039</v>
      </c>
      <c r="B272" s="2" t="str">
        <f>HYPERLINK("http://www.redfin.com/stingray/do/printable-listing?listing-id=1134251","Active")</f>
        <v>Active</v>
      </c>
      <c r="D272" t="s">
        <v>3066</v>
      </c>
      <c r="E272" t="s">
        <v>4881</v>
      </c>
      <c r="F272">
        <v>525000</v>
      </c>
      <c r="G272">
        <v>1987</v>
      </c>
      <c r="H272">
        <v>1830</v>
      </c>
      <c r="I272">
        <v>4138</v>
      </c>
      <c r="J272">
        <v>2</v>
      </c>
      <c r="K272">
        <v>2.5</v>
      </c>
      <c r="M272" s="2" t="str">
        <f>HYPERLINK("http://maps.live.com/default.aspx?v=2&amp;lvl=15&amp;sp=Point.47.681252_-122.163424_8835 132nd Pl NE&amp;cp=47.681252~-122.163424","Map")</f>
        <v>Map</v>
      </c>
      <c r="N272" s="2" t="str">
        <f>HYPERLINK("http://i-0.rfimg.us/photo/1/bigphoto/039/27169039_0.jpg","Photo")</f>
        <v>Photo</v>
      </c>
      <c r="AG272">
        <v>47.681252000000001</v>
      </c>
      <c r="AH272">
        <v>-122.16342400000001</v>
      </c>
      <c r="AI272" t="s">
        <v>4363</v>
      </c>
      <c r="AJ272">
        <v>98052</v>
      </c>
      <c r="AN272">
        <v>127500</v>
      </c>
      <c r="BC272" s="22">
        <v>39339.672951388886</v>
      </c>
      <c r="BI272" s="7">
        <v>39530</v>
      </c>
      <c r="BL272">
        <v>10500</v>
      </c>
      <c r="BM272">
        <v>1134251</v>
      </c>
      <c r="BN272" t="s">
        <v>4880</v>
      </c>
      <c r="BO272" s="17">
        <f t="shared" ca="1" si="4"/>
        <v>209.63645451389311</v>
      </c>
      <c r="BP272" t="b">
        <v>0</v>
      </c>
      <c r="BQ272">
        <v>1</v>
      </c>
      <c r="BR272" t="s">
        <v>1842</v>
      </c>
      <c r="BS272" t="s">
        <v>4362</v>
      </c>
      <c r="BT272" t="b">
        <v>0</v>
      </c>
      <c r="BV272" t="s">
        <v>1668</v>
      </c>
      <c r="BW272">
        <v>8835</v>
      </c>
      <c r="BX272" t="s">
        <v>1738</v>
      </c>
      <c r="BY272">
        <v>513074</v>
      </c>
      <c r="BZ272" t="s">
        <v>1713</v>
      </c>
      <c r="CA272">
        <v>1</v>
      </c>
      <c r="CB272" t="b">
        <v>1</v>
      </c>
      <c r="CC272">
        <v>0</v>
      </c>
      <c r="CD272" t="b">
        <v>0</v>
      </c>
      <c r="CE272" t="b">
        <v>0</v>
      </c>
      <c r="CF272" t="b">
        <v>1</v>
      </c>
      <c r="CG272">
        <v>2583685</v>
      </c>
      <c r="CH272" t="s">
        <v>1681</v>
      </c>
      <c r="CI272" s="10">
        <v>525000</v>
      </c>
      <c r="CJ272" s="7">
        <v>31896</v>
      </c>
    </row>
    <row r="273" spans="1:89">
      <c r="A273">
        <v>27169060</v>
      </c>
      <c r="B273" s="2" t="str">
        <f>HYPERLINK("http://www.redfin.com/stingray/do/printable-listing?listing-id=1134016","Active")</f>
        <v>Active</v>
      </c>
      <c r="D273" t="s">
        <v>369</v>
      </c>
      <c r="E273" t="s">
        <v>5912</v>
      </c>
      <c r="F273">
        <v>649000</v>
      </c>
      <c r="G273">
        <v>1975</v>
      </c>
      <c r="H273">
        <v>2250</v>
      </c>
      <c r="I273">
        <v>7204</v>
      </c>
      <c r="J273">
        <v>4</v>
      </c>
      <c r="K273">
        <v>2.5</v>
      </c>
      <c r="M273" s="2" t="str">
        <f>HYPERLINK("http://maps.live.com/default.aspx?v=2&amp;lvl=15&amp;sp=Point.47.559409_-122.166526_4820 130 Ave SE&amp;cp=47.559409~-122.166526","Map")</f>
        <v>Map</v>
      </c>
      <c r="N273" s="2" t="str">
        <f>HYPERLINK("http://i-0.rfimg.us/photo/1/bigphoto/060/27169060_2.jpg","Photo")</f>
        <v>Photo</v>
      </c>
      <c r="AG273">
        <v>47.559409000000002</v>
      </c>
      <c r="AH273">
        <v>-122.166526</v>
      </c>
      <c r="AI273" t="s">
        <v>369</v>
      </c>
      <c r="AJ273">
        <v>98006</v>
      </c>
      <c r="BC273" s="22">
        <v>39339.613611111112</v>
      </c>
      <c r="BI273" s="7">
        <v>39539</v>
      </c>
      <c r="BL273">
        <v>12980</v>
      </c>
      <c r="BM273">
        <v>1134016</v>
      </c>
      <c r="BN273" t="s">
        <v>1790</v>
      </c>
      <c r="BO273" s="17">
        <f t="shared" ca="1" si="4"/>
        <v>209.69579479166714</v>
      </c>
      <c r="BP273" t="b">
        <v>0</v>
      </c>
      <c r="BQ273">
        <v>1</v>
      </c>
      <c r="BR273" t="s">
        <v>1667</v>
      </c>
      <c r="BS273">
        <v>130</v>
      </c>
      <c r="BT273" t="b">
        <v>0</v>
      </c>
      <c r="BV273" t="s">
        <v>1668</v>
      </c>
      <c r="BW273">
        <v>4820</v>
      </c>
      <c r="BX273" t="s">
        <v>3856</v>
      </c>
      <c r="BY273">
        <v>236661</v>
      </c>
      <c r="BZ273" t="s">
        <v>5913</v>
      </c>
      <c r="CA273">
        <v>1</v>
      </c>
      <c r="CB273" t="b">
        <v>1</v>
      </c>
      <c r="CC273">
        <v>0</v>
      </c>
      <c r="CD273" t="b">
        <v>0</v>
      </c>
      <c r="CE273" t="b">
        <v>0</v>
      </c>
      <c r="CF273" t="b">
        <v>1</v>
      </c>
      <c r="CG273">
        <v>2667189</v>
      </c>
      <c r="CH273" t="s">
        <v>1681</v>
      </c>
      <c r="CI273" s="10">
        <v>649000</v>
      </c>
    </row>
    <row r="274" spans="1:89">
      <c r="A274">
        <v>27169069</v>
      </c>
      <c r="B274" s="2" t="str">
        <f>HYPERLINK("http://www.redfin.com/stingray/do/printable-listing?listing-id=1134208","Active")</f>
        <v>Active</v>
      </c>
      <c r="D274" t="s">
        <v>1058</v>
      </c>
      <c r="E274" t="s">
        <v>4425</v>
      </c>
      <c r="F274">
        <v>359500</v>
      </c>
      <c r="G274">
        <v>1968</v>
      </c>
      <c r="H274">
        <v>1120</v>
      </c>
      <c r="I274">
        <v>5775</v>
      </c>
      <c r="J274">
        <v>3</v>
      </c>
      <c r="K274">
        <v>2</v>
      </c>
      <c r="M274" s="2" t="str">
        <f>HYPERLINK("http://maps.live.com/default.aspx?v=2&amp;lvl=15&amp;sp=Point.47.721695_-122.179528_13511 121st Ave NE&amp;cp=47.721695~-122.179528","Map")</f>
        <v>Map</v>
      </c>
      <c r="N274" s="2" t="str">
        <f>HYPERLINK("http://i-0.rfimg.us/photo/1/bigphoto/069/27169069_3.jpg","Photo")</f>
        <v>Photo</v>
      </c>
      <c r="AG274">
        <v>47.721694999999997</v>
      </c>
      <c r="AH274">
        <v>-122.179528</v>
      </c>
      <c r="AI274" t="s">
        <v>1058</v>
      </c>
      <c r="AJ274">
        <v>98034</v>
      </c>
      <c r="AN274">
        <v>134000</v>
      </c>
      <c r="BC274" s="22">
        <v>39339.665891203702</v>
      </c>
      <c r="BI274" s="7">
        <v>39541</v>
      </c>
      <c r="BL274">
        <v>7190</v>
      </c>
      <c r="BM274">
        <v>1134208</v>
      </c>
      <c r="BN274" t="s">
        <v>1720</v>
      </c>
      <c r="BO274" s="17">
        <f t="shared" ca="1" si="4"/>
        <v>209.64351469907706</v>
      </c>
      <c r="BP274" t="b">
        <v>0</v>
      </c>
      <c r="BQ274">
        <v>1</v>
      </c>
      <c r="BR274" t="s">
        <v>1667</v>
      </c>
      <c r="BS274" t="s">
        <v>4414</v>
      </c>
      <c r="BT274" t="b">
        <v>0</v>
      </c>
      <c r="BV274" t="s">
        <v>1668</v>
      </c>
      <c r="BW274">
        <v>13511</v>
      </c>
      <c r="BX274" t="s">
        <v>1738</v>
      </c>
      <c r="BY274">
        <v>454757</v>
      </c>
      <c r="BZ274" t="s">
        <v>4426</v>
      </c>
      <c r="CA274">
        <v>1</v>
      </c>
      <c r="CB274" t="b">
        <v>1</v>
      </c>
      <c r="CC274">
        <v>0</v>
      </c>
      <c r="CD274" t="b">
        <v>0</v>
      </c>
      <c r="CE274" t="b">
        <v>0</v>
      </c>
      <c r="CF274" t="b">
        <v>1</v>
      </c>
      <c r="CG274">
        <v>2655938</v>
      </c>
      <c r="CH274" t="s">
        <v>1681</v>
      </c>
      <c r="CI274" s="10">
        <v>359500</v>
      </c>
      <c r="CJ274" s="7">
        <v>35076</v>
      </c>
    </row>
    <row r="275" spans="1:89">
      <c r="A275">
        <v>27169542</v>
      </c>
      <c r="B275" s="2" t="str">
        <f>HYPERLINK("http://www.redfin.com/stingray/do/printable-listing?listing-id=1136534","Active")</f>
        <v>Active</v>
      </c>
      <c r="D275" t="s">
        <v>1972</v>
      </c>
      <c r="E275" t="s">
        <v>1973</v>
      </c>
      <c r="F275">
        <v>5550000</v>
      </c>
      <c r="G275">
        <v>1994</v>
      </c>
      <c r="H275">
        <v>8260</v>
      </c>
      <c r="I275">
        <v>144184</v>
      </c>
      <c r="J275">
        <v>5</v>
      </c>
      <c r="K275">
        <v>7</v>
      </c>
      <c r="M275" s="2" t="str">
        <f>HYPERLINK("http://maps.live.com/default.aspx?v=2&amp;lvl=15&amp;sp=adr.0 Boundary Lane nLot 2 (Unable to map),98177","Map")</f>
        <v>Map</v>
      </c>
      <c r="N275" s="2" t="str">
        <f>HYPERLINK("http://i-0.rfimg.us/photo/1/bigphoto/542/27169542_2.jpg","Photo")</f>
        <v>Photo</v>
      </c>
      <c r="AI275" t="s">
        <v>395</v>
      </c>
      <c r="AJ275">
        <v>98177</v>
      </c>
      <c r="AM275" t="s">
        <v>1975</v>
      </c>
      <c r="BC275" s="22">
        <v>39341.327349537038</v>
      </c>
      <c r="BI275" s="22">
        <v>39546.925937499997</v>
      </c>
      <c r="BL275">
        <v>111000</v>
      </c>
      <c r="BM275">
        <v>1136534</v>
      </c>
      <c r="BN275" t="s">
        <v>1674</v>
      </c>
      <c r="BO275" s="17">
        <f t="shared" ca="1" si="4"/>
        <v>207.98205648147996</v>
      </c>
      <c r="BP275" t="b">
        <v>0</v>
      </c>
      <c r="BQ275">
        <v>1</v>
      </c>
      <c r="BR275" t="s">
        <v>1974</v>
      </c>
      <c r="BS275" t="s">
        <v>1976</v>
      </c>
      <c r="BT275" t="b">
        <v>0</v>
      </c>
      <c r="BV275" t="s">
        <v>1668</v>
      </c>
      <c r="BW275">
        <v>0</v>
      </c>
      <c r="BY275">
        <v>0</v>
      </c>
      <c r="BZ275" t="s">
        <v>1912</v>
      </c>
      <c r="CA275">
        <v>1</v>
      </c>
      <c r="CB275" t="b">
        <v>1</v>
      </c>
      <c r="CC275">
        <v>0</v>
      </c>
      <c r="CD275" t="b">
        <v>0</v>
      </c>
      <c r="CE275" t="b">
        <v>0</v>
      </c>
      <c r="CF275" t="b">
        <v>1</v>
      </c>
      <c r="CG275" t="s">
        <v>1870</v>
      </c>
      <c r="CH275" t="s">
        <v>1681</v>
      </c>
      <c r="CI275" s="10">
        <v>5550000</v>
      </c>
    </row>
    <row r="276" spans="1:89">
      <c r="A276">
        <v>27169639</v>
      </c>
      <c r="B276" s="2" t="str">
        <f>HYPERLINK("http://www.redfin.com/stingray/do/printable-listing?listing-id=1136226","Active")</f>
        <v>Active</v>
      </c>
      <c r="D276" t="s">
        <v>60</v>
      </c>
      <c r="E276" t="s">
        <v>2728</v>
      </c>
      <c r="F276" s="19">
        <v>319998</v>
      </c>
      <c r="G276">
        <v>2007</v>
      </c>
      <c r="H276">
        <v>0</v>
      </c>
      <c r="I276">
        <v>0</v>
      </c>
      <c r="J276">
        <v>2</v>
      </c>
      <c r="K276">
        <v>1.5</v>
      </c>
      <c r="M276" s="2" t="str">
        <f>HYPERLINK("http://maps.live.com/default.aspx?v=2&amp;lvl=15&amp;sp=Point.47.697751_-122.348726_747 N 95th St&amp;cp=47.697751~-122.348726","Map")</f>
        <v>Map</v>
      </c>
      <c r="N276" s="2" t="str">
        <f>HYPERLINK("http://i-0.rfimg.us/photo/1/bigphoto/639/27169639_0.jpg","Photo")</f>
        <v>Photo</v>
      </c>
      <c r="AG276">
        <v>47.697750999999997</v>
      </c>
      <c r="AH276">
        <v>-122.348726</v>
      </c>
      <c r="AI276" t="s">
        <v>66</v>
      </c>
      <c r="AJ276">
        <v>98103</v>
      </c>
      <c r="AN276">
        <v>333900</v>
      </c>
      <c r="BC276" s="22">
        <v>39340.848981481482</v>
      </c>
      <c r="BI276" s="22">
        <v>39549.294907407406</v>
      </c>
      <c r="BL276">
        <v>6580</v>
      </c>
      <c r="BM276">
        <v>1136226</v>
      </c>
      <c r="BN276" t="s">
        <v>1710</v>
      </c>
      <c r="BO276" s="17">
        <f t="shared" ca="1" si="4"/>
        <v>208.46042453703558</v>
      </c>
      <c r="BP276" t="b">
        <v>0</v>
      </c>
      <c r="BQ276">
        <v>1</v>
      </c>
      <c r="BR276" t="s">
        <v>1686</v>
      </c>
      <c r="BS276" t="s">
        <v>2722</v>
      </c>
      <c r="BT276" t="b">
        <v>0</v>
      </c>
      <c r="BU276" t="s">
        <v>1712</v>
      </c>
      <c r="BV276" t="s">
        <v>1668</v>
      </c>
      <c r="BW276">
        <v>747</v>
      </c>
      <c r="BY276">
        <v>99239</v>
      </c>
      <c r="BZ276" t="s">
        <v>1676</v>
      </c>
      <c r="CA276">
        <v>1</v>
      </c>
      <c r="CB276" t="b">
        <v>1</v>
      </c>
      <c r="CC276">
        <v>0</v>
      </c>
      <c r="CD276" t="b">
        <v>0</v>
      </c>
      <c r="CE276" t="b">
        <v>0</v>
      </c>
      <c r="CF276" t="b">
        <v>1</v>
      </c>
      <c r="CG276">
        <v>2960170</v>
      </c>
      <c r="CH276" t="s">
        <v>1681</v>
      </c>
      <c r="CI276" s="10">
        <v>329000</v>
      </c>
      <c r="CJ276" s="7">
        <v>39458</v>
      </c>
    </row>
    <row r="277" spans="1:89">
      <c r="A277">
        <v>27169654</v>
      </c>
      <c r="B277" s="2" t="str">
        <f>HYPERLINK("http://www.redfin.com/stingray/do/printable-listing?listing-id=1136250","Active")</f>
        <v>Active</v>
      </c>
      <c r="D277" t="s">
        <v>5014</v>
      </c>
      <c r="E277" t="s">
        <v>5068</v>
      </c>
      <c r="F277" s="19">
        <v>1195000</v>
      </c>
      <c r="G277">
        <v>1952</v>
      </c>
      <c r="H277">
        <v>2450</v>
      </c>
      <c r="I277">
        <v>8400</v>
      </c>
      <c r="J277">
        <v>4</v>
      </c>
      <c r="K277">
        <v>2.75</v>
      </c>
      <c r="M277" s="2" t="str">
        <f>HYPERLINK("http://maps.live.com/default.aspx?v=2&amp;lvl=15&amp;sp=Point.47.634515_-122.209367_2622 98th Ave NE&amp;cp=47.634515~-122.209367","Map")</f>
        <v>Map</v>
      </c>
      <c r="N277" s="2" t="str">
        <f>HYPERLINK("http://i-0.rfimg.us/photo/1/bigphoto/654/27169654_5.jpg","Photo")</f>
        <v>Photo</v>
      </c>
      <c r="AG277">
        <v>47.634515</v>
      </c>
      <c r="AH277">
        <v>-122.209367</v>
      </c>
      <c r="AI277" t="s">
        <v>369</v>
      </c>
      <c r="AJ277">
        <v>98004</v>
      </c>
      <c r="AN277">
        <v>634000</v>
      </c>
      <c r="BC277" s="22">
        <v>39340.921087962961</v>
      </c>
      <c r="BI277" s="22">
        <v>39549.294907407406</v>
      </c>
      <c r="BL277">
        <v>24980</v>
      </c>
      <c r="BM277">
        <v>1136250</v>
      </c>
      <c r="BN277" t="s">
        <v>1737</v>
      </c>
      <c r="BO277" s="17">
        <f t="shared" ca="1" si="4"/>
        <v>208.38831793981808</v>
      </c>
      <c r="BP277" t="b">
        <v>0</v>
      </c>
      <c r="BQ277">
        <v>1</v>
      </c>
      <c r="BR277" t="s">
        <v>1667</v>
      </c>
      <c r="BS277" t="s">
        <v>3007</v>
      </c>
      <c r="BT277" t="b">
        <v>0</v>
      </c>
      <c r="BV277" t="s">
        <v>1668</v>
      </c>
      <c r="BW277">
        <v>2622</v>
      </c>
      <c r="BX277" t="s">
        <v>1738</v>
      </c>
      <c r="BY277">
        <v>506242</v>
      </c>
      <c r="BZ277" t="s">
        <v>5069</v>
      </c>
      <c r="CA277">
        <v>1</v>
      </c>
      <c r="CB277" t="b">
        <v>1</v>
      </c>
      <c r="CC277">
        <v>0</v>
      </c>
      <c r="CD277" t="b">
        <v>0</v>
      </c>
      <c r="CE277" t="b">
        <v>0</v>
      </c>
      <c r="CF277" t="b">
        <v>1</v>
      </c>
      <c r="CG277">
        <v>2487509</v>
      </c>
      <c r="CH277" t="s">
        <v>1681</v>
      </c>
      <c r="CI277" s="10">
        <v>1249000</v>
      </c>
      <c r="CJ277" s="7">
        <v>38387</v>
      </c>
    </row>
    <row r="278" spans="1:89">
      <c r="A278">
        <v>27169915</v>
      </c>
      <c r="B278" s="2" t="str">
        <f>HYPERLINK("http://www.redfin.com/stingray/do/printable-listing?listing-id=1137365","Active")</f>
        <v>Active</v>
      </c>
      <c r="D278" t="s">
        <v>967</v>
      </c>
      <c r="E278" t="s">
        <v>1109</v>
      </c>
      <c r="F278">
        <v>389950</v>
      </c>
      <c r="G278">
        <v>1924</v>
      </c>
      <c r="H278">
        <v>1780</v>
      </c>
      <c r="I278">
        <v>5815</v>
      </c>
      <c r="J278">
        <v>3</v>
      </c>
      <c r="K278">
        <v>1.75</v>
      </c>
      <c r="M278" s="2" t="str">
        <f>HYPERLINK("http://maps.live.com/default.aspx?v=2&amp;lvl=15&amp;sp=Point.47.71267_-122.296664_11517 30th Ave NE&amp;cp=47.71267~-122.296664","Map")</f>
        <v>Map</v>
      </c>
      <c r="N278" s="2" t="str">
        <f>HYPERLINK("http://i-0.rfimg.us/photo/1/bigphoto/915/27169915_8.jpg","Photo")</f>
        <v>Photo</v>
      </c>
      <c r="AG278">
        <v>47.712670000000003</v>
      </c>
      <c r="AH278">
        <v>-122.29666400000001</v>
      </c>
      <c r="AI278" t="s">
        <v>66</v>
      </c>
      <c r="AJ278">
        <v>98125</v>
      </c>
      <c r="AN278">
        <v>366000</v>
      </c>
      <c r="BC278" s="22">
        <v>39342.394467592596</v>
      </c>
      <c r="BI278" s="7">
        <v>39540</v>
      </c>
      <c r="BL278">
        <v>7799</v>
      </c>
      <c r="BM278">
        <v>1137365</v>
      </c>
      <c r="BN278" t="s">
        <v>1817</v>
      </c>
      <c r="BO278" s="17">
        <f t="shared" ca="1" si="4"/>
        <v>206.91493831018306</v>
      </c>
      <c r="BP278" t="b">
        <v>0</v>
      </c>
      <c r="BQ278">
        <v>1</v>
      </c>
      <c r="BR278" t="s">
        <v>1667</v>
      </c>
      <c r="BS278" t="s">
        <v>1818</v>
      </c>
      <c r="BT278" t="b">
        <v>0</v>
      </c>
      <c r="BV278" t="s">
        <v>1668</v>
      </c>
      <c r="BW278">
        <v>11517</v>
      </c>
      <c r="BX278" t="s">
        <v>1738</v>
      </c>
      <c r="BY278">
        <v>111835</v>
      </c>
      <c r="BZ278" t="s">
        <v>2973</v>
      </c>
      <c r="CA278">
        <v>1</v>
      </c>
      <c r="CB278" t="b">
        <v>1</v>
      </c>
      <c r="CC278">
        <v>0</v>
      </c>
      <c r="CD278" t="b">
        <v>1</v>
      </c>
      <c r="CE278" t="b">
        <v>0</v>
      </c>
      <c r="CF278" t="b">
        <v>1</v>
      </c>
      <c r="CG278">
        <v>2485490</v>
      </c>
      <c r="CH278" t="s">
        <v>1681</v>
      </c>
      <c r="CI278" s="10">
        <v>389950</v>
      </c>
      <c r="CJ278" s="7">
        <v>38825</v>
      </c>
      <c r="CK278" t="s">
        <v>2972</v>
      </c>
    </row>
    <row r="279" spans="1:89">
      <c r="A279">
        <v>27169951</v>
      </c>
      <c r="B279" s="2" t="str">
        <f>HYPERLINK("http://www.redfin.com/stingray/do/printable-listing?listing-id=1137351","Subject To Inspection")</f>
        <v>Subject To Inspection</v>
      </c>
      <c r="D279" t="s">
        <v>207</v>
      </c>
      <c r="E279" t="s">
        <v>3212</v>
      </c>
      <c r="F279">
        <v>595000</v>
      </c>
      <c r="G279">
        <v>1921</v>
      </c>
      <c r="H279">
        <v>3130</v>
      </c>
      <c r="I279">
        <v>4280</v>
      </c>
      <c r="J279">
        <v>5</v>
      </c>
      <c r="K279">
        <v>2</v>
      </c>
      <c r="M279" s="2" t="str">
        <f>HYPERLINK("http://maps.live.com/default.aspx?v=2&amp;lvl=15&amp;sp=Point.47.670184_-122.289873_5556 35th Ave NE&amp;cp=47.670184~-122.289873","Map")</f>
        <v>Map</v>
      </c>
      <c r="N279" s="2" t="str">
        <f>HYPERLINK("http://i-0.rfimg.us/photo/1/bigphoto/951/27169951_1.jpg","Photo")</f>
        <v>Photo</v>
      </c>
      <c r="AG279">
        <v>47.670183999999999</v>
      </c>
      <c r="AH279">
        <v>-122.289873</v>
      </c>
      <c r="AI279" t="s">
        <v>66</v>
      </c>
      <c r="AJ279">
        <v>98105</v>
      </c>
      <c r="AN279">
        <v>180000</v>
      </c>
      <c r="BC279" s="22">
        <v>39342.37641203704</v>
      </c>
      <c r="BI279" s="22">
        <v>39549.294907407406</v>
      </c>
      <c r="BL279">
        <v>11900</v>
      </c>
      <c r="BM279">
        <v>1137351</v>
      </c>
      <c r="BN279" t="s">
        <v>1829</v>
      </c>
      <c r="BO279" s="17">
        <f t="shared" ca="1" si="4"/>
        <v>206.93299386573926</v>
      </c>
      <c r="BP279" t="b">
        <v>0</v>
      </c>
      <c r="BQ279">
        <v>2</v>
      </c>
      <c r="BR279" t="s">
        <v>1667</v>
      </c>
      <c r="BS279" t="s">
        <v>2920</v>
      </c>
      <c r="BT279" t="b">
        <v>0</v>
      </c>
      <c r="BV279" t="s">
        <v>1668</v>
      </c>
      <c r="BW279">
        <v>5556</v>
      </c>
      <c r="BX279" t="s">
        <v>1738</v>
      </c>
      <c r="BY279">
        <v>313689</v>
      </c>
      <c r="BZ279" t="s">
        <v>1704</v>
      </c>
      <c r="CA279">
        <v>1</v>
      </c>
      <c r="CB279" t="b">
        <v>1</v>
      </c>
      <c r="CC279">
        <v>0</v>
      </c>
      <c r="CD279" t="b">
        <v>0</v>
      </c>
      <c r="CE279" t="b">
        <v>0</v>
      </c>
      <c r="CF279" t="b">
        <v>1</v>
      </c>
      <c r="CG279">
        <v>2784144</v>
      </c>
      <c r="CH279" t="s">
        <v>1681</v>
      </c>
      <c r="CI279" s="10">
        <v>595000</v>
      </c>
      <c r="CJ279" s="7">
        <v>34281</v>
      </c>
    </row>
    <row r="280" spans="1:89">
      <c r="A280">
        <v>27170167</v>
      </c>
      <c r="B280" s="2" t="str">
        <f>HYPERLINK("http://www.redfin.com/stingray/do/printable-listing?listing-id=1137772","Active")</f>
        <v>Active</v>
      </c>
      <c r="D280" t="s">
        <v>5734</v>
      </c>
      <c r="E280" t="s">
        <v>5791</v>
      </c>
      <c r="F280">
        <v>1199950</v>
      </c>
      <c r="G280">
        <v>2007</v>
      </c>
      <c r="H280">
        <v>3928</v>
      </c>
      <c r="I280">
        <v>0</v>
      </c>
      <c r="J280">
        <v>4</v>
      </c>
      <c r="K280">
        <v>4</v>
      </c>
      <c r="M280" s="2" t="str">
        <f>HYPERLINK("http://maps.live.com/default.aspx?v=2&amp;lvl=15&amp;sp=Point.47.535859_-122.181254_7515 SE 119th Pl&amp;cp=47.535859~-122.181254","Map")</f>
        <v>Map</v>
      </c>
      <c r="N280" s="2" t="str">
        <f>HYPERLINK("http://i-0.rfimg.us/photo/1/bigphoto/167/27170167_3.jpg","Photo")</f>
        <v>Photo</v>
      </c>
      <c r="AG280">
        <v>47.535859000000002</v>
      </c>
      <c r="AH280">
        <v>-122.181254</v>
      </c>
      <c r="AI280" t="s">
        <v>3885</v>
      </c>
      <c r="AJ280">
        <v>98056</v>
      </c>
      <c r="BC280" s="22">
        <v>39342.507245370369</v>
      </c>
      <c r="BI280" s="22">
        <v>39545.917314814818</v>
      </c>
      <c r="BL280">
        <v>23999</v>
      </c>
      <c r="BM280">
        <v>1137772</v>
      </c>
      <c r="BN280" t="s">
        <v>5790</v>
      </c>
      <c r="BO280" s="17">
        <f t="shared" ca="1" si="4"/>
        <v>206.8021605324102</v>
      </c>
      <c r="BP280" t="b">
        <v>0</v>
      </c>
      <c r="BQ280">
        <v>1</v>
      </c>
      <c r="BR280" t="s">
        <v>1842</v>
      </c>
      <c r="BS280" t="s">
        <v>4573</v>
      </c>
      <c r="BT280" t="b">
        <v>0</v>
      </c>
      <c r="BU280" t="s">
        <v>3856</v>
      </c>
      <c r="BV280" t="s">
        <v>1668</v>
      </c>
      <c r="BW280">
        <v>7515</v>
      </c>
      <c r="BY280">
        <v>12170388</v>
      </c>
      <c r="BZ280" t="s">
        <v>5792</v>
      </c>
      <c r="CA280">
        <v>1</v>
      </c>
      <c r="CB280" t="b">
        <v>1</v>
      </c>
      <c r="CC280">
        <v>0</v>
      </c>
      <c r="CD280" t="b">
        <v>0</v>
      </c>
      <c r="CE280" t="b">
        <v>0</v>
      </c>
      <c r="CF280" t="b">
        <v>1</v>
      </c>
      <c r="CG280">
        <v>15401052</v>
      </c>
      <c r="CH280" t="s">
        <v>1681</v>
      </c>
      <c r="CI280" s="10">
        <v>1199950</v>
      </c>
    </row>
    <row r="281" spans="1:89">
      <c r="A281">
        <v>27170280</v>
      </c>
      <c r="B281" s="2" t="str">
        <f>HYPERLINK("http://www.redfin.com/stingray/do/printable-listing?listing-id=1138336","Active")</f>
        <v>Active</v>
      </c>
      <c r="D281" t="s">
        <v>5629</v>
      </c>
      <c r="E281" t="s">
        <v>5630</v>
      </c>
      <c r="F281">
        <v>629900</v>
      </c>
      <c r="G281">
        <v>1989</v>
      </c>
      <c r="H281">
        <v>2740</v>
      </c>
      <c r="I281">
        <v>12458</v>
      </c>
      <c r="J281">
        <v>4</v>
      </c>
      <c r="K281">
        <v>2.5</v>
      </c>
      <c r="M281" s="2" t="str">
        <f>HYPERLINK("http://maps.live.com/default.aspx?v=2&amp;lvl=15&amp;sp=Point.47.529568_-122.172713_8205 127th Ave SE&amp;cp=47.529568~-122.172713","Map")</f>
        <v>Map</v>
      </c>
      <c r="N281" s="2" t="str">
        <f>HYPERLINK("http://i-0.rfimg.us/photo/1/bigphoto/280/27170280_5.jpg","Photo")</f>
        <v>Photo</v>
      </c>
      <c r="AG281">
        <v>47.529567999999998</v>
      </c>
      <c r="AH281">
        <v>-122.172713</v>
      </c>
      <c r="AI281" t="s">
        <v>3885</v>
      </c>
      <c r="AJ281">
        <v>98056</v>
      </c>
      <c r="AN281">
        <v>234550</v>
      </c>
      <c r="BC281" s="22">
        <v>39342.579236111109</v>
      </c>
      <c r="BI281" s="22">
        <v>39549.294907407406</v>
      </c>
      <c r="BL281">
        <v>12598</v>
      </c>
      <c r="BM281">
        <v>1138336</v>
      </c>
      <c r="BN281" t="s">
        <v>2590</v>
      </c>
      <c r="BO281" s="17">
        <f t="shared" ca="1" si="4"/>
        <v>206.73016979167005</v>
      </c>
      <c r="BP281" t="b">
        <v>0</v>
      </c>
      <c r="BQ281">
        <v>1</v>
      </c>
      <c r="BR281" t="s">
        <v>1667</v>
      </c>
      <c r="BS281" t="s">
        <v>2698</v>
      </c>
      <c r="BT281" t="b">
        <v>0</v>
      </c>
      <c r="BV281" t="s">
        <v>1668</v>
      </c>
      <c r="BW281">
        <v>8205</v>
      </c>
      <c r="BX281" t="s">
        <v>3856</v>
      </c>
      <c r="BY281">
        <v>416388</v>
      </c>
      <c r="BZ281" t="s">
        <v>5631</v>
      </c>
      <c r="CA281">
        <v>1</v>
      </c>
      <c r="CB281" t="b">
        <v>1</v>
      </c>
      <c r="CC281">
        <v>0</v>
      </c>
      <c r="CD281" t="b">
        <v>0</v>
      </c>
      <c r="CE281" t="b">
        <v>0</v>
      </c>
      <c r="CF281" t="b">
        <v>1</v>
      </c>
      <c r="CG281">
        <v>2483150</v>
      </c>
      <c r="CH281" t="s">
        <v>1681</v>
      </c>
      <c r="CI281" s="10">
        <v>629900</v>
      </c>
      <c r="CJ281" s="7">
        <v>33147</v>
      </c>
    </row>
    <row r="282" spans="1:89">
      <c r="A282">
        <v>27170594</v>
      </c>
      <c r="B282" s="2" t="str">
        <f>HYPERLINK("http://www.redfin.com/stingray/do/printable-listing?listing-id=1143444","Active")</f>
        <v>Active</v>
      </c>
      <c r="D282" t="s">
        <v>5705</v>
      </c>
      <c r="E282" t="s">
        <v>5796</v>
      </c>
      <c r="F282">
        <v>1150000</v>
      </c>
      <c r="G282">
        <v>1981</v>
      </c>
      <c r="H282">
        <v>0</v>
      </c>
      <c r="I282">
        <v>9922</v>
      </c>
      <c r="J282">
        <v>4</v>
      </c>
      <c r="K282">
        <v>3</v>
      </c>
      <c r="M282" s="2" t="str">
        <f>HYPERLINK("http://maps.live.com/default.aspx?v=2&amp;lvl=15&amp;sp=Point.47.532438_-122.226906_7819 85th Pl SE&amp;cp=47.532438~-122.226906","Map")</f>
        <v>Map</v>
      </c>
      <c r="N282" s="2" t="str">
        <f>HYPERLINK("http://i-0.rfimg.us/photo/1/bigphoto/594/27170594_1.jpg","Photo")</f>
        <v>Photo</v>
      </c>
      <c r="AG282">
        <v>47.532437999999999</v>
      </c>
      <c r="AH282">
        <v>-122.226906</v>
      </c>
      <c r="AI282" t="s">
        <v>5139</v>
      </c>
      <c r="AJ282">
        <v>98040</v>
      </c>
      <c r="AN282">
        <v>165000</v>
      </c>
      <c r="BC282" s="22">
        <v>39343.7346412037</v>
      </c>
      <c r="BI282" s="7">
        <v>39538</v>
      </c>
      <c r="BL282">
        <v>23000</v>
      </c>
      <c r="BM282">
        <v>1143444</v>
      </c>
      <c r="BN282" t="s">
        <v>4563</v>
      </c>
      <c r="BO282" s="17">
        <f t="shared" ca="1" si="4"/>
        <v>205.57476469907851</v>
      </c>
      <c r="BP282" t="b">
        <v>0</v>
      </c>
      <c r="BQ282">
        <v>1</v>
      </c>
      <c r="BR282" t="s">
        <v>1842</v>
      </c>
      <c r="BS282" t="s">
        <v>1827</v>
      </c>
      <c r="BT282" t="b">
        <v>0</v>
      </c>
      <c r="BV282" t="s">
        <v>1668</v>
      </c>
      <c r="BW282">
        <v>7819</v>
      </c>
      <c r="BX282" t="s">
        <v>3856</v>
      </c>
      <c r="BY282">
        <v>259609</v>
      </c>
      <c r="BZ282" t="s">
        <v>3727</v>
      </c>
      <c r="CA282">
        <v>1</v>
      </c>
      <c r="CB282" t="b">
        <v>1</v>
      </c>
      <c r="CC282">
        <v>0</v>
      </c>
      <c r="CD282" t="b">
        <v>0</v>
      </c>
      <c r="CE282" t="b">
        <v>0</v>
      </c>
      <c r="CF282" t="b">
        <v>1</v>
      </c>
      <c r="CG282">
        <v>2823147</v>
      </c>
      <c r="CH282" t="s">
        <v>1681</v>
      </c>
      <c r="CI282" s="10">
        <v>1150000</v>
      </c>
      <c r="CJ282" s="7">
        <v>30753</v>
      </c>
    </row>
    <row r="283" spans="1:89">
      <c r="A283">
        <v>27171099</v>
      </c>
      <c r="B283" s="2" t="str">
        <f>HYPERLINK("http://www.redfin.com/stingray/do/printable-listing?listing-id=1142757","Active")</f>
        <v>Active</v>
      </c>
      <c r="D283" t="s">
        <v>5705</v>
      </c>
      <c r="E283" t="s">
        <v>5704</v>
      </c>
      <c r="F283">
        <v>1089000</v>
      </c>
      <c r="G283">
        <v>1928</v>
      </c>
      <c r="H283">
        <v>2360</v>
      </c>
      <c r="I283">
        <v>12096</v>
      </c>
      <c r="J283">
        <v>3</v>
      </c>
      <c r="K283">
        <v>2</v>
      </c>
      <c r="M283" s="2" t="str">
        <f>HYPERLINK("http://maps.live.com/default.aspx?v=2&amp;lvl=15&amp;sp=Point.47.541951_-122.211497_6801 96th Ave SE&amp;cp=47.541951~-122.211497","Map")</f>
        <v>Map</v>
      </c>
      <c r="N283" s="2" t="str">
        <f>HYPERLINK("http://i-0.rfimg.us/photo/1/bigphoto/099/27171099_3.jpg","Photo")</f>
        <v>Photo</v>
      </c>
      <c r="AG283">
        <v>47.541950999999997</v>
      </c>
      <c r="AH283">
        <v>-122.21149699999999</v>
      </c>
      <c r="AI283" t="s">
        <v>5139</v>
      </c>
      <c r="AJ283">
        <v>98040</v>
      </c>
      <c r="AN283">
        <v>900000</v>
      </c>
      <c r="BC283" s="22">
        <v>39343.65996527778</v>
      </c>
      <c r="BI283" s="22">
        <v>39549.294907407406</v>
      </c>
      <c r="BL283">
        <v>21780</v>
      </c>
      <c r="BM283">
        <v>1142757</v>
      </c>
      <c r="BN283" t="s">
        <v>1688</v>
      </c>
      <c r="BO283" s="17">
        <f t="shared" ca="1" si="4"/>
        <v>205.64944062499853</v>
      </c>
      <c r="BP283" t="b">
        <v>0</v>
      </c>
      <c r="BQ283">
        <v>1</v>
      </c>
      <c r="BR283" t="s">
        <v>1667</v>
      </c>
      <c r="BS283" t="s">
        <v>1961</v>
      </c>
      <c r="BT283" t="b">
        <v>0</v>
      </c>
      <c r="BV283" t="s">
        <v>1668</v>
      </c>
      <c r="BW283">
        <v>6801</v>
      </c>
      <c r="BX283" t="s">
        <v>3856</v>
      </c>
      <c r="BY283">
        <v>256909</v>
      </c>
      <c r="BZ283" t="s">
        <v>2707</v>
      </c>
      <c r="CA283">
        <v>1</v>
      </c>
      <c r="CB283" t="b">
        <v>1</v>
      </c>
      <c r="CC283">
        <v>0</v>
      </c>
      <c r="CD283" t="b">
        <v>0</v>
      </c>
      <c r="CE283" t="b">
        <v>0</v>
      </c>
      <c r="CF283" t="b">
        <v>1</v>
      </c>
      <c r="CG283">
        <v>2676626</v>
      </c>
      <c r="CH283" t="s">
        <v>1681</v>
      </c>
      <c r="CI283" s="10">
        <v>1089000</v>
      </c>
      <c r="CJ283" s="7">
        <v>39220</v>
      </c>
    </row>
    <row r="284" spans="1:89">
      <c r="A284">
        <v>27171270</v>
      </c>
      <c r="B284" s="2" t="str">
        <f>HYPERLINK("http://www.redfin.com/stingray/do/printable-listing?listing-id=1143452","Active")</f>
        <v>Active</v>
      </c>
      <c r="D284" t="s">
        <v>1077</v>
      </c>
      <c r="E284" t="s">
        <v>6144</v>
      </c>
      <c r="F284">
        <v>965000</v>
      </c>
      <c r="G284">
        <v>1995</v>
      </c>
      <c r="H284">
        <v>2350</v>
      </c>
      <c r="I284">
        <v>98881</v>
      </c>
      <c r="J284">
        <v>4</v>
      </c>
      <c r="K284">
        <v>2.5</v>
      </c>
      <c r="M284" s="2" t="str">
        <f>HYPERLINK("http://maps.live.com/default.aspx?v=2&amp;lvl=15&amp;sp=Point.47.510952_-122.195498_2120 JONES Ave NE&amp;cp=47.510952~-122.195498","Map")</f>
        <v>Map</v>
      </c>
      <c r="N284" s="2" t="str">
        <f>HYPERLINK("http://i-0.rfimg.us/photo/1/bigphoto/270/27171270_0.jpg","Photo")</f>
        <v>Photo</v>
      </c>
      <c r="AG284">
        <v>47.510952000000003</v>
      </c>
      <c r="AH284">
        <v>-122.195498</v>
      </c>
      <c r="AI284" t="s">
        <v>1077</v>
      </c>
      <c r="AJ284">
        <v>98056</v>
      </c>
      <c r="AN284">
        <v>970000</v>
      </c>
      <c r="BC284" s="22">
        <v>39343.735833333332</v>
      </c>
      <c r="BI284" s="22">
        <v>39549.294907407406</v>
      </c>
      <c r="BL284">
        <v>19300</v>
      </c>
      <c r="BM284">
        <v>1143452</v>
      </c>
      <c r="BN284" t="s">
        <v>5831</v>
      </c>
      <c r="BO284" s="17">
        <f t="shared" ca="1" si="4"/>
        <v>205.5735725694467</v>
      </c>
      <c r="BP284" t="b">
        <v>0</v>
      </c>
      <c r="BQ284">
        <v>1</v>
      </c>
      <c r="BR284" t="s">
        <v>1667</v>
      </c>
      <c r="BS284" t="s">
        <v>6145</v>
      </c>
      <c r="BT284" t="b">
        <v>0</v>
      </c>
      <c r="BV284" t="s">
        <v>1668</v>
      </c>
      <c r="BW284">
        <v>2120</v>
      </c>
      <c r="BX284" t="s">
        <v>1738</v>
      </c>
      <c r="BY284">
        <v>410645</v>
      </c>
      <c r="BZ284" t="s">
        <v>1747</v>
      </c>
      <c r="CA284">
        <v>1</v>
      </c>
      <c r="CB284" t="b">
        <v>1</v>
      </c>
      <c r="CC284">
        <v>0</v>
      </c>
      <c r="CD284" t="b">
        <v>0</v>
      </c>
      <c r="CE284" t="b">
        <v>0</v>
      </c>
      <c r="CF284" t="b">
        <v>1</v>
      </c>
      <c r="CG284">
        <v>2360758</v>
      </c>
      <c r="CH284" t="s">
        <v>1681</v>
      </c>
      <c r="CI284" s="10">
        <v>965000</v>
      </c>
      <c r="CJ284" s="7">
        <v>38800</v>
      </c>
    </row>
    <row r="285" spans="1:89">
      <c r="A285">
        <v>27171459</v>
      </c>
      <c r="B285" s="2" t="str">
        <f>HYPERLINK("http://www.redfin.com/stingray/do/printable-listing?listing-id=1148368","Active")</f>
        <v>Active</v>
      </c>
      <c r="D285" t="s">
        <v>188</v>
      </c>
      <c r="E285" t="s">
        <v>1120</v>
      </c>
      <c r="F285">
        <v>419000</v>
      </c>
      <c r="G285">
        <v>1946</v>
      </c>
      <c r="H285">
        <v>2060</v>
      </c>
      <c r="I285">
        <v>6588</v>
      </c>
      <c r="J285">
        <v>3</v>
      </c>
      <c r="K285">
        <v>1</v>
      </c>
      <c r="M285" s="2" t="str">
        <f>HYPERLINK("http://maps.live.com/default.aspx?v=2&amp;lvl=15&amp;sp=Point.47.712628_-122.284963_11520 40th Ave NE&amp;cp=47.712628~-122.284963","Map")</f>
        <v>Map</v>
      </c>
      <c r="N285" s="2" t="str">
        <f>HYPERLINK("http://i-0.rfimg.us/photo/1/bigphoto/459/27171459_2.jpg","Photo")</f>
        <v>Photo</v>
      </c>
      <c r="AG285">
        <v>47.712628000000002</v>
      </c>
      <c r="AH285">
        <v>-122.284963</v>
      </c>
      <c r="AI285" t="s">
        <v>66</v>
      </c>
      <c r="AJ285">
        <v>98125</v>
      </c>
      <c r="BC285" s="22">
        <v>39345.233460648145</v>
      </c>
      <c r="BI285" s="7">
        <v>39534</v>
      </c>
      <c r="BL285">
        <v>8380</v>
      </c>
      <c r="BM285">
        <v>1148368</v>
      </c>
      <c r="BN285" t="s">
        <v>2444</v>
      </c>
      <c r="BO285" s="17">
        <f t="shared" ca="1" si="4"/>
        <v>204.07594525463355</v>
      </c>
      <c r="BP285" t="b">
        <v>0</v>
      </c>
      <c r="BQ285">
        <v>1</v>
      </c>
      <c r="BR285" t="s">
        <v>1667</v>
      </c>
      <c r="BS285" t="s">
        <v>2832</v>
      </c>
      <c r="BT285" t="b">
        <v>0</v>
      </c>
      <c r="BV285" t="s">
        <v>1668</v>
      </c>
      <c r="BW285">
        <v>11520</v>
      </c>
      <c r="BX285" t="s">
        <v>1738</v>
      </c>
      <c r="BY285">
        <v>110818</v>
      </c>
      <c r="BZ285" t="s">
        <v>2815</v>
      </c>
      <c r="CA285">
        <v>1</v>
      </c>
      <c r="CB285" t="b">
        <v>1</v>
      </c>
      <c r="CC285">
        <v>0</v>
      </c>
      <c r="CD285" t="b">
        <v>0</v>
      </c>
      <c r="CE285" t="b">
        <v>0</v>
      </c>
      <c r="CF285" t="b">
        <v>1</v>
      </c>
      <c r="CG285">
        <v>2835186</v>
      </c>
      <c r="CH285" t="s">
        <v>1681</v>
      </c>
      <c r="CI285" s="10">
        <v>419000</v>
      </c>
      <c r="CK285" t="s">
        <v>2937</v>
      </c>
    </row>
    <row r="286" spans="1:89">
      <c r="A286">
        <v>27171694</v>
      </c>
      <c r="B286" s="2" t="str">
        <f>HYPERLINK("http://www.redfin.com/stingray/do/printable-listing?listing-id=1152790","Contingent")</f>
        <v>Contingent</v>
      </c>
      <c r="D286" t="s">
        <v>3924</v>
      </c>
      <c r="E286" t="s">
        <v>4013</v>
      </c>
      <c r="F286">
        <v>479950</v>
      </c>
      <c r="G286">
        <v>2007</v>
      </c>
      <c r="H286">
        <v>1770</v>
      </c>
      <c r="I286">
        <v>0</v>
      </c>
      <c r="J286">
        <v>3</v>
      </c>
      <c r="K286">
        <v>3.5</v>
      </c>
      <c r="M286" s="2" t="str">
        <f>HYPERLINK("http://maps.live.com/default.aspx?v=2&amp;lvl=15&amp;sp=Point.47.612444_-122.299003_1137 26th Ave&amp;cp=47.612444~-122.299003","Map")</f>
        <v>Map</v>
      </c>
      <c r="N286" s="2" t="str">
        <f>HYPERLINK("http://i-0.rfimg.us/photo/1/bigphoto/694/27171694_3.jpg","Photo")</f>
        <v>Photo</v>
      </c>
      <c r="AG286">
        <v>47.612444000000004</v>
      </c>
      <c r="AH286">
        <v>-122.299003</v>
      </c>
      <c r="AI286" t="s">
        <v>66</v>
      </c>
      <c r="AJ286">
        <v>98122</v>
      </c>
      <c r="BC286" s="22">
        <v>39346.568356481483</v>
      </c>
      <c r="BI286" s="22">
        <v>39549.294907407406</v>
      </c>
      <c r="BL286">
        <v>9599</v>
      </c>
      <c r="BM286">
        <v>1152790</v>
      </c>
      <c r="BN286" t="s">
        <v>1725</v>
      </c>
      <c r="BO286" s="17">
        <f t="shared" ca="1" si="4"/>
        <v>202.74104942129634</v>
      </c>
      <c r="BP286" t="b">
        <v>0</v>
      </c>
      <c r="BQ286">
        <v>2</v>
      </c>
      <c r="BR286" t="s">
        <v>1667</v>
      </c>
      <c r="BS286" t="s">
        <v>1769</v>
      </c>
      <c r="BT286" t="b">
        <v>0</v>
      </c>
      <c r="BV286" t="s">
        <v>1668</v>
      </c>
      <c r="BW286">
        <v>1137</v>
      </c>
      <c r="BY286">
        <v>12298942</v>
      </c>
      <c r="BZ286" t="s">
        <v>2592</v>
      </c>
      <c r="CA286">
        <v>1</v>
      </c>
      <c r="CB286" t="b">
        <v>1</v>
      </c>
      <c r="CC286">
        <v>0</v>
      </c>
      <c r="CD286" t="b">
        <v>0</v>
      </c>
      <c r="CE286" t="b">
        <v>0</v>
      </c>
      <c r="CF286" t="b">
        <v>1</v>
      </c>
      <c r="CG286">
        <v>15507157</v>
      </c>
      <c r="CH286" t="s">
        <v>1681</v>
      </c>
      <c r="CI286" s="10">
        <v>479950</v>
      </c>
    </row>
    <row r="287" spans="1:89">
      <c r="A287">
        <v>27171813</v>
      </c>
      <c r="B287" s="2" t="str">
        <f>HYPERLINK("http://www.redfin.com/stingray/do/printable-listing?listing-id=1146387","Active")</f>
        <v>Active</v>
      </c>
      <c r="D287" t="s">
        <v>4004</v>
      </c>
      <c r="E287" t="s">
        <v>4093</v>
      </c>
      <c r="F287">
        <v>850000</v>
      </c>
      <c r="G287">
        <v>1910</v>
      </c>
      <c r="H287">
        <v>2050</v>
      </c>
      <c r="I287">
        <v>4000</v>
      </c>
      <c r="J287">
        <v>2</v>
      </c>
      <c r="K287">
        <v>1</v>
      </c>
      <c r="M287" s="2" t="str">
        <f>HYPERLINK("http://maps.live.com/default.aspx?v=2&amp;lvl=15&amp;sp=Point.47.619771_-122.286183_181 37th Ave E&amp;cp=47.619771~-122.286183","Map")</f>
        <v>Map</v>
      </c>
      <c r="N287" s="2" t="str">
        <f>HYPERLINK("http://i-0.rfimg.us/photo/1/bigphoto/813/27171813_0.jpg","Photo")</f>
        <v>Photo</v>
      </c>
      <c r="AG287">
        <v>47.619771</v>
      </c>
      <c r="AH287">
        <v>-122.28618299999999</v>
      </c>
      <c r="AI287" t="s">
        <v>66</v>
      </c>
      <c r="AJ287">
        <v>98112</v>
      </c>
      <c r="AN287">
        <v>779000</v>
      </c>
      <c r="BC287" s="22">
        <v>39344.668425925927</v>
      </c>
      <c r="BI287" s="22">
        <v>39549.294907407406</v>
      </c>
      <c r="BL287">
        <v>17000</v>
      </c>
      <c r="BM287">
        <v>1146387</v>
      </c>
      <c r="BN287" t="s">
        <v>1674</v>
      </c>
      <c r="BO287" s="17">
        <f t="shared" ca="1" si="4"/>
        <v>204.64097997685167</v>
      </c>
      <c r="BP287" t="b">
        <v>0</v>
      </c>
      <c r="BQ287">
        <v>1</v>
      </c>
      <c r="BR287" t="s">
        <v>1667</v>
      </c>
      <c r="BS287" t="s">
        <v>2192</v>
      </c>
      <c r="BT287" t="b">
        <v>0</v>
      </c>
      <c r="BV287" t="s">
        <v>1668</v>
      </c>
      <c r="BW287">
        <v>181</v>
      </c>
      <c r="BX287" t="s">
        <v>2436</v>
      </c>
      <c r="BY287">
        <v>141727</v>
      </c>
      <c r="BZ287" t="s">
        <v>1672</v>
      </c>
      <c r="CA287">
        <v>1</v>
      </c>
      <c r="CB287" t="b">
        <v>1</v>
      </c>
      <c r="CC287">
        <v>0</v>
      </c>
      <c r="CD287" t="b">
        <v>0</v>
      </c>
      <c r="CE287" t="b">
        <v>0</v>
      </c>
      <c r="CF287" t="b">
        <v>1</v>
      </c>
      <c r="CG287">
        <v>2712812</v>
      </c>
      <c r="CH287" t="s">
        <v>1681</v>
      </c>
      <c r="CI287" s="10">
        <v>850000</v>
      </c>
      <c r="CJ287" s="7">
        <v>39192</v>
      </c>
    </row>
    <row r="288" spans="1:89">
      <c r="A288">
        <v>27171890</v>
      </c>
      <c r="B288" s="2" t="str">
        <f>HYPERLINK("http://www.redfin.com/stingray/do/printable-listing?listing-id=1146419","Active")</f>
        <v>Active</v>
      </c>
      <c r="D288" t="s">
        <v>42</v>
      </c>
      <c r="E288" t="s">
        <v>2759</v>
      </c>
      <c r="F288">
        <v>1250000</v>
      </c>
      <c r="G288">
        <v>1935</v>
      </c>
      <c r="H288">
        <v>1580</v>
      </c>
      <c r="I288">
        <v>38768</v>
      </c>
      <c r="J288">
        <v>3</v>
      </c>
      <c r="K288">
        <v>2.25</v>
      </c>
      <c r="M288" s="2" t="str">
        <f>HYPERLINK("http://maps.live.com/default.aspx?v=2&amp;lvl=15&amp;sp=Point.47.718253_-122.336059_1700 N 122nd St&amp;cp=47.718253~-122.336059","Map")</f>
        <v>Map</v>
      </c>
      <c r="N288" s="2" t="str">
        <f>HYPERLINK("http://i-0.rfimg.us/photo/1/bigphoto/890/27171890_0.jpg","Photo")</f>
        <v>Photo</v>
      </c>
      <c r="AG288">
        <v>47.718252999999997</v>
      </c>
      <c r="AH288">
        <v>-122.33605900000001</v>
      </c>
      <c r="AI288" t="s">
        <v>66</v>
      </c>
      <c r="AJ288">
        <v>98133</v>
      </c>
      <c r="BC288" s="22">
        <v>39344.672569444447</v>
      </c>
      <c r="BI288" s="22">
        <v>39549.294907407406</v>
      </c>
      <c r="BL288">
        <v>25000</v>
      </c>
      <c r="BM288">
        <v>1146419</v>
      </c>
      <c r="BN288" t="s">
        <v>2381</v>
      </c>
      <c r="BO288" s="17">
        <f t="shared" ca="1" si="4"/>
        <v>204.63683657407091</v>
      </c>
      <c r="BP288" t="b">
        <v>0</v>
      </c>
      <c r="BQ288">
        <v>1</v>
      </c>
      <c r="BR288" t="s">
        <v>1686</v>
      </c>
      <c r="BS288" t="s">
        <v>2672</v>
      </c>
      <c r="BT288" t="b">
        <v>0</v>
      </c>
      <c r="BU288" t="s">
        <v>1712</v>
      </c>
      <c r="BV288" t="s">
        <v>1668</v>
      </c>
      <c r="BW288">
        <v>1700</v>
      </c>
      <c r="BY288">
        <v>12172880</v>
      </c>
      <c r="BZ288" t="s">
        <v>1696</v>
      </c>
      <c r="CA288">
        <v>1</v>
      </c>
      <c r="CB288" t="b">
        <v>1</v>
      </c>
      <c r="CC288">
        <v>0</v>
      </c>
      <c r="CD288" t="b">
        <v>0</v>
      </c>
      <c r="CE288" t="b">
        <v>0</v>
      </c>
      <c r="CF288" t="b">
        <v>1</v>
      </c>
      <c r="CG288">
        <v>15403503</v>
      </c>
      <c r="CH288" t="s">
        <v>1681</v>
      </c>
      <c r="CI288" s="10">
        <v>1250000</v>
      </c>
    </row>
    <row r="289" spans="1:89">
      <c r="A289">
        <v>27172016</v>
      </c>
      <c r="B289" s="2" t="str">
        <f>HYPERLINK("http://www.redfin.com/stingray/do/printable-listing?listing-id=1147134","Active")</f>
        <v>Active</v>
      </c>
      <c r="D289" t="s">
        <v>1077</v>
      </c>
      <c r="E289" t="s">
        <v>6134</v>
      </c>
      <c r="F289">
        <v>749888</v>
      </c>
      <c r="G289">
        <v>2007</v>
      </c>
      <c r="H289">
        <v>3072</v>
      </c>
      <c r="I289">
        <v>7258</v>
      </c>
      <c r="J289">
        <v>3</v>
      </c>
      <c r="K289">
        <v>2.75</v>
      </c>
      <c r="M289" s="2" t="str">
        <f>HYPERLINK("http://maps.live.com/default.aspx?v=2&amp;lvl=15&amp;sp=Point.47.514836_-122.201164_1228 N 26th St&amp;cp=47.514836~-122.201164","Map")</f>
        <v>Map</v>
      </c>
      <c r="N289" s="2" t="str">
        <f>HYPERLINK("http://i-0.rfimg.us/photo/1/bigphoto/016/27172016_1.jpg","Photo")</f>
        <v>Photo</v>
      </c>
      <c r="AG289">
        <v>47.514836000000003</v>
      </c>
      <c r="AH289">
        <v>-122.20116400000001</v>
      </c>
      <c r="AI289" t="s">
        <v>1077</v>
      </c>
      <c r="AJ289">
        <v>98056</v>
      </c>
      <c r="BC289" s="22">
        <v>39344.739930555559</v>
      </c>
      <c r="BI289" s="22">
        <v>39549.294907407406</v>
      </c>
      <c r="BL289">
        <v>14998</v>
      </c>
      <c r="BM289">
        <v>1147134</v>
      </c>
      <c r="BN289" t="s">
        <v>3062</v>
      </c>
      <c r="BO289" s="17">
        <f t="shared" ca="1" si="4"/>
        <v>204.56947534721985</v>
      </c>
      <c r="BP289" t="b">
        <v>0</v>
      </c>
      <c r="BQ289">
        <v>1</v>
      </c>
      <c r="BR289" t="s">
        <v>1686</v>
      </c>
      <c r="BS289" t="s">
        <v>1769</v>
      </c>
      <c r="BT289" t="b">
        <v>0</v>
      </c>
      <c r="BU289" t="s">
        <v>1712</v>
      </c>
      <c r="BV289" t="s">
        <v>1668</v>
      </c>
      <c r="BW289">
        <v>1228</v>
      </c>
      <c r="BY289">
        <v>12172956</v>
      </c>
      <c r="BZ289" t="s">
        <v>1679</v>
      </c>
      <c r="CA289">
        <v>1</v>
      </c>
      <c r="CB289" t="b">
        <v>1</v>
      </c>
      <c r="CC289">
        <v>0</v>
      </c>
      <c r="CD289" t="b">
        <v>0</v>
      </c>
      <c r="CE289" t="b">
        <v>0</v>
      </c>
      <c r="CF289" t="b">
        <v>1</v>
      </c>
      <c r="CG289">
        <v>15403579</v>
      </c>
      <c r="CH289" t="s">
        <v>1681</v>
      </c>
      <c r="CI289" s="10">
        <v>749888</v>
      </c>
    </row>
    <row r="290" spans="1:89">
      <c r="A290">
        <v>27172201</v>
      </c>
      <c r="B290" s="2" t="str">
        <f>HYPERLINK("http://www.redfin.com/stingray/do/printable-listing?listing-id=1149544","Active")</f>
        <v>Active</v>
      </c>
      <c r="D290" t="s">
        <v>3079</v>
      </c>
      <c r="E290" t="s">
        <v>4894</v>
      </c>
      <c r="F290">
        <v>839000</v>
      </c>
      <c r="G290">
        <v>1940</v>
      </c>
      <c r="H290">
        <v>1140</v>
      </c>
      <c r="I290">
        <v>7144</v>
      </c>
      <c r="J290">
        <v>3</v>
      </c>
      <c r="K290">
        <v>1</v>
      </c>
      <c r="M290" s="2" t="str">
        <f>HYPERLINK("http://maps.live.com/default.aspx?v=2&amp;lvl=15&amp;sp=Point.47.679281_-122.210037_121 5th Ave W&amp;cp=47.679281~-122.210037","Map")</f>
        <v>Map</v>
      </c>
      <c r="N290" s="2" t="str">
        <f>HYPERLINK("http://i-0.rfimg.us/photo/1/bigphoto/201/27172201_2.jpg","Photo")</f>
        <v>Photo</v>
      </c>
      <c r="AG290">
        <v>47.679281000000003</v>
      </c>
      <c r="AH290">
        <v>-122.210037</v>
      </c>
      <c r="AI290" t="s">
        <v>1058</v>
      </c>
      <c r="AJ290">
        <v>98033</v>
      </c>
      <c r="AN290">
        <v>750000</v>
      </c>
      <c r="BC290" s="22">
        <v>39345.526608796295</v>
      </c>
      <c r="BI290" s="22">
        <v>39549.294907407406</v>
      </c>
      <c r="BL290">
        <v>16780</v>
      </c>
      <c r="BM290">
        <v>1149544</v>
      </c>
      <c r="BN290" t="s">
        <v>1798</v>
      </c>
      <c r="BO290" s="17">
        <f t="shared" ca="1" si="4"/>
        <v>203.78279710648349</v>
      </c>
      <c r="BP290" t="b">
        <v>0</v>
      </c>
      <c r="BQ290">
        <v>1</v>
      </c>
      <c r="BR290" t="s">
        <v>1667</v>
      </c>
      <c r="BS290" t="s">
        <v>1832</v>
      </c>
      <c r="BT290" t="b">
        <v>0</v>
      </c>
      <c r="BV290" t="s">
        <v>1668</v>
      </c>
      <c r="BW290">
        <v>121</v>
      </c>
      <c r="BX290" t="s">
        <v>2423</v>
      </c>
      <c r="BY290">
        <v>464554</v>
      </c>
      <c r="BZ290" t="s">
        <v>4895</v>
      </c>
      <c r="CA290">
        <v>1</v>
      </c>
      <c r="CB290" t="b">
        <v>1</v>
      </c>
      <c r="CC290">
        <v>0</v>
      </c>
      <c r="CD290" t="b">
        <v>0</v>
      </c>
      <c r="CE290" t="b">
        <v>0</v>
      </c>
      <c r="CF290" t="b">
        <v>1</v>
      </c>
      <c r="CG290">
        <v>2744722</v>
      </c>
      <c r="CH290" t="s">
        <v>1681</v>
      </c>
      <c r="CI290" s="10">
        <v>839000</v>
      </c>
      <c r="CJ290" s="7">
        <v>39139</v>
      </c>
    </row>
    <row r="291" spans="1:89">
      <c r="A291">
        <v>27172315</v>
      </c>
      <c r="B291" s="2" t="str">
        <f>HYPERLINK("http://www.redfin.com/stingray/do/printable-listing?listing-id=1149393","Active")</f>
        <v>Active</v>
      </c>
      <c r="D291" t="s">
        <v>2552</v>
      </c>
      <c r="E291" t="s">
        <v>3388</v>
      </c>
      <c r="F291">
        <v>439000</v>
      </c>
      <c r="G291">
        <v>1949</v>
      </c>
      <c r="H291">
        <v>2106</v>
      </c>
      <c r="I291">
        <v>0</v>
      </c>
      <c r="J291">
        <v>2</v>
      </c>
      <c r="K291">
        <v>2</v>
      </c>
      <c r="M291" s="2" t="str">
        <f>HYPERLINK("http://maps.live.com/default.aspx?v=2&amp;lvl=15&amp;sp=Point.47.636038_-122.390095_1902 26th Ave W&amp;cp=47.636038~-122.390095","Map")</f>
        <v>Map</v>
      </c>
      <c r="N291" s="2" t="str">
        <f>HYPERLINK("http://i-0.rfimg.us/photo/1/bigphoto/315/27172315_0.jpg","Photo")</f>
        <v>Photo</v>
      </c>
      <c r="AG291">
        <v>47.636037999999999</v>
      </c>
      <c r="AH291">
        <v>-122.390095</v>
      </c>
      <c r="AI291" t="s">
        <v>66</v>
      </c>
      <c r="AJ291">
        <v>98199</v>
      </c>
      <c r="AN291">
        <v>750000</v>
      </c>
      <c r="BC291" s="22">
        <v>39345.464062500003</v>
      </c>
      <c r="BI291" s="22">
        <v>39549.294907407406</v>
      </c>
      <c r="BL291">
        <v>8780</v>
      </c>
      <c r="BM291">
        <v>1149393</v>
      </c>
      <c r="BN291" t="s">
        <v>3387</v>
      </c>
      <c r="BO291" s="17">
        <f t="shared" ca="1" si="4"/>
        <v>203.84534340277605</v>
      </c>
      <c r="BP291" t="b">
        <v>0</v>
      </c>
      <c r="BQ291">
        <v>1</v>
      </c>
      <c r="BR291" t="s">
        <v>1667</v>
      </c>
      <c r="BS291" t="s">
        <v>1769</v>
      </c>
      <c r="BT291" t="b">
        <v>0</v>
      </c>
      <c r="BV291" t="s">
        <v>1668</v>
      </c>
      <c r="BW291">
        <v>1902</v>
      </c>
      <c r="BX291" t="s">
        <v>2423</v>
      </c>
      <c r="BY291">
        <v>2069967</v>
      </c>
      <c r="BZ291" t="s">
        <v>1745</v>
      </c>
      <c r="CA291">
        <v>1</v>
      </c>
      <c r="CB291" t="b">
        <v>1</v>
      </c>
      <c r="CC291">
        <v>0</v>
      </c>
      <c r="CD291" t="b">
        <v>0</v>
      </c>
      <c r="CE291" t="b">
        <v>0</v>
      </c>
      <c r="CF291" t="b">
        <v>1</v>
      </c>
      <c r="CG291">
        <v>2526236</v>
      </c>
      <c r="CH291" t="s">
        <v>1681</v>
      </c>
      <c r="CI291" s="10">
        <v>439000</v>
      </c>
      <c r="CJ291" s="7">
        <v>37376</v>
      </c>
    </row>
    <row r="292" spans="1:89">
      <c r="A292">
        <v>27172436</v>
      </c>
      <c r="B292" s="2" t="str">
        <f>HYPERLINK("http://www.redfin.com/stingray/do/printable-listing?listing-id=1154163","Active")</f>
        <v>Active</v>
      </c>
      <c r="D292" t="s">
        <v>184</v>
      </c>
      <c r="E292" t="s">
        <v>2903</v>
      </c>
      <c r="F292">
        <v>749950</v>
      </c>
      <c r="G292">
        <v>2007</v>
      </c>
      <c r="H292">
        <v>4067</v>
      </c>
      <c r="I292">
        <v>7920</v>
      </c>
      <c r="J292">
        <v>4</v>
      </c>
      <c r="K292">
        <v>3.5</v>
      </c>
      <c r="M292" s="2" t="str">
        <f>HYPERLINK("http://maps.live.com/default.aspx?v=2&amp;lvl=15&amp;sp=Point.47.718489_-122.304703_12323 23rd Ave NE&amp;cp=47.718489~-122.304703","Map")</f>
        <v>Map</v>
      </c>
      <c r="N292" s="2" t="str">
        <f>HYPERLINK("http://i-0.rfimg.us/photo/1/bigphoto/436/27172436_0.jpg","Photo")</f>
        <v>Photo</v>
      </c>
      <c r="AG292">
        <v>47.718488999999998</v>
      </c>
      <c r="AH292">
        <v>-122.304703</v>
      </c>
      <c r="AI292" t="s">
        <v>66</v>
      </c>
      <c r="AJ292">
        <v>98125</v>
      </c>
      <c r="BC292" s="22">
        <v>39346.77789351852</v>
      </c>
      <c r="BI292" s="22">
        <v>39549.294907407406</v>
      </c>
      <c r="BL292">
        <v>14999</v>
      </c>
      <c r="BM292">
        <v>1154163</v>
      </c>
      <c r="BN292" t="s">
        <v>1675</v>
      </c>
      <c r="BO292" s="17">
        <f t="shared" ca="1" si="4"/>
        <v>202.53151238425926</v>
      </c>
      <c r="BP292" t="b">
        <v>0</v>
      </c>
      <c r="BQ292">
        <v>1</v>
      </c>
      <c r="BR292" t="s">
        <v>1667</v>
      </c>
      <c r="BS292" t="s">
        <v>1839</v>
      </c>
      <c r="BT292" t="b">
        <v>0</v>
      </c>
      <c r="BV292" t="s">
        <v>1668</v>
      </c>
      <c r="BW292">
        <v>12323</v>
      </c>
      <c r="BX292" t="s">
        <v>1738</v>
      </c>
      <c r="BY292">
        <v>12174033</v>
      </c>
      <c r="BZ292" t="s">
        <v>1713</v>
      </c>
      <c r="CA292">
        <v>1</v>
      </c>
      <c r="CB292" t="b">
        <v>1</v>
      </c>
      <c r="CC292">
        <v>0</v>
      </c>
      <c r="CD292" t="b">
        <v>0</v>
      </c>
      <c r="CE292" t="b">
        <v>0</v>
      </c>
      <c r="CF292" t="b">
        <v>1</v>
      </c>
      <c r="CG292">
        <v>15404640</v>
      </c>
      <c r="CH292" t="s">
        <v>1681</v>
      </c>
      <c r="CI292" s="10">
        <v>749950</v>
      </c>
    </row>
    <row r="293" spans="1:89">
      <c r="A293">
        <v>27172559</v>
      </c>
      <c r="B293" s="2" t="str">
        <f>HYPERLINK("http://www.redfin.com/stingray/do/printable-listing?listing-id=1162255","Active")</f>
        <v>Active</v>
      </c>
      <c r="D293" t="s">
        <v>5263</v>
      </c>
      <c r="E293" t="s">
        <v>5262</v>
      </c>
      <c r="F293">
        <v>690000</v>
      </c>
      <c r="G293">
        <v>1984</v>
      </c>
      <c r="H293">
        <v>2690</v>
      </c>
      <c r="I293">
        <v>8000</v>
      </c>
      <c r="J293">
        <v>3</v>
      </c>
      <c r="K293">
        <v>3</v>
      </c>
      <c r="M293" s="2" t="str">
        <f>HYPERLINK("http://maps.live.com/default.aspx?v=2&amp;lvl=15&amp;sp=Point.47.580112_-122.117505_3338 166 Pl SE&amp;cp=47.580112~-122.117505","Map")</f>
        <v>Map</v>
      </c>
      <c r="N293" s="2" t="str">
        <f>HYPERLINK("http://i-0.rfimg.us/photo/1/bigphoto/559/27172559_1.jpg","Photo")</f>
        <v>Photo</v>
      </c>
      <c r="AG293">
        <v>47.580112</v>
      </c>
      <c r="AH293">
        <v>-122.11750499999999</v>
      </c>
      <c r="AI293" t="s">
        <v>369</v>
      </c>
      <c r="AJ293">
        <v>98008</v>
      </c>
      <c r="AN293">
        <v>155000</v>
      </c>
      <c r="BC293" s="22">
        <v>39350.572916666664</v>
      </c>
      <c r="BI293" s="7">
        <v>39533</v>
      </c>
      <c r="BL293">
        <v>13800</v>
      </c>
      <c r="BM293">
        <v>1162255</v>
      </c>
      <c r="BN293" t="s">
        <v>1688</v>
      </c>
      <c r="BO293" s="17">
        <f t="shared" ca="1" si="4"/>
        <v>198.73648923611472</v>
      </c>
      <c r="BP293" t="b">
        <v>0</v>
      </c>
      <c r="BQ293">
        <v>1</v>
      </c>
      <c r="BR293" t="s">
        <v>1842</v>
      </c>
      <c r="BS293">
        <v>166</v>
      </c>
      <c r="BT293" t="b">
        <v>0</v>
      </c>
      <c r="BV293" t="s">
        <v>1668</v>
      </c>
      <c r="BW293">
        <v>3338</v>
      </c>
      <c r="BX293" t="s">
        <v>3856</v>
      </c>
      <c r="BY293">
        <v>428209</v>
      </c>
      <c r="BZ293" t="s">
        <v>1963</v>
      </c>
      <c r="CA293">
        <v>1</v>
      </c>
      <c r="CB293" t="b">
        <v>1</v>
      </c>
      <c r="CC293">
        <v>0</v>
      </c>
      <c r="CD293" t="b">
        <v>0</v>
      </c>
      <c r="CE293" t="b">
        <v>0</v>
      </c>
      <c r="CF293" t="b">
        <v>1</v>
      </c>
      <c r="CG293">
        <v>2868773</v>
      </c>
      <c r="CH293" t="s">
        <v>1681</v>
      </c>
      <c r="CI293" s="10">
        <v>690000</v>
      </c>
      <c r="CJ293" s="7">
        <v>38859</v>
      </c>
    </row>
    <row r="294" spans="1:89">
      <c r="A294">
        <v>27172694</v>
      </c>
      <c r="B294" s="2" t="str">
        <f>HYPERLINK("http://www.redfin.com/stingray/do/printable-listing?listing-id=1149998","Active")</f>
        <v>Active</v>
      </c>
      <c r="D294" t="s">
        <v>100</v>
      </c>
      <c r="E294" t="s">
        <v>629</v>
      </c>
      <c r="F294">
        <v>375000</v>
      </c>
      <c r="G294">
        <v>2007</v>
      </c>
      <c r="H294">
        <v>1165</v>
      </c>
      <c r="I294">
        <v>0</v>
      </c>
      <c r="J294">
        <v>2</v>
      </c>
      <c r="K294">
        <v>1.75</v>
      </c>
      <c r="M294" s="2" t="str">
        <f>HYPERLINK("http://maps.live.com/default.aspx?v=2&amp;lvl=15&amp;sp=Point.47.650806_-122.344993_3607 Albion Pl N&amp;cp=47.650806~-122.344993","Map")</f>
        <v>Map</v>
      </c>
      <c r="N294" s="2" t="str">
        <f>HYPERLINK("http://i-0.rfimg.us/photo/1/bigphoto/694/27172694_4.jpg","Photo")</f>
        <v>Photo</v>
      </c>
      <c r="AG294">
        <v>47.650806000000003</v>
      </c>
      <c r="AH294">
        <v>-122.344993</v>
      </c>
      <c r="AI294" t="s">
        <v>66</v>
      </c>
      <c r="AJ294">
        <v>98103</v>
      </c>
      <c r="BC294" s="22">
        <v>39345.674803240741</v>
      </c>
      <c r="BI294" s="22">
        <v>39549.294907407406</v>
      </c>
      <c r="BL294">
        <v>7500</v>
      </c>
      <c r="BM294">
        <v>1149998</v>
      </c>
      <c r="BN294" t="s">
        <v>1693</v>
      </c>
      <c r="BO294" s="17">
        <f t="shared" ca="1" si="4"/>
        <v>203.63460266203765</v>
      </c>
      <c r="BP294" t="b">
        <v>0</v>
      </c>
      <c r="BQ294">
        <v>1</v>
      </c>
      <c r="BR294" t="s">
        <v>1842</v>
      </c>
      <c r="BS294" t="s">
        <v>3277</v>
      </c>
      <c r="BT294" t="b">
        <v>0</v>
      </c>
      <c r="BV294" t="s">
        <v>1668</v>
      </c>
      <c r="BW294">
        <v>3607</v>
      </c>
      <c r="BX294" t="s">
        <v>1712</v>
      </c>
      <c r="BY294">
        <v>12173400</v>
      </c>
      <c r="BZ294" t="s">
        <v>3279</v>
      </c>
      <c r="CA294">
        <v>1</v>
      </c>
      <c r="CB294" t="b">
        <v>1</v>
      </c>
      <c r="CC294">
        <v>0</v>
      </c>
      <c r="CD294" t="b">
        <v>0</v>
      </c>
      <c r="CE294" t="b">
        <v>0</v>
      </c>
      <c r="CF294" t="b">
        <v>1</v>
      </c>
      <c r="CG294">
        <v>15404007</v>
      </c>
      <c r="CH294" t="s">
        <v>1681</v>
      </c>
      <c r="CI294" s="10">
        <v>375000</v>
      </c>
    </row>
    <row r="295" spans="1:89">
      <c r="A295">
        <v>27172700</v>
      </c>
      <c r="B295" s="2" t="str">
        <f>HYPERLINK("http://www.redfin.com/stingray/do/printable-listing?listing-id=1150081","Active")</f>
        <v>Active</v>
      </c>
      <c r="D295" t="s">
        <v>100</v>
      </c>
      <c r="E295" t="s">
        <v>631</v>
      </c>
      <c r="F295">
        <v>375000</v>
      </c>
      <c r="G295">
        <v>2007</v>
      </c>
      <c r="H295">
        <v>1165</v>
      </c>
      <c r="I295">
        <v>0</v>
      </c>
      <c r="J295">
        <v>2</v>
      </c>
      <c r="K295">
        <v>1.75</v>
      </c>
      <c r="M295" s="2" t="str">
        <f>HYPERLINK("http://maps.live.com/default.aspx?v=2&amp;lvl=15&amp;sp=Point.47.650824_-122.344992_3609 Albion Pl N&amp;cp=47.650824~-122.344992","Map")</f>
        <v>Map</v>
      </c>
      <c r="N295" s="2" t="str">
        <f>HYPERLINK("http://i-0.rfimg.us/photo/1/bigphoto/700/27172700_5.jpg","Photo")</f>
        <v>Photo</v>
      </c>
      <c r="AG295">
        <v>47.650824</v>
      </c>
      <c r="AH295">
        <v>-122.344992</v>
      </c>
      <c r="AI295" t="s">
        <v>66</v>
      </c>
      <c r="AJ295">
        <v>98103</v>
      </c>
      <c r="BC295" s="22">
        <v>39345.709606481483</v>
      </c>
      <c r="BI295" s="22">
        <v>39549.294907407406</v>
      </c>
      <c r="BL295">
        <v>7500</v>
      </c>
      <c r="BM295">
        <v>1150081</v>
      </c>
      <c r="BN295" t="s">
        <v>1693</v>
      </c>
      <c r="BO295" s="17">
        <f t="shared" ca="1" si="4"/>
        <v>203.59979942129576</v>
      </c>
      <c r="BP295" t="b">
        <v>0</v>
      </c>
      <c r="BQ295">
        <v>1</v>
      </c>
      <c r="BR295" t="s">
        <v>1842</v>
      </c>
      <c r="BS295" t="s">
        <v>3277</v>
      </c>
      <c r="BT295" t="b">
        <v>0</v>
      </c>
      <c r="BV295" t="s">
        <v>1668</v>
      </c>
      <c r="BW295">
        <v>3609</v>
      </c>
      <c r="BX295" t="s">
        <v>1712</v>
      </c>
      <c r="BY295">
        <v>12173417</v>
      </c>
      <c r="BZ295" t="s">
        <v>3179</v>
      </c>
      <c r="CA295">
        <v>1</v>
      </c>
      <c r="CB295" t="b">
        <v>1</v>
      </c>
      <c r="CC295">
        <v>0</v>
      </c>
      <c r="CD295" t="b">
        <v>0</v>
      </c>
      <c r="CE295" t="b">
        <v>0</v>
      </c>
      <c r="CF295" t="b">
        <v>1</v>
      </c>
      <c r="CG295">
        <v>15404024</v>
      </c>
      <c r="CH295" t="s">
        <v>1681</v>
      </c>
      <c r="CI295" s="10">
        <v>375000</v>
      </c>
    </row>
    <row r="296" spans="1:89">
      <c r="A296">
        <v>27172713</v>
      </c>
      <c r="B296" s="15" t="str">
        <f>HYPERLINK("http://www.redfin.com/stingray/do/printable-listing?listing-id=1150596","Active")</f>
        <v>Active</v>
      </c>
      <c r="D296" t="s">
        <v>1058</v>
      </c>
      <c r="E296" t="s">
        <v>4702</v>
      </c>
      <c r="F296">
        <v>1199950</v>
      </c>
      <c r="G296">
        <v>1991</v>
      </c>
      <c r="H296">
        <v>2890</v>
      </c>
      <c r="I296">
        <v>10890</v>
      </c>
      <c r="J296">
        <v>3</v>
      </c>
      <c r="K296">
        <v>3.5</v>
      </c>
      <c r="M296" s="2" t="str">
        <f>HYPERLINK("http://maps.live.com/default.aspx?v=2&amp;lvl=15&amp;sp=Point.47.685277_-122.191817_11107 NE 95th St&amp;cp=47.685277~-122.191817","Map")</f>
        <v>Map</v>
      </c>
      <c r="N296" s="2" t="str">
        <f>HYPERLINK("http://i-0.rfimg.us/photo/1/bigphoto/713/27172713_1.jpg","Photo")</f>
        <v>Photo</v>
      </c>
      <c r="AG296">
        <v>47.685276999999999</v>
      </c>
      <c r="AH296">
        <v>-122.191817</v>
      </c>
      <c r="AI296" t="s">
        <v>1058</v>
      </c>
      <c r="AJ296">
        <v>98033</v>
      </c>
      <c r="AN296">
        <v>420000</v>
      </c>
      <c r="BC296" s="22">
        <v>39345.822812500002</v>
      </c>
      <c r="BI296" s="22">
        <v>39546.925937499997</v>
      </c>
      <c r="BL296">
        <v>23999</v>
      </c>
      <c r="BM296">
        <v>1150596</v>
      </c>
      <c r="BN296" t="s">
        <v>1674</v>
      </c>
      <c r="BO296" s="17">
        <f t="shared" ca="1" si="4"/>
        <v>203.48659340277663</v>
      </c>
      <c r="BP296" t="b">
        <v>0</v>
      </c>
      <c r="BQ296">
        <v>2</v>
      </c>
      <c r="BR296" t="s">
        <v>1686</v>
      </c>
      <c r="BS296" t="s">
        <v>2722</v>
      </c>
      <c r="BT296" t="b">
        <v>0</v>
      </c>
      <c r="BU296" t="s">
        <v>1738</v>
      </c>
      <c r="BV296" t="s">
        <v>1668</v>
      </c>
      <c r="BW296">
        <v>11107</v>
      </c>
      <c r="BY296">
        <v>462595</v>
      </c>
      <c r="BZ296" t="s">
        <v>1709</v>
      </c>
      <c r="CA296">
        <v>1</v>
      </c>
      <c r="CB296" t="b">
        <v>1</v>
      </c>
      <c r="CC296">
        <v>0</v>
      </c>
      <c r="CD296" t="b">
        <v>0</v>
      </c>
      <c r="CE296" t="b">
        <v>0</v>
      </c>
      <c r="CF296" t="b">
        <v>1</v>
      </c>
      <c r="CG296">
        <v>2818219</v>
      </c>
      <c r="CH296" t="s">
        <v>1681</v>
      </c>
      <c r="CI296" s="10">
        <v>1199950</v>
      </c>
      <c r="CJ296" s="7">
        <v>33780</v>
      </c>
    </row>
    <row r="297" spans="1:89">
      <c r="A297">
        <v>27172755</v>
      </c>
      <c r="B297" s="2" t="str">
        <f>HYPERLINK("http://www.redfin.com/stingray/do/printable-listing?listing-id=1150242","Active")</f>
        <v>Active</v>
      </c>
      <c r="D297" t="s">
        <v>5263</v>
      </c>
      <c r="E297" t="s">
        <v>5467</v>
      </c>
      <c r="F297">
        <v>479500</v>
      </c>
      <c r="G297">
        <v>1960</v>
      </c>
      <c r="H297">
        <v>1900</v>
      </c>
      <c r="I297">
        <v>12350</v>
      </c>
      <c r="J297">
        <v>3</v>
      </c>
      <c r="K297">
        <v>1.75</v>
      </c>
      <c r="M297" s="2" t="str">
        <f>HYPERLINK("http://maps.live.com/default.aspx?v=2&amp;lvl=15&amp;sp=Point.47.579277_-122.119035_3419 SE 166th Ave SE&amp;cp=47.579277~-122.119035","Map")</f>
        <v>Map</v>
      </c>
      <c r="N297" s="2" t="str">
        <f>HYPERLINK("http://i-0.rfimg.us/photo/1/bigphoto/755/27172755_1.jpg","Photo")</f>
        <v>Photo</v>
      </c>
      <c r="AG297">
        <v>47.579276999999998</v>
      </c>
      <c r="AH297">
        <v>-122.119035</v>
      </c>
      <c r="AI297" t="s">
        <v>369</v>
      </c>
      <c r="AJ297">
        <v>98008</v>
      </c>
      <c r="BC297" s="22">
        <v>39345.765706018516</v>
      </c>
      <c r="BI297" s="22">
        <v>39549.294907407406</v>
      </c>
      <c r="BL297">
        <v>9590</v>
      </c>
      <c r="BM297">
        <v>1150242</v>
      </c>
      <c r="BN297" t="s">
        <v>1768</v>
      </c>
      <c r="BO297" s="17">
        <f t="shared" ca="1" si="4"/>
        <v>203.54369988426333</v>
      </c>
      <c r="BP297" t="b">
        <v>0</v>
      </c>
      <c r="BQ297">
        <v>1</v>
      </c>
      <c r="BR297" t="s">
        <v>1667</v>
      </c>
      <c r="BS297" t="s">
        <v>5194</v>
      </c>
      <c r="BT297" t="b">
        <v>0</v>
      </c>
      <c r="BU297" t="s">
        <v>3856</v>
      </c>
      <c r="BV297" t="s">
        <v>1668</v>
      </c>
      <c r="BW297">
        <v>3419</v>
      </c>
      <c r="BX297" t="s">
        <v>3856</v>
      </c>
      <c r="BY297">
        <v>429392</v>
      </c>
      <c r="BZ297" t="s">
        <v>5468</v>
      </c>
      <c r="CA297">
        <v>1</v>
      </c>
      <c r="CB297" t="b">
        <v>1</v>
      </c>
      <c r="CC297">
        <v>0</v>
      </c>
      <c r="CD297" t="b">
        <v>1</v>
      </c>
      <c r="CE297" t="b">
        <v>0</v>
      </c>
      <c r="CF297" t="b">
        <v>1</v>
      </c>
      <c r="CG297">
        <v>2938290</v>
      </c>
      <c r="CH297" t="s">
        <v>1681</v>
      </c>
      <c r="CI297" s="10">
        <v>479500</v>
      </c>
    </row>
    <row r="298" spans="1:89">
      <c r="A298">
        <v>27173043</v>
      </c>
      <c r="B298" s="2" t="str">
        <f>HYPERLINK("http://www.redfin.com/stingray/do/printable-listing?listing-id=1152294","Active")</f>
        <v>Active</v>
      </c>
      <c r="D298" t="s">
        <v>5565</v>
      </c>
      <c r="E298" t="s">
        <v>5564</v>
      </c>
      <c r="F298" s="19">
        <v>709950</v>
      </c>
      <c r="G298">
        <v>2007</v>
      </c>
      <c r="H298">
        <v>2919</v>
      </c>
      <c r="I298">
        <v>0</v>
      </c>
      <c r="J298">
        <v>3</v>
      </c>
      <c r="K298">
        <v>2.5</v>
      </c>
      <c r="M298" s="2" t="str">
        <f>HYPERLINK("http://maps.live.com/default.aspx?v=2&amp;lvl=15&amp;sp=adr.11610 SE 63rd St (Unable to map),98006","Map")</f>
        <v>Map</v>
      </c>
      <c r="N298" s="2" t="str">
        <f>HYPERLINK("http://i-0.rfimg.us/photo/1/bigphoto/043/27173043_0.jpg","Photo")</f>
        <v>Photo</v>
      </c>
      <c r="AI298" t="s">
        <v>369</v>
      </c>
      <c r="AJ298">
        <v>98006</v>
      </c>
      <c r="BC298" s="22">
        <v>39346.461238425924</v>
      </c>
      <c r="BI298" s="22">
        <v>39549.294907407406</v>
      </c>
      <c r="BL298">
        <v>14599</v>
      </c>
      <c r="BM298">
        <v>1152294</v>
      </c>
      <c r="BN298" t="s">
        <v>5540</v>
      </c>
      <c r="BO298" s="17">
        <f t="shared" ca="1" si="4"/>
        <v>202.84816747685545</v>
      </c>
      <c r="BP298" t="b">
        <v>0</v>
      </c>
      <c r="BQ298">
        <v>1</v>
      </c>
      <c r="BR298" t="s">
        <v>1686</v>
      </c>
      <c r="BS298" t="s">
        <v>2529</v>
      </c>
      <c r="BT298" t="b">
        <v>0</v>
      </c>
      <c r="BU298" t="s">
        <v>3856</v>
      </c>
      <c r="BV298" t="s">
        <v>1668</v>
      </c>
      <c r="BW298">
        <v>11610</v>
      </c>
      <c r="BY298">
        <v>0</v>
      </c>
      <c r="BZ298" t="s">
        <v>1813</v>
      </c>
      <c r="CA298">
        <v>1</v>
      </c>
      <c r="CB298" t="b">
        <v>1</v>
      </c>
      <c r="CC298">
        <v>0</v>
      </c>
      <c r="CD298" t="b">
        <v>0</v>
      </c>
      <c r="CE298" t="b">
        <v>0</v>
      </c>
      <c r="CF298" t="b">
        <v>1</v>
      </c>
      <c r="CG298" t="s">
        <v>1870</v>
      </c>
      <c r="CH298" t="s">
        <v>1681</v>
      </c>
      <c r="CI298" s="10">
        <v>729950</v>
      </c>
    </row>
    <row r="299" spans="1:89">
      <c r="A299">
        <v>27173156</v>
      </c>
      <c r="B299" s="2" t="str">
        <f>HYPERLINK("http://www.redfin.com/stingray/do/printable-listing?listing-id=1152690","Active")</f>
        <v>Active</v>
      </c>
      <c r="D299" t="s">
        <v>184</v>
      </c>
      <c r="E299" t="s">
        <v>651</v>
      </c>
      <c r="F299">
        <v>399975</v>
      </c>
      <c r="G299">
        <v>1956</v>
      </c>
      <c r="H299">
        <v>2012</v>
      </c>
      <c r="I299">
        <v>8160</v>
      </c>
      <c r="J299">
        <v>4</v>
      </c>
      <c r="K299">
        <v>1.5</v>
      </c>
      <c r="M299" s="2" t="str">
        <f>HYPERLINK("http://maps.live.com/default.aspx?v=2&amp;lvl=15&amp;sp=Point.47.71785_-122.315855_1100 NE 123rd St&amp;cp=47.71785~-122.315855","Map")</f>
        <v>Map</v>
      </c>
      <c r="N299" s="2" t="str">
        <f>HYPERLINK("http://i-0.rfimg.us/photo/1/bigphoto/156/27173156_3.jpg","Photo")</f>
        <v>Photo</v>
      </c>
      <c r="AG299">
        <v>47.717849999999999</v>
      </c>
      <c r="AH299">
        <v>-122.315855</v>
      </c>
      <c r="AI299" t="s">
        <v>66</v>
      </c>
      <c r="AJ299">
        <v>98125</v>
      </c>
      <c r="AN299">
        <v>143000</v>
      </c>
      <c r="BC299" s="22">
        <v>39346.548263888886</v>
      </c>
      <c r="BI299" s="7">
        <v>39536</v>
      </c>
      <c r="BL299">
        <v>8000</v>
      </c>
      <c r="BM299">
        <v>1152690</v>
      </c>
      <c r="BN299" t="s">
        <v>2530</v>
      </c>
      <c r="BO299" s="17">
        <f t="shared" ca="1" si="4"/>
        <v>202.76114201389282</v>
      </c>
      <c r="BP299" t="b">
        <v>0</v>
      </c>
      <c r="BQ299">
        <v>1</v>
      </c>
      <c r="BR299" t="s">
        <v>1686</v>
      </c>
      <c r="BS299" t="s">
        <v>2882</v>
      </c>
      <c r="BT299" t="b">
        <v>0</v>
      </c>
      <c r="BU299" t="s">
        <v>1738</v>
      </c>
      <c r="BV299" t="s">
        <v>1668</v>
      </c>
      <c r="BW299">
        <v>1100</v>
      </c>
      <c r="BY299">
        <v>105808</v>
      </c>
      <c r="BZ299" t="s">
        <v>3044</v>
      </c>
      <c r="CA299">
        <v>1</v>
      </c>
      <c r="CB299" t="b">
        <v>1</v>
      </c>
      <c r="CC299">
        <v>0</v>
      </c>
      <c r="CD299" t="b">
        <v>1</v>
      </c>
      <c r="CE299" t="b">
        <v>0</v>
      </c>
      <c r="CF299" t="b">
        <v>1</v>
      </c>
      <c r="CG299">
        <v>2988269</v>
      </c>
      <c r="CH299" t="s">
        <v>1681</v>
      </c>
      <c r="CI299" s="10">
        <v>399975</v>
      </c>
      <c r="CJ299" s="7">
        <v>34150</v>
      </c>
      <c r="CK299" t="s">
        <v>2922</v>
      </c>
    </row>
    <row r="300" spans="1:89">
      <c r="A300">
        <v>27173473</v>
      </c>
      <c r="B300" s="2" t="str">
        <f>HYPERLINK("http://www.redfin.com/stingray/do/printable-listing?listing-id=1154088","Subject To Inspection")</f>
        <v>Subject To Inspection</v>
      </c>
      <c r="D300" t="s">
        <v>919</v>
      </c>
      <c r="E300" t="s">
        <v>2883</v>
      </c>
      <c r="F300">
        <v>383900</v>
      </c>
      <c r="G300">
        <v>2007</v>
      </c>
      <c r="H300">
        <v>1680</v>
      </c>
      <c r="I300">
        <v>0</v>
      </c>
      <c r="J300">
        <v>3</v>
      </c>
      <c r="K300">
        <v>3.5</v>
      </c>
      <c r="M300" s="2" t="str">
        <f>HYPERLINK("http://maps.live.com/default.aspx?v=2&amp;lvl=15&amp;sp=Point.47.717463_-122.317057_1023 NE 123rd nA&amp;cp=47.717463~-122.317057","Map")</f>
        <v>Map</v>
      </c>
      <c r="N300" s="2" t="str">
        <f>HYPERLINK("http://i-0.rfimg.us/photo/1/bigphoto/473/27173473_0.jpg","Photo")</f>
        <v>Photo</v>
      </c>
      <c r="AG300">
        <v>47.717463000000002</v>
      </c>
      <c r="AH300">
        <v>-122.31705700000001</v>
      </c>
      <c r="AI300" t="s">
        <v>66</v>
      </c>
      <c r="AJ300">
        <v>98125</v>
      </c>
      <c r="AM300" t="s">
        <v>1722</v>
      </c>
      <c r="BC300" s="22">
        <v>39346.745983796296</v>
      </c>
      <c r="BI300" s="7">
        <v>39533</v>
      </c>
      <c r="BL300">
        <v>7678</v>
      </c>
      <c r="BM300">
        <v>1154088</v>
      </c>
      <c r="BN300" t="s">
        <v>1675</v>
      </c>
      <c r="BO300" s="17">
        <f t="shared" ca="1" si="4"/>
        <v>202.5634221064829</v>
      </c>
      <c r="BP300" t="b">
        <v>0</v>
      </c>
      <c r="BQ300">
        <v>2</v>
      </c>
      <c r="BS300" t="s">
        <v>2882</v>
      </c>
      <c r="BT300" t="b">
        <v>0</v>
      </c>
      <c r="BU300" t="s">
        <v>1738</v>
      </c>
      <c r="BV300" t="s">
        <v>1668</v>
      </c>
      <c r="BW300">
        <v>1023</v>
      </c>
      <c r="BY300">
        <v>12175049</v>
      </c>
      <c r="BZ300" s="21">
        <v>0</v>
      </c>
      <c r="CA300">
        <v>1</v>
      </c>
      <c r="CB300" t="b">
        <v>1</v>
      </c>
      <c r="CC300">
        <v>0</v>
      </c>
      <c r="CD300" t="b">
        <v>0</v>
      </c>
      <c r="CE300" t="b">
        <v>0</v>
      </c>
      <c r="CF300" t="b">
        <v>1</v>
      </c>
      <c r="CG300">
        <v>15405657</v>
      </c>
      <c r="CH300" t="s">
        <v>1681</v>
      </c>
      <c r="CI300" s="10">
        <v>383900</v>
      </c>
    </row>
    <row r="301" spans="1:89">
      <c r="A301">
        <v>27173474</v>
      </c>
      <c r="B301" s="2" t="str">
        <f>HYPERLINK("http://www.redfin.com/stingray/do/printable-listing?listing-id=1154087","Active")</f>
        <v>Active</v>
      </c>
      <c r="D301" t="s">
        <v>919</v>
      </c>
      <c r="E301" t="s">
        <v>2881</v>
      </c>
      <c r="F301">
        <v>359950</v>
      </c>
      <c r="G301">
        <v>2008</v>
      </c>
      <c r="H301">
        <v>1680</v>
      </c>
      <c r="I301">
        <v>0</v>
      </c>
      <c r="J301">
        <v>3</v>
      </c>
      <c r="K301">
        <v>3.5</v>
      </c>
      <c r="M301" s="2" t="str">
        <f>HYPERLINK("http://maps.live.com/default.aspx?v=2&amp;lvl=15&amp;sp=Point.47.717463_-122.317057_1023 NE 123rd nB&amp;cp=47.717463~-122.317057","Map")</f>
        <v>Map</v>
      </c>
      <c r="N301" s="2" t="str">
        <f>HYPERLINK("http://i-0.rfimg.us/photo/1/bigphoto/474/27173474_2.jpg","Photo")</f>
        <v>Photo</v>
      </c>
      <c r="AG301">
        <v>47.717463000000002</v>
      </c>
      <c r="AH301">
        <v>-122.31705700000001</v>
      </c>
      <c r="AI301" t="s">
        <v>66</v>
      </c>
      <c r="AJ301">
        <v>98125</v>
      </c>
      <c r="AM301" t="s">
        <v>1699</v>
      </c>
      <c r="BC301" s="22">
        <v>39346.74590277778</v>
      </c>
      <c r="BI301" s="22">
        <v>39549.294907407406</v>
      </c>
      <c r="BL301">
        <v>7199</v>
      </c>
      <c r="BM301">
        <v>1154087</v>
      </c>
      <c r="BN301" t="s">
        <v>1675</v>
      </c>
      <c r="BO301" s="17">
        <f t="shared" ca="1" si="4"/>
        <v>202.56350312499853</v>
      </c>
      <c r="BP301" t="b">
        <v>0</v>
      </c>
      <c r="BQ301">
        <v>1</v>
      </c>
      <c r="BS301" t="s">
        <v>2882</v>
      </c>
      <c r="BT301" t="b">
        <v>0</v>
      </c>
      <c r="BU301" t="s">
        <v>1738</v>
      </c>
      <c r="BV301" t="s">
        <v>1668</v>
      </c>
      <c r="BW301">
        <v>1023</v>
      </c>
      <c r="BY301">
        <v>12175050</v>
      </c>
      <c r="BZ301" t="s">
        <v>1734</v>
      </c>
      <c r="CA301">
        <v>1</v>
      </c>
      <c r="CB301" t="b">
        <v>1</v>
      </c>
      <c r="CC301">
        <v>0</v>
      </c>
      <c r="CD301" t="b">
        <v>0</v>
      </c>
      <c r="CE301" t="b">
        <v>0</v>
      </c>
      <c r="CF301" t="b">
        <v>1</v>
      </c>
      <c r="CG301">
        <v>15405657</v>
      </c>
      <c r="CH301" t="s">
        <v>1681</v>
      </c>
      <c r="CI301" s="10">
        <v>359950</v>
      </c>
    </row>
    <row r="302" spans="1:89">
      <c r="A302">
        <v>27173656</v>
      </c>
      <c r="B302" s="2" t="str">
        <f>HYPERLINK("http://www.redfin.com/stingray/do/printable-listing?listing-id=1156101","Active")</f>
        <v>Active</v>
      </c>
      <c r="D302" t="s">
        <v>60</v>
      </c>
      <c r="E302" t="s">
        <v>2348</v>
      </c>
      <c r="F302">
        <v>689950</v>
      </c>
      <c r="G302">
        <v>2007</v>
      </c>
      <c r="H302">
        <v>1571</v>
      </c>
      <c r="I302">
        <v>0</v>
      </c>
      <c r="J302">
        <v>2</v>
      </c>
      <c r="K302">
        <v>2.25</v>
      </c>
      <c r="M302" s="2" t="str">
        <f>HYPERLINK("http://maps.live.com/default.aspx?v=2&amp;lvl=15&amp;sp=Point.47.687296_-122.337961_8015 Densmore Ave N nB&amp;cp=47.687296~-122.337961","Map")</f>
        <v>Map</v>
      </c>
      <c r="N302" s="2" t="str">
        <f>HYPERLINK("http://i-0.rfimg.us/photo/1/bigphoto/656/27173656_1.jpg","Photo")</f>
        <v>Photo</v>
      </c>
      <c r="AG302">
        <v>47.687296000000003</v>
      </c>
      <c r="AH302">
        <v>-122.33796100000001</v>
      </c>
      <c r="AI302" t="s">
        <v>66</v>
      </c>
      <c r="AJ302">
        <v>98103</v>
      </c>
      <c r="AM302" t="s">
        <v>1699</v>
      </c>
      <c r="BC302" s="22">
        <v>39347.503310185188</v>
      </c>
      <c r="BI302" s="22">
        <v>39549.294907407406</v>
      </c>
      <c r="BL302">
        <v>13799</v>
      </c>
      <c r="BM302">
        <v>1156101</v>
      </c>
      <c r="BN302" t="s">
        <v>1768</v>
      </c>
      <c r="BO302" s="17">
        <f t="shared" ca="1" si="4"/>
        <v>201.80609583332989</v>
      </c>
      <c r="BP302" t="b">
        <v>0</v>
      </c>
      <c r="BQ302">
        <v>1</v>
      </c>
      <c r="BR302" t="s">
        <v>1667</v>
      </c>
      <c r="BS302" t="s">
        <v>2349</v>
      </c>
      <c r="BT302" t="b">
        <v>0</v>
      </c>
      <c r="BV302" t="s">
        <v>1668</v>
      </c>
      <c r="BW302">
        <v>8015</v>
      </c>
      <c r="BX302" t="s">
        <v>1712</v>
      </c>
      <c r="BY302">
        <v>12322079</v>
      </c>
      <c r="BZ302" t="s">
        <v>1742</v>
      </c>
      <c r="CA302">
        <v>1</v>
      </c>
      <c r="CB302" t="b">
        <v>1</v>
      </c>
      <c r="CC302">
        <v>0</v>
      </c>
      <c r="CD302" t="b">
        <v>0</v>
      </c>
      <c r="CE302" t="b">
        <v>0</v>
      </c>
      <c r="CF302" t="b">
        <v>1</v>
      </c>
      <c r="CG302">
        <v>15528115</v>
      </c>
      <c r="CH302" t="s">
        <v>1681</v>
      </c>
      <c r="CI302" s="10">
        <v>689950</v>
      </c>
    </row>
    <row r="303" spans="1:89">
      <c r="A303">
        <v>27173771</v>
      </c>
      <c r="B303" s="2" t="str">
        <f>HYPERLINK("http://www.redfin.com/stingray/do/printable-listing?listing-id=1156433","Active")</f>
        <v>Active</v>
      </c>
      <c r="D303" t="s">
        <v>109</v>
      </c>
      <c r="E303" t="s">
        <v>2482</v>
      </c>
      <c r="F303" s="19">
        <v>669500</v>
      </c>
      <c r="G303">
        <v>2007</v>
      </c>
      <c r="H303">
        <v>1528</v>
      </c>
      <c r="I303">
        <v>0</v>
      </c>
      <c r="J303">
        <v>2</v>
      </c>
      <c r="K303">
        <v>2.25</v>
      </c>
      <c r="M303" s="2" t="str">
        <f>HYPERLINK("http://maps.live.com/default.aspx?v=2&amp;lvl=15&amp;sp=Point.47.662305_-122.33403_4603 Meridian Ave N&amp;cp=47.662305~-122.33403","Map")</f>
        <v>Map</v>
      </c>
      <c r="N303" s="2" t="str">
        <f>HYPERLINK("http://i-0.rfimg.us/photo/1/bigphoto/771/27173771_0.jpg","Photo")</f>
        <v>Photo</v>
      </c>
      <c r="AG303">
        <v>47.662305000000003</v>
      </c>
      <c r="AH303">
        <v>-122.33403</v>
      </c>
      <c r="AI303" t="s">
        <v>66</v>
      </c>
      <c r="AJ303">
        <v>98103</v>
      </c>
      <c r="AN303">
        <v>421700</v>
      </c>
      <c r="BC303" s="22">
        <v>39347.739085648151</v>
      </c>
      <c r="BI303" s="22">
        <v>39549.294907407406</v>
      </c>
      <c r="BL303">
        <v>13590</v>
      </c>
      <c r="BM303">
        <v>1156433</v>
      </c>
      <c r="BN303" t="s">
        <v>1678</v>
      </c>
      <c r="BO303" s="17">
        <f t="shared" ca="1" si="4"/>
        <v>201.57032037036697</v>
      </c>
      <c r="BP303" t="b">
        <v>0</v>
      </c>
      <c r="BQ303">
        <v>1</v>
      </c>
      <c r="BR303" t="s">
        <v>1667</v>
      </c>
      <c r="BS303" t="s">
        <v>2413</v>
      </c>
      <c r="BT303" t="b">
        <v>0</v>
      </c>
      <c r="BV303" t="s">
        <v>1668</v>
      </c>
      <c r="BW303">
        <v>4603</v>
      </c>
      <c r="BX303" t="s">
        <v>1712</v>
      </c>
      <c r="BY303">
        <v>117677</v>
      </c>
      <c r="BZ303" t="s">
        <v>1672</v>
      </c>
      <c r="CA303">
        <v>1</v>
      </c>
      <c r="CB303" t="b">
        <v>1</v>
      </c>
      <c r="CC303">
        <v>0</v>
      </c>
      <c r="CD303" t="b">
        <v>0</v>
      </c>
      <c r="CE303" t="b">
        <v>0</v>
      </c>
      <c r="CF303" t="b">
        <v>1</v>
      </c>
      <c r="CG303">
        <v>2622846</v>
      </c>
      <c r="CH303" t="s">
        <v>1681</v>
      </c>
      <c r="CI303" s="10">
        <v>679500</v>
      </c>
      <c r="CJ303" s="7">
        <v>38051</v>
      </c>
    </row>
    <row r="304" spans="1:89">
      <c r="A304">
        <v>27173776</v>
      </c>
      <c r="B304" s="2" t="str">
        <f>HYPERLINK("http://www.redfin.com/stingray/do/printable-listing?listing-id=1156434","Active")</f>
        <v>Active</v>
      </c>
      <c r="D304" t="s">
        <v>109</v>
      </c>
      <c r="E304" t="s">
        <v>2481</v>
      </c>
      <c r="F304" s="19">
        <v>699500</v>
      </c>
      <c r="G304">
        <v>2007</v>
      </c>
      <c r="H304">
        <v>1666</v>
      </c>
      <c r="I304">
        <v>0</v>
      </c>
      <c r="J304">
        <v>2</v>
      </c>
      <c r="K304">
        <v>3.25</v>
      </c>
      <c r="M304" s="2" t="str">
        <f>HYPERLINK("http://maps.live.com/default.aspx?v=2&amp;lvl=15&amp;sp=Point.47.662237_-122.334727_1924 N 46th St&amp;cp=47.662237~-122.334727","Map")</f>
        <v>Map</v>
      </c>
      <c r="N304" s="2" t="str">
        <f>HYPERLINK("http://i-0.rfimg.us/photo/1/bigphoto/776/27173776_0.jpg","Photo")</f>
        <v>Photo</v>
      </c>
      <c r="AG304">
        <v>47.662236999999998</v>
      </c>
      <c r="AH304">
        <v>-122.334727</v>
      </c>
      <c r="AI304" t="s">
        <v>66</v>
      </c>
      <c r="AJ304">
        <v>98103</v>
      </c>
      <c r="BC304" s="22">
        <v>39347.739085648151</v>
      </c>
      <c r="BI304" s="22">
        <v>39549.294907407406</v>
      </c>
      <c r="BL304">
        <v>14490</v>
      </c>
      <c r="BM304">
        <v>1156434</v>
      </c>
      <c r="BN304" t="s">
        <v>1678</v>
      </c>
      <c r="BO304" s="17">
        <f t="shared" ca="1" si="4"/>
        <v>201.57032037036697</v>
      </c>
      <c r="BP304" t="b">
        <v>0</v>
      </c>
      <c r="BQ304">
        <v>1</v>
      </c>
      <c r="BR304" t="s">
        <v>1686</v>
      </c>
      <c r="BS304" t="s">
        <v>2471</v>
      </c>
      <c r="BT304" t="b">
        <v>0</v>
      </c>
      <c r="BU304" t="s">
        <v>1712</v>
      </c>
      <c r="BV304" t="s">
        <v>1668</v>
      </c>
      <c r="BW304">
        <v>1924</v>
      </c>
      <c r="BY304">
        <v>12174386</v>
      </c>
      <c r="BZ304" t="s">
        <v>1672</v>
      </c>
      <c r="CA304">
        <v>1</v>
      </c>
      <c r="CB304" t="b">
        <v>1</v>
      </c>
      <c r="CC304">
        <v>0</v>
      </c>
      <c r="CD304" t="b">
        <v>0</v>
      </c>
      <c r="CE304" t="b">
        <v>0</v>
      </c>
      <c r="CF304" t="b">
        <v>1</v>
      </c>
      <c r="CG304">
        <v>15404993</v>
      </c>
      <c r="CH304" t="s">
        <v>1681</v>
      </c>
      <c r="CI304" s="10">
        <v>724500</v>
      </c>
    </row>
    <row r="305" spans="1:89">
      <c r="A305">
        <v>27173777</v>
      </c>
      <c r="B305" s="2" t="str">
        <f>HYPERLINK("http://www.redfin.com/stingray/do/printable-listing?listing-id=1156450","Active")</f>
        <v>Active</v>
      </c>
      <c r="D305" t="s">
        <v>109</v>
      </c>
      <c r="E305" t="s">
        <v>2480</v>
      </c>
      <c r="F305" s="19">
        <v>689500</v>
      </c>
      <c r="G305">
        <v>2007</v>
      </c>
      <c r="H305">
        <v>1610</v>
      </c>
      <c r="I305">
        <v>0</v>
      </c>
      <c r="J305">
        <v>3</v>
      </c>
      <c r="K305">
        <v>3.5</v>
      </c>
      <c r="M305" s="2" t="str">
        <f>HYPERLINK("http://maps.live.com/default.aspx?v=2&amp;lvl=15&amp;sp=Point.47.662237_-122.334749_1922 N 46th St&amp;cp=47.662237~-122.334749","Map")</f>
        <v>Map</v>
      </c>
      <c r="N305" s="2" t="str">
        <f>HYPERLINK("http://i-0.rfimg.us/photo/1/bigphoto/777/27173777_0.jpg","Photo")</f>
        <v>Photo</v>
      </c>
      <c r="AG305">
        <v>47.662236999999998</v>
      </c>
      <c r="AH305">
        <v>-122.334749</v>
      </c>
      <c r="AI305" t="s">
        <v>66</v>
      </c>
      <c r="AJ305">
        <v>98103</v>
      </c>
      <c r="BC305" s="22">
        <v>39347.758217592593</v>
      </c>
      <c r="BI305" s="22">
        <v>39549.294907407406</v>
      </c>
      <c r="BL305">
        <v>14190</v>
      </c>
      <c r="BM305">
        <v>1156450</v>
      </c>
      <c r="BN305" t="s">
        <v>1678</v>
      </c>
      <c r="BO305" s="17">
        <f t="shared" ca="1" si="4"/>
        <v>201.55118842592492</v>
      </c>
      <c r="BP305" t="b">
        <v>0</v>
      </c>
      <c r="BQ305">
        <v>1</v>
      </c>
      <c r="BR305" t="s">
        <v>1686</v>
      </c>
      <c r="BS305" t="s">
        <v>2471</v>
      </c>
      <c r="BT305" t="b">
        <v>0</v>
      </c>
      <c r="BU305" t="s">
        <v>1712</v>
      </c>
      <c r="BV305" t="s">
        <v>1668</v>
      </c>
      <c r="BW305">
        <v>1922</v>
      </c>
      <c r="BY305">
        <v>12174387</v>
      </c>
      <c r="BZ305" t="s">
        <v>1672</v>
      </c>
      <c r="CA305">
        <v>1</v>
      </c>
      <c r="CB305" t="b">
        <v>1</v>
      </c>
      <c r="CC305">
        <v>0</v>
      </c>
      <c r="CD305" t="b">
        <v>0</v>
      </c>
      <c r="CE305" t="b">
        <v>0</v>
      </c>
      <c r="CF305" t="b">
        <v>1</v>
      </c>
      <c r="CG305">
        <v>15404994</v>
      </c>
      <c r="CH305" t="s">
        <v>1681</v>
      </c>
      <c r="CI305" s="10">
        <v>709500</v>
      </c>
    </row>
    <row r="306" spans="1:89">
      <c r="A306">
        <v>27173781</v>
      </c>
      <c r="B306" s="2" t="str">
        <f>HYPERLINK("http://www.redfin.com/stingray/do/printable-listing?listing-id=1156453","Active")</f>
        <v>Active</v>
      </c>
      <c r="D306" t="s">
        <v>109</v>
      </c>
      <c r="E306" t="s">
        <v>2479</v>
      </c>
      <c r="F306" s="19">
        <v>709500</v>
      </c>
      <c r="G306">
        <v>2007</v>
      </c>
      <c r="H306">
        <v>1572</v>
      </c>
      <c r="I306">
        <v>0</v>
      </c>
      <c r="J306">
        <v>3</v>
      </c>
      <c r="K306">
        <v>3.5</v>
      </c>
      <c r="M306" s="2" t="str">
        <f>HYPERLINK("http://maps.live.com/default.aspx?v=2&amp;lvl=15&amp;sp=Point.47.662237_-122.334771_1920 N 46th St&amp;cp=47.662237~-122.334771","Map")</f>
        <v>Map</v>
      </c>
      <c r="N306" s="2" t="str">
        <f>HYPERLINK("http://i-0.rfimg.us/photo/1/bigphoto/781/27173781_0.jpg","Photo")</f>
        <v>Photo</v>
      </c>
      <c r="AG306">
        <v>47.662236999999998</v>
      </c>
      <c r="AH306">
        <v>-122.334771</v>
      </c>
      <c r="AI306" t="s">
        <v>66</v>
      </c>
      <c r="AJ306">
        <v>98103</v>
      </c>
      <c r="BC306" s="22">
        <v>39347.765648148146</v>
      </c>
      <c r="BI306" s="22">
        <v>39549.294907407406</v>
      </c>
      <c r="BL306">
        <v>14590</v>
      </c>
      <c r="BM306">
        <v>1156453</v>
      </c>
      <c r="BN306" t="s">
        <v>1678</v>
      </c>
      <c r="BO306" s="17">
        <f t="shared" ca="1" si="4"/>
        <v>201.54375787037134</v>
      </c>
      <c r="BP306" t="b">
        <v>0</v>
      </c>
      <c r="BQ306">
        <v>1</v>
      </c>
      <c r="BR306" t="s">
        <v>1686</v>
      </c>
      <c r="BS306" t="s">
        <v>2471</v>
      </c>
      <c r="BT306" t="b">
        <v>0</v>
      </c>
      <c r="BU306" t="s">
        <v>1712</v>
      </c>
      <c r="BV306" t="s">
        <v>1668</v>
      </c>
      <c r="BW306">
        <v>1920</v>
      </c>
      <c r="BY306">
        <v>12174388</v>
      </c>
      <c r="BZ306" t="s">
        <v>1745</v>
      </c>
      <c r="CA306">
        <v>1</v>
      </c>
      <c r="CB306" t="b">
        <v>1</v>
      </c>
      <c r="CC306">
        <v>0</v>
      </c>
      <c r="CD306" t="b">
        <v>0</v>
      </c>
      <c r="CE306" t="b">
        <v>0</v>
      </c>
      <c r="CF306" t="b">
        <v>1</v>
      </c>
      <c r="CG306">
        <v>15404995</v>
      </c>
      <c r="CH306" t="s">
        <v>1681</v>
      </c>
      <c r="CI306" s="10">
        <v>729500</v>
      </c>
    </row>
    <row r="307" spans="1:89">
      <c r="A307">
        <v>27174362</v>
      </c>
      <c r="B307" s="2" t="str">
        <f>HYPERLINK("http://www.redfin.com/stingray/do/printable-listing?listing-id=1159456","Active")</f>
        <v>Active</v>
      </c>
      <c r="D307" t="s">
        <v>369</v>
      </c>
      <c r="E307" t="s">
        <v>5494</v>
      </c>
      <c r="F307">
        <v>724500</v>
      </c>
      <c r="G307">
        <v>1989</v>
      </c>
      <c r="H307">
        <v>2540</v>
      </c>
      <c r="I307">
        <v>11016</v>
      </c>
      <c r="J307">
        <v>3</v>
      </c>
      <c r="K307">
        <v>2.5</v>
      </c>
      <c r="M307" s="2" t="str">
        <f>HYPERLINK("http://maps.live.com/default.aspx?v=2&amp;lvl=15&amp;sp=Point.47.567498_-122.132802_15531 SE 43rd Pl&amp;cp=47.567498~-122.132802","Map")</f>
        <v>Map</v>
      </c>
      <c r="N307" s="2" t="str">
        <f>HYPERLINK("http://i-0.rfimg.us/photo/1/bigphoto/362/27174362_6.jpg","Photo")</f>
        <v>Photo</v>
      </c>
      <c r="AG307">
        <v>47.567498000000001</v>
      </c>
      <c r="AH307">
        <v>-122.132802</v>
      </c>
      <c r="AI307" t="s">
        <v>369</v>
      </c>
      <c r="AJ307">
        <v>98006</v>
      </c>
      <c r="AN307">
        <v>490600</v>
      </c>
      <c r="BC307" s="22">
        <v>39349.648252314815</v>
      </c>
      <c r="BI307" s="22">
        <v>39549.294907407406</v>
      </c>
      <c r="BL307">
        <v>14490</v>
      </c>
      <c r="BM307">
        <v>1159456</v>
      </c>
      <c r="BN307" t="s">
        <v>5116</v>
      </c>
      <c r="BO307" s="17">
        <f t="shared" ca="1" si="4"/>
        <v>199.66115358796378</v>
      </c>
      <c r="BP307" t="b">
        <v>0</v>
      </c>
      <c r="BQ307">
        <v>1</v>
      </c>
      <c r="BR307" t="s">
        <v>1842</v>
      </c>
      <c r="BS307" t="s">
        <v>3134</v>
      </c>
      <c r="BT307" t="b">
        <v>0</v>
      </c>
      <c r="BU307" t="s">
        <v>3856</v>
      </c>
      <c r="BV307" t="s">
        <v>1668</v>
      </c>
      <c r="BW307">
        <v>15531</v>
      </c>
      <c r="BY307">
        <v>236294</v>
      </c>
      <c r="BZ307" t="s">
        <v>5495</v>
      </c>
      <c r="CA307">
        <v>1</v>
      </c>
      <c r="CB307" t="b">
        <v>1</v>
      </c>
      <c r="CC307">
        <v>0</v>
      </c>
      <c r="CD307" t="b">
        <v>0</v>
      </c>
      <c r="CE307" t="b">
        <v>0</v>
      </c>
      <c r="CF307" t="b">
        <v>1</v>
      </c>
      <c r="CG307">
        <v>2989738</v>
      </c>
      <c r="CH307" t="s">
        <v>1681</v>
      </c>
      <c r="CI307" s="10">
        <v>724500</v>
      </c>
      <c r="CJ307" s="7">
        <v>37939</v>
      </c>
    </row>
    <row r="308" spans="1:89">
      <c r="A308">
        <v>27174979</v>
      </c>
      <c r="B308" s="2" t="str">
        <f>HYPERLINK("http://www.redfin.com/stingray/do/printable-listing?listing-id=1163040","Active")</f>
        <v>Active</v>
      </c>
      <c r="D308" t="s">
        <v>60</v>
      </c>
      <c r="E308" t="s">
        <v>2663</v>
      </c>
      <c r="F308" s="19">
        <v>799000</v>
      </c>
      <c r="G308">
        <v>1990</v>
      </c>
      <c r="H308">
        <v>3410</v>
      </c>
      <c r="I308">
        <v>3640</v>
      </c>
      <c r="J308">
        <v>3</v>
      </c>
      <c r="K308">
        <v>3.5</v>
      </c>
      <c r="M308" s="2" t="str">
        <f>HYPERLINK("http://maps.live.com/default.aspx?v=2&amp;lvl=15&amp;sp=Point.47.674231_-122.333146_2107 N 63rd St&amp;cp=47.674231~-122.333146","Map")</f>
        <v>Map</v>
      </c>
      <c r="N308" s="2" t="str">
        <f>HYPERLINK("http://i-0.rfimg.us/photo/1/bigphoto/979/27174979_1.jpg","Photo")</f>
        <v>Photo</v>
      </c>
      <c r="AG308">
        <v>47.674230999999999</v>
      </c>
      <c r="AH308">
        <v>-122.333146</v>
      </c>
      <c r="AI308" t="s">
        <v>66</v>
      </c>
      <c r="AJ308">
        <v>98103</v>
      </c>
      <c r="AN308">
        <v>335000</v>
      </c>
      <c r="BC308" s="22">
        <v>39350.876585648148</v>
      </c>
      <c r="BI308" s="22">
        <v>39549.294907407406</v>
      </c>
      <c r="BL308">
        <v>17900</v>
      </c>
      <c r="BM308">
        <v>1163040</v>
      </c>
      <c r="BN308" t="s">
        <v>1744</v>
      </c>
      <c r="BO308" s="17">
        <f t="shared" ca="1" si="4"/>
        <v>198.43282037036988</v>
      </c>
      <c r="BP308" t="b">
        <v>0</v>
      </c>
      <c r="BQ308">
        <v>1</v>
      </c>
      <c r="BR308" t="s">
        <v>1686</v>
      </c>
      <c r="BS308" t="s">
        <v>2529</v>
      </c>
      <c r="BT308" t="b">
        <v>0</v>
      </c>
      <c r="BU308" t="s">
        <v>1712</v>
      </c>
      <c r="BV308" t="s">
        <v>1668</v>
      </c>
      <c r="BW308">
        <v>2107</v>
      </c>
      <c r="BY308">
        <v>304596</v>
      </c>
      <c r="BZ308" t="s">
        <v>1704</v>
      </c>
      <c r="CA308">
        <v>1</v>
      </c>
      <c r="CB308" t="b">
        <v>1</v>
      </c>
      <c r="CC308">
        <v>0</v>
      </c>
      <c r="CD308" t="b">
        <v>0</v>
      </c>
      <c r="CE308" t="b">
        <v>0</v>
      </c>
      <c r="CF308" t="b">
        <v>1</v>
      </c>
      <c r="CG308">
        <v>2806506</v>
      </c>
      <c r="CH308" t="s">
        <v>1681</v>
      </c>
      <c r="CI308" s="10">
        <v>895000</v>
      </c>
      <c r="CJ308" s="7">
        <v>35223</v>
      </c>
    </row>
    <row r="309" spans="1:89">
      <c r="A309">
        <v>27175045</v>
      </c>
      <c r="B309" s="2" t="str">
        <f>HYPERLINK("http://www.redfin.com/stingray/do/printable-listing?listing-id=1168575","Active")</f>
        <v>Active</v>
      </c>
      <c r="D309" t="s">
        <v>369</v>
      </c>
      <c r="E309" t="s">
        <v>5870</v>
      </c>
      <c r="F309">
        <v>725000</v>
      </c>
      <c r="G309">
        <v>1983</v>
      </c>
      <c r="H309">
        <v>0</v>
      </c>
      <c r="I309">
        <v>8728</v>
      </c>
      <c r="J309">
        <v>4</v>
      </c>
      <c r="K309">
        <v>2.5</v>
      </c>
      <c r="M309" s="2" t="str">
        <f>HYPERLINK("http://maps.live.com/default.aspx?v=2&amp;lvl=15&amp;sp=Point.47.545988_-122.14341_14750 SE 63rd Pl&amp;cp=47.545988~-122.14341","Map")</f>
        <v>Map</v>
      </c>
      <c r="N309" s="2" t="str">
        <f>HYPERLINK("http://i-0.rfimg.us/photo/1/bigphoto/045/27175045_1.jpg","Photo")</f>
        <v>Photo</v>
      </c>
      <c r="AG309">
        <v>47.545988000000001</v>
      </c>
      <c r="AH309">
        <v>-122.14341</v>
      </c>
      <c r="AI309" t="s">
        <v>369</v>
      </c>
      <c r="AJ309">
        <v>98006</v>
      </c>
      <c r="AN309">
        <v>109950</v>
      </c>
      <c r="BC309" s="22">
        <v>39352.611909722225</v>
      </c>
      <c r="BI309" s="7">
        <v>39534</v>
      </c>
      <c r="BL309">
        <v>14500</v>
      </c>
      <c r="BM309">
        <v>1168575</v>
      </c>
      <c r="BN309" t="s">
        <v>1725</v>
      </c>
      <c r="BO309" s="17">
        <f t="shared" ca="1" si="4"/>
        <v>196.69749618055357</v>
      </c>
      <c r="BP309" t="b">
        <v>0</v>
      </c>
      <c r="BQ309">
        <v>1</v>
      </c>
      <c r="BR309" t="s">
        <v>1842</v>
      </c>
      <c r="BS309" t="s">
        <v>2529</v>
      </c>
      <c r="BT309" t="b">
        <v>0</v>
      </c>
      <c r="BU309" t="s">
        <v>3856</v>
      </c>
      <c r="BV309" t="s">
        <v>1668</v>
      </c>
      <c r="BW309">
        <v>14750</v>
      </c>
      <c r="BY309">
        <v>239831</v>
      </c>
      <c r="BZ309" t="s">
        <v>1911</v>
      </c>
      <c r="CA309">
        <v>1</v>
      </c>
      <c r="CB309" t="b">
        <v>1</v>
      </c>
      <c r="CC309">
        <v>0</v>
      </c>
      <c r="CD309" t="b">
        <v>0</v>
      </c>
      <c r="CE309" t="b">
        <v>0</v>
      </c>
      <c r="CF309" t="b">
        <v>1</v>
      </c>
      <c r="CG309">
        <v>2459850</v>
      </c>
      <c r="CH309" t="s">
        <v>1681</v>
      </c>
      <c r="CI309" s="10">
        <v>725000</v>
      </c>
      <c r="CJ309" s="7">
        <v>31376</v>
      </c>
    </row>
    <row r="310" spans="1:89">
      <c r="A310">
        <v>27175433</v>
      </c>
      <c r="B310" s="2" t="str">
        <f>HYPERLINK("http://www.redfin.com/stingray/do/printable-listing?listing-id=1178851","Active")</f>
        <v>Active</v>
      </c>
      <c r="D310" t="s">
        <v>2552</v>
      </c>
      <c r="E310" t="s">
        <v>3466</v>
      </c>
      <c r="F310">
        <v>679950</v>
      </c>
      <c r="G310">
        <v>1951</v>
      </c>
      <c r="H310">
        <v>2060</v>
      </c>
      <c r="I310">
        <v>3036</v>
      </c>
      <c r="J310">
        <v>2</v>
      </c>
      <c r="K310">
        <v>2</v>
      </c>
      <c r="M310" s="2" t="str">
        <f>HYPERLINK("http://maps.live.com/default.aspx?v=2&amp;lvl=15&amp;sp=Point.47.650145_-122.410984_3249 42nd Ave W&amp;cp=47.650145~-122.410984","Map")</f>
        <v>Map</v>
      </c>
      <c r="N310" s="2" t="str">
        <f>HYPERLINK("http://i-0.rfimg.us/photo/1/bigphoto/433/27175433_4.jpg","Photo")</f>
        <v>Photo</v>
      </c>
      <c r="AG310">
        <v>47.650145000000002</v>
      </c>
      <c r="AH310">
        <v>-122.410984</v>
      </c>
      <c r="AI310" t="s">
        <v>66</v>
      </c>
      <c r="AJ310">
        <v>98199</v>
      </c>
      <c r="AN310">
        <v>479000</v>
      </c>
      <c r="BC310" s="22">
        <v>39357.453738425924</v>
      </c>
      <c r="BI310" s="22">
        <v>39549.294907407406</v>
      </c>
      <c r="BL310">
        <v>13599</v>
      </c>
      <c r="BM310">
        <v>1178851</v>
      </c>
      <c r="BN310" t="s">
        <v>1749</v>
      </c>
      <c r="BO310" s="17">
        <f t="shared" ca="1" si="4"/>
        <v>191.85566747685516</v>
      </c>
      <c r="BP310" t="b">
        <v>0</v>
      </c>
      <c r="BQ310">
        <v>1</v>
      </c>
      <c r="BR310" t="s">
        <v>1667</v>
      </c>
      <c r="BS310" t="s">
        <v>3371</v>
      </c>
      <c r="BT310" t="b">
        <v>0</v>
      </c>
      <c r="BV310" t="s">
        <v>1668</v>
      </c>
      <c r="BW310">
        <v>3249</v>
      </c>
      <c r="BX310" t="s">
        <v>2423</v>
      </c>
      <c r="BY310">
        <v>125258</v>
      </c>
      <c r="BZ310" t="s">
        <v>3467</v>
      </c>
      <c r="CA310">
        <v>1</v>
      </c>
      <c r="CB310" t="b">
        <v>1</v>
      </c>
      <c r="CC310">
        <v>0</v>
      </c>
      <c r="CD310" t="b">
        <v>0</v>
      </c>
      <c r="CE310" t="b">
        <v>0</v>
      </c>
      <c r="CF310" t="b">
        <v>1</v>
      </c>
      <c r="CG310">
        <v>2350603</v>
      </c>
      <c r="CH310" t="s">
        <v>1681</v>
      </c>
      <c r="CI310" s="10">
        <v>679950</v>
      </c>
      <c r="CJ310" s="7">
        <v>37897</v>
      </c>
    </row>
    <row r="311" spans="1:89">
      <c r="A311">
        <v>27175463</v>
      </c>
      <c r="B311" s="2" t="str">
        <f>HYPERLINK("http://www.redfin.com/stingray/do/printable-listing?listing-id=1164687","Active")</f>
        <v>Active</v>
      </c>
      <c r="D311" t="s">
        <v>3302</v>
      </c>
      <c r="E311" t="s">
        <v>3698</v>
      </c>
      <c r="F311">
        <v>895000</v>
      </c>
      <c r="G311">
        <v>1895</v>
      </c>
      <c r="H311">
        <v>2457</v>
      </c>
      <c r="I311">
        <v>5500</v>
      </c>
      <c r="J311">
        <v>3</v>
      </c>
      <c r="K311">
        <v>2.5</v>
      </c>
      <c r="M311" s="2" t="str">
        <f>HYPERLINK("http://maps.live.com/default.aspx?v=2&amp;lvl=15&amp;sp=Point.47.646229_-122.324415_2819 Franklin Ave E&amp;cp=47.646229~-122.324415","Map")</f>
        <v>Map</v>
      </c>
      <c r="N311" s="2" t="str">
        <f>HYPERLINK("http://i-0.rfimg.us/photo/1/bigphoto/463/27175463_2.jpg","Photo")</f>
        <v>Photo</v>
      </c>
      <c r="AG311">
        <v>47.646228999999998</v>
      </c>
      <c r="AH311">
        <v>-122.324415</v>
      </c>
      <c r="AI311" t="s">
        <v>66</v>
      </c>
      <c r="AJ311">
        <v>98102</v>
      </c>
      <c r="BC311" s="22">
        <v>39351.422719907408</v>
      </c>
      <c r="BI311" s="22">
        <v>39549.294907407406</v>
      </c>
      <c r="BL311">
        <v>17900</v>
      </c>
      <c r="BM311">
        <v>1164687</v>
      </c>
      <c r="BN311" t="s">
        <v>2829</v>
      </c>
      <c r="BO311" s="17">
        <f t="shared" ca="1" si="4"/>
        <v>197.8866859953705</v>
      </c>
      <c r="BP311" t="b">
        <v>0</v>
      </c>
      <c r="BQ311">
        <v>1</v>
      </c>
      <c r="BR311" t="s">
        <v>1667</v>
      </c>
      <c r="BS311" t="s">
        <v>3699</v>
      </c>
      <c r="BT311" t="b">
        <v>0</v>
      </c>
      <c r="BV311" t="s">
        <v>1668</v>
      </c>
      <c r="BW311">
        <v>2819</v>
      </c>
      <c r="BX311" t="s">
        <v>2436</v>
      </c>
      <c r="BY311">
        <v>132025</v>
      </c>
      <c r="BZ311" t="s">
        <v>3537</v>
      </c>
      <c r="CA311">
        <v>1</v>
      </c>
      <c r="CB311" t="b">
        <v>1</v>
      </c>
      <c r="CC311">
        <v>0</v>
      </c>
      <c r="CD311" t="b">
        <v>0</v>
      </c>
      <c r="CE311" t="b">
        <v>0</v>
      </c>
      <c r="CF311" t="b">
        <v>1</v>
      </c>
      <c r="CG311">
        <v>2708981</v>
      </c>
      <c r="CH311" t="s">
        <v>1681</v>
      </c>
      <c r="CI311" s="10">
        <v>895000</v>
      </c>
    </row>
    <row r="312" spans="1:89">
      <c r="A312">
        <v>27175918</v>
      </c>
      <c r="B312" s="2" t="str">
        <f>HYPERLINK("http://www.redfin.com/stingray/do/printable-listing?listing-id=1165705","Active")</f>
        <v>Active</v>
      </c>
      <c r="D312" t="s">
        <v>3959</v>
      </c>
      <c r="E312" t="s">
        <v>4049</v>
      </c>
      <c r="F312">
        <v>299500</v>
      </c>
      <c r="G312">
        <v>1981</v>
      </c>
      <c r="H312">
        <v>1211</v>
      </c>
      <c r="I312">
        <v>0</v>
      </c>
      <c r="J312">
        <v>2</v>
      </c>
      <c r="K312">
        <v>1</v>
      </c>
      <c r="M312" s="2" t="str">
        <f>HYPERLINK("http://maps.live.com/default.aspx?v=2&amp;lvl=15&amp;sp=Point.47.606337_-122.308565_1814 E Jefferson St&amp;cp=47.606337~-122.308565","Map")</f>
        <v>Map</v>
      </c>
      <c r="N312" s="2" t="str">
        <f>HYPERLINK("http://i-0.rfimg.us/photo/1/bigphoto/918/27175918_1.jpg","Photo")</f>
        <v>Photo</v>
      </c>
      <c r="AG312">
        <v>47.606337000000003</v>
      </c>
      <c r="AH312">
        <v>-122.308565</v>
      </c>
      <c r="AI312" t="s">
        <v>66</v>
      </c>
      <c r="AJ312">
        <v>98122</v>
      </c>
      <c r="AN312">
        <v>117000</v>
      </c>
      <c r="BC312" s="22">
        <v>39351.707187499997</v>
      </c>
      <c r="BI312" s="22">
        <v>39549.294907407406</v>
      </c>
      <c r="BL312">
        <v>5985</v>
      </c>
      <c r="BM312">
        <v>1165705</v>
      </c>
      <c r="BN312" t="s">
        <v>1776</v>
      </c>
      <c r="BO312" s="17">
        <f t="shared" ca="1" si="4"/>
        <v>197.60221840278246</v>
      </c>
      <c r="BP312" t="b">
        <v>0</v>
      </c>
      <c r="BQ312">
        <v>1</v>
      </c>
      <c r="BR312" t="s">
        <v>1686</v>
      </c>
      <c r="BS312" t="s">
        <v>4050</v>
      </c>
      <c r="BT312" t="b">
        <v>0</v>
      </c>
      <c r="BU312" t="s">
        <v>2436</v>
      </c>
      <c r="BV312" t="s">
        <v>1668</v>
      </c>
      <c r="BW312">
        <v>1814</v>
      </c>
      <c r="BY312">
        <v>16332</v>
      </c>
      <c r="BZ312" t="s">
        <v>2646</v>
      </c>
      <c r="CA312">
        <v>1</v>
      </c>
      <c r="CB312" t="b">
        <v>1</v>
      </c>
      <c r="CC312">
        <v>0</v>
      </c>
      <c r="CD312" t="b">
        <v>0</v>
      </c>
      <c r="CE312" t="b">
        <v>0</v>
      </c>
      <c r="CF312" t="b">
        <v>1</v>
      </c>
      <c r="CG312">
        <v>2539806</v>
      </c>
      <c r="CH312" t="s">
        <v>1681</v>
      </c>
      <c r="CI312" s="10">
        <v>299500</v>
      </c>
      <c r="CJ312" s="7">
        <v>35725</v>
      </c>
    </row>
    <row r="313" spans="1:89">
      <c r="A313">
        <v>27176208</v>
      </c>
      <c r="B313" s="2" t="str">
        <f>HYPERLINK("http://www.redfin.com/stingray/do/printable-listing?listing-id=1169455","Active")</f>
        <v>Active</v>
      </c>
      <c r="D313" t="s">
        <v>3704</v>
      </c>
      <c r="E313" t="s">
        <v>4116</v>
      </c>
      <c r="F313">
        <v>895000</v>
      </c>
      <c r="G313">
        <v>1941</v>
      </c>
      <c r="H313">
        <v>2410</v>
      </c>
      <c r="I313">
        <v>5000</v>
      </c>
      <c r="J313">
        <v>4</v>
      </c>
      <c r="K313">
        <v>2.5</v>
      </c>
      <c r="M313" s="2" t="str">
        <f>HYPERLINK("http://maps.live.com/default.aspx?v=2&amp;lvl=15&amp;sp=Point.47.627404_-122.322019_916 Harvard Ave E&amp;cp=47.627404~-122.322019","Map")</f>
        <v>Map</v>
      </c>
      <c r="N313" s="2" t="str">
        <f>HYPERLINK("http://i-0.rfimg.us/photo/1/bigphoto/208/27176208_4.jpg","Photo")</f>
        <v>Photo</v>
      </c>
      <c r="AG313">
        <v>47.627403999999999</v>
      </c>
      <c r="AH313">
        <v>-122.322019</v>
      </c>
      <c r="AI313" t="s">
        <v>66</v>
      </c>
      <c r="AJ313">
        <v>98102</v>
      </c>
      <c r="AN313">
        <v>692500</v>
      </c>
      <c r="BC313" s="22">
        <v>39352.942245370374</v>
      </c>
      <c r="BI313" s="22">
        <v>39549.294907407406</v>
      </c>
      <c r="BL313">
        <v>17900</v>
      </c>
      <c r="BM313">
        <v>1169455</v>
      </c>
      <c r="BN313" t="s">
        <v>1744</v>
      </c>
      <c r="BO313" s="17">
        <f t="shared" ca="1" si="4"/>
        <v>196.36716053240525</v>
      </c>
      <c r="BP313" t="b">
        <v>0</v>
      </c>
      <c r="BQ313">
        <v>1</v>
      </c>
      <c r="BR313" t="s">
        <v>1667</v>
      </c>
      <c r="BS313" t="s">
        <v>3737</v>
      </c>
      <c r="BT313" t="b">
        <v>0</v>
      </c>
      <c r="BV313" t="s">
        <v>1668</v>
      </c>
      <c r="BW313">
        <v>916</v>
      </c>
      <c r="BX313" t="s">
        <v>2436</v>
      </c>
      <c r="BY313">
        <v>137443</v>
      </c>
      <c r="BZ313" t="s">
        <v>4117</v>
      </c>
      <c r="CA313">
        <v>1</v>
      </c>
      <c r="CB313" t="b">
        <v>1</v>
      </c>
      <c r="CC313">
        <v>0</v>
      </c>
      <c r="CD313" t="b">
        <v>0</v>
      </c>
      <c r="CE313" t="b">
        <v>0</v>
      </c>
      <c r="CF313" t="b">
        <v>1</v>
      </c>
      <c r="CG313">
        <v>2899913</v>
      </c>
      <c r="CH313" t="s">
        <v>1681</v>
      </c>
      <c r="CI313" s="10">
        <v>895000</v>
      </c>
      <c r="CJ313" s="7">
        <v>37123</v>
      </c>
    </row>
    <row r="314" spans="1:89">
      <c r="A314">
        <v>27176520</v>
      </c>
      <c r="B314" s="2" t="str">
        <f>HYPERLINK("http://www.redfin.com/stingray/do/printable-listing?listing-id=1168672","Active")</f>
        <v>Active</v>
      </c>
      <c r="D314" t="s">
        <v>2552</v>
      </c>
      <c r="E314" t="s">
        <v>3433</v>
      </c>
      <c r="F314">
        <v>1495000</v>
      </c>
      <c r="G314">
        <v>2007</v>
      </c>
      <c r="H314">
        <v>4200</v>
      </c>
      <c r="I314">
        <v>0</v>
      </c>
      <c r="J314">
        <v>4</v>
      </c>
      <c r="K314">
        <v>3.5</v>
      </c>
      <c r="M314" s="2" t="str">
        <f>HYPERLINK("http://maps.live.com/default.aspx?v=2&amp;lvl=15&amp;sp=Point.47.642687_-122.396594_2552 31st Ave W&amp;cp=47.642687~-122.396594","Map")</f>
        <v>Map</v>
      </c>
      <c r="N314" s="2" t="str">
        <f>HYPERLINK("http://i-0.rfimg.us/photo/1/bigphoto/520/27176520_1.jpg","Photo")</f>
        <v>Photo</v>
      </c>
      <c r="AG314">
        <v>47.642687000000002</v>
      </c>
      <c r="AH314">
        <v>-122.39659399999999</v>
      </c>
      <c r="AI314" t="s">
        <v>66</v>
      </c>
      <c r="AJ314">
        <v>98199</v>
      </c>
      <c r="AN314">
        <v>203399</v>
      </c>
      <c r="BC314" s="22">
        <v>39352.670034722221</v>
      </c>
      <c r="BI314" s="22">
        <v>39549.294907407406</v>
      </c>
      <c r="BL314">
        <v>29900</v>
      </c>
      <c r="BM314">
        <v>1168672</v>
      </c>
      <c r="BN314" t="s">
        <v>1823</v>
      </c>
      <c r="BO314" s="17">
        <f t="shared" ca="1" si="4"/>
        <v>196.63937118055765</v>
      </c>
      <c r="BP314" t="b">
        <v>0</v>
      </c>
      <c r="BQ314">
        <v>1</v>
      </c>
      <c r="BR314" t="s">
        <v>1667</v>
      </c>
      <c r="BS314" t="s">
        <v>1732</v>
      </c>
      <c r="BT314" t="b">
        <v>0</v>
      </c>
      <c r="BV314" t="s">
        <v>1668</v>
      </c>
      <c r="BW314">
        <v>2552</v>
      </c>
      <c r="BX314" t="s">
        <v>2423</v>
      </c>
      <c r="BY314">
        <v>127789</v>
      </c>
      <c r="BZ314" t="s">
        <v>1748</v>
      </c>
      <c r="CA314">
        <v>1</v>
      </c>
      <c r="CB314" t="b">
        <v>1</v>
      </c>
      <c r="CC314">
        <v>0</v>
      </c>
      <c r="CD314" t="b">
        <v>0</v>
      </c>
      <c r="CE314" t="b">
        <v>0</v>
      </c>
      <c r="CF314" t="b">
        <v>1</v>
      </c>
      <c r="CG314">
        <v>2905503</v>
      </c>
      <c r="CH314" t="s">
        <v>1681</v>
      </c>
      <c r="CI314" s="10">
        <v>1495000</v>
      </c>
      <c r="CJ314" s="7">
        <v>39094</v>
      </c>
    </row>
    <row r="315" spans="1:89">
      <c r="A315">
        <v>27176670</v>
      </c>
      <c r="B315" s="2" t="str">
        <f>HYPERLINK("http://www.redfin.com/stingray/do/printable-listing?listing-id=1172669","Active")</f>
        <v>Active</v>
      </c>
      <c r="D315" t="s">
        <v>2552</v>
      </c>
      <c r="E315" t="s">
        <v>3453</v>
      </c>
      <c r="F315">
        <v>738000</v>
      </c>
      <c r="G315">
        <v>1962</v>
      </c>
      <c r="H315">
        <v>3220</v>
      </c>
      <c r="I315">
        <v>7000</v>
      </c>
      <c r="J315">
        <v>4</v>
      </c>
      <c r="K315">
        <v>2.75</v>
      </c>
      <c r="M315" s="2" t="str">
        <f>HYPERLINK("http://maps.live.com/default.aspx?v=2&amp;lvl=15&amp;sp=Point.47.64989_-122.386394_3247 23rd Ave W&amp;cp=47.64989~-122.386394","Map")</f>
        <v>Map</v>
      </c>
      <c r="N315" s="2" t="str">
        <f>HYPERLINK("http://i-0.rfimg.us/photo/1/bigphoto/670/27176670_1.jpg","Photo")</f>
        <v>Photo</v>
      </c>
      <c r="AG315">
        <v>47.649889999999999</v>
      </c>
      <c r="AH315">
        <v>-122.386394</v>
      </c>
      <c r="AI315" t="s">
        <v>66</v>
      </c>
      <c r="AJ315">
        <v>98199</v>
      </c>
      <c r="AN315">
        <v>539000</v>
      </c>
      <c r="BC315" s="22">
        <v>39353.76866898148</v>
      </c>
      <c r="BI315" s="7">
        <v>39532</v>
      </c>
      <c r="BL315">
        <v>14760</v>
      </c>
      <c r="BM315">
        <v>1172669</v>
      </c>
      <c r="BN315" t="s">
        <v>1766</v>
      </c>
      <c r="BO315" s="17">
        <f t="shared" ca="1" si="4"/>
        <v>195.54073692129896</v>
      </c>
      <c r="BP315" t="b">
        <v>0</v>
      </c>
      <c r="BQ315">
        <v>1</v>
      </c>
      <c r="BR315" t="s">
        <v>1667</v>
      </c>
      <c r="BS315" t="s">
        <v>1839</v>
      </c>
      <c r="BT315" t="b">
        <v>0</v>
      </c>
      <c r="BV315" t="s">
        <v>1668</v>
      </c>
      <c r="BW315">
        <v>3247</v>
      </c>
      <c r="BX315" t="s">
        <v>2423</v>
      </c>
      <c r="BY315">
        <v>124453</v>
      </c>
      <c r="BZ315" t="s">
        <v>1704</v>
      </c>
      <c r="CA315">
        <v>1</v>
      </c>
      <c r="CB315" t="b">
        <v>1</v>
      </c>
      <c r="CC315">
        <v>0</v>
      </c>
      <c r="CD315" t="b">
        <v>0</v>
      </c>
      <c r="CE315" t="b">
        <v>0</v>
      </c>
      <c r="CF315" t="b">
        <v>1</v>
      </c>
      <c r="CG315">
        <v>2834255</v>
      </c>
      <c r="CH315" t="s">
        <v>1681</v>
      </c>
      <c r="CI315" s="10">
        <v>738000</v>
      </c>
      <c r="CJ315" s="7">
        <v>38484</v>
      </c>
    </row>
    <row r="316" spans="1:89">
      <c r="A316">
        <v>27176949</v>
      </c>
      <c r="B316" s="2" t="str">
        <f>HYPERLINK("http://www.redfin.com/stingray/do/printable-listing?listing-id=1174718","Active")</f>
        <v>Active</v>
      </c>
      <c r="D316" t="s">
        <v>188</v>
      </c>
      <c r="E316" t="s">
        <v>223</v>
      </c>
      <c r="F316" s="19">
        <v>479000</v>
      </c>
      <c r="G316">
        <v>1946</v>
      </c>
      <c r="H316">
        <v>1230</v>
      </c>
      <c r="I316">
        <v>8774</v>
      </c>
      <c r="J316">
        <v>2</v>
      </c>
      <c r="K316">
        <v>1</v>
      </c>
      <c r="M316" s="2" t="str">
        <f>HYPERLINK("http://maps.live.com/default.aspx?v=2&amp;lvl=15&amp;sp=Point.47.715997_-122.28895_12010 36th Ave NE&amp;cp=47.715997~-122.28895","Map")</f>
        <v>Map</v>
      </c>
      <c r="N316" s="2" t="str">
        <f>HYPERLINK("http://i-0.rfimg.us/photo/1/bigphoto/949/27176949_4.jpg","Photo")</f>
        <v>Photo</v>
      </c>
      <c r="AG316">
        <v>47.715997000000002</v>
      </c>
      <c r="AH316">
        <v>-122.28895</v>
      </c>
      <c r="AI316" t="s">
        <v>66</v>
      </c>
      <c r="AJ316">
        <v>98125</v>
      </c>
      <c r="AN316">
        <v>225000</v>
      </c>
      <c r="BC316" s="22">
        <v>39354.64334490741</v>
      </c>
      <c r="BI316" s="22">
        <v>39549.294907407406</v>
      </c>
      <c r="BL316">
        <v>9999</v>
      </c>
      <c r="BM316">
        <v>1174718</v>
      </c>
      <c r="BN316" t="s">
        <v>1710</v>
      </c>
      <c r="BO316" s="17">
        <f t="shared" ca="1" si="4"/>
        <v>194.66606099536875</v>
      </c>
      <c r="BP316" t="b">
        <v>0</v>
      </c>
      <c r="BQ316">
        <v>1</v>
      </c>
      <c r="BR316" t="s">
        <v>1667</v>
      </c>
      <c r="BS316" t="s">
        <v>2911</v>
      </c>
      <c r="BT316" t="b">
        <v>0</v>
      </c>
      <c r="BV316" t="s">
        <v>1668</v>
      </c>
      <c r="BW316">
        <v>12010</v>
      </c>
      <c r="BX316" t="s">
        <v>1738</v>
      </c>
      <c r="BY316">
        <v>112122</v>
      </c>
      <c r="BZ316" t="s">
        <v>2923</v>
      </c>
      <c r="CA316">
        <v>1</v>
      </c>
      <c r="CB316" t="b">
        <v>1</v>
      </c>
      <c r="CC316">
        <v>0</v>
      </c>
      <c r="CD316" t="b">
        <v>0</v>
      </c>
      <c r="CE316" t="b">
        <v>0</v>
      </c>
      <c r="CF316" t="b">
        <v>1</v>
      </c>
      <c r="CG316">
        <v>2421900</v>
      </c>
      <c r="CH316" t="s">
        <v>1681</v>
      </c>
      <c r="CI316" s="10">
        <v>499950</v>
      </c>
      <c r="CJ316" s="7">
        <v>36249</v>
      </c>
      <c r="CK316" t="s">
        <v>2922</v>
      </c>
    </row>
    <row r="317" spans="1:89">
      <c r="A317">
        <v>27177330</v>
      </c>
      <c r="B317" s="2" t="str">
        <f>HYPERLINK("http://www.redfin.com/stingray/do/printable-listing?listing-id=1172856","Active")</f>
        <v>Active</v>
      </c>
      <c r="D317" t="s">
        <v>3064</v>
      </c>
      <c r="E317" t="s">
        <v>3956</v>
      </c>
      <c r="F317">
        <v>564900</v>
      </c>
      <c r="G317">
        <v>2007</v>
      </c>
      <c r="H317">
        <v>3200</v>
      </c>
      <c r="I317">
        <v>0</v>
      </c>
      <c r="J317">
        <v>4</v>
      </c>
      <c r="K317">
        <v>2.5</v>
      </c>
      <c r="M317" s="2" t="str">
        <f>HYPERLINK("http://maps.live.com/default.aspx?v=2&amp;lvl=15&amp;sp=adr.907 Jericho Pl NE (Lot 310) (Unable to map),98059","Map")</f>
        <v>Map</v>
      </c>
      <c r="N317" s="2" t="str">
        <f>HYPERLINK("http://i-0.rfimg.us/photo/1/bigphoto/330/27177330_2.jpg","Photo")</f>
        <v>Photo</v>
      </c>
      <c r="AI317" t="s">
        <v>1077</v>
      </c>
      <c r="AJ317">
        <v>98059</v>
      </c>
      <c r="BC317" s="22">
        <v>39353.829618055555</v>
      </c>
      <c r="BI317" s="22">
        <v>39549.294907407406</v>
      </c>
      <c r="BL317">
        <v>11298</v>
      </c>
      <c r="BM317">
        <v>1172856</v>
      </c>
      <c r="BN317" t="s">
        <v>3236</v>
      </c>
      <c r="BO317" s="17">
        <f t="shared" ca="1" si="4"/>
        <v>195.47978784722363</v>
      </c>
      <c r="BP317" t="b">
        <v>0</v>
      </c>
      <c r="BQ317">
        <v>1</v>
      </c>
      <c r="BS317" t="s">
        <v>3957</v>
      </c>
      <c r="BT317" t="b">
        <v>0</v>
      </c>
      <c r="BV317" t="s">
        <v>1668</v>
      </c>
      <c r="BW317">
        <v>907</v>
      </c>
      <c r="BY317">
        <v>0</v>
      </c>
      <c r="BZ317" t="s">
        <v>2016</v>
      </c>
      <c r="CA317">
        <v>1</v>
      </c>
      <c r="CB317" t="b">
        <v>1</v>
      </c>
      <c r="CC317">
        <v>0</v>
      </c>
      <c r="CD317" t="b">
        <v>0</v>
      </c>
      <c r="CE317" t="b">
        <v>0</v>
      </c>
      <c r="CF317" t="b">
        <v>1</v>
      </c>
      <c r="CG317" t="s">
        <v>1870</v>
      </c>
      <c r="CH317" t="s">
        <v>1681</v>
      </c>
      <c r="CI317" s="10">
        <v>564900</v>
      </c>
    </row>
    <row r="318" spans="1:89">
      <c r="A318">
        <v>27177387</v>
      </c>
      <c r="B318" s="2" t="str">
        <f>HYPERLINK("http://www.redfin.com/stingray/do/printable-listing?listing-id=1173138","Active")</f>
        <v>Active</v>
      </c>
      <c r="D318" t="s">
        <v>3853</v>
      </c>
      <c r="E318" t="s">
        <v>6025</v>
      </c>
      <c r="F318">
        <v>549950</v>
      </c>
      <c r="G318">
        <v>2008</v>
      </c>
      <c r="H318">
        <v>3108</v>
      </c>
      <c r="I318">
        <v>5795</v>
      </c>
      <c r="J318">
        <v>5</v>
      </c>
      <c r="K318">
        <v>2.5</v>
      </c>
      <c r="M318" s="2" t="str">
        <f>HYPERLINK("http://maps.live.com/default.aspx?v=2&amp;lvl=15&amp;sp=Point.47.499513_-122.151096_1010 Hoquiam Ave NE&amp;cp=47.499513~-122.151096","Map")</f>
        <v>Map</v>
      </c>
      <c r="N318" s="2" t="str">
        <f>HYPERLINK("http://i-0.rfimg.us/photo/1/bigphoto/387/27177387_1.jpg","Photo")</f>
        <v>Photo</v>
      </c>
      <c r="AG318">
        <v>47.499513</v>
      </c>
      <c r="AH318">
        <v>-122.151096</v>
      </c>
      <c r="AI318" t="s">
        <v>1077</v>
      </c>
      <c r="AJ318">
        <v>98059</v>
      </c>
      <c r="BC318" s="22">
        <v>39354.046446759261</v>
      </c>
      <c r="BI318" s="22">
        <v>39549.294907407406</v>
      </c>
      <c r="BL318">
        <v>10999</v>
      </c>
      <c r="BM318">
        <v>1173138</v>
      </c>
      <c r="BN318" t="s">
        <v>3236</v>
      </c>
      <c r="BO318" s="17">
        <f t="shared" ca="1" si="4"/>
        <v>195.26295914351795</v>
      </c>
      <c r="BP318" t="b">
        <v>0</v>
      </c>
      <c r="BQ318">
        <v>1</v>
      </c>
      <c r="BR318" t="s">
        <v>1667</v>
      </c>
      <c r="BS318" t="s">
        <v>6026</v>
      </c>
      <c r="BT318" t="b">
        <v>0</v>
      </c>
      <c r="BV318" t="s">
        <v>1668</v>
      </c>
      <c r="BW318">
        <v>1010</v>
      </c>
      <c r="BX318" t="s">
        <v>1738</v>
      </c>
      <c r="BY318">
        <v>12182881</v>
      </c>
      <c r="BZ318" t="s">
        <v>1756</v>
      </c>
      <c r="CA318">
        <v>1</v>
      </c>
      <c r="CB318" t="b">
        <v>1</v>
      </c>
      <c r="CC318">
        <v>0</v>
      </c>
      <c r="CD318" t="b">
        <v>0</v>
      </c>
      <c r="CE318" t="b">
        <v>0</v>
      </c>
      <c r="CF318" t="b">
        <v>1</v>
      </c>
      <c r="CG318">
        <v>15412183</v>
      </c>
      <c r="CH318" t="s">
        <v>1681</v>
      </c>
      <c r="CI318" s="10">
        <v>549950</v>
      </c>
    </row>
    <row r="319" spans="1:89">
      <c r="A319">
        <v>27177623</v>
      </c>
      <c r="B319" s="2" t="str">
        <f>HYPERLINK("http://www.redfin.com/stingray/do/printable-listing?listing-id=1182149","Active")</f>
        <v>Active</v>
      </c>
      <c r="D319" t="s">
        <v>5490</v>
      </c>
      <c r="E319" t="s">
        <v>5872</v>
      </c>
      <c r="F319">
        <v>799000</v>
      </c>
      <c r="G319">
        <v>2000</v>
      </c>
      <c r="H319">
        <v>2980</v>
      </c>
      <c r="I319">
        <v>4930</v>
      </c>
      <c r="J319">
        <v>4</v>
      </c>
      <c r="K319">
        <v>3</v>
      </c>
      <c r="M319" s="2" t="str">
        <f>HYPERLINK("http://maps.live.com/default.aspx?v=2&amp;lvl=15&amp;sp=Point.47.54444_-122.12023_16410 SE 64th Pl&amp;cp=47.54444~-122.12023","Map")</f>
        <v>Map</v>
      </c>
      <c r="N319" s="2" t="str">
        <f>HYPERLINK("http://i-0.rfimg.us/photo/1/bigphoto/623/27177623_1.jpg","Photo")</f>
        <v>Photo</v>
      </c>
      <c r="AG319">
        <v>47.544440000000002</v>
      </c>
      <c r="AH319">
        <v>-122.12023000000001</v>
      </c>
      <c r="AI319" t="s">
        <v>369</v>
      </c>
      <c r="AJ319">
        <v>98006</v>
      </c>
      <c r="AN319">
        <v>524950</v>
      </c>
      <c r="BC319" s="22">
        <v>39358.362962962965</v>
      </c>
      <c r="BI319" s="7">
        <v>39539</v>
      </c>
      <c r="BL319">
        <v>15980</v>
      </c>
      <c r="BM319">
        <v>1182149</v>
      </c>
      <c r="BN319" t="s">
        <v>1737</v>
      </c>
      <c r="BO319" s="17">
        <f t="shared" ca="1" si="4"/>
        <v>190.94644293981401</v>
      </c>
      <c r="BP319" t="b">
        <v>0</v>
      </c>
      <c r="BQ319">
        <v>1</v>
      </c>
      <c r="BR319" t="s">
        <v>1842</v>
      </c>
      <c r="BS319" t="s">
        <v>2405</v>
      </c>
      <c r="BT319" t="b">
        <v>0</v>
      </c>
      <c r="BU319" t="s">
        <v>3856</v>
      </c>
      <c r="BV319" t="s">
        <v>1668</v>
      </c>
      <c r="BW319">
        <v>16410</v>
      </c>
      <c r="BY319">
        <v>419235</v>
      </c>
      <c r="BZ319" t="s">
        <v>1963</v>
      </c>
      <c r="CA319">
        <v>1</v>
      </c>
      <c r="CB319" t="b">
        <v>1</v>
      </c>
      <c r="CC319">
        <v>0</v>
      </c>
      <c r="CD319" t="b">
        <v>0</v>
      </c>
      <c r="CE319" t="b">
        <v>0</v>
      </c>
      <c r="CF319" t="b">
        <v>1</v>
      </c>
      <c r="CG319">
        <v>2430444</v>
      </c>
      <c r="CH319" t="s">
        <v>1681</v>
      </c>
      <c r="CI319" s="10">
        <v>799000</v>
      </c>
      <c r="CJ319" s="7">
        <v>37134</v>
      </c>
    </row>
    <row r="320" spans="1:89">
      <c r="A320">
        <v>27177705</v>
      </c>
      <c r="B320" s="2" t="str">
        <f>HYPERLINK("http://www.redfin.com/stingray/do/printable-listing?listing-id=1176027","Active")</f>
        <v>Active</v>
      </c>
      <c r="D320" t="s">
        <v>3249</v>
      </c>
      <c r="E320" t="s">
        <v>3347</v>
      </c>
      <c r="F320">
        <v>1299000</v>
      </c>
      <c r="G320">
        <v>2007</v>
      </c>
      <c r="H320">
        <v>3500</v>
      </c>
      <c r="I320">
        <v>0</v>
      </c>
      <c r="J320">
        <v>4</v>
      </c>
      <c r="K320">
        <v>3.5</v>
      </c>
      <c r="M320" s="2" t="str">
        <f>HYPERLINK("http://maps.live.com/default.aspx?v=2&amp;lvl=15&amp;sp=Point.47.640296_-122.35998_2423 2nd Ave W&amp;cp=47.640296~-122.35998","Map")</f>
        <v>Map</v>
      </c>
      <c r="N320" s="2" t="str">
        <f>HYPERLINK("http://i-0.rfimg.us/photo/1/bigphoto/705/27177705_5.jpg","Photo")</f>
        <v>Photo</v>
      </c>
      <c r="AG320">
        <v>47.640295999999999</v>
      </c>
      <c r="AH320">
        <v>-122.35997999999999</v>
      </c>
      <c r="AI320" t="s">
        <v>66</v>
      </c>
      <c r="AJ320">
        <v>98119</v>
      </c>
      <c r="AN320">
        <v>459000</v>
      </c>
      <c r="BC320" s="22">
        <v>39355.506608796299</v>
      </c>
      <c r="BI320" s="22">
        <v>39549.294907407406</v>
      </c>
      <c r="BL320">
        <v>25980</v>
      </c>
      <c r="BM320">
        <v>1176027</v>
      </c>
      <c r="BN320" t="s">
        <v>3286</v>
      </c>
      <c r="BO320" s="17">
        <f t="shared" ca="1" si="4"/>
        <v>193.80279710648028</v>
      </c>
      <c r="BP320" t="b">
        <v>0</v>
      </c>
      <c r="BQ320">
        <v>1</v>
      </c>
      <c r="BR320" t="s">
        <v>1667</v>
      </c>
      <c r="BS320" t="s">
        <v>1958</v>
      </c>
      <c r="BT320" t="b">
        <v>0</v>
      </c>
      <c r="BV320" t="s">
        <v>1668</v>
      </c>
      <c r="BW320">
        <v>2423</v>
      </c>
      <c r="BX320" t="s">
        <v>2423</v>
      </c>
      <c r="BY320">
        <v>131312</v>
      </c>
      <c r="BZ320" t="s">
        <v>3348</v>
      </c>
      <c r="CA320">
        <v>1</v>
      </c>
      <c r="CB320" t="b">
        <v>1</v>
      </c>
      <c r="CC320">
        <v>0</v>
      </c>
      <c r="CD320" t="b">
        <v>0</v>
      </c>
      <c r="CE320" t="b">
        <v>0</v>
      </c>
      <c r="CF320" t="b">
        <v>1</v>
      </c>
      <c r="CG320">
        <v>2963401</v>
      </c>
      <c r="CH320" t="s">
        <v>1681</v>
      </c>
      <c r="CI320" s="10">
        <v>1299000</v>
      </c>
      <c r="CJ320" s="7">
        <v>38828</v>
      </c>
    </row>
    <row r="321" spans="1:90">
      <c r="A321">
        <v>27177804</v>
      </c>
      <c r="B321" s="2" t="str">
        <f>HYPERLINK("http://www.redfin.com/stingray/do/printable-listing?listing-id=1176156","Active")</f>
        <v>Active</v>
      </c>
      <c r="D321" t="s">
        <v>218</v>
      </c>
      <c r="E321" t="s">
        <v>3155</v>
      </c>
      <c r="F321" s="19">
        <v>539950</v>
      </c>
      <c r="G321">
        <v>1912</v>
      </c>
      <c r="H321">
        <v>3590</v>
      </c>
      <c r="I321">
        <v>0</v>
      </c>
      <c r="J321">
        <v>5</v>
      </c>
      <c r="K321">
        <v>1.75</v>
      </c>
      <c r="M321" s="2" t="str">
        <f>HYPERLINK("http://maps.live.com/default.aspx?v=2&amp;lvl=15&amp;sp=Point.47.679151_-122.310184_6855 17th Ave NE&amp;cp=47.679151~-122.310184","Map")</f>
        <v>Map</v>
      </c>
      <c r="N321" s="2" t="str">
        <f>HYPERLINK("http://i-0.rfimg.us/photo/1/bigphoto/804/27177804_0.jpg","Photo")</f>
        <v>Photo</v>
      </c>
      <c r="AG321">
        <v>47.679150999999997</v>
      </c>
      <c r="AH321">
        <v>-122.31018400000001</v>
      </c>
      <c r="AI321" t="s">
        <v>66</v>
      </c>
      <c r="AJ321">
        <v>98115</v>
      </c>
      <c r="BC321" s="22">
        <v>39355.707835648151</v>
      </c>
      <c r="BI321" s="22">
        <v>39549.294907407406</v>
      </c>
      <c r="BL321">
        <v>10999</v>
      </c>
      <c r="BM321">
        <v>1176156</v>
      </c>
      <c r="BN321" t="s">
        <v>3154</v>
      </c>
      <c r="BO321" s="17">
        <f t="shared" ca="1" si="4"/>
        <v>193.60157025462831</v>
      </c>
      <c r="BP321" t="b">
        <v>0</v>
      </c>
      <c r="BQ321">
        <v>1</v>
      </c>
      <c r="BR321" t="s">
        <v>1667</v>
      </c>
      <c r="BS321" t="s">
        <v>1683</v>
      </c>
      <c r="BT321" t="b">
        <v>0</v>
      </c>
      <c r="BV321" t="s">
        <v>1668</v>
      </c>
      <c r="BW321">
        <v>6855</v>
      </c>
      <c r="BX321" t="s">
        <v>1738</v>
      </c>
      <c r="BY321">
        <v>309364</v>
      </c>
      <c r="BZ321" t="s">
        <v>1747</v>
      </c>
      <c r="CA321">
        <v>1</v>
      </c>
      <c r="CB321" t="b">
        <v>1</v>
      </c>
      <c r="CC321">
        <v>0</v>
      </c>
      <c r="CD321" t="b">
        <v>0</v>
      </c>
      <c r="CE321" t="b">
        <v>0</v>
      </c>
      <c r="CF321" t="b">
        <v>1</v>
      </c>
      <c r="CG321">
        <v>2608251</v>
      </c>
      <c r="CH321" t="s">
        <v>1681</v>
      </c>
      <c r="CI321" s="10">
        <v>549950</v>
      </c>
    </row>
    <row r="322" spans="1:90">
      <c r="A322">
        <v>27177814</v>
      </c>
      <c r="B322" s="2" t="str">
        <f>HYPERLINK("http://www.redfin.com/stingray/do/printable-listing?listing-id=1176179","Active")</f>
        <v>Active</v>
      </c>
      <c r="D322" t="s">
        <v>3249</v>
      </c>
      <c r="E322" t="s">
        <v>4344</v>
      </c>
      <c r="F322" s="19">
        <v>3649000</v>
      </c>
      <c r="G322">
        <v>1910</v>
      </c>
      <c r="H322">
        <v>6000</v>
      </c>
      <c r="I322">
        <v>7680</v>
      </c>
      <c r="J322">
        <v>6</v>
      </c>
      <c r="K322">
        <v>6</v>
      </c>
      <c r="M322" s="2" t="str">
        <f>HYPERLINK("http://maps.live.com/default.aspx?v=2&amp;lvl=15&amp;sp=Point.47.628747_-122.354457_123 Prospect St&amp;cp=47.628747~-122.354457","Map")</f>
        <v>Map</v>
      </c>
      <c r="N322" s="2" t="str">
        <f>HYPERLINK("http://i-0.rfimg.us/photo/1/bigphoto/814/27177814_3.jpg","Photo")</f>
        <v>Photo</v>
      </c>
      <c r="AG322">
        <v>47.628746999999997</v>
      </c>
      <c r="AH322">
        <v>-122.354457</v>
      </c>
      <c r="AI322" t="s">
        <v>66</v>
      </c>
      <c r="AJ322">
        <v>98109</v>
      </c>
      <c r="AN322">
        <v>1585000</v>
      </c>
      <c r="BC322" s="22">
        <v>39355.745891203704</v>
      </c>
      <c r="BI322" s="22">
        <v>39549.294907407406</v>
      </c>
      <c r="BL322">
        <v>77900</v>
      </c>
      <c r="BM322">
        <v>1176179</v>
      </c>
      <c r="BN322" t="s">
        <v>1702</v>
      </c>
      <c r="BO322" s="17">
        <f t="shared" ref="BO322:BO385" ca="1" si="5">NOW()-BC322</f>
        <v>193.56351469907531</v>
      </c>
      <c r="BP322" t="b">
        <v>0</v>
      </c>
      <c r="BQ322">
        <v>1</v>
      </c>
      <c r="BR322" t="s">
        <v>1686</v>
      </c>
      <c r="BS322" t="s">
        <v>4339</v>
      </c>
      <c r="BT322" t="b">
        <v>0</v>
      </c>
      <c r="BV322" t="s">
        <v>1668</v>
      </c>
      <c r="BW322">
        <v>123</v>
      </c>
      <c r="BY322">
        <v>132303</v>
      </c>
      <c r="BZ322" t="s">
        <v>3318</v>
      </c>
      <c r="CA322">
        <v>1</v>
      </c>
      <c r="CB322" t="b">
        <v>1</v>
      </c>
      <c r="CC322">
        <v>0</v>
      </c>
      <c r="CD322" t="b">
        <v>0</v>
      </c>
      <c r="CE322" t="b">
        <v>0</v>
      </c>
      <c r="CF322" t="b">
        <v>1</v>
      </c>
      <c r="CG322">
        <v>2738045</v>
      </c>
      <c r="CH322" t="s">
        <v>1681</v>
      </c>
      <c r="CI322" s="10">
        <v>3895000</v>
      </c>
      <c r="CJ322" s="7">
        <v>38104</v>
      </c>
    </row>
    <row r="323" spans="1:90">
      <c r="A323">
        <v>27177980</v>
      </c>
      <c r="B323" s="2" t="str">
        <f>HYPERLINK("http://www.redfin.com/stingray/do/printable-listing?listing-id=1176861","Active")</f>
        <v>Active</v>
      </c>
      <c r="D323" t="s">
        <v>4359</v>
      </c>
      <c r="E323" t="s">
        <v>4670</v>
      </c>
      <c r="F323">
        <v>624950</v>
      </c>
      <c r="G323">
        <v>1989</v>
      </c>
      <c r="H323">
        <v>2590</v>
      </c>
      <c r="I323">
        <v>7100</v>
      </c>
      <c r="J323">
        <v>4</v>
      </c>
      <c r="K323">
        <v>2.75</v>
      </c>
      <c r="M323" s="2" t="str">
        <f>HYPERLINK("http://maps.live.com/default.aspx?v=2&amp;lvl=15&amp;sp=Point.47.688011_-122.171447_12711 NE 97 Pl&amp;cp=47.688011~-122.171447","Map")</f>
        <v>Map</v>
      </c>
      <c r="N323" s="2" t="str">
        <f>HYPERLINK("http://i-0.rfimg.us/photo/1/bigphoto/980/27177980_1.jpg","Photo")</f>
        <v>Photo</v>
      </c>
      <c r="AG323">
        <v>47.688011000000003</v>
      </c>
      <c r="AH323">
        <v>-122.171447</v>
      </c>
      <c r="AI323" t="s">
        <v>1058</v>
      </c>
      <c r="AJ323">
        <v>98033</v>
      </c>
      <c r="AN323">
        <v>176950</v>
      </c>
      <c r="BC323" s="22">
        <v>39356.372245370374</v>
      </c>
      <c r="BI323" s="22">
        <v>39549.294907407406</v>
      </c>
      <c r="BL323">
        <v>12499</v>
      </c>
      <c r="BM323">
        <v>1176861</v>
      </c>
      <c r="BN323" t="s">
        <v>2203</v>
      </c>
      <c r="BO323" s="17">
        <f t="shared" ca="1" si="5"/>
        <v>192.93716053240496</v>
      </c>
      <c r="BP323" t="b">
        <v>0</v>
      </c>
      <c r="BQ323">
        <v>1</v>
      </c>
      <c r="BR323" t="s">
        <v>1842</v>
      </c>
      <c r="BS323">
        <v>97</v>
      </c>
      <c r="BT323" t="b">
        <v>0</v>
      </c>
      <c r="BU323" t="s">
        <v>1738</v>
      </c>
      <c r="BV323" t="s">
        <v>1668</v>
      </c>
      <c r="BW323">
        <v>12711</v>
      </c>
      <c r="BY323">
        <v>511427</v>
      </c>
      <c r="BZ323" t="s">
        <v>2205</v>
      </c>
      <c r="CA323">
        <v>1</v>
      </c>
      <c r="CB323" t="b">
        <v>1</v>
      </c>
      <c r="CC323">
        <v>0</v>
      </c>
      <c r="CD323" t="b">
        <v>0</v>
      </c>
      <c r="CE323" t="b">
        <v>0</v>
      </c>
      <c r="CF323" t="b">
        <v>1</v>
      </c>
      <c r="CG323">
        <v>2914679</v>
      </c>
      <c r="CH323" t="s">
        <v>1681</v>
      </c>
      <c r="CI323" s="10">
        <v>624950</v>
      </c>
      <c r="CJ323" s="7">
        <v>33497</v>
      </c>
    </row>
    <row r="324" spans="1:90">
      <c r="A324">
        <v>27178169</v>
      </c>
      <c r="B324" s="2" t="str">
        <f>HYPERLINK("http://www.redfin.com/stingray/do/printable-listing?listing-id=1177266","Active")</f>
        <v>Active</v>
      </c>
      <c r="D324" t="s">
        <v>3089</v>
      </c>
      <c r="E324" t="s">
        <v>3676</v>
      </c>
      <c r="F324">
        <v>595000</v>
      </c>
      <c r="G324">
        <v>1937</v>
      </c>
      <c r="H324">
        <v>2180</v>
      </c>
      <c r="I324">
        <v>4000</v>
      </c>
      <c r="J324">
        <v>2</v>
      </c>
      <c r="K324">
        <v>1</v>
      </c>
      <c r="M324" s="2" t="str">
        <f>HYPERLINK("http://maps.live.com/default.aspx?v=2&amp;lvl=15&amp;sp=Point.47.660799_-122.279905_4330 NE 44th St&amp;cp=47.660799~-122.279905","Map")</f>
        <v>Map</v>
      </c>
      <c r="N324" s="2" t="str">
        <f>HYPERLINK("http://i-0.rfimg.us/photo/1/bigphoto/169/27178169_0.jpg","Photo")</f>
        <v>Photo</v>
      </c>
      <c r="AG324">
        <v>47.660798999999997</v>
      </c>
      <c r="AH324">
        <v>-122.279905</v>
      </c>
      <c r="AI324" t="s">
        <v>66</v>
      </c>
      <c r="AJ324">
        <v>98105</v>
      </c>
      <c r="AN324">
        <v>535000</v>
      </c>
      <c r="BC324" s="22">
        <v>39356.460486111115</v>
      </c>
      <c r="BI324" s="22">
        <v>39549.294907407406</v>
      </c>
      <c r="BL324">
        <v>11900</v>
      </c>
      <c r="BM324">
        <v>1177266</v>
      </c>
      <c r="BN324" t="s">
        <v>1688</v>
      </c>
      <c r="BO324" s="17">
        <f t="shared" ca="1" si="5"/>
        <v>192.84891979166423</v>
      </c>
      <c r="BP324" t="b">
        <v>0</v>
      </c>
      <c r="BQ324">
        <v>1</v>
      </c>
      <c r="BR324" t="s">
        <v>1686</v>
      </c>
      <c r="BS324" t="s">
        <v>3082</v>
      </c>
      <c r="BT324" t="b">
        <v>0</v>
      </c>
      <c r="BU324" t="s">
        <v>1738</v>
      </c>
      <c r="BV324" t="s">
        <v>1668</v>
      </c>
      <c r="BW324">
        <v>4330</v>
      </c>
      <c r="BY324">
        <v>122571</v>
      </c>
      <c r="BZ324" t="s">
        <v>1701</v>
      </c>
      <c r="CA324">
        <v>1</v>
      </c>
      <c r="CB324" t="b">
        <v>1</v>
      </c>
      <c r="CC324">
        <v>0</v>
      </c>
      <c r="CD324" t="b">
        <v>0</v>
      </c>
      <c r="CE324" t="b">
        <v>0</v>
      </c>
      <c r="CF324" t="b">
        <v>1</v>
      </c>
      <c r="CG324">
        <v>2391160</v>
      </c>
      <c r="CH324" t="s">
        <v>1681</v>
      </c>
      <c r="CI324" s="10">
        <v>595000</v>
      </c>
      <c r="CJ324" s="7">
        <v>38628</v>
      </c>
    </row>
    <row r="325" spans="1:90">
      <c r="A325">
        <v>27178379</v>
      </c>
      <c r="B325" s="2" t="str">
        <f>HYPERLINK("http://www.redfin.com/stingray/do/printable-listing?listing-id=1178206","Active")</f>
        <v>Active</v>
      </c>
      <c r="D325" t="s">
        <v>63</v>
      </c>
      <c r="E325" t="s">
        <v>2146</v>
      </c>
      <c r="F325">
        <v>499950</v>
      </c>
      <c r="G325">
        <v>2007</v>
      </c>
      <c r="H325">
        <v>2100</v>
      </c>
      <c r="I325">
        <v>0</v>
      </c>
      <c r="J325">
        <v>3</v>
      </c>
      <c r="K325">
        <v>3.5</v>
      </c>
      <c r="M325" s="2" t="str">
        <f>HYPERLINK("http://maps.live.com/default.aspx?v=2&amp;lvl=15&amp;sp=Point.47.666537_-122.367792_840 NW 52nd St&amp;cp=47.666537~-122.367792","Map")</f>
        <v>Map</v>
      </c>
      <c r="N325" s="2" t="str">
        <f>HYPERLINK("http://i-0.rfimg.us/photo/1/bigphoto/379/27178379_9.jpg","Photo")</f>
        <v>Photo</v>
      </c>
      <c r="AG325">
        <v>47.666536999999998</v>
      </c>
      <c r="AH325">
        <v>-122.36779199999999</v>
      </c>
      <c r="AI325" t="s">
        <v>66</v>
      </c>
      <c r="AJ325">
        <v>98107</v>
      </c>
      <c r="AN325">
        <v>515000</v>
      </c>
      <c r="BC325" s="22">
        <v>39356.637673611112</v>
      </c>
      <c r="BI325" s="22">
        <v>39549.294907407406</v>
      </c>
      <c r="BL325">
        <v>9999</v>
      </c>
      <c r="BM325">
        <v>1178206</v>
      </c>
      <c r="BN325" t="s">
        <v>1693</v>
      </c>
      <c r="BO325" s="17">
        <f t="shared" ca="1" si="5"/>
        <v>192.67173240740522</v>
      </c>
      <c r="BP325" t="b">
        <v>0</v>
      </c>
      <c r="BQ325">
        <v>1</v>
      </c>
      <c r="BR325" t="s">
        <v>1686</v>
      </c>
      <c r="BS325" t="s">
        <v>2455</v>
      </c>
      <c r="BT325" t="b">
        <v>0</v>
      </c>
      <c r="BU325" t="s">
        <v>1669</v>
      </c>
      <c r="BV325" t="s">
        <v>1668</v>
      </c>
      <c r="BW325">
        <v>840</v>
      </c>
      <c r="BY325">
        <v>302882</v>
      </c>
      <c r="BZ325" t="s">
        <v>2558</v>
      </c>
      <c r="CA325">
        <v>1</v>
      </c>
      <c r="CB325" t="b">
        <v>1</v>
      </c>
      <c r="CC325">
        <v>0</v>
      </c>
      <c r="CD325" t="b">
        <v>0</v>
      </c>
      <c r="CE325" t="b">
        <v>0</v>
      </c>
      <c r="CF325" t="b">
        <v>1</v>
      </c>
      <c r="CG325">
        <v>2416327</v>
      </c>
      <c r="CH325" t="s">
        <v>1681</v>
      </c>
      <c r="CI325" s="10">
        <v>499950</v>
      </c>
      <c r="CJ325" s="7">
        <v>39380</v>
      </c>
    </row>
    <row r="326" spans="1:90">
      <c r="A326">
        <v>27178394</v>
      </c>
      <c r="B326" s="2" t="str">
        <f>HYPERLINK("http://www.redfin.com/stingray/do/printable-listing?listing-id=1185521","Active")</f>
        <v>Active</v>
      </c>
      <c r="D326" t="s">
        <v>2845</v>
      </c>
      <c r="E326" t="s">
        <v>3012</v>
      </c>
      <c r="F326">
        <v>1695000</v>
      </c>
      <c r="G326">
        <v>1958</v>
      </c>
      <c r="H326">
        <v>6880</v>
      </c>
      <c r="I326">
        <v>10500</v>
      </c>
      <c r="J326">
        <v>5</v>
      </c>
      <c r="K326">
        <v>4.5</v>
      </c>
      <c r="M326" s="2" t="str">
        <f>HYPERLINK("http://maps.live.com/default.aspx?v=2&amp;lvl=15&amp;sp=Point.47.691089_-122.276504_8514 Inverness Dr NE&amp;cp=47.691089~-122.276504","Map")</f>
        <v>Map</v>
      </c>
      <c r="N326" s="2" t="str">
        <f>HYPERLINK("http://i-0.rfimg.us/photo/1/bigphoto/394/27178394_4.jpg","Photo")</f>
        <v>Photo</v>
      </c>
      <c r="AG326">
        <v>47.691088999999998</v>
      </c>
      <c r="AH326">
        <v>-122.276504</v>
      </c>
      <c r="AI326" t="s">
        <v>66</v>
      </c>
      <c r="AJ326">
        <v>98115</v>
      </c>
      <c r="BC326" s="22">
        <v>39358.851817129631</v>
      </c>
      <c r="BI326" s="22">
        <v>39549.294907407406</v>
      </c>
      <c r="BL326">
        <v>33900</v>
      </c>
      <c r="BM326">
        <v>1185521</v>
      </c>
      <c r="BN326" t="s">
        <v>3011</v>
      </c>
      <c r="BO326" s="17">
        <f t="shared" ca="1" si="5"/>
        <v>190.45758877314802</v>
      </c>
      <c r="BP326" t="b">
        <v>0</v>
      </c>
      <c r="BQ326">
        <v>1</v>
      </c>
      <c r="BR326" t="s">
        <v>1816</v>
      </c>
      <c r="BS326" t="s">
        <v>2845</v>
      </c>
      <c r="BT326" t="b">
        <v>0</v>
      </c>
      <c r="BV326" t="s">
        <v>1668</v>
      </c>
      <c r="BW326">
        <v>8514</v>
      </c>
      <c r="BX326" t="s">
        <v>1738</v>
      </c>
      <c r="BY326">
        <v>321062</v>
      </c>
      <c r="BZ326" t="s">
        <v>3013</v>
      </c>
      <c r="CA326">
        <v>1</v>
      </c>
      <c r="CB326" t="b">
        <v>1</v>
      </c>
      <c r="CC326">
        <v>0</v>
      </c>
      <c r="CD326" t="b">
        <v>0</v>
      </c>
      <c r="CE326" t="b">
        <v>0</v>
      </c>
      <c r="CF326" t="b">
        <v>1</v>
      </c>
      <c r="CG326">
        <v>2459333</v>
      </c>
      <c r="CH326" t="s">
        <v>1681</v>
      </c>
      <c r="CI326" s="10">
        <v>1695000</v>
      </c>
    </row>
    <row r="327" spans="1:90">
      <c r="A327">
        <v>27178740</v>
      </c>
      <c r="B327" s="2" t="str">
        <f>HYPERLINK("http://www.redfin.com/stingray/do/printable-listing?listing-id=1182077","Active")</f>
        <v>Active</v>
      </c>
      <c r="D327" t="s">
        <v>4948</v>
      </c>
      <c r="E327" t="s">
        <v>5054</v>
      </c>
      <c r="F327" s="19">
        <v>1199888</v>
      </c>
      <c r="G327">
        <v>2007</v>
      </c>
      <c r="H327">
        <v>2800</v>
      </c>
      <c r="I327">
        <v>15000</v>
      </c>
      <c r="J327">
        <v>3</v>
      </c>
      <c r="K327">
        <v>3</v>
      </c>
      <c r="M327" s="2" t="str">
        <f>HYPERLINK("http://maps.live.com/default.aspx?v=2&amp;lvl=15&amp;sp=Point.47.638445101183_-122.22088202921_9017 NE 32nd Pl&amp;cp=47.638445101183~-122.22088202921","Map")</f>
        <v>Map</v>
      </c>
      <c r="N327" s="2" t="str">
        <f>HYPERLINK("http://i-0.rfimg.us/photo/1/bigphoto/740/27178740_1.jpg","Photo")</f>
        <v>Photo</v>
      </c>
      <c r="AG327">
        <v>47.638445101183002</v>
      </c>
      <c r="AH327">
        <v>-122.22088202921</v>
      </c>
      <c r="AI327" t="s">
        <v>369</v>
      </c>
      <c r="AJ327">
        <v>98004</v>
      </c>
      <c r="AN327">
        <v>1875000</v>
      </c>
      <c r="BC327" s="22">
        <v>39357.998124999998</v>
      </c>
      <c r="BI327" s="22">
        <v>39549.294907407406</v>
      </c>
      <c r="BL327">
        <v>24458</v>
      </c>
      <c r="BM327">
        <v>1182077</v>
      </c>
      <c r="BN327" t="s">
        <v>3907</v>
      </c>
      <c r="BO327" s="17">
        <f t="shared" ca="1" si="5"/>
        <v>191.31128090278071</v>
      </c>
      <c r="BP327" t="b">
        <v>0</v>
      </c>
      <c r="BQ327">
        <v>1</v>
      </c>
      <c r="BR327" t="s">
        <v>1842</v>
      </c>
      <c r="BS327" t="s">
        <v>1733</v>
      </c>
      <c r="BT327" t="b">
        <v>0</v>
      </c>
      <c r="BU327" t="s">
        <v>1738</v>
      </c>
      <c r="BV327" t="s">
        <v>1668</v>
      </c>
      <c r="BW327">
        <v>9017</v>
      </c>
      <c r="BY327">
        <v>12005670</v>
      </c>
      <c r="BZ327" t="s">
        <v>5055</v>
      </c>
      <c r="CA327">
        <v>1</v>
      </c>
      <c r="CB327" t="b">
        <v>1</v>
      </c>
      <c r="CC327">
        <v>0</v>
      </c>
      <c r="CD327" t="b">
        <v>0</v>
      </c>
      <c r="CE327" t="b">
        <v>0</v>
      </c>
      <c r="CF327" t="b">
        <v>1</v>
      </c>
      <c r="CG327">
        <v>2625836</v>
      </c>
      <c r="CH327" t="s">
        <v>1681</v>
      </c>
      <c r="CI327" s="10">
        <v>1222888</v>
      </c>
      <c r="CJ327" s="7">
        <v>38638</v>
      </c>
      <c r="CL327" s="19" t="s">
        <v>6589</v>
      </c>
    </row>
    <row r="328" spans="1:90">
      <c r="A328">
        <v>27179196</v>
      </c>
      <c r="B328" s="2" t="str">
        <f>HYPERLINK("http://www.redfin.com/stingray/do/printable-listing?listing-id=1187352","Active")</f>
        <v>Active</v>
      </c>
      <c r="D328" t="s">
        <v>63</v>
      </c>
      <c r="E328" t="s">
        <v>2533</v>
      </c>
      <c r="F328">
        <v>409950</v>
      </c>
      <c r="G328">
        <v>2007</v>
      </c>
      <c r="H328">
        <v>0</v>
      </c>
      <c r="I328">
        <v>0</v>
      </c>
      <c r="J328">
        <v>3</v>
      </c>
      <c r="K328">
        <v>3</v>
      </c>
      <c r="M328" s="2" t="str">
        <f>HYPERLINK("http://maps.live.com/default.aspx?v=2&amp;lvl=15&amp;sp=Point.47.674363_-122.37549_1433 NW 63rd St&amp;cp=47.674363~-122.37549","Map")</f>
        <v>Map</v>
      </c>
      <c r="N328" s="2" t="str">
        <f>HYPERLINK("http://i-0.rfimg.us/photo/1/bigphoto/196/27179196_3.jpg","Photo")</f>
        <v>Photo</v>
      </c>
      <c r="AG328">
        <v>47.674363</v>
      </c>
      <c r="AH328">
        <v>-122.37549</v>
      </c>
      <c r="AI328" t="s">
        <v>66</v>
      </c>
      <c r="AJ328">
        <v>98107</v>
      </c>
      <c r="BC328" s="22">
        <v>39359.444930555554</v>
      </c>
      <c r="BI328" s="22">
        <v>39549.294907407406</v>
      </c>
      <c r="BL328">
        <v>8199</v>
      </c>
      <c r="BM328">
        <v>1187352</v>
      </c>
      <c r="BN328" t="s">
        <v>1737</v>
      </c>
      <c r="BO328" s="17">
        <f t="shared" ca="1" si="5"/>
        <v>189.86447546296404</v>
      </c>
      <c r="BP328" t="b">
        <v>0</v>
      </c>
      <c r="BQ328">
        <v>1</v>
      </c>
      <c r="BR328" t="s">
        <v>1686</v>
      </c>
      <c r="BS328" t="s">
        <v>2529</v>
      </c>
      <c r="BT328" t="b">
        <v>0</v>
      </c>
      <c r="BU328" t="s">
        <v>1669</v>
      </c>
      <c r="BV328" t="s">
        <v>1668</v>
      </c>
      <c r="BW328">
        <v>1433</v>
      </c>
      <c r="BY328">
        <v>12169675</v>
      </c>
      <c r="BZ328" t="s">
        <v>2534</v>
      </c>
      <c r="CA328">
        <v>1</v>
      </c>
      <c r="CB328" t="b">
        <v>1</v>
      </c>
      <c r="CC328">
        <v>0</v>
      </c>
      <c r="CD328" t="b">
        <v>0</v>
      </c>
      <c r="CE328" t="b">
        <v>0</v>
      </c>
      <c r="CF328" t="b">
        <v>1</v>
      </c>
      <c r="CG328">
        <v>15400339</v>
      </c>
      <c r="CH328" t="s">
        <v>1681</v>
      </c>
      <c r="CI328" s="10">
        <v>409950</v>
      </c>
    </row>
    <row r="329" spans="1:90">
      <c r="A329">
        <v>27179281</v>
      </c>
      <c r="B329" s="2" t="str">
        <f>HYPERLINK("http://www.redfin.com/stingray/do/printable-listing?listing-id=1194027","Active")</f>
        <v>Active</v>
      </c>
      <c r="D329" t="s">
        <v>5198</v>
      </c>
      <c r="E329" t="s">
        <v>5445</v>
      </c>
      <c r="F329">
        <v>999850</v>
      </c>
      <c r="G329">
        <v>1952</v>
      </c>
      <c r="H329">
        <v>2640</v>
      </c>
      <c r="I329">
        <v>13503</v>
      </c>
      <c r="J329">
        <v>3</v>
      </c>
      <c r="K329">
        <v>2</v>
      </c>
      <c r="M329" s="2" t="str">
        <f>HYPERLINK("http://maps.live.com/default.aspx?v=2&amp;lvl=15&amp;sp=Point.47.586703_-122.111173_2622 W Lake Sammamish Pkwy SE&amp;cp=47.586703~-122.111173","Map")</f>
        <v>Map</v>
      </c>
      <c r="N329" s="2" t="str">
        <f>HYPERLINK("http://i-0.rfimg.us/photo/1/bigphoto/281/27179281_4.jpg","Photo")</f>
        <v>Photo</v>
      </c>
      <c r="AG329">
        <v>47.586703</v>
      </c>
      <c r="AH329">
        <v>-122.11117299999999</v>
      </c>
      <c r="AI329" t="s">
        <v>369</v>
      </c>
      <c r="AJ329">
        <v>98008</v>
      </c>
      <c r="AN329">
        <v>272840</v>
      </c>
      <c r="BC329" s="22">
        <v>39361.432233796295</v>
      </c>
      <c r="BI329" s="7">
        <v>39539</v>
      </c>
      <c r="BL329">
        <v>19997</v>
      </c>
      <c r="BM329">
        <v>1194027</v>
      </c>
      <c r="BN329" t="s">
        <v>1674</v>
      </c>
      <c r="BO329" s="17">
        <f t="shared" ca="1" si="5"/>
        <v>187.87717210648407</v>
      </c>
      <c r="BP329" t="b">
        <v>0</v>
      </c>
      <c r="BQ329">
        <v>1</v>
      </c>
      <c r="BR329" t="s">
        <v>5197</v>
      </c>
      <c r="BS329" t="s">
        <v>5261</v>
      </c>
      <c r="BT329" t="b">
        <v>0</v>
      </c>
      <c r="BU329" t="s">
        <v>2423</v>
      </c>
      <c r="BV329" t="s">
        <v>1668</v>
      </c>
      <c r="BW329">
        <v>2622</v>
      </c>
      <c r="BX329" t="s">
        <v>3856</v>
      </c>
      <c r="BY329">
        <v>326417</v>
      </c>
      <c r="BZ329" t="s">
        <v>5446</v>
      </c>
      <c r="CA329">
        <v>1</v>
      </c>
      <c r="CB329" t="b">
        <v>1</v>
      </c>
      <c r="CC329">
        <v>0</v>
      </c>
      <c r="CD329" t="b">
        <v>0</v>
      </c>
      <c r="CE329" t="b">
        <v>0</v>
      </c>
      <c r="CF329" t="b">
        <v>1</v>
      </c>
      <c r="CG329">
        <v>2460736</v>
      </c>
      <c r="CH329" t="s">
        <v>1681</v>
      </c>
      <c r="CI329" s="10">
        <v>999850</v>
      </c>
      <c r="CJ329" s="7">
        <v>37778</v>
      </c>
    </row>
    <row r="330" spans="1:90">
      <c r="A330">
        <v>27179298</v>
      </c>
      <c r="B330" s="2" t="str">
        <f>HYPERLINK("http://www.redfin.com/stingray/do/printable-listing?listing-id=1194599","Active")</f>
        <v>Active</v>
      </c>
      <c r="D330" t="s">
        <v>66</v>
      </c>
      <c r="E330" t="s">
        <v>4190</v>
      </c>
      <c r="F330">
        <v>2860000</v>
      </c>
      <c r="G330">
        <v>1888</v>
      </c>
      <c r="H330">
        <v>3800</v>
      </c>
      <c r="I330">
        <v>2400</v>
      </c>
      <c r="J330">
        <v>4</v>
      </c>
      <c r="K330">
        <v>4</v>
      </c>
      <c r="M330" s="2" t="str">
        <f>HYPERLINK("http://maps.live.com/default.aspx?v=2&amp;lvl=15&amp;sp=Point.47.607467_-122.324583_1023 Columbia St&amp;cp=47.607467~-122.324583","Map")</f>
        <v>Map</v>
      </c>
      <c r="N330" s="2" t="str">
        <f>HYPERLINK("http://i-0.rfimg.us/photo/1/bigphoto/298/27179298_3.jpg","Photo")</f>
        <v>Photo</v>
      </c>
      <c r="AG330">
        <v>47.607467</v>
      </c>
      <c r="AH330">
        <v>-122.324583</v>
      </c>
      <c r="AI330" t="s">
        <v>66</v>
      </c>
      <c r="AJ330">
        <v>98104</v>
      </c>
      <c r="BC330" s="22">
        <v>39361.787627314814</v>
      </c>
      <c r="BI330" s="22">
        <v>39549.294907407406</v>
      </c>
      <c r="BL330">
        <v>57200</v>
      </c>
      <c r="BM330">
        <v>1194599</v>
      </c>
      <c r="BN330" t="s">
        <v>1674</v>
      </c>
      <c r="BO330" s="17">
        <f t="shared" ca="1" si="5"/>
        <v>187.52177858796495</v>
      </c>
      <c r="BP330" t="b">
        <v>0</v>
      </c>
      <c r="BQ330">
        <v>1</v>
      </c>
      <c r="BR330" t="s">
        <v>1686</v>
      </c>
      <c r="BS330" t="s">
        <v>4151</v>
      </c>
      <c r="BT330" t="b">
        <v>0</v>
      </c>
      <c r="BV330" t="s">
        <v>1668</v>
      </c>
      <c r="BW330">
        <v>1023</v>
      </c>
      <c r="BY330">
        <v>12213731</v>
      </c>
      <c r="BZ330" t="s">
        <v>4191</v>
      </c>
      <c r="CA330">
        <v>1</v>
      </c>
      <c r="CB330" t="b">
        <v>1</v>
      </c>
      <c r="CC330">
        <v>0</v>
      </c>
      <c r="CD330" t="b">
        <v>0</v>
      </c>
      <c r="CE330" t="b">
        <v>0</v>
      </c>
      <c r="CF330" t="b">
        <v>1</v>
      </c>
      <c r="CG330">
        <v>15442946</v>
      </c>
      <c r="CH330" t="s">
        <v>1681</v>
      </c>
      <c r="CI330" s="10">
        <v>2860000</v>
      </c>
    </row>
    <row r="331" spans="1:90">
      <c r="A331">
        <v>27179380</v>
      </c>
      <c r="B331" s="2" t="str">
        <f>HYPERLINK("http://www.redfin.com/stingray/do/printable-listing?listing-id=1181966","Active")</f>
        <v>Active</v>
      </c>
      <c r="D331" t="s">
        <v>3839</v>
      </c>
      <c r="E331" t="s">
        <v>3941</v>
      </c>
      <c r="F331">
        <v>850000</v>
      </c>
      <c r="G331">
        <v>2007</v>
      </c>
      <c r="H331">
        <v>3467</v>
      </c>
      <c r="I331">
        <v>7860</v>
      </c>
      <c r="J331">
        <v>4</v>
      </c>
      <c r="K331">
        <v>2.5</v>
      </c>
      <c r="M331" s="2" t="str">
        <f>HYPERLINK("http://maps.live.com/default.aspx?v=2&amp;lvl=15&amp;sp=adr.1807 Lot n2 Kitsap Pl NE (Unable to map),98059","Map")</f>
        <v>Map</v>
      </c>
      <c r="N331" s="2" t="str">
        <f>HYPERLINK("http://i-0.rfimg.us/photo/1/bigphoto/380/27179380_7.jpg","Photo")</f>
        <v>Photo</v>
      </c>
      <c r="AI331" t="s">
        <v>1077</v>
      </c>
      <c r="AJ331">
        <v>98059</v>
      </c>
      <c r="BC331" s="22">
        <v>39357.993321759262</v>
      </c>
      <c r="BI331" s="22">
        <v>39549.294907407406</v>
      </c>
      <c r="BL331">
        <v>17000</v>
      </c>
      <c r="BM331">
        <v>1181966</v>
      </c>
      <c r="BN331" t="s">
        <v>3236</v>
      </c>
      <c r="BO331" s="17">
        <f t="shared" ca="1" si="5"/>
        <v>191.31608414351649</v>
      </c>
      <c r="BP331" t="b">
        <v>0</v>
      </c>
      <c r="BQ331">
        <v>1</v>
      </c>
      <c r="BR331" t="s">
        <v>1842</v>
      </c>
      <c r="BS331" t="s">
        <v>3942</v>
      </c>
      <c r="BT331" t="b">
        <v>0</v>
      </c>
      <c r="BV331" t="s">
        <v>1668</v>
      </c>
      <c r="BW331">
        <v>1807</v>
      </c>
      <c r="BX331" t="s">
        <v>1738</v>
      </c>
      <c r="BY331">
        <v>0</v>
      </c>
      <c r="BZ331" t="s">
        <v>3943</v>
      </c>
      <c r="CA331">
        <v>1</v>
      </c>
      <c r="CB331" t="b">
        <v>1</v>
      </c>
      <c r="CC331">
        <v>0</v>
      </c>
      <c r="CD331" t="b">
        <v>0</v>
      </c>
      <c r="CE331" t="b">
        <v>0</v>
      </c>
      <c r="CF331" t="b">
        <v>1</v>
      </c>
      <c r="CG331" t="s">
        <v>1870</v>
      </c>
      <c r="CH331" t="s">
        <v>1681</v>
      </c>
      <c r="CI331" s="10">
        <v>850000</v>
      </c>
    </row>
    <row r="332" spans="1:90">
      <c r="A332">
        <v>27179410</v>
      </c>
      <c r="B332" s="2" t="str">
        <f>HYPERLINK("http://www.redfin.com/stingray/do/printable-listing?listing-id=1181972","Active")</f>
        <v>Active</v>
      </c>
      <c r="D332" t="s">
        <v>63</v>
      </c>
      <c r="E332" t="s">
        <v>2151</v>
      </c>
      <c r="F332">
        <v>459750</v>
      </c>
      <c r="G332">
        <v>2007</v>
      </c>
      <c r="H332">
        <v>1852</v>
      </c>
      <c r="I332">
        <v>0</v>
      </c>
      <c r="J332">
        <v>3</v>
      </c>
      <c r="K332">
        <v>3.5</v>
      </c>
      <c r="M332" s="2" t="str">
        <f>HYPERLINK("http://maps.live.com/default.aspx?v=2&amp;lvl=15&amp;sp=Point.47.665563_-122.36906_915 NW 51st St&amp;cp=47.665563~-122.36906","Map")</f>
        <v>Map</v>
      </c>
      <c r="N332" s="2" t="str">
        <f>HYPERLINK("http://i-0.rfimg.us/photo/1/bigphoto/410/27179410_1.jpg","Photo")</f>
        <v>Photo</v>
      </c>
      <c r="AG332">
        <v>47.665562999999999</v>
      </c>
      <c r="AH332">
        <v>-122.36906</v>
      </c>
      <c r="AI332" t="s">
        <v>66</v>
      </c>
      <c r="AJ332">
        <v>98107</v>
      </c>
      <c r="BC332" s="22">
        <v>39357.99355324074</v>
      </c>
      <c r="BI332" s="7">
        <v>39535</v>
      </c>
      <c r="BL332">
        <v>9195</v>
      </c>
      <c r="BM332">
        <v>1181972</v>
      </c>
      <c r="BN332" t="s">
        <v>1685</v>
      </c>
      <c r="BO332" s="17">
        <f t="shared" ca="1" si="5"/>
        <v>191.31585277777776</v>
      </c>
      <c r="BP332" t="b">
        <v>0</v>
      </c>
      <c r="BQ332">
        <v>1</v>
      </c>
      <c r="BR332" t="s">
        <v>1686</v>
      </c>
      <c r="BS332" t="s">
        <v>2469</v>
      </c>
      <c r="BT332" t="b">
        <v>0</v>
      </c>
      <c r="BU332" t="s">
        <v>1669</v>
      </c>
      <c r="BV332" t="s">
        <v>1668</v>
      </c>
      <c r="BW332">
        <v>915</v>
      </c>
      <c r="BY332">
        <v>12184004</v>
      </c>
      <c r="BZ332" t="s">
        <v>1679</v>
      </c>
      <c r="CA332">
        <v>1</v>
      </c>
      <c r="CB332" t="b">
        <v>1</v>
      </c>
      <c r="CC332">
        <v>0</v>
      </c>
      <c r="CD332" t="b">
        <v>0</v>
      </c>
      <c r="CE332" t="b">
        <v>0</v>
      </c>
      <c r="CF332" t="b">
        <v>1</v>
      </c>
      <c r="CG332">
        <v>15413306</v>
      </c>
      <c r="CH332" t="s">
        <v>1681</v>
      </c>
      <c r="CI332" s="10">
        <v>459750</v>
      </c>
    </row>
    <row r="333" spans="1:90">
      <c r="A333">
        <v>27179674</v>
      </c>
      <c r="B333" s="2" t="str">
        <f>HYPERLINK("http://www.redfin.com/stingray/do/printable-listing?listing-id=1190832","Contingent")</f>
        <v>Contingent</v>
      </c>
      <c r="D333" t="s">
        <v>3961</v>
      </c>
      <c r="E333" t="s">
        <v>4264</v>
      </c>
      <c r="F333">
        <v>1075000</v>
      </c>
      <c r="G333">
        <v>2007</v>
      </c>
      <c r="H333">
        <v>3707</v>
      </c>
      <c r="I333">
        <v>4000</v>
      </c>
      <c r="J333">
        <v>5</v>
      </c>
      <c r="K333">
        <v>3.5</v>
      </c>
      <c r="M333" s="2" t="str">
        <f>HYPERLINK("http://maps.live.com/default.aspx?v=2&amp;lvl=15&amp;sp=Point.47.604465_-122.292803_317 31st Ave&amp;cp=47.604465~-122.292803","Map")</f>
        <v>Map</v>
      </c>
      <c r="N333" s="2" t="str">
        <f>HYPERLINK("http://i-0.rfimg.us/photo/1/bigphoto/674/27179674_0.jpg","Photo")</f>
        <v>Photo</v>
      </c>
      <c r="AG333">
        <v>47.604464999999998</v>
      </c>
      <c r="AH333">
        <v>-122.29280300000001</v>
      </c>
      <c r="AI333" t="s">
        <v>66</v>
      </c>
      <c r="AJ333">
        <v>98122</v>
      </c>
      <c r="AN333">
        <v>315000</v>
      </c>
      <c r="BC333" s="22">
        <v>39360.413807870369</v>
      </c>
      <c r="BI333" s="22">
        <v>39549.294907407406</v>
      </c>
      <c r="BL333">
        <v>21500</v>
      </c>
      <c r="BM333">
        <v>1190832</v>
      </c>
      <c r="BN333" t="s">
        <v>1715</v>
      </c>
      <c r="BO333" s="17">
        <f t="shared" ca="1" si="5"/>
        <v>188.89559803240991</v>
      </c>
      <c r="BP333" t="b">
        <v>0</v>
      </c>
      <c r="BQ333">
        <v>2</v>
      </c>
      <c r="BR333" t="s">
        <v>1667</v>
      </c>
      <c r="BS333" t="s">
        <v>1732</v>
      </c>
      <c r="BT333" t="b">
        <v>0</v>
      </c>
      <c r="BV333" t="s">
        <v>1668</v>
      </c>
      <c r="BW333">
        <v>317</v>
      </c>
      <c r="BY333">
        <v>12301507</v>
      </c>
      <c r="BZ333" t="s">
        <v>1672</v>
      </c>
      <c r="CA333">
        <v>1</v>
      </c>
      <c r="CB333" t="b">
        <v>1</v>
      </c>
      <c r="CC333">
        <v>0</v>
      </c>
      <c r="CD333" t="b">
        <v>0</v>
      </c>
      <c r="CE333" t="b">
        <v>0</v>
      </c>
      <c r="CF333" t="b">
        <v>1</v>
      </c>
      <c r="CG333">
        <v>2554979</v>
      </c>
      <c r="CH333" t="s">
        <v>1681</v>
      </c>
      <c r="CI333" s="10">
        <v>1075000</v>
      </c>
      <c r="CJ333" s="7">
        <v>38700</v>
      </c>
    </row>
    <row r="334" spans="1:90">
      <c r="A334">
        <v>27179742</v>
      </c>
      <c r="B334" s="2" t="str">
        <f>HYPERLINK("http://www.redfin.com/stingray/do/printable-listing?listing-id=1182780","Active")</f>
        <v>Active</v>
      </c>
      <c r="D334" t="s">
        <v>3839</v>
      </c>
      <c r="E334" t="s">
        <v>3836</v>
      </c>
      <c r="F334">
        <v>899000</v>
      </c>
      <c r="G334">
        <v>2007</v>
      </c>
      <c r="H334">
        <v>3630</v>
      </c>
      <c r="I334">
        <v>11500</v>
      </c>
      <c r="J334">
        <v>4</v>
      </c>
      <c r="K334">
        <v>2.5</v>
      </c>
      <c r="M334" s="2" t="str">
        <f>HYPERLINK("http://maps.live.com/default.aspx?v=2&amp;lvl=15&amp;sp=adr.1732 Lot n6 Kitsap Pl NE (Unable to map),98059","Map")</f>
        <v>Map</v>
      </c>
      <c r="N334" s="2" t="str">
        <f>HYPERLINK("http://i-0.rfimg.us/photo/1/bigphoto/742/27179742_3.jpg","Photo")</f>
        <v>Photo</v>
      </c>
      <c r="AI334" t="s">
        <v>1077</v>
      </c>
      <c r="AJ334">
        <v>98059</v>
      </c>
      <c r="BC334" s="22">
        <v>39358.426724537036</v>
      </c>
      <c r="BI334" s="22">
        <v>39549.294907407406</v>
      </c>
      <c r="BL334">
        <v>17980</v>
      </c>
      <c r="BM334">
        <v>1182780</v>
      </c>
      <c r="BN334" t="s">
        <v>3236</v>
      </c>
      <c r="BO334" s="17">
        <f t="shared" ca="1" si="5"/>
        <v>190.88268136574334</v>
      </c>
      <c r="BP334" t="b">
        <v>0</v>
      </c>
      <c r="BQ334">
        <v>1</v>
      </c>
      <c r="BR334" t="s">
        <v>1842</v>
      </c>
      <c r="BS334" t="s">
        <v>3837</v>
      </c>
      <c r="BT334" t="b">
        <v>0</v>
      </c>
      <c r="BV334" t="s">
        <v>1668</v>
      </c>
      <c r="BW334">
        <v>1732</v>
      </c>
      <c r="BX334" t="s">
        <v>1738</v>
      </c>
      <c r="BY334">
        <v>0</v>
      </c>
      <c r="BZ334" t="s">
        <v>3838</v>
      </c>
      <c r="CA334">
        <v>1</v>
      </c>
      <c r="CB334" t="b">
        <v>1</v>
      </c>
      <c r="CC334">
        <v>0</v>
      </c>
      <c r="CD334" t="b">
        <v>0</v>
      </c>
      <c r="CE334" t="b">
        <v>0</v>
      </c>
      <c r="CF334" t="b">
        <v>1</v>
      </c>
      <c r="CG334" t="s">
        <v>1870</v>
      </c>
      <c r="CH334" t="s">
        <v>1681</v>
      </c>
      <c r="CI334" s="10">
        <v>899000</v>
      </c>
    </row>
    <row r="335" spans="1:90">
      <c r="A335">
        <v>27179944</v>
      </c>
      <c r="B335" s="2" t="str">
        <f>HYPERLINK("http://www.redfin.com/stingray/do/printable-listing?listing-id=1183491","Active")</f>
        <v>Active</v>
      </c>
      <c r="D335" t="s">
        <v>3959</v>
      </c>
      <c r="E335" t="s">
        <v>4150</v>
      </c>
      <c r="F335">
        <v>999950</v>
      </c>
      <c r="G335">
        <v>2007</v>
      </c>
      <c r="H335">
        <v>4750</v>
      </c>
      <c r="I335">
        <v>4083</v>
      </c>
      <c r="J335">
        <v>4</v>
      </c>
      <c r="K335">
        <v>3.5</v>
      </c>
      <c r="M335" s="2" t="str">
        <f>HYPERLINK("http://maps.live.com/default.aspx?v=2&amp;lvl=15&amp;sp=Point.47.60879_-122.302096_2315 E Columbia St&amp;cp=47.60879~-122.302096","Map")</f>
        <v>Map</v>
      </c>
      <c r="N335" s="2" t="str">
        <f>HYPERLINK("http://i-0.rfimg.us/photo/1/bigphoto/944/27179944_0.jpg","Photo")</f>
        <v>Photo</v>
      </c>
      <c r="AG335">
        <v>47.608789999999999</v>
      </c>
      <c r="AH335">
        <v>-122.30209600000001</v>
      </c>
      <c r="AI335" t="s">
        <v>66</v>
      </c>
      <c r="AJ335">
        <v>98122</v>
      </c>
      <c r="AN335">
        <v>300500</v>
      </c>
      <c r="BC335" s="22">
        <v>39358.720405092594</v>
      </c>
      <c r="BI335" s="22">
        <v>39549.294907407406</v>
      </c>
      <c r="BL335">
        <v>19999</v>
      </c>
      <c r="BM335">
        <v>1183491</v>
      </c>
      <c r="BN335" t="s">
        <v>4149</v>
      </c>
      <c r="BO335" s="17">
        <f t="shared" ca="1" si="5"/>
        <v>190.5890008101851</v>
      </c>
      <c r="BP335" t="b">
        <v>0</v>
      </c>
      <c r="BQ335">
        <v>1</v>
      </c>
      <c r="BR335" t="s">
        <v>1686</v>
      </c>
      <c r="BS335" t="s">
        <v>4151</v>
      </c>
      <c r="BT335" t="b">
        <v>0</v>
      </c>
      <c r="BU335" t="s">
        <v>2436</v>
      </c>
      <c r="BV335" t="s">
        <v>1668</v>
      </c>
      <c r="BW335">
        <v>2315</v>
      </c>
      <c r="BY335">
        <v>147638</v>
      </c>
      <c r="BZ335" t="s">
        <v>1672</v>
      </c>
      <c r="CA335">
        <v>1</v>
      </c>
      <c r="CB335" t="b">
        <v>1</v>
      </c>
      <c r="CC335">
        <v>0</v>
      </c>
      <c r="CD335" t="b">
        <v>0</v>
      </c>
      <c r="CE335" t="b">
        <v>0</v>
      </c>
      <c r="CF335" t="b">
        <v>1</v>
      </c>
      <c r="CG335">
        <v>2969966</v>
      </c>
      <c r="CH335" t="s">
        <v>1681</v>
      </c>
      <c r="CI335" s="10">
        <v>999950</v>
      </c>
      <c r="CJ335" s="7">
        <v>38884</v>
      </c>
    </row>
    <row r="336" spans="1:90">
      <c r="A336">
        <v>27180498</v>
      </c>
      <c r="B336" s="2" t="str">
        <f>HYPERLINK("http://www.redfin.com/stingray/do/printable-listing?listing-id=1191596","Active")</f>
        <v>Active</v>
      </c>
      <c r="D336" t="s">
        <v>2552</v>
      </c>
      <c r="E336" t="s">
        <v>3444</v>
      </c>
      <c r="F336">
        <v>599000</v>
      </c>
      <c r="G336">
        <v>2007</v>
      </c>
      <c r="H336">
        <v>1944</v>
      </c>
      <c r="I336">
        <v>0</v>
      </c>
      <c r="J336">
        <v>3</v>
      </c>
      <c r="K336">
        <v>2.5</v>
      </c>
      <c r="M336" s="2" t="str">
        <f>HYPERLINK("http://maps.live.com/default.aspx?v=2&amp;lvl=15&amp;sp=Point.47.643653_-122.385695_2636 23rd Ave W nA&amp;cp=47.643653~-122.385695","Map")</f>
        <v>Map</v>
      </c>
      <c r="N336" s="2" t="str">
        <f>HYPERLINK("http://i-0.rfimg.us/photo/1/bigphoto/498/27180498_2.jpg","Photo")</f>
        <v>Photo</v>
      </c>
      <c r="AG336">
        <v>47.643653</v>
      </c>
      <c r="AH336">
        <v>-122.385695</v>
      </c>
      <c r="AI336" t="s">
        <v>66</v>
      </c>
      <c r="AJ336">
        <v>98199</v>
      </c>
      <c r="AM336" t="s">
        <v>1722</v>
      </c>
      <c r="BC336" s="22">
        <v>39360.598506944443</v>
      </c>
      <c r="BI336" s="22">
        <v>39549.294907407406</v>
      </c>
      <c r="BL336">
        <v>11980</v>
      </c>
      <c r="BM336">
        <v>1191596</v>
      </c>
      <c r="BN336" t="s">
        <v>2829</v>
      </c>
      <c r="BO336" s="17">
        <f t="shared" ca="1" si="5"/>
        <v>188.71089895833575</v>
      </c>
      <c r="BP336" t="b">
        <v>0</v>
      </c>
      <c r="BQ336">
        <v>1</v>
      </c>
      <c r="BR336" t="s">
        <v>1667</v>
      </c>
      <c r="BS336" t="s">
        <v>1839</v>
      </c>
      <c r="BT336" t="b">
        <v>0</v>
      </c>
      <c r="BV336" t="s">
        <v>1668</v>
      </c>
      <c r="BW336">
        <v>2636</v>
      </c>
      <c r="BX336" t="s">
        <v>2423</v>
      </c>
      <c r="BY336">
        <v>12312797</v>
      </c>
      <c r="BZ336" t="s">
        <v>3445</v>
      </c>
      <c r="CA336">
        <v>1</v>
      </c>
      <c r="CB336" t="b">
        <v>1</v>
      </c>
      <c r="CC336">
        <v>0</v>
      </c>
      <c r="CD336" t="b">
        <v>0</v>
      </c>
      <c r="CE336" t="b">
        <v>0</v>
      </c>
      <c r="CF336" t="b">
        <v>1</v>
      </c>
      <c r="CG336">
        <v>15519377</v>
      </c>
      <c r="CH336" t="s">
        <v>1681</v>
      </c>
      <c r="CI336" s="10">
        <v>599000</v>
      </c>
      <c r="CL336" t="s">
        <v>2347</v>
      </c>
    </row>
    <row r="337" spans="1:90">
      <c r="A337">
        <v>27181093</v>
      </c>
      <c r="B337" s="2" t="str">
        <f>HYPERLINK("http://www.redfin.com/stingray/do/printable-listing?listing-id=1189837","Active")</f>
        <v>Active</v>
      </c>
      <c r="D337" t="s">
        <v>919</v>
      </c>
      <c r="E337" t="s">
        <v>2895</v>
      </c>
      <c r="F337" s="19">
        <v>550950</v>
      </c>
      <c r="G337">
        <v>1983</v>
      </c>
      <c r="H337">
        <v>1997</v>
      </c>
      <c r="I337">
        <v>6040</v>
      </c>
      <c r="J337">
        <v>3</v>
      </c>
      <c r="K337">
        <v>2.5</v>
      </c>
      <c r="M337" s="2" t="str">
        <f>HYPERLINK("http://maps.live.com/default.aspx?v=2&amp;lvl=15&amp;sp=Point.47.702877_-122.321448_537 NE 103rd St&amp;cp=47.702877~-122.321448","Map")</f>
        <v>Map</v>
      </c>
      <c r="N337" s="2" t="str">
        <f>HYPERLINK("http://i-0.rfimg.us/photo/1/bigphoto/093/27181093_0.jpg","Photo")</f>
        <v>Photo</v>
      </c>
      <c r="AG337">
        <v>47.702877000000001</v>
      </c>
      <c r="AH337">
        <v>-122.321448</v>
      </c>
      <c r="AI337" t="s">
        <v>66</v>
      </c>
      <c r="AJ337">
        <v>98125</v>
      </c>
      <c r="BC337" s="22">
        <v>39360.27547453704</v>
      </c>
      <c r="BI337" s="22">
        <v>39549.294907407406</v>
      </c>
      <c r="BL337">
        <v>10999</v>
      </c>
      <c r="BM337">
        <v>1189837</v>
      </c>
      <c r="BN337" t="s">
        <v>1753</v>
      </c>
      <c r="BO337" s="17">
        <f t="shared" ca="1" si="5"/>
        <v>189.03393136573868</v>
      </c>
      <c r="BP337" t="b">
        <v>0</v>
      </c>
      <c r="BQ337">
        <v>1</v>
      </c>
      <c r="BR337" t="s">
        <v>1686</v>
      </c>
      <c r="BS337" t="s">
        <v>2691</v>
      </c>
      <c r="BT337" t="b">
        <v>0</v>
      </c>
      <c r="BU337" t="s">
        <v>1738</v>
      </c>
      <c r="BV337" t="s">
        <v>1668</v>
      </c>
      <c r="BW337">
        <v>537</v>
      </c>
      <c r="BY337">
        <v>109958</v>
      </c>
      <c r="BZ337" t="s">
        <v>1741</v>
      </c>
      <c r="CA337">
        <v>1</v>
      </c>
      <c r="CB337" t="b">
        <v>1</v>
      </c>
      <c r="CC337">
        <v>0</v>
      </c>
      <c r="CD337" t="b">
        <v>0</v>
      </c>
      <c r="CE337" t="b">
        <v>0</v>
      </c>
      <c r="CF337" t="b">
        <v>1</v>
      </c>
      <c r="CG337">
        <v>2936213</v>
      </c>
      <c r="CH337" t="s">
        <v>1681</v>
      </c>
      <c r="CI337" s="10">
        <v>549950</v>
      </c>
    </row>
    <row r="338" spans="1:90">
      <c r="A338">
        <v>27181177</v>
      </c>
      <c r="B338" s="2" t="str">
        <f>HYPERLINK("http://www.redfin.com/stingray/do/printable-listing?listing-id=1194285","Active")</f>
        <v>Active</v>
      </c>
      <c r="D338" t="s">
        <v>3249</v>
      </c>
      <c r="E338" t="s">
        <v>3563</v>
      </c>
      <c r="F338">
        <v>434500</v>
      </c>
      <c r="G338">
        <v>2002</v>
      </c>
      <c r="H338">
        <v>1078</v>
      </c>
      <c r="I338">
        <v>1788</v>
      </c>
      <c r="J338">
        <v>2</v>
      </c>
      <c r="K338">
        <v>1.5</v>
      </c>
      <c r="M338" s="2" t="str">
        <f>HYPERLINK("http://maps.live.com/default.aspx?v=2&amp;lvl=15&amp;sp=Point.47.636762_-122.368795_1944 9th Ave W na&amp;cp=47.636762~-122.368795","Map")</f>
        <v>Map</v>
      </c>
      <c r="N338" s="2" t="str">
        <f>HYPERLINK("http://i-0.rfimg.us/photo/1/bigphoto/177/27181177_1.jpg","Photo")</f>
        <v>Photo</v>
      </c>
      <c r="AG338">
        <v>47.636761999999997</v>
      </c>
      <c r="AH338">
        <v>-122.36879500000001</v>
      </c>
      <c r="AI338" t="s">
        <v>66</v>
      </c>
      <c r="AJ338">
        <v>98119</v>
      </c>
      <c r="AM338" t="s">
        <v>3564</v>
      </c>
      <c r="AN338">
        <v>301000</v>
      </c>
      <c r="BC338" s="22">
        <v>39361.540324074071</v>
      </c>
      <c r="BI338" s="7">
        <v>39542</v>
      </c>
      <c r="BL338">
        <v>8690</v>
      </c>
      <c r="BM338">
        <v>1194285</v>
      </c>
      <c r="BN338" t="s">
        <v>2516</v>
      </c>
      <c r="BO338" s="17">
        <f t="shared" ca="1" si="5"/>
        <v>187.76908182870829</v>
      </c>
      <c r="BP338" t="b">
        <v>0</v>
      </c>
      <c r="BQ338">
        <v>1</v>
      </c>
      <c r="BR338" t="s">
        <v>1667</v>
      </c>
      <c r="BS338" t="s">
        <v>1785</v>
      </c>
      <c r="BT338" t="b">
        <v>0</v>
      </c>
      <c r="BV338" t="s">
        <v>1668</v>
      </c>
      <c r="BW338">
        <v>1944</v>
      </c>
      <c r="BX338" t="s">
        <v>2423</v>
      </c>
      <c r="BY338">
        <v>133658</v>
      </c>
      <c r="BZ338" t="s">
        <v>1935</v>
      </c>
      <c r="CA338">
        <v>1</v>
      </c>
      <c r="CB338" t="b">
        <v>1</v>
      </c>
      <c r="CC338">
        <v>0</v>
      </c>
      <c r="CD338" t="b">
        <v>0</v>
      </c>
      <c r="CE338" t="b">
        <v>0</v>
      </c>
      <c r="CF338" t="b">
        <v>1</v>
      </c>
      <c r="CG338">
        <v>2413877</v>
      </c>
      <c r="CH338" t="s">
        <v>1681</v>
      </c>
      <c r="CI338" s="10">
        <v>434500</v>
      </c>
      <c r="CJ338" s="7">
        <v>37650</v>
      </c>
    </row>
    <row r="339" spans="1:90">
      <c r="A339">
        <v>27181230</v>
      </c>
      <c r="B339" s="2" t="str">
        <f>HYPERLINK("http://www.redfin.com/stingray/do/printable-listing?listing-id=1192284","Active")</f>
        <v>Active</v>
      </c>
      <c r="D339" t="s">
        <v>63</v>
      </c>
      <c r="E339" t="s">
        <v>2765</v>
      </c>
      <c r="F339">
        <v>599000</v>
      </c>
      <c r="G339">
        <v>1953</v>
      </c>
      <c r="H339">
        <v>1610</v>
      </c>
      <c r="I339">
        <v>6030</v>
      </c>
      <c r="J339">
        <v>3</v>
      </c>
      <c r="K339">
        <v>1.5</v>
      </c>
      <c r="M339" s="2" t="str">
        <f>HYPERLINK("http://maps.live.com/default.aspx?v=2&amp;lvl=15&amp;sp=Point.47.703557_-122.369822_922 NW 103 St&amp;cp=47.703557~-122.369822","Map")</f>
        <v>Map</v>
      </c>
      <c r="N339" s="2" t="str">
        <f>HYPERLINK("http://i-0.rfimg.us/photo/1/bigphoto/230/27181230_0.jpg","Photo")</f>
        <v>Photo</v>
      </c>
      <c r="AG339">
        <v>47.703557000000004</v>
      </c>
      <c r="AH339">
        <v>-122.369822</v>
      </c>
      <c r="AI339" t="s">
        <v>66</v>
      </c>
      <c r="AJ339">
        <v>98177</v>
      </c>
      <c r="AN339">
        <v>367000</v>
      </c>
      <c r="BC339" s="22">
        <v>39360.797430555554</v>
      </c>
      <c r="BI339" s="7">
        <v>39544</v>
      </c>
      <c r="BL339">
        <v>11980</v>
      </c>
      <c r="BM339">
        <v>1192284</v>
      </c>
      <c r="BN339" t="s">
        <v>1770</v>
      </c>
      <c r="BO339" s="17">
        <f t="shared" ca="1" si="5"/>
        <v>188.51197546296316</v>
      </c>
      <c r="BP339" t="b">
        <v>0</v>
      </c>
      <c r="BQ339">
        <v>1</v>
      </c>
      <c r="BR339" t="s">
        <v>1686</v>
      </c>
      <c r="BS339">
        <v>103</v>
      </c>
      <c r="BT339" t="b">
        <v>0</v>
      </c>
      <c r="BU339" t="s">
        <v>1669</v>
      </c>
      <c r="BV339" t="s">
        <v>1668</v>
      </c>
      <c r="BW339">
        <v>922</v>
      </c>
      <c r="BY339">
        <v>96568</v>
      </c>
      <c r="BZ339" t="s">
        <v>1747</v>
      </c>
      <c r="CA339">
        <v>1</v>
      </c>
      <c r="CB339" t="b">
        <v>1</v>
      </c>
      <c r="CC339">
        <v>0</v>
      </c>
      <c r="CD339" t="b">
        <v>0</v>
      </c>
      <c r="CE339" t="b">
        <v>0</v>
      </c>
      <c r="CF339" t="b">
        <v>1</v>
      </c>
      <c r="CG339">
        <v>2746690</v>
      </c>
      <c r="CH339" t="s">
        <v>1681</v>
      </c>
      <c r="CI339" s="10">
        <v>599000</v>
      </c>
      <c r="CJ339" s="7">
        <v>38707</v>
      </c>
    </row>
    <row r="340" spans="1:90">
      <c r="A340">
        <v>27181245</v>
      </c>
      <c r="B340" s="2" t="str">
        <f>HYPERLINK("http://www.redfin.com/stingray/do/printable-listing?listing-id=1190833","Subject To Inspection")</f>
        <v>Subject To Inspection</v>
      </c>
      <c r="D340" t="s">
        <v>3924</v>
      </c>
      <c r="E340" t="s">
        <v>4096</v>
      </c>
      <c r="F340">
        <v>315000</v>
      </c>
      <c r="G340">
        <v>2007</v>
      </c>
      <c r="H340">
        <v>900</v>
      </c>
      <c r="I340">
        <v>0</v>
      </c>
      <c r="J340">
        <v>2</v>
      </c>
      <c r="K340">
        <v>1.5</v>
      </c>
      <c r="M340" s="2" t="str">
        <f>HYPERLINK("http://maps.live.com/default.aspx?v=2&amp;lvl=15&amp;sp=Point.47.6181_-122.301401_1833 24th Ave nA&amp;cp=47.6181~-122.301401","Map")</f>
        <v>Map</v>
      </c>
      <c r="N340" s="2" t="str">
        <f>HYPERLINK("http://i-0.rfimg.us/photo/1/bigphoto/245/27181245_0.jpg","Photo")</f>
        <v>Photo</v>
      </c>
      <c r="AG340">
        <v>47.618099999999998</v>
      </c>
      <c r="AH340">
        <v>-122.301401</v>
      </c>
      <c r="AI340" t="s">
        <v>66</v>
      </c>
      <c r="AJ340">
        <v>98122</v>
      </c>
      <c r="AM340" t="s">
        <v>1722</v>
      </c>
      <c r="BC340" s="22">
        <v>39360.413831018515</v>
      </c>
      <c r="BI340" s="22">
        <v>39545.917314814818</v>
      </c>
      <c r="BL340">
        <v>6300</v>
      </c>
      <c r="BM340">
        <v>1190833</v>
      </c>
      <c r="BN340" t="s">
        <v>1710</v>
      </c>
      <c r="BO340" s="17">
        <f t="shared" ca="1" si="5"/>
        <v>188.89557488426362</v>
      </c>
      <c r="BP340" t="b">
        <v>0</v>
      </c>
      <c r="BQ340">
        <v>2</v>
      </c>
      <c r="BR340" t="s">
        <v>1667</v>
      </c>
      <c r="BS340" t="s">
        <v>1740</v>
      </c>
      <c r="BT340" t="b">
        <v>0</v>
      </c>
      <c r="BV340" t="s">
        <v>1668</v>
      </c>
      <c r="BW340">
        <v>1833</v>
      </c>
      <c r="BY340">
        <v>12196430</v>
      </c>
      <c r="BZ340" t="s">
        <v>1713</v>
      </c>
      <c r="CA340">
        <v>1</v>
      </c>
      <c r="CB340" t="b">
        <v>1</v>
      </c>
      <c r="CC340">
        <v>0</v>
      </c>
      <c r="CD340" t="b">
        <v>0</v>
      </c>
      <c r="CE340" t="b">
        <v>0</v>
      </c>
      <c r="CF340" t="b">
        <v>1</v>
      </c>
      <c r="CG340">
        <v>15425722</v>
      </c>
      <c r="CH340" t="s">
        <v>1681</v>
      </c>
      <c r="CI340" s="10">
        <v>315000</v>
      </c>
    </row>
    <row r="341" spans="1:90">
      <c r="A341">
        <v>27181273</v>
      </c>
      <c r="B341" s="2" t="str">
        <f>HYPERLINK("http://www.redfin.com/stingray/do/printable-listing?listing-id=1192123","Active")</f>
        <v>Active</v>
      </c>
      <c r="D341" t="s">
        <v>63</v>
      </c>
      <c r="E341" t="s">
        <v>2094</v>
      </c>
      <c r="F341" s="19">
        <v>215950</v>
      </c>
      <c r="G341">
        <v>1988</v>
      </c>
      <c r="H341">
        <v>576</v>
      </c>
      <c r="I341">
        <v>0</v>
      </c>
      <c r="J341">
        <v>1</v>
      </c>
      <c r="K341">
        <v>1</v>
      </c>
      <c r="M341" s="2" t="str">
        <f>HYPERLINK("http://maps.live.com/default.aspx?v=2&amp;lvl=15&amp;sp=Point.47.681046_-122.365295_7000 Cleopatra Pl NW n202&amp;cp=47.681046~-122.365295","Map")</f>
        <v>Map</v>
      </c>
      <c r="N341" s="2" t="str">
        <f>HYPERLINK("http://i-0.rfimg.us/photo/1/bigphoto/273/27181273_1.jpg","Photo")</f>
        <v>Photo</v>
      </c>
      <c r="AG341">
        <v>47.681046000000002</v>
      </c>
      <c r="AH341">
        <v>-122.365295</v>
      </c>
      <c r="AI341" t="s">
        <v>66</v>
      </c>
      <c r="AJ341">
        <v>98117</v>
      </c>
      <c r="AM341" t="s">
        <v>1894</v>
      </c>
      <c r="BC341" s="22">
        <v>39360.704328703701</v>
      </c>
      <c r="BI341" s="22">
        <v>39549.294907407406</v>
      </c>
      <c r="BL341">
        <v>3599</v>
      </c>
      <c r="BM341">
        <v>1192123</v>
      </c>
      <c r="BN341" t="s">
        <v>1766</v>
      </c>
      <c r="BO341" s="17">
        <f t="shared" ca="1" si="5"/>
        <v>188.6050773148163</v>
      </c>
      <c r="BP341" t="b">
        <v>0</v>
      </c>
      <c r="BQ341">
        <v>1</v>
      </c>
      <c r="BR341" t="s">
        <v>1842</v>
      </c>
      <c r="BS341" t="s">
        <v>1641</v>
      </c>
      <c r="BT341" t="b">
        <v>0</v>
      </c>
      <c r="BV341" t="s">
        <v>1668</v>
      </c>
      <c r="BW341">
        <v>7000</v>
      </c>
      <c r="BX341" t="s">
        <v>1669</v>
      </c>
      <c r="BY341">
        <v>12196688</v>
      </c>
      <c r="BZ341" t="s">
        <v>2095</v>
      </c>
      <c r="CA341">
        <v>1</v>
      </c>
      <c r="CB341" t="b">
        <v>1</v>
      </c>
      <c r="CC341">
        <v>0</v>
      </c>
      <c r="CD341" t="b">
        <v>0</v>
      </c>
      <c r="CE341" t="b">
        <v>0</v>
      </c>
      <c r="CF341" t="b">
        <v>1</v>
      </c>
      <c r="CG341">
        <v>15591224</v>
      </c>
      <c r="CH341" t="s">
        <v>1666</v>
      </c>
      <c r="CI341" s="10">
        <v>219950</v>
      </c>
      <c r="CK341" t="s">
        <v>1990</v>
      </c>
      <c r="CL341" t="s">
        <v>2204</v>
      </c>
    </row>
    <row r="342" spans="1:90">
      <c r="A342">
        <v>27181282</v>
      </c>
      <c r="B342" s="2" t="str">
        <f>HYPERLINK("http://www.redfin.com/stingray/do/printable-listing?listing-id=1192125","Active")</f>
        <v>Active</v>
      </c>
      <c r="D342" t="s">
        <v>63</v>
      </c>
      <c r="E342" t="s">
        <v>1889</v>
      </c>
      <c r="F342">
        <v>281950</v>
      </c>
      <c r="G342">
        <v>1988</v>
      </c>
      <c r="H342">
        <v>772</v>
      </c>
      <c r="I342">
        <v>0</v>
      </c>
      <c r="J342">
        <v>2</v>
      </c>
      <c r="K342">
        <v>1</v>
      </c>
      <c r="M342" s="2" t="str">
        <f>HYPERLINK("http://maps.live.com/default.aspx?v=2&amp;lvl=15&amp;sp=Point.47.681046_-122.365295_7000 Cleopatra Pl NW n301&amp;cp=47.681046~-122.365295","Map")</f>
        <v>Map</v>
      </c>
      <c r="N342" s="2" t="str">
        <f>HYPERLINK("http://i-0.rfimg.us/photo/1/bigphoto/282/27181282_2.jpg","Photo")</f>
        <v>Photo</v>
      </c>
      <c r="AG342">
        <v>47.681046000000002</v>
      </c>
      <c r="AH342">
        <v>-122.365295</v>
      </c>
      <c r="AI342" t="s">
        <v>66</v>
      </c>
      <c r="AJ342">
        <v>98117</v>
      </c>
      <c r="AM342" t="s">
        <v>1767</v>
      </c>
      <c r="BC342" s="22">
        <v>39360.704363425924</v>
      </c>
      <c r="BI342" s="22">
        <v>39549.294907407406</v>
      </c>
      <c r="BL342">
        <v>5459</v>
      </c>
      <c r="BM342">
        <v>1192125</v>
      </c>
      <c r="BN342" t="s">
        <v>1766</v>
      </c>
      <c r="BO342" s="17">
        <f t="shared" ca="1" si="5"/>
        <v>188.60504259259324</v>
      </c>
      <c r="BP342" t="b">
        <v>0</v>
      </c>
      <c r="BQ342">
        <v>1</v>
      </c>
      <c r="BR342" t="s">
        <v>1842</v>
      </c>
      <c r="BS342" t="s">
        <v>1641</v>
      </c>
      <c r="BT342" t="b">
        <v>0</v>
      </c>
      <c r="BV342" t="s">
        <v>1668</v>
      </c>
      <c r="BW342">
        <v>7000</v>
      </c>
      <c r="BX342" t="s">
        <v>1669</v>
      </c>
      <c r="BY342">
        <v>12196690</v>
      </c>
      <c r="BZ342" t="s">
        <v>1890</v>
      </c>
      <c r="CA342">
        <v>1</v>
      </c>
      <c r="CB342" t="b">
        <v>1</v>
      </c>
      <c r="CC342">
        <v>0</v>
      </c>
      <c r="CD342" t="b">
        <v>0</v>
      </c>
      <c r="CE342" t="b">
        <v>0</v>
      </c>
      <c r="CF342" t="b">
        <v>1</v>
      </c>
      <c r="CG342">
        <v>15591224</v>
      </c>
      <c r="CH342" t="s">
        <v>1666</v>
      </c>
      <c r="CI342" s="10">
        <v>281950</v>
      </c>
      <c r="CK342" t="s">
        <v>1990</v>
      </c>
    </row>
    <row r="343" spans="1:90">
      <c r="A343">
        <v>27181479</v>
      </c>
      <c r="B343" s="2" t="str">
        <f>HYPERLINK("http://www.redfin.com/stingray/do/printable-listing?listing-id=1191346","Active")</f>
        <v>Active</v>
      </c>
      <c r="D343" t="s">
        <v>5926</v>
      </c>
      <c r="E343" t="s">
        <v>6112</v>
      </c>
      <c r="F343" s="19">
        <v>624950</v>
      </c>
      <c r="G343">
        <v>2007</v>
      </c>
      <c r="H343">
        <v>2912</v>
      </c>
      <c r="I343">
        <v>6714</v>
      </c>
      <c r="J343">
        <v>4</v>
      </c>
      <c r="K343">
        <v>2.5</v>
      </c>
      <c r="M343" s="2" t="str">
        <f>HYPERLINK("http://maps.live.com/default.aspx?v=2&amp;lvl=15&amp;sp=Point.47.509663_-122.186606_2421 NE 20th St&amp;cp=47.509663~-122.186606","Map")</f>
        <v>Map</v>
      </c>
      <c r="N343" s="2" t="str">
        <f>HYPERLINK("http://i-0.rfimg.us/photo/1/bigphoto/479/27181479_1.jpg","Photo")</f>
        <v>Photo</v>
      </c>
      <c r="AG343">
        <v>47.509663000000003</v>
      </c>
      <c r="AH343">
        <v>-122.186606</v>
      </c>
      <c r="AI343" t="s">
        <v>1077</v>
      </c>
      <c r="AJ343">
        <v>98056</v>
      </c>
      <c r="BC343" s="22">
        <v>39360.533171296294</v>
      </c>
      <c r="BI343" s="22">
        <v>39549.294907407406</v>
      </c>
      <c r="BL343">
        <v>12999</v>
      </c>
      <c r="BM343">
        <v>1191346</v>
      </c>
      <c r="BN343" t="s">
        <v>4593</v>
      </c>
      <c r="BO343" s="17">
        <f t="shared" ca="1" si="5"/>
        <v>188.77623460648465</v>
      </c>
      <c r="BP343" t="b">
        <v>0</v>
      </c>
      <c r="BQ343">
        <v>1</v>
      </c>
      <c r="BR343" t="s">
        <v>1686</v>
      </c>
      <c r="BS343" t="s">
        <v>1844</v>
      </c>
      <c r="BT343" t="b">
        <v>0</v>
      </c>
      <c r="BU343" t="s">
        <v>1738</v>
      </c>
      <c r="BV343" t="s">
        <v>1668</v>
      </c>
      <c r="BW343">
        <v>2421</v>
      </c>
      <c r="BY343">
        <v>11894317</v>
      </c>
      <c r="BZ343" t="s">
        <v>4706</v>
      </c>
      <c r="CA343">
        <v>1</v>
      </c>
      <c r="CB343" t="b">
        <v>1</v>
      </c>
      <c r="CC343">
        <v>0</v>
      </c>
      <c r="CD343" t="b">
        <v>0</v>
      </c>
      <c r="CE343" t="b">
        <v>0</v>
      </c>
      <c r="CF343" t="b">
        <v>1</v>
      </c>
      <c r="CG343">
        <v>15148542</v>
      </c>
      <c r="CH343" t="s">
        <v>1681</v>
      </c>
      <c r="CI343" s="10">
        <v>649950</v>
      </c>
    </row>
    <row r="344" spans="1:90">
      <c r="A344">
        <v>27181492</v>
      </c>
      <c r="B344" s="2" t="str">
        <f>HYPERLINK("http://www.redfin.com/stingray/do/printable-listing?listing-id=1191467","Active")</f>
        <v>Active</v>
      </c>
      <c r="D344" t="s">
        <v>5139</v>
      </c>
      <c r="E344" t="s">
        <v>5788</v>
      </c>
      <c r="F344">
        <v>1249000</v>
      </c>
      <c r="G344">
        <v>1992</v>
      </c>
      <c r="H344">
        <v>3110</v>
      </c>
      <c r="I344">
        <v>11700</v>
      </c>
      <c r="J344">
        <v>4</v>
      </c>
      <c r="K344">
        <v>2.5</v>
      </c>
      <c r="M344" s="2" t="str">
        <f>HYPERLINK("http://maps.live.com/default.aspx?v=2&amp;lvl=15&amp;sp=Point.47.557193_-122.214237_5011 E Mercer Way&amp;cp=47.557193~-122.214237","Map")</f>
        <v>Map</v>
      </c>
      <c r="N344" s="2" t="str">
        <f>HYPERLINK("http://i-0.rfimg.us/photo/1/bigphoto/492/27181492_4.jpg","Photo")</f>
        <v>Photo</v>
      </c>
      <c r="AG344">
        <v>47.557192999999998</v>
      </c>
      <c r="AH344">
        <v>-122.214237</v>
      </c>
      <c r="AI344" t="s">
        <v>5139</v>
      </c>
      <c r="AJ344">
        <v>98040</v>
      </c>
      <c r="AN344">
        <v>125000</v>
      </c>
      <c r="BC344" s="22">
        <v>39360.553993055553</v>
      </c>
      <c r="BI344" s="22">
        <v>39549.294907407406</v>
      </c>
      <c r="BL344">
        <v>24980</v>
      </c>
      <c r="BM344">
        <v>1191467</v>
      </c>
      <c r="BN344" t="s">
        <v>1746</v>
      </c>
      <c r="BO344" s="17">
        <f t="shared" ca="1" si="5"/>
        <v>188.75541284722567</v>
      </c>
      <c r="BP344" t="b">
        <v>0</v>
      </c>
      <c r="BQ344">
        <v>1</v>
      </c>
      <c r="BR344" t="s">
        <v>2463</v>
      </c>
      <c r="BS344" t="s">
        <v>4242</v>
      </c>
      <c r="BT344" t="b">
        <v>0</v>
      </c>
      <c r="BU344" t="s">
        <v>2436</v>
      </c>
      <c r="BV344" t="s">
        <v>1668</v>
      </c>
      <c r="BW344">
        <v>5011</v>
      </c>
      <c r="BY344">
        <v>255832</v>
      </c>
      <c r="BZ344" t="s">
        <v>5789</v>
      </c>
      <c r="CA344">
        <v>1</v>
      </c>
      <c r="CB344" t="b">
        <v>1</v>
      </c>
      <c r="CC344">
        <v>0</v>
      </c>
      <c r="CD344" t="b">
        <v>0</v>
      </c>
      <c r="CE344" t="b">
        <v>0</v>
      </c>
      <c r="CF344" t="b">
        <v>1</v>
      </c>
      <c r="CG344">
        <v>2801017</v>
      </c>
      <c r="CH344" t="s">
        <v>1681</v>
      </c>
      <c r="CI344" s="10">
        <v>1249000</v>
      </c>
      <c r="CJ344" s="7">
        <v>33156</v>
      </c>
    </row>
    <row r="345" spans="1:90">
      <c r="A345">
        <v>27181629</v>
      </c>
      <c r="B345" s="2" t="str">
        <f>HYPERLINK("http://www.redfin.com/stingray/do/printable-listing?listing-id=1194531","Active")</f>
        <v>Active</v>
      </c>
      <c r="D345" t="s">
        <v>5204</v>
      </c>
      <c r="E345" t="s">
        <v>5396</v>
      </c>
      <c r="F345" s="19">
        <v>519500</v>
      </c>
      <c r="G345">
        <v>1961</v>
      </c>
      <c r="H345">
        <v>2040</v>
      </c>
      <c r="I345">
        <v>0</v>
      </c>
      <c r="J345">
        <v>5</v>
      </c>
      <c r="K345">
        <v>2</v>
      </c>
      <c r="M345" s="2" t="str">
        <f>HYPERLINK("http://maps.live.com/default.aspx?v=2&amp;lvl=15&amp;sp=Point.47.593998_-122.143974_1820 147 Ave SE&amp;cp=47.593998~-122.143974","Map")</f>
        <v>Map</v>
      </c>
      <c r="N345" s="2" t="str">
        <f>HYPERLINK("http://i-0.rfimg.us/photo/1/bigphoto/629/27181629_2.jpg","Photo")</f>
        <v>Photo</v>
      </c>
      <c r="AG345">
        <v>47.593997999999999</v>
      </c>
      <c r="AH345">
        <v>-122.143974</v>
      </c>
      <c r="AI345" t="s">
        <v>369</v>
      </c>
      <c r="AJ345">
        <v>98007</v>
      </c>
      <c r="AN345">
        <v>174750</v>
      </c>
      <c r="BC345" s="22">
        <v>39361.714317129627</v>
      </c>
      <c r="BI345" s="22">
        <v>39549.294907407406</v>
      </c>
      <c r="BL345">
        <v>10700</v>
      </c>
      <c r="BM345">
        <v>1194531</v>
      </c>
      <c r="BN345" t="s">
        <v>1674</v>
      </c>
      <c r="BO345" s="17">
        <f t="shared" ca="1" si="5"/>
        <v>187.59508877315238</v>
      </c>
      <c r="BP345" t="b">
        <v>0</v>
      </c>
      <c r="BQ345">
        <v>1</v>
      </c>
      <c r="BR345" t="s">
        <v>1667</v>
      </c>
      <c r="BS345">
        <v>147</v>
      </c>
      <c r="BT345" t="b">
        <v>0</v>
      </c>
      <c r="BV345" t="s">
        <v>1668</v>
      </c>
      <c r="BW345">
        <v>1820</v>
      </c>
      <c r="BX345" t="s">
        <v>3856</v>
      </c>
      <c r="BY345">
        <v>426798</v>
      </c>
      <c r="BZ345" t="s">
        <v>5397</v>
      </c>
      <c r="CA345">
        <v>1</v>
      </c>
      <c r="CB345" t="b">
        <v>1</v>
      </c>
      <c r="CC345">
        <v>0</v>
      </c>
      <c r="CD345" t="b">
        <v>0</v>
      </c>
      <c r="CE345" t="b">
        <v>0</v>
      </c>
      <c r="CF345" t="b">
        <v>1</v>
      </c>
      <c r="CG345">
        <v>2707212</v>
      </c>
      <c r="CH345" t="s">
        <v>1681</v>
      </c>
      <c r="CI345" s="10">
        <v>534975</v>
      </c>
      <c r="CJ345" s="7">
        <v>35867</v>
      </c>
    </row>
    <row r="346" spans="1:90">
      <c r="A346">
        <v>27181665</v>
      </c>
      <c r="B346" s="2" t="str">
        <f>HYPERLINK("http://www.redfin.com/stingray/do/printable-listing?listing-id=1191821","Active")</f>
        <v>Active</v>
      </c>
      <c r="D346" t="s">
        <v>3959</v>
      </c>
      <c r="E346" t="s">
        <v>4153</v>
      </c>
      <c r="F346">
        <v>329500</v>
      </c>
      <c r="G346">
        <v>2003</v>
      </c>
      <c r="H346">
        <v>1140</v>
      </c>
      <c r="I346">
        <v>0</v>
      </c>
      <c r="J346">
        <v>2</v>
      </c>
      <c r="K346">
        <v>1.5</v>
      </c>
      <c r="M346" s="2" t="str">
        <f>HYPERLINK("http://maps.live.com/default.aspx?v=2&amp;lvl=15&amp;sp=Point.47.600663_-122.305634_2015 S Washington St&amp;cp=47.600663~-122.305634","Map")</f>
        <v>Map</v>
      </c>
      <c r="N346" s="2" t="str">
        <f>HYPERLINK("http://i-0.rfimg.us/photo/1/bigphoto/665/27181665_0.jpg","Photo")</f>
        <v>Photo</v>
      </c>
      <c r="AG346">
        <v>47.600662999999997</v>
      </c>
      <c r="AH346">
        <v>-122.305634</v>
      </c>
      <c r="AI346" t="s">
        <v>66</v>
      </c>
      <c r="AJ346">
        <v>98144</v>
      </c>
      <c r="BC346" s="22">
        <v>39360.652199074073</v>
      </c>
      <c r="BI346" s="7">
        <v>39539</v>
      </c>
      <c r="BL346">
        <v>6590</v>
      </c>
      <c r="BM346">
        <v>1191821</v>
      </c>
      <c r="BN346" t="s">
        <v>1776</v>
      </c>
      <c r="BO346" s="17">
        <f t="shared" ca="1" si="5"/>
        <v>188.65720682870597</v>
      </c>
      <c r="BP346" t="b">
        <v>0</v>
      </c>
      <c r="BQ346">
        <v>1</v>
      </c>
      <c r="BR346" t="s">
        <v>1686</v>
      </c>
      <c r="BS346" t="s">
        <v>4154</v>
      </c>
      <c r="BT346" t="b">
        <v>0</v>
      </c>
      <c r="BU346" t="s">
        <v>1881</v>
      </c>
      <c r="BV346" t="s">
        <v>1668</v>
      </c>
      <c r="BW346">
        <v>2015</v>
      </c>
      <c r="BY346">
        <v>11903143</v>
      </c>
      <c r="BZ346" t="s">
        <v>1701</v>
      </c>
      <c r="CA346">
        <v>1</v>
      </c>
      <c r="CB346" t="b">
        <v>1</v>
      </c>
      <c r="CC346">
        <v>0</v>
      </c>
      <c r="CD346" t="b">
        <v>0</v>
      </c>
      <c r="CE346" t="b">
        <v>0</v>
      </c>
      <c r="CF346" t="b">
        <v>1</v>
      </c>
      <c r="CG346">
        <v>15157368</v>
      </c>
      <c r="CH346" t="s">
        <v>1681</v>
      </c>
      <c r="CI346" s="10">
        <v>329500</v>
      </c>
    </row>
    <row r="347" spans="1:90">
      <c r="A347">
        <v>27181893</v>
      </c>
      <c r="B347" s="2" t="str">
        <f>HYPERLINK("http://www.redfin.com/stingray/do/printable-listing?listing-id=1194005","Active")</f>
        <v>Active</v>
      </c>
      <c r="D347" t="s">
        <v>1058</v>
      </c>
      <c r="E347" t="s">
        <v>4859</v>
      </c>
      <c r="F347">
        <v>849995</v>
      </c>
      <c r="G347">
        <v>1927</v>
      </c>
      <c r="H347">
        <v>3600</v>
      </c>
      <c r="I347">
        <v>11875</v>
      </c>
      <c r="J347">
        <v>5</v>
      </c>
      <c r="K347">
        <v>2.75</v>
      </c>
      <c r="M347" s="2" t="str">
        <f>HYPERLINK("http://maps.live.com/default.aspx?v=2&amp;lvl=15&amp;sp=Point.47.683169_-122.198773_528 10th Ave&amp;cp=47.683169~-122.198773","Map")</f>
        <v>Map</v>
      </c>
      <c r="N347" s="2" t="str">
        <f>HYPERLINK("http://i-0.rfimg.us/photo/1/bigphoto/893/27181893_0.jpg","Photo")</f>
        <v>Photo</v>
      </c>
      <c r="AG347">
        <v>47.683168999999999</v>
      </c>
      <c r="AH347">
        <v>-122.198773</v>
      </c>
      <c r="AI347" t="s">
        <v>1058</v>
      </c>
      <c r="AJ347">
        <v>98033</v>
      </c>
      <c r="BC347" s="22">
        <v>39361.41133101852</v>
      </c>
      <c r="BI347" s="22">
        <v>39549.294907407406</v>
      </c>
      <c r="BL347">
        <v>17000</v>
      </c>
      <c r="BM347">
        <v>1194005</v>
      </c>
      <c r="BN347" t="s">
        <v>1775</v>
      </c>
      <c r="BO347" s="17">
        <f t="shared" ca="1" si="5"/>
        <v>187.89807488425868</v>
      </c>
      <c r="BP347" t="b">
        <v>0</v>
      </c>
      <c r="BQ347">
        <v>1</v>
      </c>
      <c r="BR347" t="s">
        <v>1667</v>
      </c>
      <c r="BS347" t="s">
        <v>1788</v>
      </c>
      <c r="BT347" t="b">
        <v>0</v>
      </c>
      <c r="BV347" t="s">
        <v>1668</v>
      </c>
      <c r="BW347">
        <v>528</v>
      </c>
      <c r="BY347">
        <v>12213640</v>
      </c>
      <c r="BZ347" t="s">
        <v>1672</v>
      </c>
      <c r="CA347">
        <v>1</v>
      </c>
      <c r="CB347" t="b">
        <v>1</v>
      </c>
      <c r="CC347">
        <v>0</v>
      </c>
      <c r="CD347" t="b">
        <v>0</v>
      </c>
      <c r="CE347" t="b">
        <v>0</v>
      </c>
      <c r="CF347" t="b">
        <v>1</v>
      </c>
      <c r="CG347">
        <v>15442855</v>
      </c>
      <c r="CH347" t="s">
        <v>1681</v>
      </c>
      <c r="CI347" s="10">
        <v>849995</v>
      </c>
    </row>
    <row r="348" spans="1:90">
      <c r="A348">
        <v>27182257</v>
      </c>
      <c r="B348" s="2" t="str">
        <f>HYPERLINK("http://www.redfin.com/stingray/do/printable-listing?listing-id=1195709","Active")</f>
        <v>Active</v>
      </c>
      <c r="D348" t="s">
        <v>5273</v>
      </c>
      <c r="E348" t="s">
        <v>5292</v>
      </c>
      <c r="F348">
        <v>1249000</v>
      </c>
      <c r="G348">
        <v>1969</v>
      </c>
      <c r="H348">
        <v>2430</v>
      </c>
      <c r="I348">
        <v>35719</v>
      </c>
      <c r="J348">
        <v>3</v>
      </c>
      <c r="K348">
        <v>2.5</v>
      </c>
      <c r="M348" s="2" t="str">
        <f>HYPERLINK("http://maps.live.com/default.aspx?v=2&amp;lvl=15&amp;sp=Point.47.584448_-122.081672_2815 194th Ave SE&amp;cp=47.584448~-122.081672","Map")</f>
        <v>Map</v>
      </c>
      <c r="N348" s="2" t="str">
        <f>HYPERLINK("http://i-0.rfimg.us/photo/1/bigphoto/257/27182257_1.jpg","Photo")</f>
        <v>Photo</v>
      </c>
      <c r="AG348">
        <v>47.584448000000002</v>
      </c>
      <c r="AH348">
        <v>-122.081672</v>
      </c>
      <c r="AI348" t="s">
        <v>5273</v>
      </c>
      <c r="AJ348">
        <v>98075</v>
      </c>
      <c r="AN348">
        <v>920000</v>
      </c>
      <c r="BC348" s="22">
        <v>39362.806875000002</v>
      </c>
      <c r="BI348" s="22">
        <v>39549.294907407406</v>
      </c>
      <c r="BL348">
        <v>24980</v>
      </c>
      <c r="BM348">
        <v>1195709</v>
      </c>
      <c r="BN348" t="s">
        <v>1674</v>
      </c>
      <c r="BO348" s="17">
        <f t="shared" ca="1" si="5"/>
        <v>186.50253090277693</v>
      </c>
      <c r="BP348" t="b">
        <v>0</v>
      </c>
      <c r="BQ348">
        <v>1</v>
      </c>
      <c r="BR348" t="s">
        <v>1667</v>
      </c>
      <c r="BS348" t="s">
        <v>4641</v>
      </c>
      <c r="BT348" t="b">
        <v>0</v>
      </c>
      <c r="BV348" t="s">
        <v>1668</v>
      </c>
      <c r="BW348">
        <v>2815</v>
      </c>
      <c r="BX348" t="s">
        <v>3856</v>
      </c>
      <c r="BY348">
        <v>268221</v>
      </c>
      <c r="BZ348" t="s">
        <v>2382</v>
      </c>
      <c r="CA348">
        <v>1</v>
      </c>
      <c r="CB348" t="b">
        <v>1</v>
      </c>
      <c r="CC348">
        <v>0</v>
      </c>
      <c r="CD348" t="b">
        <v>0</v>
      </c>
      <c r="CE348" t="b">
        <v>0</v>
      </c>
      <c r="CF348" t="b">
        <v>1</v>
      </c>
      <c r="CG348">
        <v>2349383</v>
      </c>
      <c r="CH348" t="s">
        <v>1681</v>
      </c>
      <c r="CI348" s="10">
        <v>1249000</v>
      </c>
      <c r="CJ348" s="7">
        <v>39177</v>
      </c>
    </row>
    <row r="349" spans="1:90">
      <c r="A349">
        <v>27182345</v>
      </c>
      <c r="B349" s="2" t="str">
        <f>HYPERLINK("http://www.redfin.com/stingray/do/printable-listing?listing-id=1196201","Active")</f>
        <v>Active</v>
      </c>
      <c r="D349" t="s">
        <v>3685</v>
      </c>
      <c r="E349" t="s">
        <v>3709</v>
      </c>
      <c r="F349">
        <v>1575000</v>
      </c>
      <c r="G349">
        <v>1951</v>
      </c>
      <c r="H349">
        <v>3600</v>
      </c>
      <c r="I349">
        <v>7313</v>
      </c>
      <c r="J349">
        <v>5</v>
      </c>
      <c r="K349">
        <v>3</v>
      </c>
      <c r="M349" s="2" t="str">
        <f>HYPERLINK("http://maps.live.com/default.aspx?v=2&amp;lvl=15&amp;sp=Point.47.63485_-122.281215_1805 McGilvra Blvd E&amp;cp=47.63485~-122.281215","Map")</f>
        <v>Map</v>
      </c>
      <c r="N349" s="2" t="str">
        <f>HYPERLINK("http://i-0.rfimg.us/photo/1/bigphoto/345/27182345_3.jpg","Photo")</f>
        <v>Photo</v>
      </c>
      <c r="AG349">
        <v>47.63485</v>
      </c>
      <c r="AH349">
        <v>-122.281215</v>
      </c>
      <c r="AI349" t="s">
        <v>66</v>
      </c>
      <c r="AJ349">
        <v>98112</v>
      </c>
      <c r="AN349">
        <v>250000</v>
      </c>
      <c r="BC349" s="22">
        <v>39363.369398148148</v>
      </c>
      <c r="BI349" s="22">
        <v>39549.294907407406</v>
      </c>
      <c r="BL349">
        <v>31500</v>
      </c>
      <c r="BM349">
        <v>1196201</v>
      </c>
      <c r="BN349" t="s">
        <v>1829</v>
      </c>
      <c r="BO349" s="17">
        <f t="shared" ca="1" si="5"/>
        <v>185.94000775463064</v>
      </c>
      <c r="BP349" t="b">
        <v>0</v>
      </c>
      <c r="BQ349">
        <v>1</v>
      </c>
      <c r="BR349" t="s">
        <v>3141</v>
      </c>
      <c r="BS349" t="s">
        <v>3684</v>
      </c>
      <c r="BT349" t="b">
        <v>0</v>
      </c>
      <c r="BV349" t="s">
        <v>1668</v>
      </c>
      <c r="BW349">
        <v>1805</v>
      </c>
      <c r="BX349" t="s">
        <v>2436</v>
      </c>
      <c r="BY349">
        <v>139768</v>
      </c>
      <c r="BZ349" t="s">
        <v>2561</v>
      </c>
      <c r="CA349">
        <v>1</v>
      </c>
      <c r="CB349" t="b">
        <v>1</v>
      </c>
      <c r="CC349">
        <v>0</v>
      </c>
      <c r="CD349" t="b">
        <v>0</v>
      </c>
      <c r="CE349" t="b">
        <v>0</v>
      </c>
      <c r="CF349" t="b">
        <v>1</v>
      </c>
      <c r="CG349">
        <v>2418526</v>
      </c>
      <c r="CH349" t="s">
        <v>1681</v>
      </c>
      <c r="CI349" s="10">
        <v>1575000</v>
      </c>
      <c r="CJ349" s="7">
        <v>35030</v>
      </c>
    </row>
    <row r="350" spans="1:90">
      <c r="A350">
        <v>27182355</v>
      </c>
      <c r="B350" s="2" t="str">
        <f>HYPERLINK("http://www.redfin.com/stingray/do/printable-listing?listing-id=1198574","Active")</f>
        <v>Active</v>
      </c>
      <c r="D350" t="s">
        <v>63</v>
      </c>
      <c r="E350" t="s">
        <v>2591</v>
      </c>
      <c r="F350">
        <v>549950</v>
      </c>
      <c r="G350">
        <v>2005</v>
      </c>
      <c r="H350">
        <v>1685</v>
      </c>
      <c r="I350">
        <v>0</v>
      </c>
      <c r="J350">
        <v>3</v>
      </c>
      <c r="K350">
        <v>3.5</v>
      </c>
      <c r="M350" s="2" t="str">
        <f>HYPERLINK("http://maps.live.com/default.aspx?v=2&amp;lvl=15&amp;sp=Point.47.672505_-122.37278_1140 NW 60th St&amp;cp=47.672505~-122.37278","Map")</f>
        <v>Map</v>
      </c>
      <c r="N350" s="2" t="str">
        <f>HYPERLINK("http://i-0.rfimg.us/photo/1/bigphoto/355/27182355_3.jpg","Photo")</f>
        <v>Photo</v>
      </c>
      <c r="AG350">
        <v>47.672505000000001</v>
      </c>
      <c r="AH350">
        <v>-122.37278000000001</v>
      </c>
      <c r="AI350" t="s">
        <v>66</v>
      </c>
      <c r="AJ350">
        <v>98107</v>
      </c>
      <c r="BC350" s="22">
        <v>39364.391828703701</v>
      </c>
      <c r="BI350" s="7">
        <v>39533</v>
      </c>
      <c r="BL350">
        <v>10999</v>
      </c>
      <c r="BM350">
        <v>1198574</v>
      </c>
      <c r="BN350" t="s">
        <v>2590</v>
      </c>
      <c r="BO350" s="17">
        <f t="shared" ca="1" si="5"/>
        <v>184.9175773148163</v>
      </c>
      <c r="BP350" t="b">
        <v>0</v>
      </c>
      <c r="BQ350">
        <v>1</v>
      </c>
      <c r="BR350" t="s">
        <v>1686</v>
      </c>
      <c r="BS350" t="s">
        <v>2417</v>
      </c>
      <c r="BT350" t="b">
        <v>0</v>
      </c>
      <c r="BU350" t="s">
        <v>1669</v>
      </c>
      <c r="BV350" t="s">
        <v>1668</v>
      </c>
      <c r="BW350">
        <v>1140</v>
      </c>
      <c r="BY350">
        <v>12226139</v>
      </c>
      <c r="BZ350" t="s">
        <v>2592</v>
      </c>
      <c r="CA350">
        <v>1</v>
      </c>
      <c r="CB350" t="b">
        <v>1</v>
      </c>
      <c r="CC350">
        <v>0</v>
      </c>
      <c r="CD350" t="b">
        <v>0</v>
      </c>
      <c r="CE350" t="b">
        <v>0</v>
      </c>
      <c r="CF350" t="b">
        <v>1</v>
      </c>
      <c r="CG350">
        <v>15455020</v>
      </c>
      <c r="CH350" t="s">
        <v>1681</v>
      </c>
      <c r="CI350" s="10">
        <v>549950</v>
      </c>
    </row>
    <row r="351" spans="1:90">
      <c r="A351">
        <v>27182371</v>
      </c>
      <c r="B351" s="2" t="str">
        <f>HYPERLINK("http://www.redfin.com/stingray/do/printable-listing?listing-id=1196251","Active")</f>
        <v>Active</v>
      </c>
      <c r="D351" t="s">
        <v>1058</v>
      </c>
      <c r="E351" t="s">
        <v>4534</v>
      </c>
      <c r="F351">
        <v>659500</v>
      </c>
      <c r="G351">
        <v>1965</v>
      </c>
      <c r="H351">
        <v>2740</v>
      </c>
      <c r="I351">
        <v>8680</v>
      </c>
      <c r="J351">
        <v>5</v>
      </c>
      <c r="K351">
        <v>2</v>
      </c>
      <c r="M351" s="2" t="str">
        <f>HYPERLINK("http://maps.live.com/default.aspx?v=2&amp;lvl=15&amp;sp=Point.47.700119_-122.19771_11056 108th Pl NE&amp;cp=47.700119~-122.19771","Map")</f>
        <v>Map</v>
      </c>
      <c r="N351" s="2" t="str">
        <f>HYPERLINK("http://i-0.rfimg.us/photo/1/bigphoto/371/27182371_1.jpg","Photo")</f>
        <v>Photo</v>
      </c>
      <c r="AG351">
        <v>47.700119000000001</v>
      </c>
      <c r="AH351">
        <v>-122.19771</v>
      </c>
      <c r="AI351" t="s">
        <v>1058</v>
      </c>
      <c r="AJ351">
        <v>98033</v>
      </c>
      <c r="BC351" s="22">
        <v>39363.391041666669</v>
      </c>
      <c r="BI351" s="22">
        <v>39549.294907407406</v>
      </c>
      <c r="BL351">
        <v>13190</v>
      </c>
      <c r="BM351">
        <v>1196251</v>
      </c>
      <c r="BN351" t="s">
        <v>1775</v>
      </c>
      <c r="BO351" s="17">
        <f t="shared" ca="1" si="5"/>
        <v>185.91836423610948</v>
      </c>
      <c r="BP351" t="b">
        <v>0</v>
      </c>
      <c r="BQ351">
        <v>1</v>
      </c>
      <c r="BR351" t="s">
        <v>1842</v>
      </c>
      <c r="BS351" t="s">
        <v>4355</v>
      </c>
      <c r="BT351" t="b">
        <v>0</v>
      </c>
      <c r="BV351" t="s">
        <v>1668</v>
      </c>
      <c r="BW351">
        <v>11056</v>
      </c>
      <c r="BX351" t="s">
        <v>1738</v>
      </c>
      <c r="BY351">
        <v>461585</v>
      </c>
      <c r="BZ351" t="s">
        <v>1756</v>
      </c>
      <c r="CA351">
        <v>1</v>
      </c>
      <c r="CB351" t="b">
        <v>1</v>
      </c>
      <c r="CC351">
        <v>0</v>
      </c>
      <c r="CD351" t="b">
        <v>0</v>
      </c>
      <c r="CE351" t="b">
        <v>0</v>
      </c>
      <c r="CF351" t="b">
        <v>1</v>
      </c>
      <c r="CG351">
        <v>2344005</v>
      </c>
      <c r="CH351" t="s">
        <v>1681</v>
      </c>
      <c r="CI351" s="10">
        <v>659500</v>
      </c>
    </row>
    <row r="352" spans="1:90">
      <c r="A352">
        <v>27182603</v>
      </c>
      <c r="B352" s="2" t="str">
        <f>HYPERLINK("http://www.redfin.com/stingray/do/printable-listing?listing-id=1196682","Active")</f>
        <v>Active</v>
      </c>
      <c r="D352" t="s">
        <v>218</v>
      </c>
      <c r="E352" t="s">
        <v>3243</v>
      </c>
      <c r="F352">
        <v>529000</v>
      </c>
      <c r="G352">
        <v>1928</v>
      </c>
      <c r="H352">
        <v>1880</v>
      </c>
      <c r="I352">
        <v>5891</v>
      </c>
      <c r="J352">
        <v>3</v>
      </c>
      <c r="K352">
        <v>1</v>
      </c>
      <c r="M352" s="2" t="str">
        <f>HYPERLINK("http://maps.live.com/default.aspx?v=2&amp;lvl=15&amp;sp=Point.47.681608_-122.306288_7310 20th Ave NE&amp;cp=47.681608~-122.306288","Map")</f>
        <v>Map</v>
      </c>
      <c r="N352" s="2" t="str">
        <f>HYPERLINK("http://i-0.rfimg.us/photo/1/bigphoto/603/27182603_1.jpg","Photo")</f>
        <v>Photo</v>
      </c>
      <c r="AG352">
        <v>47.681607999999997</v>
      </c>
      <c r="AH352">
        <v>-122.306288</v>
      </c>
      <c r="AI352" t="s">
        <v>66</v>
      </c>
      <c r="AJ352">
        <v>98115</v>
      </c>
      <c r="AN352">
        <v>336000</v>
      </c>
      <c r="BC352" s="22">
        <v>39363.512673611112</v>
      </c>
      <c r="BI352" s="22">
        <v>39549.294907407406</v>
      </c>
      <c r="BL352">
        <v>10580</v>
      </c>
      <c r="BM352">
        <v>1196682</v>
      </c>
      <c r="BN352" t="s">
        <v>2777</v>
      </c>
      <c r="BO352" s="17">
        <f t="shared" ca="1" si="5"/>
        <v>185.79673229166656</v>
      </c>
      <c r="BP352" t="b">
        <v>1</v>
      </c>
      <c r="BQ352">
        <v>1</v>
      </c>
      <c r="BR352" t="s">
        <v>1667</v>
      </c>
      <c r="BS352" t="s">
        <v>1844</v>
      </c>
      <c r="BT352" t="b">
        <v>0</v>
      </c>
      <c r="BV352" t="s">
        <v>1668</v>
      </c>
      <c r="BW352">
        <v>7310</v>
      </c>
      <c r="BX352" t="s">
        <v>1738</v>
      </c>
      <c r="BY352">
        <v>310340</v>
      </c>
      <c r="BZ352" t="s">
        <v>2429</v>
      </c>
      <c r="CA352">
        <v>1</v>
      </c>
      <c r="CB352" t="b">
        <v>1</v>
      </c>
      <c r="CC352">
        <v>0</v>
      </c>
      <c r="CD352" t="b">
        <v>0</v>
      </c>
      <c r="CE352" t="b">
        <v>0</v>
      </c>
      <c r="CF352" t="b">
        <v>1</v>
      </c>
      <c r="CG352">
        <v>2945479</v>
      </c>
      <c r="CH352" t="s">
        <v>1681</v>
      </c>
      <c r="CI352" s="10">
        <v>529000</v>
      </c>
      <c r="CJ352" s="7">
        <v>38289</v>
      </c>
      <c r="CK352" t="s">
        <v>3242</v>
      </c>
    </row>
    <row r="353" spans="1:90">
      <c r="A353">
        <v>27182914</v>
      </c>
      <c r="B353" s="2" t="str">
        <f>HYPERLINK("http://www.redfin.com/stingray/do/printable-listing?listing-id=1197335","Subject To Inspection")</f>
        <v>Subject To Inspection</v>
      </c>
      <c r="D353" t="s">
        <v>3064</v>
      </c>
      <c r="E353" t="s">
        <v>6029</v>
      </c>
      <c r="F353">
        <v>549950</v>
      </c>
      <c r="G353">
        <v>2007</v>
      </c>
      <c r="H353">
        <v>2819</v>
      </c>
      <c r="I353">
        <v>7777</v>
      </c>
      <c r="J353">
        <v>4</v>
      </c>
      <c r="K353">
        <v>2.75</v>
      </c>
      <c r="M353" s="2" t="str">
        <f>HYPERLINK("http://maps.live.com/default.aspx?v=2&amp;lvl=15&amp;sp=Point.47.4997_-122.1557_749 Duvall Pl NE&amp;cp=47.4997~-122.1557","Map")</f>
        <v>Map</v>
      </c>
      <c r="N353" s="2" t="str">
        <f>HYPERLINK("http://i-0.rfimg.us/photo/1/bigphoto/914/27182914_0.jpg","Photo")</f>
        <v>Photo</v>
      </c>
      <c r="AG353">
        <v>47.499699999999997</v>
      </c>
      <c r="AH353">
        <v>-122.1557</v>
      </c>
      <c r="AI353" t="s">
        <v>1077</v>
      </c>
      <c r="AJ353">
        <v>98059</v>
      </c>
      <c r="BC353" s="22">
        <v>39363.746782407405</v>
      </c>
      <c r="BI353" s="22">
        <v>39545.917314814818</v>
      </c>
      <c r="BL353">
        <v>10999</v>
      </c>
      <c r="BM353">
        <v>1197335</v>
      </c>
      <c r="BN353" t="s">
        <v>1768</v>
      </c>
      <c r="BO353" s="17">
        <f t="shared" ca="1" si="5"/>
        <v>185.56262349537428</v>
      </c>
      <c r="BP353" t="b">
        <v>0</v>
      </c>
      <c r="BQ353">
        <v>2</v>
      </c>
      <c r="BR353" t="s">
        <v>1842</v>
      </c>
      <c r="BS353" t="s">
        <v>3899</v>
      </c>
      <c r="BT353" t="b">
        <v>0</v>
      </c>
      <c r="BV353" t="s">
        <v>1668</v>
      </c>
      <c r="BW353">
        <v>749</v>
      </c>
      <c r="BX353" t="s">
        <v>1738</v>
      </c>
      <c r="BY353">
        <v>12225680</v>
      </c>
      <c r="BZ353" t="s">
        <v>1670</v>
      </c>
      <c r="CA353">
        <v>1</v>
      </c>
      <c r="CB353" t="b">
        <v>1</v>
      </c>
      <c r="CC353">
        <v>0</v>
      </c>
      <c r="CD353" t="b">
        <v>0</v>
      </c>
      <c r="CE353" t="b">
        <v>0</v>
      </c>
      <c r="CF353" t="b">
        <v>1</v>
      </c>
      <c r="CG353">
        <v>15148648</v>
      </c>
      <c r="CH353" t="s">
        <v>1681</v>
      </c>
      <c r="CI353" s="10">
        <v>549950</v>
      </c>
    </row>
    <row r="354" spans="1:90">
      <c r="A354">
        <v>27182937</v>
      </c>
      <c r="B354" s="2" t="str">
        <f>HYPERLINK("http://www.redfin.com/stingray/do/printable-listing?listing-id=1199940","Active")</f>
        <v>Active</v>
      </c>
      <c r="D354" t="s">
        <v>5261</v>
      </c>
      <c r="E354" t="s">
        <v>5260</v>
      </c>
      <c r="F354">
        <v>749000</v>
      </c>
      <c r="G354">
        <v>1967</v>
      </c>
      <c r="H354">
        <v>3400</v>
      </c>
      <c r="I354">
        <v>10880</v>
      </c>
      <c r="J354">
        <v>3</v>
      </c>
      <c r="K354">
        <v>2.75</v>
      </c>
      <c r="M354" s="2" t="str">
        <f>HYPERLINK("http://maps.live.com/default.aspx?v=2&amp;lvl=15&amp;sp=Point.47.585149_-122.116329_16802 SE 28th St&amp;cp=47.585149~-122.116329","Map")</f>
        <v>Map</v>
      </c>
      <c r="N354" s="2" t="str">
        <f>HYPERLINK("http://i-0.rfimg.us/photo/1/bigphoto/937/27182937_0.jpg","Photo")</f>
        <v>Photo</v>
      </c>
      <c r="AG354">
        <v>47.585149000000001</v>
      </c>
      <c r="AH354">
        <v>-122.11632899999999</v>
      </c>
      <c r="AI354" t="s">
        <v>369</v>
      </c>
      <c r="AJ354">
        <v>98008</v>
      </c>
      <c r="AN354">
        <v>434950</v>
      </c>
      <c r="BC354" s="22">
        <v>39364.626342592594</v>
      </c>
      <c r="BI354" s="22">
        <v>39549.294907407406</v>
      </c>
      <c r="BL354">
        <v>14980</v>
      </c>
      <c r="BM354">
        <v>1199940</v>
      </c>
      <c r="BN354" t="s">
        <v>1685</v>
      </c>
      <c r="BO354" s="17">
        <f t="shared" ca="1" si="5"/>
        <v>184.68306331018539</v>
      </c>
      <c r="BP354" t="b">
        <v>0</v>
      </c>
      <c r="BQ354">
        <v>1</v>
      </c>
      <c r="BR354" t="s">
        <v>1686</v>
      </c>
      <c r="BS354" t="s">
        <v>1760</v>
      </c>
      <c r="BT354" t="b">
        <v>0</v>
      </c>
      <c r="BU354" t="s">
        <v>3856</v>
      </c>
      <c r="BV354" t="s">
        <v>1668</v>
      </c>
      <c r="BW354">
        <v>16802</v>
      </c>
      <c r="BY354">
        <v>428798</v>
      </c>
      <c r="BZ354" t="s">
        <v>1672</v>
      </c>
      <c r="CA354">
        <v>1</v>
      </c>
      <c r="CB354" t="b">
        <v>1</v>
      </c>
      <c r="CC354">
        <v>0</v>
      </c>
      <c r="CD354" t="b">
        <v>0</v>
      </c>
      <c r="CE354" t="b">
        <v>0</v>
      </c>
      <c r="CF354" t="b">
        <v>1</v>
      </c>
      <c r="CG354">
        <v>2785132</v>
      </c>
      <c r="CH354" t="s">
        <v>1681</v>
      </c>
      <c r="CI354" s="10">
        <v>749000</v>
      </c>
      <c r="CJ354" s="7">
        <v>36371</v>
      </c>
    </row>
    <row r="355" spans="1:90">
      <c r="A355">
        <v>27183015</v>
      </c>
      <c r="B355" s="2" t="str">
        <f>HYPERLINK("http://www.redfin.com/stingray/do/printable-listing?listing-id=1209743","Active")</f>
        <v>Active</v>
      </c>
      <c r="D355" t="s">
        <v>188</v>
      </c>
      <c r="E355" t="s">
        <v>906</v>
      </c>
      <c r="F355">
        <v>474950</v>
      </c>
      <c r="G355">
        <v>1999</v>
      </c>
      <c r="H355">
        <v>2460</v>
      </c>
      <c r="I355">
        <v>0</v>
      </c>
      <c r="J355">
        <v>5</v>
      </c>
      <c r="K355">
        <v>2.5</v>
      </c>
      <c r="M355" s="2" t="str">
        <f>HYPERLINK("http://maps.live.com/default.aspx?v=2&amp;lvl=15&amp;sp=Point.47.711455_-122.29731_11348 28th Ave NE&amp;cp=47.711455~-122.29731","Map")</f>
        <v>Map</v>
      </c>
      <c r="N355" s="2" t="str">
        <f>HYPERLINK("http://i-0.rfimg.us/photo/1/bigphoto/015/27183015_0.jpg","Photo")</f>
        <v>Photo</v>
      </c>
      <c r="AG355">
        <v>47.711455000000001</v>
      </c>
      <c r="AH355">
        <v>-122.29731</v>
      </c>
      <c r="AI355" t="s">
        <v>66</v>
      </c>
      <c r="AJ355">
        <v>98125</v>
      </c>
      <c r="AN355">
        <v>296500</v>
      </c>
      <c r="BC355" s="22">
        <v>39367.750694444447</v>
      </c>
      <c r="BI355" s="22">
        <v>39549.294907407406</v>
      </c>
      <c r="BL355">
        <v>9499</v>
      </c>
      <c r="BM355">
        <v>1209743</v>
      </c>
      <c r="BN355" t="s">
        <v>1746</v>
      </c>
      <c r="BO355" s="17">
        <f t="shared" ca="1" si="5"/>
        <v>181.55871145833225</v>
      </c>
      <c r="BP355" t="b">
        <v>0</v>
      </c>
      <c r="BQ355">
        <v>1</v>
      </c>
      <c r="BR355" t="s">
        <v>1667</v>
      </c>
      <c r="BS355" t="s">
        <v>1760</v>
      </c>
      <c r="BT355" t="b">
        <v>0</v>
      </c>
      <c r="BV355" t="s">
        <v>1668</v>
      </c>
      <c r="BW355">
        <v>11348</v>
      </c>
      <c r="BX355" t="s">
        <v>1738</v>
      </c>
      <c r="BY355">
        <v>111414</v>
      </c>
      <c r="BZ355" t="s">
        <v>1713</v>
      </c>
      <c r="CA355">
        <v>1</v>
      </c>
      <c r="CB355" t="b">
        <v>1</v>
      </c>
      <c r="CC355">
        <v>0</v>
      </c>
      <c r="CD355" t="b">
        <v>0</v>
      </c>
      <c r="CE355" t="b">
        <v>0</v>
      </c>
      <c r="CF355" t="b">
        <v>1</v>
      </c>
      <c r="CG355">
        <v>2619629</v>
      </c>
      <c r="CH355" t="s">
        <v>1681</v>
      </c>
      <c r="CI355" s="10">
        <v>474950</v>
      </c>
      <c r="CJ355" s="7">
        <v>37708</v>
      </c>
      <c r="CK355" t="s">
        <v>2907</v>
      </c>
    </row>
    <row r="356" spans="1:90">
      <c r="A356">
        <v>27183222</v>
      </c>
      <c r="B356" s="2" t="str">
        <f>HYPERLINK("http://www.redfin.com/stingray/do/printable-listing?listing-id=1201749","Contingent")</f>
        <v>Contingent</v>
      </c>
      <c r="D356" t="s">
        <v>55</v>
      </c>
      <c r="E356" t="s">
        <v>491</v>
      </c>
      <c r="F356">
        <v>351000</v>
      </c>
      <c r="G356">
        <v>1916</v>
      </c>
      <c r="H356">
        <v>1020</v>
      </c>
      <c r="I356">
        <v>4133</v>
      </c>
      <c r="J356">
        <v>2</v>
      </c>
      <c r="K356">
        <v>1</v>
      </c>
      <c r="M356" s="2" t="str">
        <f>HYPERLINK("http://maps.live.com/default.aspx?v=2&amp;lvl=15&amp;sp=Point.47.703411_-122.352061_515 N 103rd St&amp;cp=47.703411~-122.352061","Map")</f>
        <v>Map</v>
      </c>
      <c r="N356" s="2" t="str">
        <f>HYPERLINK("http://i-0.rfimg.us/photo/1/bigphoto/222/27183222_M.jpg","Photo")</f>
        <v>Photo</v>
      </c>
      <c r="AG356">
        <v>47.703411000000003</v>
      </c>
      <c r="AH356">
        <v>-122.35206100000001</v>
      </c>
      <c r="AI356" t="s">
        <v>66</v>
      </c>
      <c r="AJ356">
        <v>98133</v>
      </c>
      <c r="AN356">
        <v>380000</v>
      </c>
      <c r="BC356" s="22">
        <v>39365.348865740743</v>
      </c>
      <c r="BI356" s="22">
        <v>39549.294907407406</v>
      </c>
      <c r="BL356">
        <v>7020</v>
      </c>
      <c r="BM356">
        <v>1201749</v>
      </c>
      <c r="BN356" t="s">
        <v>2808</v>
      </c>
      <c r="BO356" s="17">
        <f t="shared" ca="1" si="5"/>
        <v>183.96054027777427</v>
      </c>
      <c r="BP356" t="b">
        <v>0</v>
      </c>
      <c r="BQ356">
        <v>2</v>
      </c>
      <c r="BR356" t="s">
        <v>1686</v>
      </c>
      <c r="BS356" t="s">
        <v>2691</v>
      </c>
      <c r="BT356" t="b">
        <v>0</v>
      </c>
      <c r="BU356" t="s">
        <v>1712</v>
      </c>
      <c r="BV356" t="s">
        <v>1668</v>
      </c>
      <c r="BW356">
        <v>515</v>
      </c>
      <c r="BY356">
        <v>98962</v>
      </c>
      <c r="BZ356" t="s">
        <v>2809</v>
      </c>
      <c r="CA356">
        <v>1</v>
      </c>
      <c r="CB356" t="b">
        <v>1</v>
      </c>
      <c r="CC356">
        <v>0</v>
      </c>
      <c r="CD356" t="b">
        <v>0</v>
      </c>
      <c r="CE356" t="b">
        <v>0</v>
      </c>
      <c r="CF356" t="b">
        <v>1</v>
      </c>
      <c r="CG356">
        <v>2844004</v>
      </c>
      <c r="CH356" t="s">
        <v>1681</v>
      </c>
      <c r="CI356" s="10">
        <v>351000</v>
      </c>
      <c r="CJ356" s="7">
        <v>38981</v>
      </c>
    </row>
    <row r="357" spans="1:90">
      <c r="A357">
        <v>27183310</v>
      </c>
      <c r="B357" s="2" t="str">
        <f>HYPERLINK("http://www.redfin.com/stingray/do/printable-listing?listing-id=1199768","Active")</f>
        <v>Active</v>
      </c>
      <c r="D357" t="s">
        <v>6218</v>
      </c>
      <c r="E357" t="s">
        <v>6227</v>
      </c>
      <c r="F357">
        <v>399950</v>
      </c>
      <c r="G357">
        <v>2008</v>
      </c>
      <c r="H357">
        <v>2315</v>
      </c>
      <c r="I357">
        <v>0</v>
      </c>
      <c r="J357">
        <v>3</v>
      </c>
      <c r="K357">
        <v>2.5</v>
      </c>
      <c r="M357" s="2" t="str">
        <f>HYPERLINK("http://maps.live.com/default.aspx?v=2&amp;lvl=15&amp;sp=adr.11645 SE 189th Pl (Unable to map),98055","Map")</f>
        <v>Map</v>
      </c>
      <c r="N357" s="2" t="str">
        <f>HYPERLINK("http://i-0.rfimg.us/photo/1/bigphoto/310/27183310_0.jpg","Photo")</f>
        <v>Photo</v>
      </c>
      <c r="AI357" t="s">
        <v>1077</v>
      </c>
      <c r="AJ357">
        <v>98055</v>
      </c>
      <c r="BC357" s="22">
        <v>39364.552002314813</v>
      </c>
      <c r="BI357" s="7">
        <v>39542</v>
      </c>
      <c r="BL357">
        <v>7999</v>
      </c>
      <c r="BM357">
        <v>1199768</v>
      </c>
      <c r="BN357" t="s">
        <v>6215</v>
      </c>
      <c r="BO357" s="17">
        <f t="shared" ca="1" si="5"/>
        <v>184.75740358796611</v>
      </c>
      <c r="BP357" t="b">
        <v>0</v>
      </c>
      <c r="BQ357">
        <v>1</v>
      </c>
      <c r="BR357" t="s">
        <v>1842</v>
      </c>
      <c r="BS357" t="s">
        <v>6217</v>
      </c>
      <c r="BT357" t="b">
        <v>0</v>
      </c>
      <c r="BU357" t="s">
        <v>3856</v>
      </c>
      <c r="BV357" t="s">
        <v>1668</v>
      </c>
      <c r="BW357">
        <v>11645</v>
      </c>
      <c r="BY357">
        <v>0</v>
      </c>
      <c r="BZ357" s="21">
        <v>0</v>
      </c>
      <c r="CA357">
        <v>1</v>
      </c>
      <c r="CB357" t="b">
        <v>1</v>
      </c>
      <c r="CC357">
        <v>0</v>
      </c>
      <c r="CD357" t="b">
        <v>0</v>
      </c>
      <c r="CE357" t="b">
        <v>0</v>
      </c>
      <c r="CF357" t="b">
        <v>1</v>
      </c>
      <c r="CG357" t="s">
        <v>1870</v>
      </c>
      <c r="CH357" t="s">
        <v>1681</v>
      </c>
      <c r="CI357" s="10">
        <v>399950</v>
      </c>
    </row>
    <row r="358" spans="1:90">
      <c r="A358">
        <v>27183351</v>
      </c>
      <c r="B358" s="2" t="str">
        <f>HYPERLINK("http://www.redfin.com/stingray/do/printable-listing?listing-id=1202239","Active")</f>
        <v>Active</v>
      </c>
      <c r="D358" t="s">
        <v>4542</v>
      </c>
      <c r="E358" t="s">
        <v>4853</v>
      </c>
      <c r="F358">
        <v>1020000</v>
      </c>
      <c r="G358">
        <v>2004</v>
      </c>
      <c r="H358">
        <v>3150</v>
      </c>
      <c r="I358">
        <v>8625</v>
      </c>
      <c r="J358">
        <v>4</v>
      </c>
      <c r="K358">
        <v>2.5</v>
      </c>
      <c r="M358" s="2" t="str">
        <f>HYPERLINK("http://maps.live.com/default.aspx?v=2&amp;lvl=15&amp;sp=Point.47.689463_-122.202053_419 18 Ave&amp;cp=47.689463~-122.202053","Map")</f>
        <v>Map</v>
      </c>
      <c r="N358" s="2" t="str">
        <f>HYPERLINK("http://i-0.rfimg.us/photo/1/bigphoto/351/27183351_1.jpg","Photo")</f>
        <v>Photo</v>
      </c>
      <c r="AG358">
        <v>47.689463000000003</v>
      </c>
      <c r="AH358">
        <v>-122.20205300000001</v>
      </c>
      <c r="AI358" t="s">
        <v>1058</v>
      </c>
      <c r="AJ358">
        <v>98033</v>
      </c>
      <c r="AN358">
        <v>815000</v>
      </c>
      <c r="BC358" s="22">
        <v>39365.414768518516</v>
      </c>
      <c r="BI358" s="22">
        <v>39549.294907407406</v>
      </c>
      <c r="BL358">
        <v>20400</v>
      </c>
      <c r="BM358">
        <v>1202239</v>
      </c>
      <c r="BN358" t="s">
        <v>4852</v>
      </c>
      <c r="BO358" s="17">
        <f t="shared" ca="1" si="5"/>
        <v>183.89463738426275</v>
      </c>
      <c r="BP358" t="b">
        <v>0</v>
      </c>
      <c r="BQ358">
        <v>1</v>
      </c>
      <c r="BR358" t="s">
        <v>1667</v>
      </c>
      <c r="BS358">
        <v>18</v>
      </c>
      <c r="BT358" t="b">
        <v>0</v>
      </c>
      <c r="BV358" t="s">
        <v>1668</v>
      </c>
      <c r="BW358">
        <v>419</v>
      </c>
      <c r="BY358">
        <v>462051</v>
      </c>
      <c r="BZ358" t="s">
        <v>4854</v>
      </c>
      <c r="CA358">
        <v>1</v>
      </c>
      <c r="CB358" t="b">
        <v>1</v>
      </c>
      <c r="CC358">
        <v>0</v>
      </c>
      <c r="CD358" t="b">
        <v>0</v>
      </c>
      <c r="CE358" t="b">
        <v>0</v>
      </c>
      <c r="CF358" t="b">
        <v>1</v>
      </c>
      <c r="CG358">
        <v>2985776</v>
      </c>
      <c r="CH358" t="s">
        <v>1681</v>
      </c>
      <c r="CI358" s="10">
        <v>1020000</v>
      </c>
      <c r="CJ358" s="7">
        <v>38324</v>
      </c>
    </row>
    <row r="359" spans="1:90">
      <c r="A359">
        <v>27183608</v>
      </c>
      <c r="B359" s="15" t="str">
        <f>HYPERLINK("http://www.redfin.com/stingray/do/printable-listing?listing-id=1208897","Subject To Inspection")</f>
        <v>Subject To Inspection</v>
      </c>
      <c r="D359" t="s">
        <v>63</v>
      </c>
      <c r="E359" t="s">
        <v>2584</v>
      </c>
      <c r="F359">
        <v>764950</v>
      </c>
      <c r="G359">
        <v>2007</v>
      </c>
      <c r="H359">
        <v>3200</v>
      </c>
      <c r="I359">
        <v>3760</v>
      </c>
      <c r="J359">
        <v>4</v>
      </c>
      <c r="K359">
        <v>2.5</v>
      </c>
      <c r="M359" s="2" t="str">
        <f>HYPERLINK("http://maps.live.com/default.aspx?v=2&amp;lvl=15&amp;sp=Point.47.661678_-122.361651_316 NW 45 St&amp;cp=47.661678~-122.361651","Map")</f>
        <v>Map</v>
      </c>
      <c r="N359" s="2" t="str">
        <f>HYPERLINK("http://i-0.rfimg.us/photo/1/bigphoto/608/27183608_0.jpg","Photo")</f>
        <v>Photo</v>
      </c>
      <c r="AG359">
        <v>47.661678000000002</v>
      </c>
      <c r="AH359">
        <v>-122.36165099999999</v>
      </c>
      <c r="AI359" t="s">
        <v>66</v>
      </c>
      <c r="AJ359">
        <v>98107</v>
      </c>
      <c r="AN359">
        <v>272000</v>
      </c>
      <c r="BC359" s="22">
        <v>39367.548645833333</v>
      </c>
      <c r="BI359" s="22">
        <v>39549.294907407406</v>
      </c>
      <c r="BL359">
        <v>15299</v>
      </c>
      <c r="BM359">
        <v>1208897</v>
      </c>
      <c r="BN359" t="s">
        <v>2365</v>
      </c>
      <c r="BO359" s="17">
        <f t="shared" ca="1" si="5"/>
        <v>181.76076018518506</v>
      </c>
      <c r="BP359" t="b">
        <v>0</v>
      </c>
      <c r="BQ359">
        <v>1</v>
      </c>
      <c r="BR359" t="s">
        <v>1686</v>
      </c>
      <c r="BS359">
        <v>45</v>
      </c>
      <c r="BT359" t="b">
        <v>0</v>
      </c>
      <c r="BU359" t="s">
        <v>1669</v>
      </c>
      <c r="BV359" t="s">
        <v>1668</v>
      </c>
      <c r="BW359">
        <v>316</v>
      </c>
      <c r="BY359">
        <v>303338</v>
      </c>
      <c r="BZ359" t="s">
        <v>1672</v>
      </c>
      <c r="CA359">
        <v>1</v>
      </c>
      <c r="CB359" t="b">
        <v>1</v>
      </c>
      <c r="CC359">
        <v>0</v>
      </c>
      <c r="CD359" t="b">
        <v>0</v>
      </c>
      <c r="CE359" t="b">
        <v>0</v>
      </c>
      <c r="CF359" t="b">
        <v>1</v>
      </c>
      <c r="CG359">
        <v>2735780</v>
      </c>
      <c r="CH359" t="s">
        <v>1681</v>
      </c>
      <c r="CI359" s="10">
        <v>764950</v>
      </c>
      <c r="CJ359" s="7">
        <v>38776</v>
      </c>
    </row>
    <row r="360" spans="1:90">
      <c r="A360">
        <v>27183668</v>
      </c>
      <c r="B360" s="2" t="str">
        <f>HYPERLINK("http://www.redfin.com/stingray/do/printable-listing?listing-id=1202018","Active")</f>
        <v>Active</v>
      </c>
      <c r="D360" t="s">
        <v>369</v>
      </c>
      <c r="E360" t="s">
        <v>5149</v>
      </c>
      <c r="F360">
        <v>1149888</v>
      </c>
      <c r="G360">
        <v>2003</v>
      </c>
      <c r="H360">
        <v>4318</v>
      </c>
      <c r="I360">
        <v>7101</v>
      </c>
      <c r="J360">
        <v>3</v>
      </c>
      <c r="K360">
        <v>3</v>
      </c>
      <c r="M360" s="2" t="str">
        <f>HYPERLINK("http://maps.live.com/default.aspx?v=2&amp;lvl=15&amp;sp=Point.47.589142_-122.153512_2398 140th Way SE&amp;cp=47.589142~-122.153512","Map")</f>
        <v>Map</v>
      </c>
      <c r="N360" s="2" t="str">
        <f>HYPERLINK("http://i-0.rfimg.us/photo/1/bigphoto/668/27183668_0.jpg","Photo")</f>
        <v>Photo</v>
      </c>
      <c r="AG360">
        <v>47.589142000000002</v>
      </c>
      <c r="AH360">
        <v>-122.15351200000001</v>
      </c>
      <c r="AI360" t="s">
        <v>369</v>
      </c>
      <c r="AJ360">
        <v>98007</v>
      </c>
      <c r="AN360">
        <v>738535</v>
      </c>
      <c r="BC360" s="22">
        <v>39365.369432870371</v>
      </c>
      <c r="BI360" s="22">
        <v>39549.294907407406</v>
      </c>
      <c r="BL360">
        <v>22998</v>
      </c>
      <c r="BM360">
        <v>1202018</v>
      </c>
      <c r="BN360" t="s">
        <v>3236</v>
      </c>
      <c r="BO360" s="17">
        <f t="shared" ca="1" si="5"/>
        <v>183.93997303240758</v>
      </c>
      <c r="BP360" t="b">
        <v>0</v>
      </c>
      <c r="BQ360">
        <v>1</v>
      </c>
      <c r="BR360" t="s">
        <v>2463</v>
      </c>
      <c r="BS360" t="s">
        <v>4434</v>
      </c>
      <c r="BT360" t="b">
        <v>0</v>
      </c>
      <c r="BV360" t="s">
        <v>1668</v>
      </c>
      <c r="BW360">
        <v>2398</v>
      </c>
      <c r="BX360" t="s">
        <v>3856</v>
      </c>
      <c r="BY360">
        <v>508637</v>
      </c>
      <c r="BZ360" t="s">
        <v>1713</v>
      </c>
      <c r="CA360">
        <v>1</v>
      </c>
      <c r="CB360" t="b">
        <v>1</v>
      </c>
      <c r="CC360">
        <v>0</v>
      </c>
      <c r="CD360" t="b">
        <v>0</v>
      </c>
      <c r="CE360" t="b">
        <v>0</v>
      </c>
      <c r="CF360" t="b">
        <v>1</v>
      </c>
      <c r="CG360">
        <v>2959487</v>
      </c>
      <c r="CH360" t="s">
        <v>1681</v>
      </c>
      <c r="CI360" s="10">
        <v>1149888</v>
      </c>
      <c r="CJ360" s="7">
        <v>37854</v>
      </c>
    </row>
    <row r="361" spans="1:90">
      <c r="A361">
        <v>27183786</v>
      </c>
      <c r="B361" s="2" t="str">
        <f>HYPERLINK("http://www.redfin.com/stingray/do/printable-listing?listing-id=1202343","Active")</f>
        <v>Active</v>
      </c>
      <c r="D361" t="s">
        <v>4375</v>
      </c>
      <c r="E361" t="s">
        <v>4792</v>
      </c>
      <c r="F361">
        <v>440000</v>
      </c>
      <c r="G361">
        <v>1986</v>
      </c>
      <c r="H361">
        <v>1530</v>
      </c>
      <c r="I361">
        <v>2913</v>
      </c>
      <c r="J361">
        <v>3</v>
      </c>
      <c r="K361">
        <v>2.25</v>
      </c>
      <c r="M361" s="2" t="str">
        <f>HYPERLINK("http://maps.live.com/default.aspx?v=2&amp;lvl=15&amp;sp=Point.47.693834_-122.18357_11826 NE 105th Ct&amp;cp=47.693834~-122.18357","Map")</f>
        <v>Map</v>
      </c>
      <c r="N361" s="2" t="str">
        <f>HYPERLINK("http://i-0.rfimg.us/photo/1/bigphoto/786/27183786_3.jpg","Photo")</f>
        <v>Photo</v>
      </c>
      <c r="AG361">
        <v>47.693834000000003</v>
      </c>
      <c r="AH361">
        <v>-122.18357</v>
      </c>
      <c r="AI361" t="s">
        <v>1058</v>
      </c>
      <c r="AJ361">
        <v>98033</v>
      </c>
      <c r="AN361">
        <v>385500</v>
      </c>
      <c r="BC361" s="22">
        <v>39365.446944444448</v>
      </c>
      <c r="BI361" s="22">
        <v>39549.294907407406</v>
      </c>
      <c r="BL361">
        <v>8800</v>
      </c>
      <c r="BM361">
        <v>1202343</v>
      </c>
      <c r="BN361" t="s">
        <v>1735</v>
      </c>
      <c r="BO361" s="17">
        <f t="shared" ca="1" si="5"/>
        <v>183.86246145833138</v>
      </c>
      <c r="BP361" t="b">
        <v>0</v>
      </c>
      <c r="BQ361">
        <v>1</v>
      </c>
      <c r="BR361" t="s">
        <v>3768</v>
      </c>
      <c r="BS361" t="s">
        <v>2705</v>
      </c>
      <c r="BT361" t="b">
        <v>0</v>
      </c>
      <c r="BU361" t="s">
        <v>1738</v>
      </c>
      <c r="BV361" t="s">
        <v>1668</v>
      </c>
      <c r="BW361">
        <v>11826</v>
      </c>
      <c r="BY361">
        <v>464562</v>
      </c>
      <c r="BZ361" t="s">
        <v>2206</v>
      </c>
      <c r="CA361">
        <v>1</v>
      </c>
      <c r="CB361" t="b">
        <v>1</v>
      </c>
      <c r="CC361">
        <v>0</v>
      </c>
      <c r="CD361" t="b">
        <v>0</v>
      </c>
      <c r="CE361" t="b">
        <v>0</v>
      </c>
      <c r="CF361" t="b">
        <v>1</v>
      </c>
      <c r="CG361">
        <v>2416122</v>
      </c>
      <c r="CH361" t="s">
        <v>1681</v>
      </c>
      <c r="CI361" s="10">
        <v>440000</v>
      </c>
      <c r="CJ361" s="7">
        <v>38867</v>
      </c>
    </row>
    <row r="362" spans="1:90">
      <c r="A362">
        <v>27184119</v>
      </c>
      <c r="B362" s="2" t="str">
        <f>HYPERLINK("http://www.redfin.com/stingray/do/printable-listing?listing-id=1203069","Active")</f>
        <v>Active</v>
      </c>
      <c r="D362" t="s">
        <v>3704</v>
      </c>
      <c r="E362" t="s">
        <v>4192</v>
      </c>
      <c r="F362">
        <v>533100</v>
      </c>
      <c r="G362">
        <v>2008</v>
      </c>
      <c r="H362">
        <v>1062</v>
      </c>
      <c r="I362">
        <v>0</v>
      </c>
      <c r="J362">
        <v>1</v>
      </c>
      <c r="K362">
        <v>1.5</v>
      </c>
      <c r="M362" s="2" t="str">
        <f>HYPERLINK("http://maps.live.com/default.aspx?v=2&amp;lvl=15&amp;sp=Point.47.617924_-122.317995_1820 11th Ave nB&amp;cp=47.617924~-122.317995","Map")</f>
        <v>Map</v>
      </c>
      <c r="N362" s="2" t="str">
        <f>HYPERLINK("http://i-0.rfimg.us/photo/1/bigphoto/119/27184119_0.jpg","Photo")</f>
        <v>Photo</v>
      </c>
      <c r="AG362">
        <v>47.617924000000002</v>
      </c>
      <c r="AH362">
        <v>-122.317995</v>
      </c>
      <c r="AI362" t="s">
        <v>66</v>
      </c>
      <c r="AJ362">
        <v>98122</v>
      </c>
      <c r="AM362" t="s">
        <v>1699</v>
      </c>
      <c r="BC362" s="22">
        <v>39365.714826388888</v>
      </c>
      <c r="BI362" s="22">
        <v>39549.294907407406</v>
      </c>
      <c r="BL362">
        <v>10662</v>
      </c>
      <c r="BM362">
        <v>1203069</v>
      </c>
      <c r="BN362" t="s">
        <v>4138</v>
      </c>
      <c r="BO362" s="17">
        <f t="shared" ca="1" si="5"/>
        <v>183.59457951389049</v>
      </c>
      <c r="BP362" t="b">
        <v>0</v>
      </c>
      <c r="BQ362">
        <v>1</v>
      </c>
      <c r="BR362" t="s">
        <v>1667</v>
      </c>
      <c r="BS362" t="s">
        <v>1792</v>
      </c>
      <c r="BT362" t="b">
        <v>0</v>
      </c>
      <c r="BV362" t="s">
        <v>1668</v>
      </c>
      <c r="BW362">
        <v>1820</v>
      </c>
      <c r="BY362">
        <v>12362150</v>
      </c>
      <c r="BZ362" t="s">
        <v>1801</v>
      </c>
      <c r="CA362">
        <v>1</v>
      </c>
      <c r="CB362" t="b">
        <v>1</v>
      </c>
      <c r="CC362">
        <v>0</v>
      </c>
      <c r="CD362" t="b">
        <v>0</v>
      </c>
      <c r="CE362" t="b">
        <v>0</v>
      </c>
      <c r="CF362" t="b">
        <v>1</v>
      </c>
      <c r="CG362">
        <v>15565898</v>
      </c>
      <c r="CH362" t="s">
        <v>1681</v>
      </c>
      <c r="CI362" s="10">
        <v>533100</v>
      </c>
    </row>
    <row r="363" spans="1:90">
      <c r="A363">
        <v>27184173</v>
      </c>
      <c r="B363" s="2" t="str">
        <f>HYPERLINK("http://www.redfin.com/stingray/do/printable-listing?listing-id=1203061","Active")</f>
        <v>Active</v>
      </c>
      <c r="D363" t="s">
        <v>3704</v>
      </c>
      <c r="E363" t="s">
        <v>4139</v>
      </c>
      <c r="F363">
        <v>683200</v>
      </c>
      <c r="G363">
        <v>2008</v>
      </c>
      <c r="H363">
        <v>1339</v>
      </c>
      <c r="I363">
        <v>0</v>
      </c>
      <c r="J363">
        <v>2</v>
      </c>
      <c r="K363">
        <v>2.5</v>
      </c>
      <c r="M363" s="2" t="str">
        <f>HYPERLINK("http://maps.live.com/default.aspx?v=2&amp;lvl=15&amp;sp=Point.47.617831_-122.317995_1810 11th Ave nB&amp;cp=47.617831~-122.317995","Map")</f>
        <v>Map</v>
      </c>
      <c r="N363" s="2" t="str">
        <f>HYPERLINK("http://i-0.rfimg.us/photo/1/bigphoto/173/27184173_0.jpg","Photo")</f>
        <v>Photo</v>
      </c>
      <c r="AG363">
        <v>47.617831000000002</v>
      </c>
      <c r="AH363">
        <v>-122.317995</v>
      </c>
      <c r="AI363" t="s">
        <v>66</v>
      </c>
      <c r="AJ363">
        <v>98122</v>
      </c>
      <c r="AM363" t="s">
        <v>1699</v>
      </c>
      <c r="BC363" s="22">
        <v>39365.711840277778</v>
      </c>
      <c r="BI363" s="22">
        <v>39549.294907407406</v>
      </c>
      <c r="BL363">
        <v>13664</v>
      </c>
      <c r="BM363">
        <v>1203061</v>
      </c>
      <c r="BN363" t="s">
        <v>4138</v>
      </c>
      <c r="BO363" s="17">
        <f t="shared" ca="1" si="5"/>
        <v>183.59756562500115</v>
      </c>
      <c r="BP363" t="b">
        <v>0</v>
      </c>
      <c r="BQ363">
        <v>1</v>
      </c>
      <c r="BR363" t="s">
        <v>1667</v>
      </c>
      <c r="BS363" t="s">
        <v>1792</v>
      </c>
      <c r="BT363" t="b">
        <v>0</v>
      </c>
      <c r="BV363" t="s">
        <v>1668</v>
      </c>
      <c r="BW363">
        <v>1810</v>
      </c>
      <c r="BY363">
        <v>12362175</v>
      </c>
      <c r="BZ363" t="s">
        <v>1801</v>
      </c>
      <c r="CA363">
        <v>1</v>
      </c>
      <c r="CB363" t="b">
        <v>1</v>
      </c>
      <c r="CC363">
        <v>0</v>
      </c>
      <c r="CD363" t="b">
        <v>0</v>
      </c>
      <c r="CE363" t="b">
        <v>0</v>
      </c>
      <c r="CF363" t="b">
        <v>1</v>
      </c>
      <c r="CG363">
        <v>15565923</v>
      </c>
      <c r="CH363" t="s">
        <v>1681</v>
      </c>
      <c r="CI363" s="10">
        <v>683200</v>
      </c>
    </row>
    <row r="364" spans="1:90">
      <c r="A364">
        <v>27184317</v>
      </c>
      <c r="B364" s="2" t="str">
        <f>HYPERLINK("http://www.redfin.com/stingray/do/printable-listing?listing-id=1204699","Active")</f>
        <v>Active</v>
      </c>
      <c r="D364" t="s">
        <v>5606</v>
      </c>
      <c r="E364" t="s">
        <v>5950</v>
      </c>
      <c r="F364">
        <v>975000</v>
      </c>
      <c r="G364">
        <v>1959</v>
      </c>
      <c r="H364">
        <v>3600</v>
      </c>
      <c r="I364">
        <v>0</v>
      </c>
      <c r="J364">
        <v>5</v>
      </c>
      <c r="K364">
        <v>3</v>
      </c>
      <c r="M364" s="2" t="str">
        <f>HYPERLINK("http://maps.live.com/default.aspx?v=2&amp;lvl=15&amp;sp=Point.47.551508_-122.219722_5619 90th&amp;cp=47.551508~-122.219722","Map")</f>
        <v>Map</v>
      </c>
      <c r="N364" s="2" t="str">
        <f>HYPERLINK("http://i-0.rfimg.us/photo/1/bigphoto/317/27184317_4.jpg","Photo")</f>
        <v>Photo</v>
      </c>
      <c r="AG364">
        <v>47.551507999999998</v>
      </c>
      <c r="AH364">
        <v>-122.219722</v>
      </c>
      <c r="AI364" t="s">
        <v>5139</v>
      </c>
      <c r="AJ364">
        <v>98040</v>
      </c>
      <c r="AN364">
        <v>825000</v>
      </c>
      <c r="BC364" s="22">
        <v>39366.329189814816</v>
      </c>
      <c r="BI364" s="22">
        <v>39549.294907407406</v>
      </c>
      <c r="BL364">
        <v>19500</v>
      </c>
      <c r="BM364">
        <v>1204699</v>
      </c>
      <c r="BN364" t="s">
        <v>5949</v>
      </c>
      <c r="BO364" s="17">
        <f t="shared" ca="1" si="5"/>
        <v>182.98021608796262</v>
      </c>
      <c r="BP364" t="b">
        <v>0</v>
      </c>
      <c r="BQ364">
        <v>1</v>
      </c>
      <c r="BS364" t="s">
        <v>1761</v>
      </c>
      <c r="BT364" t="b">
        <v>0</v>
      </c>
      <c r="BV364" t="s">
        <v>1668</v>
      </c>
      <c r="BW364">
        <v>5619</v>
      </c>
      <c r="BY364">
        <v>255401</v>
      </c>
      <c r="BZ364" t="s">
        <v>5951</v>
      </c>
      <c r="CA364">
        <v>1</v>
      </c>
      <c r="CB364" t="b">
        <v>1</v>
      </c>
      <c r="CC364">
        <v>0</v>
      </c>
      <c r="CD364" t="b">
        <v>0</v>
      </c>
      <c r="CE364" t="b">
        <v>0</v>
      </c>
      <c r="CF364" t="b">
        <v>1</v>
      </c>
      <c r="CG364">
        <v>2914141</v>
      </c>
      <c r="CH364" t="s">
        <v>1681</v>
      </c>
      <c r="CI364" s="10">
        <v>975000</v>
      </c>
      <c r="CJ364" s="7">
        <v>39153</v>
      </c>
      <c r="CL364" s="19" t="s">
        <v>2325</v>
      </c>
    </row>
    <row r="365" spans="1:90">
      <c r="A365">
        <v>27184373</v>
      </c>
      <c r="B365" s="2" t="str">
        <f>HYPERLINK("http://www.redfin.com/stingray/do/printable-listing?listing-id=1205270","Active")</f>
        <v>Active</v>
      </c>
      <c r="D365" t="s">
        <v>2552</v>
      </c>
      <c r="E365" t="s">
        <v>2670</v>
      </c>
      <c r="F365">
        <v>6950000</v>
      </c>
      <c r="G365">
        <v>2002</v>
      </c>
      <c r="H365">
        <v>7240</v>
      </c>
      <c r="I365">
        <v>17112</v>
      </c>
      <c r="J365">
        <v>5</v>
      </c>
      <c r="K365">
        <v>8</v>
      </c>
      <c r="M365" s="2" t="str">
        <f>HYPERLINK("http://maps.live.com/default.aspx?v=2&amp;lvl=15&amp;sp=adr.0 Undisclosed nXXX (Unable to map),98199","Map")</f>
        <v>Map</v>
      </c>
      <c r="N365" s="2" t="str">
        <f>HYPERLINK("http://i-0.rfimg.us/photo/1/bigphoto/373/27184373_0.jpg","Photo")</f>
        <v>Photo</v>
      </c>
      <c r="AI365" t="s">
        <v>66</v>
      </c>
      <c r="AJ365">
        <v>98199</v>
      </c>
      <c r="AM365" t="s">
        <v>2671</v>
      </c>
      <c r="BC365" s="22">
        <v>39366.415439814817</v>
      </c>
      <c r="BI365" s="22">
        <v>39549.294907407406</v>
      </c>
      <c r="BL365">
        <v>139000</v>
      </c>
      <c r="BM365">
        <v>1205270</v>
      </c>
      <c r="BN365" t="s">
        <v>1678</v>
      </c>
      <c r="BO365" s="17">
        <f t="shared" ca="1" si="5"/>
        <v>182.89396620370098</v>
      </c>
      <c r="BP365" t="b">
        <v>0</v>
      </c>
      <c r="BQ365">
        <v>1</v>
      </c>
      <c r="BS365" t="s">
        <v>1657</v>
      </c>
      <c r="BT365" t="b">
        <v>0</v>
      </c>
      <c r="BV365" t="s">
        <v>1668</v>
      </c>
      <c r="BW365">
        <v>0</v>
      </c>
      <c r="BY365">
        <v>0</v>
      </c>
      <c r="BZ365" t="s">
        <v>1672</v>
      </c>
      <c r="CA365">
        <v>1</v>
      </c>
      <c r="CB365" t="b">
        <v>1</v>
      </c>
      <c r="CC365">
        <v>0</v>
      </c>
      <c r="CD365" t="b">
        <v>0</v>
      </c>
      <c r="CE365" t="b">
        <v>0</v>
      </c>
      <c r="CF365" t="b">
        <v>1</v>
      </c>
      <c r="CG365" t="s">
        <v>1870</v>
      </c>
      <c r="CH365" t="s">
        <v>1681</v>
      </c>
      <c r="CI365" s="10">
        <v>6950000</v>
      </c>
    </row>
    <row r="366" spans="1:90">
      <c r="A366">
        <v>27184409</v>
      </c>
      <c r="B366" s="2" t="str">
        <f>HYPERLINK("http://www.redfin.com/stingray/do/printable-listing?listing-id=1211596","Active")</f>
        <v>Active</v>
      </c>
      <c r="D366" t="s">
        <v>4948</v>
      </c>
      <c r="E366" t="s">
        <v>4947</v>
      </c>
      <c r="F366">
        <v>899000</v>
      </c>
      <c r="G366">
        <v>1953</v>
      </c>
      <c r="H366">
        <v>1612</v>
      </c>
      <c r="I366">
        <v>14587</v>
      </c>
      <c r="J366">
        <v>3</v>
      </c>
      <c r="K366">
        <v>1</v>
      </c>
      <c r="M366" s="2" t="str">
        <f>HYPERLINK("http://maps.live.com/default.aspx?v=2&amp;lvl=15&amp;sp=Point.47.638909_-122.218318_9055 NE 32nd St&amp;cp=47.638909~-122.218318","Map")</f>
        <v>Map</v>
      </c>
      <c r="N366" s="2" t="str">
        <f>HYPERLINK("http://i-0.rfimg.us/photo/1/bigphoto/409/27184409_4.jpg","Photo")</f>
        <v>Photo</v>
      </c>
      <c r="AG366">
        <v>47.638908999999998</v>
      </c>
      <c r="AH366">
        <v>-122.218318</v>
      </c>
      <c r="AI366" t="s">
        <v>4948</v>
      </c>
      <c r="AJ366">
        <v>98004</v>
      </c>
      <c r="AN366">
        <v>102000</v>
      </c>
      <c r="BC366" s="22">
        <v>39368.641898148147</v>
      </c>
      <c r="BI366" s="22">
        <v>39549.294907407406</v>
      </c>
      <c r="BL366">
        <v>17980</v>
      </c>
      <c r="BM366">
        <v>1211596</v>
      </c>
      <c r="BN366" t="s">
        <v>4946</v>
      </c>
      <c r="BO366" s="17">
        <f t="shared" ca="1" si="5"/>
        <v>180.66750775463152</v>
      </c>
      <c r="BP366" t="b">
        <v>0</v>
      </c>
      <c r="BQ366">
        <v>1</v>
      </c>
      <c r="BR366" t="s">
        <v>1686</v>
      </c>
      <c r="BS366" t="s">
        <v>1733</v>
      </c>
      <c r="BT366" t="b">
        <v>0</v>
      </c>
      <c r="BU366" t="s">
        <v>1738</v>
      </c>
      <c r="BV366" t="s">
        <v>1668</v>
      </c>
      <c r="BW366">
        <v>9055</v>
      </c>
      <c r="BY366">
        <v>251314</v>
      </c>
      <c r="BZ366" t="s">
        <v>4949</v>
      </c>
      <c r="CA366">
        <v>1</v>
      </c>
      <c r="CB366" t="b">
        <v>1</v>
      </c>
      <c r="CC366">
        <v>0</v>
      </c>
      <c r="CD366" t="b">
        <v>0</v>
      </c>
      <c r="CE366" t="b">
        <v>0</v>
      </c>
      <c r="CF366" t="b">
        <v>1</v>
      </c>
      <c r="CG366">
        <v>2820888</v>
      </c>
      <c r="CH366" t="s">
        <v>1681</v>
      </c>
      <c r="CI366" s="10">
        <v>899000</v>
      </c>
      <c r="CJ366" s="7">
        <v>36298</v>
      </c>
    </row>
    <row r="367" spans="1:90">
      <c r="A367">
        <v>27184420</v>
      </c>
      <c r="B367" s="2" t="str">
        <f>HYPERLINK("http://www.redfin.com/stingray/do/printable-listing?listing-id=1205302","Active")</f>
        <v>Active</v>
      </c>
      <c r="D367" t="s">
        <v>369</v>
      </c>
      <c r="E367" t="s">
        <v>1657</v>
      </c>
      <c r="F367">
        <v>1200000</v>
      </c>
      <c r="G367">
        <v>1972</v>
      </c>
      <c r="H367">
        <v>4950</v>
      </c>
      <c r="I367">
        <v>0</v>
      </c>
      <c r="J367">
        <v>11</v>
      </c>
      <c r="K367">
        <v>7</v>
      </c>
      <c r="M367" s="2" t="str">
        <f>HYPERLINK("http://maps.live.com/default.aspx?v=2&amp;lvl=15&amp;sp=adr.Undisclosed,98005","Map")</f>
        <v>Map</v>
      </c>
      <c r="N367" s="2" t="str">
        <f>HYPERLINK("http://i-0.rfimg.us/photo/1/bigphoto/420/27184420_1.jpg","Photo")</f>
        <v>Photo</v>
      </c>
      <c r="AI367" t="s">
        <v>369</v>
      </c>
      <c r="AJ367">
        <v>98005</v>
      </c>
      <c r="BC367" s="22">
        <v>39366.424016203702</v>
      </c>
      <c r="BI367" s="22">
        <v>39549.294907407406</v>
      </c>
      <c r="BL367">
        <v>24000</v>
      </c>
      <c r="BM367">
        <v>1205302</v>
      </c>
      <c r="BN367" t="s">
        <v>3236</v>
      </c>
      <c r="BO367" s="17">
        <f t="shared" ca="1" si="5"/>
        <v>182.88538969907677</v>
      </c>
      <c r="BP367" t="b">
        <v>0</v>
      </c>
      <c r="BQ367">
        <v>1</v>
      </c>
      <c r="BT367" t="b">
        <v>1</v>
      </c>
      <c r="BV367" t="s">
        <v>1668</v>
      </c>
      <c r="BY367">
        <v>0</v>
      </c>
      <c r="BZ367" t="s">
        <v>1836</v>
      </c>
      <c r="CA367">
        <v>1</v>
      </c>
      <c r="CB367" t="b">
        <v>1</v>
      </c>
      <c r="CC367">
        <v>0</v>
      </c>
      <c r="CD367" t="b">
        <v>0</v>
      </c>
      <c r="CE367" t="b">
        <v>0</v>
      </c>
      <c r="CF367" t="b">
        <v>1</v>
      </c>
      <c r="CG367" t="s">
        <v>1870</v>
      </c>
      <c r="CH367" t="s">
        <v>1681</v>
      </c>
      <c r="CI367" s="10">
        <v>1200000</v>
      </c>
    </row>
    <row r="368" spans="1:90">
      <c r="A368">
        <v>27184459</v>
      </c>
      <c r="B368" s="2" t="str">
        <f>HYPERLINK("http://www.redfin.com/stingray/do/printable-listing?listing-id=1205343","Active")</f>
        <v>Active</v>
      </c>
      <c r="D368" t="s">
        <v>4542</v>
      </c>
      <c r="E368" t="s">
        <v>4857</v>
      </c>
      <c r="F368">
        <v>549990</v>
      </c>
      <c r="G368">
        <v>1961</v>
      </c>
      <c r="H368">
        <v>1650</v>
      </c>
      <c r="I368">
        <v>7260</v>
      </c>
      <c r="J368">
        <v>3</v>
      </c>
      <c r="K368">
        <v>1.75</v>
      </c>
      <c r="M368" s="2" t="str">
        <f>HYPERLINK("http://maps.live.com/default.aspx?v=2&amp;lvl=15&amp;sp=Point.47.689489_-122.202779_345 18th Ave&amp;cp=47.689489~-122.202779","Map")</f>
        <v>Map</v>
      </c>
      <c r="N368" s="2" t="str">
        <f>HYPERLINK("http://i-0.rfimg.us/photo/1/bigphoto/459/27184459_2.jpg","Photo")</f>
        <v>Photo</v>
      </c>
      <c r="AG368">
        <v>47.689489000000002</v>
      </c>
      <c r="AH368">
        <v>-122.20277900000001</v>
      </c>
      <c r="AI368" t="s">
        <v>1058</v>
      </c>
      <c r="AJ368">
        <v>98033</v>
      </c>
      <c r="AN368">
        <v>524000</v>
      </c>
      <c r="BC368" s="22">
        <v>39366.446620370371</v>
      </c>
      <c r="BI368" s="22">
        <v>39549.294907407406</v>
      </c>
      <c r="BL368">
        <v>11000</v>
      </c>
      <c r="BM368">
        <v>1205343</v>
      </c>
      <c r="BN368" t="s">
        <v>1737</v>
      </c>
      <c r="BO368" s="17">
        <f t="shared" ca="1" si="5"/>
        <v>182.86278553240845</v>
      </c>
      <c r="BP368" t="b">
        <v>0</v>
      </c>
      <c r="BQ368">
        <v>1</v>
      </c>
      <c r="BR368" t="s">
        <v>1667</v>
      </c>
      <c r="BS368" t="s">
        <v>1909</v>
      </c>
      <c r="BT368" t="b">
        <v>0</v>
      </c>
      <c r="BV368" t="s">
        <v>1668</v>
      </c>
      <c r="BW368">
        <v>345</v>
      </c>
      <c r="BY368">
        <v>464652</v>
      </c>
      <c r="BZ368" t="s">
        <v>3832</v>
      </c>
      <c r="CA368">
        <v>1</v>
      </c>
      <c r="CB368" t="b">
        <v>1</v>
      </c>
      <c r="CC368">
        <v>0</v>
      </c>
      <c r="CD368" t="b">
        <v>0</v>
      </c>
      <c r="CE368" t="b">
        <v>0</v>
      </c>
      <c r="CF368" t="b">
        <v>1</v>
      </c>
      <c r="CG368">
        <v>2460763</v>
      </c>
      <c r="CH368" t="s">
        <v>1681</v>
      </c>
      <c r="CI368" s="10">
        <v>549990</v>
      </c>
      <c r="CJ368" s="7">
        <v>38961</v>
      </c>
    </row>
    <row r="369" spans="1:89">
      <c r="A369">
        <v>27184814</v>
      </c>
      <c r="B369" s="2" t="str">
        <f>HYPERLINK("http://www.redfin.com/stingray/do/printable-listing?listing-id=1213914","Active")</f>
        <v>Active</v>
      </c>
      <c r="D369" t="s">
        <v>4542</v>
      </c>
      <c r="E369" t="s">
        <v>4833</v>
      </c>
      <c r="F369">
        <v>799000</v>
      </c>
      <c r="G369">
        <v>1945</v>
      </c>
      <c r="H369">
        <v>2280</v>
      </c>
      <c r="I369">
        <v>7160</v>
      </c>
      <c r="J369">
        <v>5</v>
      </c>
      <c r="K369">
        <v>2</v>
      </c>
      <c r="M369" s="2" t="str">
        <f>HYPERLINK("http://maps.live.com/default.aspx?v=2&amp;lvl=15&amp;sp=Point.47.688061_-122.209035_1523 1st St&amp;cp=47.688061~-122.209035","Map")</f>
        <v>Map</v>
      </c>
      <c r="N369" s="2" t="str">
        <f>HYPERLINK("http://i-0.rfimg.us/photo/1/bigphoto/814/27184814_1.jpg","Photo")</f>
        <v>Photo</v>
      </c>
      <c r="AG369">
        <v>47.688060999999998</v>
      </c>
      <c r="AH369">
        <v>-122.209035</v>
      </c>
      <c r="AI369" t="s">
        <v>1058</v>
      </c>
      <c r="AJ369">
        <v>98033</v>
      </c>
      <c r="AN369">
        <v>205000</v>
      </c>
      <c r="BC369" s="22">
        <v>39370.541724537034</v>
      </c>
      <c r="BI369" s="22">
        <v>39549.294907407406</v>
      </c>
      <c r="BL369">
        <v>15980</v>
      </c>
      <c r="BM369">
        <v>1213914</v>
      </c>
      <c r="BN369" t="s">
        <v>1688</v>
      </c>
      <c r="BO369" s="17">
        <f t="shared" ca="1" si="5"/>
        <v>178.76768136574537</v>
      </c>
      <c r="BP369" t="b">
        <v>0</v>
      </c>
      <c r="BQ369">
        <v>1</v>
      </c>
      <c r="BR369" t="s">
        <v>1686</v>
      </c>
      <c r="BS369" t="s">
        <v>1822</v>
      </c>
      <c r="BT369" t="b">
        <v>0</v>
      </c>
      <c r="BV369" t="s">
        <v>1668</v>
      </c>
      <c r="BW369">
        <v>1523</v>
      </c>
      <c r="BY369">
        <v>462458</v>
      </c>
      <c r="BZ369" t="s">
        <v>1679</v>
      </c>
      <c r="CA369">
        <v>1</v>
      </c>
      <c r="CB369" t="b">
        <v>1</v>
      </c>
      <c r="CC369">
        <v>0</v>
      </c>
      <c r="CD369" t="b">
        <v>0</v>
      </c>
      <c r="CE369" t="b">
        <v>0</v>
      </c>
      <c r="CF369" t="b">
        <v>1</v>
      </c>
      <c r="CG369">
        <v>2386590</v>
      </c>
      <c r="CH369" t="s">
        <v>1681</v>
      </c>
      <c r="CI369" s="10">
        <v>799000</v>
      </c>
      <c r="CJ369" s="7">
        <v>35324</v>
      </c>
    </row>
    <row r="370" spans="1:89">
      <c r="A370">
        <v>27184867</v>
      </c>
      <c r="B370" s="15" t="str">
        <f>HYPERLINK("http://www.redfin.com/stingray/do/printable-listing?listing-id=1206321","Subject To Inspection")</f>
        <v>Subject To Inspection</v>
      </c>
      <c r="D370" t="s">
        <v>3071</v>
      </c>
      <c r="E370" t="s">
        <v>4567</v>
      </c>
      <c r="F370">
        <v>439950</v>
      </c>
      <c r="G370">
        <v>1976</v>
      </c>
      <c r="H370">
        <v>1790</v>
      </c>
      <c r="I370">
        <v>7600</v>
      </c>
      <c r="J370">
        <v>3</v>
      </c>
      <c r="K370">
        <v>2.25</v>
      </c>
      <c r="M370" s="2" t="str">
        <f>HYPERLINK("http://maps.live.com/default.aspx?v=2&amp;lvl=15&amp;sp=Point.47.718406_-122.223431_8817 NE 132nd St&amp;cp=47.718406~-122.223431","Map")</f>
        <v>Map</v>
      </c>
      <c r="N370" s="2" t="str">
        <f>HYPERLINK("http://i-0.rfimg.us/photo/1/bigphoto/867/27184867_1.jpg","Photo")</f>
        <v>Photo</v>
      </c>
      <c r="AG370">
        <v>47.718406000000002</v>
      </c>
      <c r="AH370">
        <v>-122.22343100000001</v>
      </c>
      <c r="AI370" t="s">
        <v>1058</v>
      </c>
      <c r="AJ370">
        <v>98034</v>
      </c>
      <c r="AN370">
        <v>230000</v>
      </c>
      <c r="BC370" s="22">
        <v>39366.688703703701</v>
      </c>
      <c r="BI370" s="22">
        <v>39549.294907407406</v>
      </c>
      <c r="BL370">
        <v>8799</v>
      </c>
      <c r="BM370">
        <v>1206321</v>
      </c>
      <c r="BN370" t="s">
        <v>1688</v>
      </c>
      <c r="BO370" s="17">
        <f t="shared" ca="1" si="5"/>
        <v>182.62070219907764</v>
      </c>
      <c r="BP370" t="b">
        <v>0</v>
      </c>
      <c r="BQ370">
        <v>1</v>
      </c>
      <c r="BR370" t="s">
        <v>1686</v>
      </c>
      <c r="BS370" t="s">
        <v>4362</v>
      </c>
      <c r="BT370" t="b">
        <v>0</v>
      </c>
      <c r="BU370" t="s">
        <v>1738</v>
      </c>
      <c r="BV370" t="s">
        <v>1668</v>
      </c>
      <c r="BW370">
        <v>8817</v>
      </c>
      <c r="BY370">
        <v>278945</v>
      </c>
      <c r="BZ370" t="s">
        <v>1756</v>
      </c>
      <c r="CA370">
        <v>1</v>
      </c>
      <c r="CB370" t="b">
        <v>1</v>
      </c>
      <c r="CC370">
        <v>0</v>
      </c>
      <c r="CD370" t="b">
        <v>0</v>
      </c>
      <c r="CE370" t="b">
        <v>0</v>
      </c>
      <c r="CF370" t="b">
        <v>1</v>
      </c>
      <c r="CG370">
        <v>2465914</v>
      </c>
      <c r="CH370" t="s">
        <v>1681</v>
      </c>
      <c r="CI370" s="10">
        <v>439950</v>
      </c>
      <c r="CJ370" s="7">
        <v>35976</v>
      </c>
    </row>
    <row r="371" spans="1:89">
      <c r="A371">
        <v>27184903</v>
      </c>
      <c r="B371" s="2" t="str">
        <f>HYPERLINK("http://www.redfin.com/stingray/do/printable-listing?listing-id=1208097","Active")</f>
        <v>Active</v>
      </c>
      <c r="D371" t="s">
        <v>55</v>
      </c>
      <c r="E371" t="s">
        <v>2813</v>
      </c>
      <c r="F371" s="19">
        <v>329000</v>
      </c>
      <c r="G371">
        <v>2007</v>
      </c>
      <c r="H371">
        <v>0</v>
      </c>
      <c r="I371">
        <v>0</v>
      </c>
      <c r="J371">
        <v>3</v>
      </c>
      <c r="K371">
        <v>1.5</v>
      </c>
      <c r="M371" s="2" t="str">
        <f>HYPERLINK("http://maps.live.com/default.aspx?v=2&amp;lvl=15&amp;sp=Point.47.704863_-122.353289_345 N 105th St&amp;cp=47.704863~-122.353289","Map")</f>
        <v>Map</v>
      </c>
      <c r="N371" s="2" t="str">
        <f>HYPERLINK("http://i-0.rfimg.us/photo/1/bigphoto/903/27184903_3.jpg","Photo")</f>
        <v>Photo</v>
      </c>
      <c r="AG371">
        <v>47.704863000000003</v>
      </c>
      <c r="AH371">
        <v>-122.353289</v>
      </c>
      <c r="AI371" t="s">
        <v>66</v>
      </c>
      <c r="AJ371">
        <v>98133</v>
      </c>
      <c r="AN371">
        <v>295000</v>
      </c>
      <c r="BC371" s="22">
        <v>39367.34888888889</v>
      </c>
      <c r="BI371" s="22">
        <v>39549.294907407406</v>
      </c>
      <c r="BL371">
        <v>6780</v>
      </c>
      <c r="BM371">
        <v>1208097</v>
      </c>
      <c r="BN371" t="s">
        <v>1710</v>
      </c>
      <c r="BO371" s="17">
        <f t="shared" ca="1" si="5"/>
        <v>181.96051712962799</v>
      </c>
      <c r="BP371" t="b">
        <v>0</v>
      </c>
      <c r="BQ371">
        <v>1</v>
      </c>
      <c r="BR371" t="s">
        <v>1686</v>
      </c>
      <c r="BS371" t="s">
        <v>2705</v>
      </c>
      <c r="BT371" t="b">
        <v>0</v>
      </c>
      <c r="BU371" t="s">
        <v>1712</v>
      </c>
      <c r="BV371" t="s">
        <v>1668</v>
      </c>
      <c r="BW371">
        <v>345</v>
      </c>
      <c r="BY371">
        <v>98853</v>
      </c>
      <c r="BZ371" t="s">
        <v>2814</v>
      </c>
      <c r="CA371">
        <v>1</v>
      </c>
      <c r="CB371" t="b">
        <v>1</v>
      </c>
      <c r="CC371">
        <v>0</v>
      </c>
      <c r="CD371" t="b">
        <v>0</v>
      </c>
      <c r="CE371" t="b">
        <v>0</v>
      </c>
      <c r="CF371" t="b">
        <v>1</v>
      </c>
      <c r="CG371">
        <v>2814318</v>
      </c>
      <c r="CH371" t="s">
        <v>1681</v>
      </c>
      <c r="CI371" s="10">
        <v>339000</v>
      </c>
      <c r="CJ371" s="7">
        <v>38776</v>
      </c>
      <c r="CK371" t="s">
        <v>6335</v>
      </c>
    </row>
    <row r="372" spans="1:89">
      <c r="A372">
        <v>27185202</v>
      </c>
      <c r="B372" s="2" t="str">
        <f>HYPERLINK("http://www.redfin.com/stingray/do/printable-listing?listing-id=1208648","Active")</f>
        <v>Active</v>
      </c>
      <c r="D372" t="s">
        <v>4710</v>
      </c>
      <c r="E372" t="s">
        <v>5064</v>
      </c>
      <c r="F372">
        <v>870000</v>
      </c>
      <c r="G372">
        <v>2007</v>
      </c>
      <c r="H372">
        <v>2032</v>
      </c>
      <c r="I372">
        <v>0</v>
      </c>
      <c r="J372">
        <v>3</v>
      </c>
      <c r="K372">
        <v>2.5</v>
      </c>
      <c r="M372" s="2" t="str">
        <f>HYPERLINK("http://maps.live.com/default.aspx?v=2&amp;lvl=15&amp;sp=Point.47.621237_-122.198895_10590 NE 12th St&amp;cp=47.621237~-122.198895","Map")</f>
        <v>Map</v>
      </c>
      <c r="N372" s="2" t="str">
        <f>HYPERLINK("http://i-0.rfimg.us/photo/1/bigphoto/202/27185202_3.jpg","Photo")</f>
        <v>Photo</v>
      </c>
      <c r="AG372">
        <v>47.621237000000001</v>
      </c>
      <c r="AH372">
        <v>-122.19889499999999</v>
      </c>
      <c r="AI372" t="s">
        <v>369</v>
      </c>
      <c r="AJ372">
        <v>98004</v>
      </c>
      <c r="AN372">
        <v>925000</v>
      </c>
      <c r="BC372" s="22">
        <v>39367.476701388892</v>
      </c>
      <c r="BI372" s="22">
        <v>39549.294907407406</v>
      </c>
      <c r="BL372">
        <v>17400</v>
      </c>
      <c r="BM372">
        <v>1208648</v>
      </c>
      <c r="BN372" t="s">
        <v>4138</v>
      </c>
      <c r="BO372" s="17">
        <f t="shared" ca="1" si="5"/>
        <v>181.83270451388671</v>
      </c>
      <c r="BP372" t="b">
        <v>0</v>
      </c>
      <c r="BQ372">
        <v>1</v>
      </c>
      <c r="BR372" t="s">
        <v>1686</v>
      </c>
      <c r="BS372" t="s">
        <v>1803</v>
      </c>
      <c r="BT372" t="b">
        <v>0</v>
      </c>
      <c r="BU372" t="s">
        <v>1738</v>
      </c>
      <c r="BV372" t="s">
        <v>1668</v>
      </c>
      <c r="BW372">
        <v>10590</v>
      </c>
      <c r="BY372">
        <v>12307211</v>
      </c>
      <c r="BZ372" t="s">
        <v>5065</v>
      </c>
      <c r="CA372">
        <v>1</v>
      </c>
      <c r="CB372" t="b">
        <v>1</v>
      </c>
      <c r="CC372">
        <v>0</v>
      </c>
      <c r="CD372" t="b">
        <v>0</v>
      </c>
      <c r="CE372" t="b">
        <v>0</v>
      </c>
      <c r="CF372" t="b">
        <v>1</v>
      </c>
      <c r="CG372">
        <v>15514143</v>
      </c>
      <c r="CH372" t="s">
        <v>1681</v>
      </c>
      <c r="CI372" s="10">
        <v>870000</v>
      </c>
      <c r="CJ372" s="7">
        <v>39490</v>
      </c>
    </row>
    <row r="373" spans="1:89">
      <c r="A373">
        <v>27185314</v>
      </c>
      <c r="B373" s="2" t="str">
        <f>HYPERLINK("http://www.redfin.com/stingray/do/printable-listing?listing-id=1212922","Active")</f>
        <v>Active</v>
      </c>
      <c r="D373" t="s">
        <v>4663</v>
      </c>
      <c r="E373" t="s">
        <v>5011</v>
      </c>
      <c r="F373">
        <v>1150000</v>
      </c>
      <c r="G373">
        <v>1935</v>
      </c>
      <c r="H373">
        <v>2040</v>
      </c>
      <c r="I373">
        <v>53143</v>
      </c>
      <c r="J373">
        <v>3</v>
      </c>
      <c r="K373">
        <v>2.5</v>
      </c>
      <c r="M373" s="2" t="str">
        <f>HYPERLINK("http://maps.live.com/default.aspx?v=2&amp;lvl=15&amp;sp=Point.47.638366_-122.162303_3059 134th Ave NE&amp;cp=47.638366~-122.162303","Map")</f>
        <v>Map</v>
      </c>
      <c r="N373" s="2" t="str">
        <f>HYPERLINK("http://i-0.rfimg.us/photo/1/bigphoto/314/27185314_2.jpg","Photo")</f>
        <v>Photo</v>
      </c>
      <c r="AG373">
        <v>47.638365999999998</v>
      </c>
      <c r="AH373">
        <v>-122.16230299999999</v>
      </c>
      <c r="AI373" t="s">
        <v>369</v>
      </c>
      <c r="AJ373">
        <v>98005</v>
      </c>
      <c r="AN373">
        <v>170000</v>
      </c>
      <c r="BC373" s="22">
        <v>39369.838136574072</v>
      </c>
      <c r="BI373" s="22">
        <v>39549.294907407406</v>
      </c>
      <c r="BL373">
        <v>23000</v>
      </c>
      <c r="BM373">
        <v>1212922</v>
      </c>
      <c r="BN373" t="s">
        <v>1768</v>
      </c>
      <c r="BO373" s="17">
        <f t="shared" ca="1" si="5"/>
        <v>179.47126932870742</v>
      </c>
      <c r="BP373" t="b">
        <v>0</v>
      </c>
      <c r="BQ373">
        <v>1</v>
      </c>
      <c r="BR373" t="s">
        <v>1667</v>
      </c>
      <c r="BS373" t="s">
        <v>2855</v>
      </c>
      <c r="BT373" t="b">
        <v>0</v>
      </c>
      <c r="BV373" t="s">
        <v>1668</v>
      </c>
      <c r="BW373">
        <v>3059</v>
      </c>
      <c r="BX373" t="s">
        <v>1738</v>
      </c>
      <c r="BY373">
        <v>431362</v>
      </c>
      <c r="BZ373" t="s">
        <v>5012</v>
      </c>
      <c r="CA373">
        <v>1</v>
      </c>
      <c r="CB373" t="b">
        <v>1</v>
      </c>
      <c r="CC373">
        <v>0</v>
      </c>
      <c r="CD373" t="b">
        <v>0</v>
      </c>
      <c r="CE373" t="b">
        <v>0</v>
      </c>
      <c r="CF373" t="b">
        <v>1</v>
      </c>
      <c r="CG373">
        <v>2366480</v>
      </c>
      <c r="CH373" t="s">
        <v>1681</v>
      </c>
      <c r="CI373" s="10">
        <v>1150000</v>
      </c>
      <c r="CJ373" s="7">
        <v>33683</v>
      </c>
    </row>
    <row r="374" spans="1:89">
      <c r="A374">
        <v>27185334</v>
      </c>
      <c r="B374" s="2" t="str">
        <f>HYPERLINK("http://www.redfin.com/stingray/do/printable-listing?listing-id=1208895","Active")</f>
        <v>Active</v>
      </c>
      <c r="D374" t="s">
        <v>60</v>
      </c>
      <c r="E374" t="s">
        <v>2353</v>
      </c>
      <c r="F374">
        <v>799950</v>
      </c>
      <c r="G374">
        <v>2007</v>
      </c>
      <c r="H374">
        <v>1856</v>
      </c>
      <c r="I374">
        <v>0</v>
      </c>
      <c r="J374">
        <v>3</v>
      </c>
      <c r="K374">
        <v>2.5</v>
      </c>
      <c r="M374" s="2" t="str">
        <f>HYPERLINK("http://maps.live.com/default.aspx?v=2&amp;lvl=15&amp;sp=Point.47.687394_-122.337946_8021 Densmore Ave N&amp;cp=47.687394~-122.337946","Map")</f>
        <v>Map</v>
      </c>
      <c r="N374" s="2" t="str">
        <f>HYPERLINK("http://i-0.rfimg.us/photo/1/bigphoto/334/27185334_1.jpg","Photo")</f>
        <v>Photo</v>
      </c>
      <c r="AG374">
        <v>47.687393999999998</v>
      </c>
      <c r="AH374">
        <v>-122.337946</v>
      </c>
      <c r="AI374" t="s">
        <v>66</v>
      </c>
      <c r="AJ374">
        <v>98103</v>
      </c>
      <c r="BC374" s="22">
        <v>39367.548483796294</v>
      </c>
      <c r="BI374" s="22">
        <v>39549.294907407406</v>
      </c>
      <c r="BL374">
        <v>15999</v>
      </c>
      <c r="BM374">
        <v>1208895</v>
      </c>
      <c r="BN374" t="s">
        <v>1768</v>
      </c>
      <c r="BO374" s="17">
        <f t="shared" ca="1" si="5"/>
        <v>181.7609222222236</v>
      </c>
      <c r="BP374" t="b">
        <v>0</v>
      </c>
      <c r="BQ374">
        <v>1</v>
      </c>
      <c r="BR374" t="s">
        <v>1667</v>
      </c>
      <c r="BS374" t="s">
        <v>2349</v>
      </c>
      <c r="BT374" t="b">
        <v>0</v>
      </c>
      <c r="BV374" t="s">
        <v>1668</v>
      </c>
      <c r="BW374">
        <v>8021</v>
      </c>
      <c r="BX374" t="s">
        <v>1712</v>
      </c>
      <c r="BY374">
        <v>12243676</v>
      </c>
      <c r="BZ374" t="s">
        <v>1742</v>
      </c>
      <c r="CA374">
        <v>1</v>
      </c>
      <c r="CB374" t="b">
        <v>1</v>
      </c>
      <c r="CC374">
        <v>0</v>
      </c>
      <c r="CD374" t="b">
        <v>0</v>
      </c>
      <c r="CE374" t="b">
        <v>0</v>
      </c>
      <c r="CF374" t="b">
        <v>1</v>
      </c>
      <c r="CG374">
        <v>15471177</v>
      </c>
      <c r="CH374" t="s">
        <v>1681</v>
      </c>
      <c r="CI374" s="10">
        <v>799950</v>
      </c>
    </row>
    <row r="375" spans="1:89">
      <c r="A375">
        <v>27185344</v>
      </c>
      <c r="B375" s="2" t="str">
        <f>HYPERLINK("http://www.redfin.com/stingray/do/printable-listing?listing-id=1209779","Active")</f>
        <v>Active</v>
      </c>
      <c r="D375" t="s">
        <v>3071</v>
      </c>
      <c r="E375" t="s">
        <v>4605</v>
      </c>
      <c r="F375">
        <v>949950</v>
      </c>
      <c r="G375">
        <v>1974</v>
      </c>
      <c r="H375">
        <v>1650</v>
      </c>
      <c r="I375">
        <v>68825</v>
      </c>
      <c r="J375">
        <v>3</v>
      </c>
      <c r="K375">
        <v>2.5</v>
      </c>
      <c r="M375" s="2" t="str">
        <f>HYPERLINK("http://maps.live.com/default.aspx?v=2&amp;lvl=15&amp;sp=Point.47.712034_-122.227594_8430 NE 124th St&amp;cp=47.712034~-122.227594","Map")</f>
        <v>Map</v>
      </c>
      <c r="N375" s="2" t="str">
        <f>HYPERLINK("http://i-0.rfimg.us/photo/1/bigphoto/344/27185344_3.jpg","Photo")</f>
        <v>Photo</v>
      </c>
      <c r="AG375">
        <v>47.712034000000003</v>
      </c>
      <c r="AH375">
        <v>-122.227594</v>
      </c>
      <c r="AI375" t="s">
        <v>1058</v>
      </c>
      <c r="AJ375">
        <v>98034</v>
      </c>
      <c r="AN375">
        <v>825000</v>
      </c>
      <c r="BC375" s="22">
        <v>39367.770787037036</v>
      </c>
      <c r="BI375" s="22">
        <v>39549.294907407406</v>
      </c>
      <c r="BL375">
        <v>18999</v>
      </c>
      <c r="BM375">
        <v>1209779</v>
      </c>
      <c r="BN375" t="s">
        <v>3329</v>
      </c>
      <c r="BO375" s="17">
        <f t="shared" ca="1" si="5"/>
        <v>181.53861886574305</v>
      </c>
      <c r="BP375" t="b">
        <v>0</v>
      </c>
      <c r="BQ375">
        <v>1</v>
      </c>
      <c r="BR375" t="s">
        <v>1686</v>
      </c>
      <c r="BS375" t="s">
        <v>4507</v>
      </c>
      <c r="BT375" t="b">
        <v>0</v>
      </c>
      <c r="BU375" t="s">
        <v>1738</v>
      </c>
      <c r="BV375" t="s">
        <v>1668</v>
      </c>
      <c r="BW375">
        <v>8430</v>
      </c>
      <c r="BY375">
        <v>279339</v>
      </c>
      <c r="BZ375" t="s">
        <v>4606</v>
      </c>
      <c r="CA375">
        <v>1</v>
      </c>
      <c r="CB375" t="b">
        <v>1</v>
      </c>
      <c r="CC375">
        <v>0</v>
      </c>
      <c r="CD375" t="b">
        <v>0</v>
      </c>
      <c r="CE375" t="b">
        <v>0</v>
      </c>
      <c r="CF375" t="b">
        <v>1</v>
      </c>
      <c r="CG375">
        <v>2384762</v>
      </c>
      <c r="CH375" t="s">
        <v>1681</v>
      </c>
      <c r="CI375" s="10">
        <v>949950</v>
      </c>
      <c r="CJ375" s="7">
        <v>39128</v>
      </c>
    </row>
    <row r="376" spans="1:89">
      <c r="A376">
        <v>27185399</v>
      </c>
      <c r="B376" s="2" t="str">
        <f>HYPERLINK("http://www.redfin.com/stingray/do/printable-listing?listing-id=1209014","Active")</f>
        <v>Active</v>
      </c>
      <c r="D376" t="s">
        <v>55</v>
      </c>
      <c r="E376" t="s">
        <v>253</v>
      </c>
      <c r="F376" s="19">
        <v>480000</v>
      </c>
      <c r="G376">
        <v>1942</v>
      </c>
      <c r="H376">
        <v>1800</v>
      </c>
      <c r="I376">
        <v>4600</v>
      </c>
      <c r="J376">
        <v>4</v>
      </c>
      <c r="K376">
        <v>1.75</v>
      </c>
      <c r="M376" s="2" t="str">
        <f>HYPERLINK("http://maps.live.com/default.aspx?v=2&amp;lvl=15&amp;sp=Point.47.691871_-122.365777_657 NW 87th St&amp;cp=47.691871~-122.365777","Map")</f>
        <v>Map</v>
      </c>
      <c r="N376" s="2" t="str">
        <f>HYPERLINK("http://i-0.rfimg.us/photo/1/bigphoto/399/27185399_B.jpg","Photo")</f>
        <v>Photo</v>
      </c>
      <c r="AG376">
        <v>47.691870999999999</v>
      </c>
      <c r="AH376">
        <v>-122.36577699999999</v>
      </c>
      <c r="AI376" t="s">
        <v>66</v>
      </c>
      <c r="AJ376">
        <v>98117</v>
      </c>
      <c r="AN376">
        <v>399950</v>
      </c>
      <c r="BC376" s="22">
        <v>39367.595590277779</v>
      </c>
      <c r="BI376" s="22">
        <v>39549.294907407406</v>
      </c>
      <c r="BL376">
        <v>10000</v>
      </c>
      <c r="BM376">
        <v>1209014</v>
      </c>
      <c r="BN376" t="s">
        <v>1775</v>
      </c>
      <c r="BO376" s="17">
        <f t="shared" ca="1" si="5"/>
        <v>181.71381574073894</v>
      </c>
      <c r="BP376" t="b">
        <v>1</v>
      </c>
      <c r="BQ376">
        <v>1</v>
      </c>
      <c r="BR376" t="s">
        <v>1686</v>
      </c>
      <c r="BS376" t="s">
        <v>1856</v>
      </c>
      <c r="BT376" t="b">
        <v>0</v>
      </c>
      <c r="BU376" t="s">
        <v>1669</v>
      </c>
      <c r="BV376" t="s">
        <v>1668</v>
      </c>
      <c r="BW376">
        <v>657</v>
      </c>
      <c r="BY376">
        <v>100164</v>
      </c>
      <c r="BZ376" t="s">
        <v>1857</v>
      </c>
      <c r="CA376">
        <v>1</v>
      </c>
      <c r="CB376" t="b">
        <v>1</v>
      </c>
      <c r="CC376">
        <v>0</v>
      </c>
      <c r="CD376" t="b">
        <v>0</v>
      </c>
      <c r="CE376" t="b">
        <v>0</v>
      </c>
      <c r="CF376" t="b">
        <v>1</v>
      </c>
      <c r="CG376">
        <v>2868585</v>
      </c>
      <c r="CH376" t="s">
        <v>1681</v>
      </c>
      <c r="CI376" s="10">
        <v>500000</v>
      </c>
      <c r="CJ376" s="7">
        <v>38518</v>
      </c>
      <c r="CK376" t="s">
        <v>2009</v>
      </c>
    </row>
    <row r="377" spans="1:89">
      <c r="A377">
        <v>27185443</v>
      </c>
      <c r="B377" s="15" t="str">
        <f>HYPERLINK("http://www.redfin.com/stingray/do/printable-listing?listing-id=1211384","Subject To Inspection")</f>
        <v>Subject To Inspection</v>
      </c>
      <c r="D377" t="s">
        <v>5078</v>
      </c>
      <c r="E377" t="s">
        <v>5407</v>
      </c>
      <c r="F377" s="19">
        <v>624950</v>
      </c>
      <c r="G377">
        <v>1984</v>
      </c>
      <c r="H377">
        <v>1910</v>
      </c>
      <c r="I377">
        <v>9023</v>
      </c>
      <c r="J377">
        <v>3</v>
      </c>
      <c r="K377">
        <v>2.5</v>
      </c>
      <c r="M377" s="2" t="str">
        <f>HYPERLINK("http://maps.live.com/default.aspx?v=2&amp;lvl=15&amp;sp=Point.47.60093_-122.141082_1040 148 Dr SE&amp;cp=47.60093~-122.141082","Map")</f>
        <v>Map</v>
      </c>
      <c r="N377" s="2" t="str">
        <f>HYPERLINK("http://i-0.rfimg.us/photo/1/bigphoto/443/27185443_1.jpg","Photo")</f>
        <v>Photo</v>
      </c>
      <c r="AG377">
        <v>47.600929999999998</v>
      </c>
      <c r="AH377">
        <v>-122.141082</v>
      </c>
      <c r="AI377" t="s">
        <v>369</v>
      </c>
      <c r="AJ377">
        <v>98007</v>
      </c>
      <c r="AN377">
        <v>512500</v>
      </c>
      <c r="BC377" s="22">
        <v>39368.474745370368</v>
      </c>
      <c r="BI377" s="22">
        <v>39549.294907407406</v>
      </c>
      <c r="BL377">
        <v>12599</v>
      </c>
      <c r="BM377">
        <v>1211384</v>
      </c>
      <c r="BN377" t="s">
        <v>1735</v>
      </c>
      <c r="BO377" s="17">
        <f t="shared" ca="1" si="5"/>
        <v>180.83466053241136</v>
      </c>
      <c r="BP377" t="b">
        <v>0</v>
      </c>
      <c r="BQ377">
        <v>1</v>
      </c>
      <c r="BR377" t="s">
        <v>1816</v>
      </c>
      <c r="BS377">
        <v>148</v>
      </c>
      <c r="BT377" t="b">
        <v>0</v>
      </c>
      <c r="BV377" t="s">
        <v>1668</v>
      </c>
      <c r="BW377">
        <v>1040</v>
      </c>
      <c r="BX377" t="s">
        <v>3856</v>
      </c>
      <c r="BY377">
        <v>426004</v>
      </c>
      <c r="BZ377" t="s">
        <v>1704</v>
      </c>
      <c r="CA377">
        <v>1</v>
      </c>
      <c r="CB377" t="b">
        <v>1</v>
      </c>
      <c r="CC377">
        <v>0</v>
      </c>
      <c r="CD377" t="b">
        <v>0</v>
      </c>
      <c r="CE377" t="b">
        <v>0</v>
      </c>
      <c r="CF377" t="b">
        <v>1</v>
      </c>
      <c r="CG377">
        <v>2658301</v>
      </c>
      <c r="CH377" t="s">
        <v>1681</v>
      </c>
      <c r="CI377" s="10">
        <v>629950</v>
      </c>
      <c r="CJ377" s="7">
        <v>39318</v>
      </c>
      <c r="CK377" t="s">
        <v>6438</v>
      </c>
    </row>
    <row r="378" spans="1:89">
      <c r="A378">
        <v>27185473</v>
      </c>
      <c r="B378" s="2" t="str">
        <f>HYPERLINK("http://www.redfin.com/stingray/do/printable-listing?listing-id=1211415","Active")</f>
        <v>Active</v>
      </c>
      <c r="D378" t="s">
        <v>3249</v>
      </c>
      <c r="E378" t="s">
        <v>3566</v>
      </c>
      <c r="F378">
        <v>2799995</v>
      </c>
      <c r="G378">
        <v>1912</v>
      </c>
      <c r="H378">
        <v>4500</v>
      </c>
      <c r="I378">
        <v>9600</v>
      </c>
      <c r="J378">
        <v>5</v>
      </c>
      <c r="K378">
        <v>3.5</v>
      </c>
      <c r="M378" s="2" t="str">
        <f>HYPERLINK("http://maps.live.com/default.aspx?v=2&amp;lvl=15&amp;sp=Point.47.631335_-122.368678_820 W Lee St&amp;cp=47.631335~-122.368678","Map")</f>
        <v>Map</v>
      </c>
      <c r="N378" s="2" t="str">
        <f>HYPERLINK("http://i-0.rfimg.us/photo/1/bigphoto/473/27185473_2.jpg","Photo")</f>
        <v>Photo</v>
      </c>
      <c r="AG378">
        <v>47.631335</v>
      </c>
      <c r="AH378">
        <v>-122.368678</v>
      </c>
      <c r="AI378" t="s">
        <v>66</v>
      </c>
      <c r="AJ378">
        <v>98119</v>
      </c>
      <c r="BC378" s="22">
        <v>39368.50640046296</v>
      </c>
      <c r="BI378" s="22">
        <v>39547.913935185185</v>
      </c>
      <c r="BL378">
        <v>56000</v>
      </c>
      <c r="BM378">
        <v>1211415</v>
      </c>
      <c r="BN378" t="s">
        <v>1979</v>
      </c>
      <c r="BO378" s="17">
        <f t="shared" ca="1" si="5"/>
        <v>180.80300543981866</v>
      </c>
      <c r="BP378" t="b">
        <v>0</v>
      </c>
      <c r="BQ378">
        <v>1</v>
      </c>
      <c r="BR378" t="s">
        <v>1686</v>
      </c>
      <c r="BS378" t="s">
        <v>3567</v>
      </c>
      <c r="BT378" t="b">
        <v>0</v>
      </c>
      <c r="BU378" t="s">
        <v>2423</v>
      </c>
      <c r="BV378" t="s">
        <v>1668</v>
      </c>
      <c r="BW378">
        <v>820</v>
      </c>
      <c r="BY378">
        <v>133363</v>
      </c>
      <c r="BZ378" t="s">
        <v>1730</v>
      </c>
      <c r="CA378">
        <v>1</v>
      </c>
      <c r="CB378" t="b">
        <v>1</v>
      </c>
      <c r="CC378">
        <v>0</v>
      </c>
      <c r="CD378" t="b">
        <v>0</v>
      </c>
      <c r="CE378" t="b">
        <v>0</v>
      </c>
      <c r="CF378" t="b">
        <v>1</v>
      </c>
      <c r="CG378">
        <v>2660886</v>
      </c>
      <c r="CH378" t="s">
        <v>1681</v>
      </c>
      <c r="CI378" s="10">
        <v>2799995</v>
      </c>
    </row>
    <row r="379" spans="1:89">
      <c r="A379">
        <v>27185476</v>
      </c>
      <c r="B379" s="2" t="str">
        <f>HYPERLINK("http://www.redfin.com/stingray/do/printable-listing?listing-id=1214914","Active")</f>
        <v>Active</v>
      </c>
      <c r="D379" t="s">
        <v>3882</v>
      </c>
      <c r="E379" t="s">
        <v>3879</v>
      </c>
      <c r="F379">
        <v>637000</v>
      </c>
      <c r="G379">
        <v>2007</v>
      </c>
      <c r="H379">
        <v>3132</v>
      </c>
      <c r="I379">
        <v>8008</v>
      </c>
      <c r="J379">
        <v>3</v>
      </c>
      <c r="K379">
        <v>2.75</v>
      </c>
      <c r="M379" s="2" t="str">
        <f>HYPERLINK("http://maps.live.com/default.aspx?v=2&amp;lvl=15&amp;sp=adr.5220 NE lst Ct (Unable to map),98059","Map")</f>
        <v>Map</v>
      </c>
      <c r="N379" s="2" t="str">
        <f>HYPERLINK("http://i-0.rfimg.us/photo/1/bigphoto/476/27185476_2.jpg","Photo")</f>
        <v>Photo</v>
      </c>
      <c r="AI379" t="s">
        <v>1077</v>
      </c>
      <c r="AJ379">
        <v>98059</v>
      </c>
      <c r="BC379" s="22">
        <v>39370.637141203704</v>
      </c>
      <c r="BI379" s="22">
        <v>39549.294907407406</v>
      </c>
      <c r="BL379">
        <v>12740</v>
      </c>
      <c r="BM379">
        <v>1214914</v>
      </c>
      <c r="BN379" t="s">
        <v>3878</v>
      </c>
      <c r="BO379" s="17">
        <f t="shared" ca="1" si="5"/>
        <v>178.67226469907473</v>
      </c>
      <c r="BP379" t="b">
        <v>0</v>
      </c>
      <c r="BQ379">
        <v>1</v>
      </c>
      <c r="BR379" t="s">
        <v>3768</v>
      </c>
      <c r="BS379" t="s">
        <v>3880</v>
      </c>
      <c r="BT379" t="b">
        <v>0</v>
      </c>
      <c r="BU379" t="s">
        <v>1738</v>
      </c>
      <c r="BV379" t="s">
        <v>1668</v>
      </c>
      <c r="BW379">
        <v>5220</v>
      </c>
      <c r="BY379">
        <v>0</v>
      </c>
      <c r="BZ379" t="s">
        <v>3881</v>
      </c>
      <c r="CA379">
        <v>1</v>
      </c>
      <c r="CB379" t="b">
        <v>1</v>
      </c>
      <c r="CC379">
        <v>0</v>
      </c>
      <c r="CD379" t="b">
        <v>0</v>
      </c>
      <c r="CE379" t="b">
        <v>0</v>
      </c>
      <c r="CF379" t="b">
        <v>1</v>
      </c>
      <c r="CG379" t="s">
        <v>1870</v>
      </c>
      <c r="CH379" t="s">
        <v>1681</v>
      </c>
      <c r="CI379" s="10">
        <v>637000</v>
      </c>
    </row>
    <row r="380" spans="1:89">
      <c r="A380">
        <v>27185737</v>
      </c>
      <c r="B380" s="2" t="str">
        <f>HYPERLINK("http://www.redfin.com/stingray/do/printable-listing?listing-id=1211321","Active")</f>
        <v>Active</v>
      </c>
      <c r="D380" t="s">
        <v>60</v>
      </c>
      <c r="E380" t="s">
        <v>2627</v>
      </c>
      <c r="F380">
        <v>523500</v>
      </c>
      <c r="G380">
        <v>1901</v>
      </c>
      <c r="H380">
        <v>2910</v>
      </c>
      <c r="I380">
        <v>5100</v>
      </c>
      <c r="J380">
        <v>7</v>
      </c>
      <c r="K380">
        <v>1.75</v>
      </c>
      <c r="M380" s="2" t="str">
        <f>HYPERLINK("http://maps.live.com/default.aspx?v=2&amp;lvl=15&amp;sp=Point.47.690789_-122.345757_930 N 85th St&amp;cp=47.690789~-122.345757","Map")</f>
        <v>Map</v>
      </c>
      <c r="N380" s="2" t="str">
        <f>HYPERLINK("http://i-0.rfimg.us/photo/1/bigphoto/737/27185737_1.jpg","Photo")</f>
        <v>Photo</v>
      </c>
      <c r="AG380">
        <v>47.690789000000002</v>
      </c>
      <c r="AH380">
        <v>-122.34575700000001</v>
      </c>
      <c r="AI380" t="s">
        <v>66</v>
      </c>
      <c r="AJ380">
        <v>98103</v>
      </c>
      <c r="AN380">
        <v>103500</v>
      </c>
      <c r="BC380" s="22">
        <v>39368.43204861111</v>
      </c>
      <c r="BI380" s="22">
        <v>39549.294907407406</v>
      </c>
      <c r="BL380">
        <v>10470</v>
      </c>
      <c r="BM380">
        <v>1211321</v>
      </c>
      <c r="BN380" t="s">
        <v>1775</v>
      </c>
      <c r="BO380" s="17">
        <f t="shared" ca="1" si="5"/>
        <v>180.87735740740754</v>
      </c>
      <c r="BP380" t="b">
        <v>0</v>
      </c>
      <c r="BQ380">
        <v>1</v>
      </c>
      <c r="BR380" t="s">
        <v>1686</v>
      </c>
      <c r="BS380" t="s">
        <v>1827</v>
      </c>
      <c r="BT380" t="b">
        <v>0</v>
      </c>
      <c r="BU380" t="s">
        <v>1712</v>
      </c>
      <c r="BV380" t="s">
        <v>1668</v>
      </c>
      <c r="BW380">
        <v>930</v>
      </c>
      <c r="BY380">
        <v>98754</v>
      </c>
      <c r="BZ380" t="s">
        <v>1689</v>
      </c>
      <c r="CA380">
        <v>1</v>
      </c>
      <c r="CB380" t="b">
        <v>1</v>
      </c>
      <c r="CC380">
        <v>0</v>
      </c>
      <c r="CD380" t="b">
        <v>0</v>
      </c>
      <c r="CE380" t="b">
        <v>0</v>
      </c>
      <c r="CF380" t="b">
        <v>1</v>
      </c>
      <c r="CG380">
        <v>2738207</v>
      </c>
      <c r="CH380" t="s">
        <v>1681</v>
      </c>
      <c r="CI380" s="10">
        <v>523500</v>
      </c>
      <c r="CJ380" s="7">
        <v>33911</v>
      </c>
    </row>
    <row r="381" spans="1:89">
      <c r="A381">
        <v>27185743</v>
      </c>
      <c r="B381" s="2" t="str">
        <f>HYPERLINK("http://www.redfin.com/stingray/do/printable-listing?listing-id=1211357","Active")</f>
        <v>Active</v>
      </c>
      <c r="D381" t="s">
        <v>213</v>
      </c>
      <c r="E381" t="s">
        <v>2842</v>
      </c>
      <c r="F381">
        <v>1500000</v>
      </c>
      <c r="G381">
        <v>2007</v>
      </c>
      <c r="H381">
        <v>3300</v>
      </c>
      <c r="I381">
        <v>10048</v>
      </c>
      <c r="J381">
        <v>3</v>
      </c>
      <c r="K381">
        <v>2.75</v>
      </c>
      <c r="M381" s="2" t="str">
        <f>HYPERLINK("http://maps.live.com/default.aspx?v=2&amp;lvl=15&amp;sp=Point.47.717392_-122.280634_12073 Lakeside Pl NE&amp;cp=47.717392~-122.280634","Map")</f>
        <v>Map</v>
      </c>
      <c r="N381" s="2" t="str">
        <f>HYPERLINK("http://i-0.rfimg.us/photo/1/bigphoto/743/27185743_Q.jpg","Photo")</f>
        <v>Photo</v>
      </c>
      <c r="AG381">
        <v>47.717391999999997</v>
      </c>
      <c r="AH381">
        <v>-122.28063400000001</v>
      </c>
      <c r="AI381" t="s">
        <v>66</v>
      </c>
      <c r="AJ381">
        <v>98125</v>
      </c>
      <c r="AN381">
        <v>506000</v>
      </c>
      <c r="BC381" s="22">
        <v>39368.46398148148</v>
      </c>
      <c r="BI381" s="22">
        <v>39549.294907407406</v>
      </c>
      <c r="BL381">
        <v>30000</v>
      </c>
      <c r="BM381">
        <v>1211357</v>
      </c>
      <c r="BN381" t="s">
        <v>1697</v>
      </c>
      <c r="BO381" s="17">
        <f t="shared" ca="1" si="5"/>
        <v>180.84542442129896</v>
      </c>
      <c r="BP381" t="b">
        <v>0</v>
      </c>
      <c r="BQ381">
        <v>1</v>
      </c>
      <c r="BR381" t="s">
        <v>1842</v>
      </c>
      <c r="BS381" t="s">
        <v>2838</v>
      </c>
      <c r="BT381" t="b">
        <v>0</v>
      </c>
      <c r="BV381" t="s">
        <v>1668</v>
      </c>
      <c r="BW381">
        <v>12073</v>
      </c>
      <c r="BX381" t="s">
        <v>1738</v>
      </c>
      <c r="BY381">
        <v>319179</v>
      </c>
      <c r="BZ381" t="s">
        <v>2843</v>
      </c>
      <c r="CA381">
        <v>1</v>
      </c>
      <c r="CB381" t="b">
        <v>1</v>
      </c>
      <c r="CC381">
        <v>0</v>
      </c>
      <c r="CD381" t="b">
        <v>0</v>
      </c>
      <c r="CE381" t="b">
        <v>0</v>
      </c>
      <c r="CF381" t="b">
        <v>1</v>
      </c>
      <c r="CG381">
        <v>2855820</v>
      </c>
      <c r="CH381" t="s">
        <v>1681</v>
      </c>
      <c r="CI381" s="10">
        <v>1500000</v>
      </c>
      <c r="CJ381" s="7">
        <v>38911</v>
      </c>
    </row>
    <row r="382" spans="1:89">
      <c r="A382">
        <v>27185828</v>
      </c>
      <c r="B382" s="15" t="str">
        <f>HYPERLINK("http://www.redfin.com/stingray/do/printable-listing?listing-id=1211533","Subject To Inspection")</f>
        <v>Subject To Inspection</v>
      </c>
      <c r="D382" t="s">
        <v>5629</v>
      </c>
      <c r="E382" t="s">
        <v>5639</v>
      </c>
      <c r="F382">
        <v>628000</v>
      </c>
      <c r="G382">
        <v>1990</v>
      </c>
      <c r="H382">
        <v>2490</v>
      </c>
      <c r="I382">
        <v>7599</v>
      </c>
      <c r="J382">
        <v>4</v>
      </c>
      <c r="K382">
        <v>2.5</v>
      </c>
      <c r="M382" s="2" t="str">
        <f>HYPERLINK("http://maps.live.com/default.aspx?v=2&amp;lvl=15&amp;sp=Point.47.527206_-122.17112_8411 127th Pl SE&amp;cp=47.527206~-122.17112","Map")</f>
        <v>Map</v>
      </c>
      <c r="N382" s="2" t="str">
        <f>HYPERLINK("http://i-0.rfimg.us/photo/1/bigphoto/828/27185828_1.jpg","Photo")</f>
        <v>Photo</v>
      </c>
      <c r="AG382">
        <v>47.527206</v>
      </c>
      <c r="AH382">
        <v>-122.17112</v>
      </c>
      <c r="AI382" t="s">
        <v>3885</v>
      </c>
      <c r="AJ382">
        <v>98056</v>
      </c>
      <c r="AN382">
        <v>248000</v>
      </c>
      <c r="BC382" s="22">
        <v>39368.579756944448</v>
      </c>
      <c r="BI382" s="22">
        <v>39549.294907407406</v>
      </c>
      <c r="BL382">
        <v>12560</v>
      </c>
      <c r="BM382">
        <v>1211533</v>
      </c>
      <c r="BN382" t="s">
        <v>1737</v>
      </c>
      <c r="BO382" s="17">
        <f t="shared" ca="1" si="5"/>
        <v>180.72964895833138</v>
      </c>
      <c r="BP382" t="b">
        <v>0</v>
      </c>
      <c r="BQ382">
        <v>1</v>
      </c>
      <c r="BR382" t="s">
        <v>1842</v>
      </c>
      <c r="BS382" t="s">
        <v>2698</v>
      </c>
      <c r="BT382" t="b">
        <v>0</v>
      </c>
      <c r="BV382" t="s">
        <v>1668</v>
      </c>
      <c r="BW382">
        <v>8411</v>
      </c>
      <c r="BX382" t="s">
        <v>3856</v>
      </c>
      <c r="BY382">
        <v>416914</v>
      </c>
      <c r="BZ382" t="s">
        <v>5640</v>
      </c>
      <c r="CA382">
        <v>1</v>
      </c>
      <c r="CB382" t="b">
        <v>1</v>
      </c>
      <c r="CC382">
        <v>0</v>
      </c>
      <c r="CD382" t="b">
        <v>0</v>
      </c>
      <c r="CE382" t="b">
        <v>0</v>
      </c>
      <c r="CF382" t="b">
        <v>1</v>
      </c>
      <c r="CG382">
        <v>2607523</v>
      </c>
      <c r="CH382" t="s">
        <v>1681</v>
      </c>
      <c r="CI382" s="10">
        <v>628000</v>
      </c>
      <c r="CJ382" s="7">
        <v>33144</v>
      </c>
    </row>
    <row r="383" spans="1:89">
      <c r="A383">
        <v>27185907</v>
      </c>
      <c r="B383" s="2" t="str">
        <f>HYPERLINK("http://www.redfin.com/stingray/do/printable-listing?listing-id=1211692","Active")</f>
        <v>Active</v>
      </c>
      <c r="D383" t="s">
        <v>5926</v>
      </c>
      <c r="E383" t="s">
        <v>6151</v>
      </c>
      <c r="F383">
        <v>599500</v>
      </c>
      <c r="G383">
        <v>2008</v>
      </c>
      <c r="H383">
        <v>2788</v>
      </c>
      <c r="I383">
        <v>6189</v>
      </c>
      <c r="J383">
        <v>5</v>
      </c>
      <c r="K383">
        <v>3</v>
      </c>
      <c r="M383" s="2" t="str">
        <f>HYPERLINK("http://maps.live.com/default.aspx?v=2&amp;lvl=15&amp;sp=Point.47.506537_-122.191496_2012 NE 16 St&amp;cp=47.506537~-122.191496","Map")</f>
        <v>Map</v>
      </c>
      <c r="N383" s="2" t="str">
        <f>HYPERLINK("http://i-0.rfimg.us/photo/1/bigphoto/907/27185907_0.jpg","Photo")</f>
        <v>Photo</v>
      </c>
      <c r="AG383">
        <v>47.506537000000002</v>
      </c>
      <c r="AH383">
        <v>-122.191496</v>
      </c>
      <c r="AI383" t="s">
        <v>1077</v>
      </c>
      <c r="AJ383">
        <v>98054</v>
      </c>
      <c r="AN383">
        <v>216000</v>
      </c>
      <c r="BC383" s="22">
        <v>39368.74591435185</v>
      </c>
      <c r="BI383" s="22">
        <v>39549.294907407406</v>
      </c>
      <c r="BL383">
        <v>11990</v>
      </c>
      <c r="BM383">
        <v>1211692</v>
      </c>
      <c r="BN383" t="s">
        <v>2203</v>
      </c>
      <c r="BO383" s="17">
        <f t="shared" ca="1" si="5"/>
        <v>180.56349155092903</v>
      </c>
      <c r="BP383" t="b">
        <v>0</v>
      </c>
      <c r="BQ383">
        <v>1</v>
      </c>
      <c r="BR383" t="s">
        <v>1686</v>
      </c>
      <c r="BS383">
        <v>16</v>
      </c>
      <c r="BT383" t="b">
        <v>0</v>
      </c>
      <c r="BU383" t="s">
        <v>1738</v>
      </c>
      <c r="BV383" t="s">
        <v>1668</v>
      </c>
      <c r="BW383">
        <v>2012</v>
      </c>
      <c r="BY383">
        <v>411817</v>
      </c>
      <c r="BZ383" t="s">
        <v>1684</v>
      </c>
      <c r="CA383">
        <v>1</v>
      </c>
      <c r="CB383" t="b">
        <v>1</v>
      </c>
      <c r="CC383">
        <v>0</v>
      </c>
      <c r="CD383" t="b">
        <v>0</v>
      </c>
      <c r="CE383" t="b">
        <v>0</v>
      </c>
      <c r="CF383" t="b">
        <v>1</v>
      </c>
      <c r="CG383">
        <v>2673620</v>
      </c>
      <c r="CH383" t="s">
        <v>1681</v>
      </c>
      <c r="CI383" s="10">
        <v>599500</v>
      </c>
      <c r="CJ383" s="7">
        <v>39351</v>
      </c>
    </row>
    <row r="384" spans="1:89">
      <c r="A384">
        <v>27185941</v>
      </c>
      <c r="B384" s="2" t="str">
        <f>HYPERLINK("http://www.redfin.com/stingray/do/printable-listing?listing-id=1211787","Active")</f>
        <v>Active</v>
      </c>
      <c r="D384" t="s">
        <v>5050</v>
      </c>
      <c r="E384" t="s">
        <v>5060</v>
      </c>
      <c r="F384">
        <v>1195000</v>
      </c>
      <c r="G384">
        <v>2003</v>
      </c>
      <c r="H384">
        <v>3510</v>
      </c>
      <c r="I384">
        <v>15529</v>
      </c>
      <c r="J384">
        <v>4</v>
      </c>
      <c r="K384">
        <v>3.5</v>
      </c>
      <c r="M384" s="2" t="str">
        <f>HYPERLINK("http://maps.live.com/default.aspx?v=2&amp;lvl=15&amp;sp=Point.47.614727_-122.153803_457 140th Ave NE&amp;cp=47.614727~-122.153803","Map")</f>
        <v>Map</v>
      </c>
      <c r="N384" s="2" t="str">
        <f>HYPERLINK("http://i-0.rfimg.us/photo/1/bigphoto/941/27185941_0.jpg","Photo")</f>
        <v>Photo</v>
      </c>
      <c r="AG384">
        <v>47.614727000000002</v>
      </c>
      <c r="AH384">
        <v>-122.153803</v>
      </c>
      <c r="AI384" t="s">
        <v>369</v>
      </c>
      <c r="AJ384">
        <v>98005</v>
      </c>
      <c r="AN384">
        <v>766500</v>
      </c>
      <c r="BC384" s="22">
        <v>39368.952337962961</v>
      </c>
      <c r="BI384" s="22">
        <v>39549.294907407406</v>
      </c>
      <c r="BL384">
        <v>23900</v>
      </c>
      <c r="BM384">
        <v>1211787</v>
      </c>
      <c r="BN384" t="s">
        <v>1674</v>
      </c>
      <c r="BO384" s="17">
        <f t="shared" ca="1" si="5"/>
        <v>180.35706793981808</v>
      </c>
      <c r="BP384" t="b">
        <v>0</v>
      </c>
      <c r="BQ384">
        <v>1</v>
      </c>
      <c r="BR384" t="s">
        <v>1667</v>
      </c>
      <c r="BS384" t="s">
        <v>4434</v>
      </c>
      <c r="BT384" t="b">
        <v>0</v>
      </c>
      <c r="BV384" t="s">
        <v>1668</v>
      </c>
      <c r="BW384">
        <v>457</v>
      </c>
      <c r="BX384" t="s">
        <v>1738</v>
      </c>
      <c r="BY384">
        <v>507552</v>
      </c>
      <c r="BZ384" t="s">
        <v>1672</v>
      </c>
      <c r="CA384">
        <v>1</v>
      </c>
      <c r="CB384" t="b">
        <v>1</v>
      </c>
      <c r="CC384">
        <v>0</v>
      </c>
      <c r="CD384" t="b">
        <v>0</v>
      </c>
      <c r="CE384" t="b">
        <v>0</v>
      </c>
      <c r="CF384" t="b">
        <v>1</v>
      </c>
      <c r="CG384">
        <v>2541120</v>
      </c>
      <c r="CH384" t="s">
        <v>1681</v>
      </c>
      <c r="CI384" s="10">
        <v>1195000</v>
      </c>
      <c r="CJ384" s="7">
        <v>37861</v>
      </c>
    </row>
    <row r="385" spans="1:88">
      <c r="A385">
        <v>27186400</v>
      </c>
      <c r="B385" s="2" t="str">
        <f>HYPERLINK("http://www.redfin.com/stingray/do/printable-listing?listing-id=1213832","Active")</f>
        <v>Active</v>
      </c>
      <c r="D385" t="s">
        <v>99</v>
      </c>
      <c r="E385" t="s">
        <v>2116</v>
      </c>
      <c r="F385">
        <v>319950</v>
      </c>
      <c r="G385">
        <v>2007</v>
      </c>
      <c r="H385">
        <v>0</v>
      </c>
      <c r="I385">
        <v>0</v>
      </c>
      <c r="J385">
        <v>3</v>
      </c>
      <c r="K385">
        <v>1.5</v>
      </c>
      <c r="M385" s="2" t="str">
        <f>HYPERLINK("http://maps.live.com/default.aspx?v=2&amp;lvl=15&amp;sp=Point.47.699188_-122.366203_9521 8th Ave NW nB&amp;cp=47.699188~-122.366203","Map")</f>
        <v>Map</v>
      </c>
      <c r="N385" s="2" t="str">
        <f>HYPERLINK("http://i-0.rfimg.us/photo/1/bigphoto/400/27186400_0.jpg","Photo")</f>
        <v>Photo</v>
      </c>
      <c r="AG385">
        <v>47.699187999999999</v>
      </c>
      <c r="AH385">
        <v>-122.366203</v>
      </c>
      <c r="AI385" t="s">
        <v>66</v>
      </c>
      <c r="AJ385">
        <v>98117</v>
      </c>
      <c r="AM385" t="s">
        <v>1699</v>
      </c>
      <c r="BC385" s="22">
        <v>39370.506539351853</v>
      </c>
      <c r="BI385" s="7">
        <v>39514</v>
      </c>
      <c r="BL385">
        <v>6399</v>
      </c>
      <c r="BM385">
        <v>1213832</v>
      </c>
      <c r="BN385" t="s">
        <v>1720</v>
      </c>
      <c r="BO385" s="17">
        <f t="shared" ca="1" si="5"/>
        <v>178.80286666666507</v>
      </c>
      <c r="BP385" t="b">
        <v>0</v>
      </c>
      <c r="BQ385">
        <v>1</v>
      </c>
      <c r="BR385" t="s">
        <v>1667</v>
      </c>
      <c r="BS385" t="s">
        <v>1723</v>
      </c>
      <c r="BT385" t="b">
        <v>0</v>
      </c>
      <c r="BV385" t="s">
        <v>1668</v>
      </c>
      <c r="BW385">
        <v>9521</v>
      </c>
      <c r="BX385" t="s">
        <v>1669</v>
      </c>
      <c r="BY385">
        <v>12175102</v>
      </c>
      <c r="BZ385" t="s">
        <v>1701</v>
      </c>
      <c r="CA385">
        <v>1</v>
      </c>
      <c r="CB385" t="b">
        <v>1</v>
      </c>
      <c r="CC385">
        <v>0</v>
      </c>
      <c r="CD385" t="b">
        <v>0</v>
      </c>
      <c r="CE385" t="b">
        <v>0</v>
      </c>
      <c r="CF385" t="b">
        <v>1</v>
      </c>
      <c r="CG385">
        <v>15405709</v>
      </c>
      <c r="CH385" t="s">
        <v>1681</v>
      </c>
      <c r="CI385" s="10">
        <v>319950</v>
      </c>
    </row>
    <row r="386" spans="1:88">
      <c r="A386">
        <v>27186503</v>
      </c>
      <c r="B386" s="2" t="str">
        <f>HYPERLINK("http://www.redfin.com/stingray/do/printable-listing?listing-id=1218264","Active")</f>
        <v>Active</v>
      </c>
      <c r="D386" t="s">
        <v>1202</v>
      </c>
      <c r="E386" t="s">
        <v>1298</v>
      </c>
      <c r="F386">
        <v>1149950</v>
      </c>
      <c r="G386">
        <v>1966</v>
      </c>
      <c r="H386">
        <v>4790</v>
      </c>
      <c r="I386">
        <v>13735</v>
      </c>
      <c r="J386">
        <v>4</v>
      </c>
      <c r="K386">
        <v>3.25</v>
      </c>
      <c r="M386" s="2" t="str">
        <f>HYPERLINK("http://maps.live.com/default.aspx?v=2&amp;lvl=15&amp;sp=Point.47.697713_-122.382115_9277 20th Ave NW&amp;cp=47.697713~-122.382115","Map")</f>
        <v>Map</v>
      </c>
      <c r="N386" s="2" t="str">
        <f>HYPERLINK("http://i-0.rfimg.us/photo/1/bigphoto/503/27186503_4.jpg","Photo")</f>
        <v>Photo</v>
      </c>
      <c r="AG386">
        <v>47.697713</v>
      </c>
      <c r="AH386">
        <v>-122.382115</v>
      </c>
      <c r="AI386" t="s">
        <v>66</v>
      </c>
      <c r="AJ386">
        <v>98117</v>
      </c>
      <c r="AN386">
        <v>825000</v>
      </c>
      <c r="BC386" s="22">
        <v>39372.046354166669</v>
      </c>
      <c r="BI386" s="7">
        <v>39514</v>
      </c>
      <c r="BL386">
        <v>22999</v>
      </c>
      <c r="BM386">
        <v>1218264</v>
      </c>
      <c r="BN386" t="s">
        <v>1710</v>
      </c>
      <c r="BO386" s="17">
        <f t="shared" ref="BO386:BO449" ca="1" si="6">NOW()-BC386</f>
        <v>177.26305185184901</v>
      </c>
      <c r="BP386" t="b">
        <v>0</v>
      </c>
      <c r="BQ386">
        <v>1</v>
      </c>
      <c r="BR386" t="s">
        <v>1667</v>
      </c>
      <c r="BS386" t="s">
        <v>1844</v>
      </c>
      <c r="BT386" t="b">
        <v>0</v>
      </c>
      <c r="BV386" t="s">
        <v>1668</v>
      </c>
      <c r="BW386">
        <v>9277</v>
      </c>
      <c r="BX386" t="s">
        <v>1669</v>
      </c>
      <c r="BY386">
        <v>288939</v>
      </c>
      <c r="BZ386" t="s">
        <v>2109</v>
      </c>
      <c r="CA386">
        <v>1</v>
      </c>
      <c r="CB386" t="b">
        <v>1</v>
      </c>
      <c r="CC386">
        <v>0</v>
      </c>
      <c r="CD386" t="b">
        <v>0</v>
      </c>
      <c r="CE386" t="b">
        <v>0</v>
      </c>
      <c r="CF386" t="b">
        <v>1</v>
      </c>
      <c r="CG386">
        <v>2867128</v>
      </c>
      <c r="CH386" t="s">
        <v>1681</v>
      </c>
      <c r="CI386" s="10">
        <v>1149950</v>
      </c>
      <c r="CJ386" s="7">
        <v>37694</v>
      </c>
    </row>
    <row r="387" spans="1:88">
      <c r="A387">
        <v>27186537</v>
      </c>
      <c r="B387" s="2" t="str">
        <f>HYPERLINK("http://www.redfin.com/stingray/do/printable-listing?listing-id=1219157","Active")</f>
        <v>Active</v>
      </c>
      <c r="D387" t="s">
        <v>3089</v>
      </c>
      <c r="E387" t="s">
        <v>3763</v>
      </c>
      <c r="F387">
        <v>1395000</v>
      </c>
      <c r="G387">
        <v>1936</v>
      </c>
      <c r="H387">
        <v>3640</v>
      </c>
      <c r="I387">
        <v>5000</v>
      </c>
      <c r="J387">
        <v>4</v>
      </c>
      <c r="K387">
        <v>2.25</v>
      </c>
      <c r="M387" s="2" t="str">
        <f>HYPERLINK("http://maps.live.com/default.aspx?v=2&amp;lvl=15&amp;sp=Point.47.660446_-122.269258_4411 55th Ave NE&amp;cp=47.660446~-122.269258","Map")</f>
        <v>Map</v>
      </c>
      <c r="N387" s="2" t="str">
        <f>HYPERLINK("http://i-0.rfimg.us/photo/1/bigphoto/537/27186537_1.jpg","Photo")</f>
        <v>Photo</v>
      </c>
      <c r="AG387">
        <v>47.660446</v>
      </c>
      <c r="AH387">
        <v>-122.26925799999999</v>
      </c>
      <c r="AI387" t="s">
        <v>66</v>
      </c>
      <c r="AJ387">
        <v>98105</v>
      </c>
      <c r="AN387">
        <v>1195000</v>
      </c>
      <c r="BC387" s="22">
        <v>39372.317465277774</v>
      </c>
      <c r="BI387" s="22">
        <v>39549.294907407406</v>
      </c>
      <c r="BL387">
        <v>27900</v>
      </c>
      <c r="BM387">
        <v>1219157</v>
      </c>
      <c r="BN387" t="s">
        <v>1710</v>
      </c>
      <c r="BO387" s="17">
        <f t="shared" ca="1" si="6"/>
        <v>176.99194062500464</v>
      </c>
      <c r="BP387" t="b">
        <v>0</v>
      </c>
      <c r="BQ387">
        <v>1</v>
      </c>
      <c r="BR387" t="s">
        <v>1667</v>
      </c>
      <c r="BS387" t="s">
        <v>2514</v>
      </c>
      <c r="BT387" t="b">
        <v>0</v>
      </c>
      <c r="BV387" t="s">
        <v>1668</v>
      </c>
      <c r="BW387">
        <v>4411</v>
      </c>
      <c r="BX387" t="s">
        <v>1738</v>
      </c>
      <c r="BY387">
        <v>121495</v>
      </c>
      <c r="BZ387" t="s">
        <v>3764</v>
      </c>
      <c r="CA387">
        <v>1</v>
      </c>
      <c r="CB387" t="b">
        <v>1</v>
      </c>
      <c r="CC387">
        <v>0</v>
      </c>
      <c r="CD387" t="b">
        <v>0</v>
      </c>
      <c r="CE387" t="b">
        <v>0</v>
      </c>
      <c r="CF387" t="b">
        <v>1</v>
      </c>
      <c r="CG387">
        <v>2722072</v>
      </c>
      <c r="CH387" t="s">
        <v>1681</v>
      </c>
      <c r="CI387" s="10">
        <v>1395000</v>
      </c>
      <c r="CJ387" s="7">
        <v>39255</v>
      </c>
    </row>
    <row r="388" spans="1:88">
      <c r="A388">
        <v>27186572</v>
      </c>
      <c r="B388" s="2" t="str">
        <f>HYPERLINK("http://www.redfin.com/stingray/do/printable-listing?listing-id=1214639","Active")</f>
        <v>Active</v>
      </c>
      <c r="D388" t="s">
        <v>5281</v>
      </c>
      <c r="E388" t="s">
        <v>5506</v>
      </c>
      <c r="F388">
        <v>540000</v>
      </c>
      <c r="G388">
        <v>1979</v>
      </c>
      <c r="H388">
        <v>2280</v>
      </c>
      <c r="I388">
        <v>9841</v>
      </c>
      <c r="J388">
        <v>3</v>
      </c>
      <c r="K388">
        <v>2.5</v>
      </c>
      <c r="M388" s="2" t="str">
        <f>HYPERLINK("http://maps.live.com/default.aspx?v=2&amp;lvl=15&amp;sp=Point.47.572347_-122.11049_17165 SE 40th Pl&amp;cp=47.572347~-122.11049","Map")</f>
        <v>Map</v>
      </c>
      <c r="N388" s="2" t="str">
        <f>HYPERLINK("http://i-0.rfimg.us/photo/1/bigphoto/572/27186572_1.jpg","Photo")</f>
        <v>Photo</v>
      </c>
      <c r="AG388">
        <v>47.572347000000001</v>
      </c>
      <c r="AH388">
        <v>-122.11049</v>
      </c>
      <c r="AI388" t="s">
        <v>369</v>
      </c>
      <c r="AJ388">
        <v>98008</v>
      </c>
      <c r="AN388">
        <v>475000</v>
      </c>
      <c r="BC388" s="22">
        <v>39370.606041666666</v>
      </c>
      <c r="BI388" s="22">
        <v>39549.294907407406</v>
      </c>
      <c r="BL388">
        <v>10800</v>
      </c>
      <c r="BM388">
        <v>1214639</v>
      </c>
      <c r="BN388" t="s">
        <v>5293</v>
      </c>
      <c r="BO388" s="17">
        <f t="shared" ca="1" si="6"/>
        <v>178.70336423611298</v>
      </c>
      <c r="BP388" t="b">
        <v>0</v>
      </c>
      <c r="BQ388">
        <v>1</v>
      </c>
      <c r="BR388" t="s">
        <v>1842</v>
      </c>
      <c r="BS388" t="s">
        <v>2832</v>
      </c>
      <c r="BT388" t="b">
        <v>0</v>
      </c>
      <c r="BU388" t="s">
        <v>3856</v>
      </c>
      <c r="BV388" t="s">
        <v>1668</v>
      </c>
      <c r="BW388">
        <v>17165</v>
      </c>
      <c r="BY388">
        <v>428634</v>
      </c>
      <c r="BZ388" t="s">
        <v>1704</v>
      </c>
      <c r="CA388">
        <v>1</v>
      </c>
      <c r="CB388" t="b">
        <v>1</v>
      </c>
      <c r="CC388">
        <v>0</v>
      </c>
      <c r="CD388" t="b">
        <v>0</v>
      </c>
      <c r="CE388" t="b">
        <v>0</v>
      </c>
      <c r="CF388" t="b">
        <v>1</v>
      </c>
      <c r="CG388">
        <v>2725139</v>
      </c>
      <c r="CH388" t="s">
        <v>1681</v>
      </c>
      <c r="CI388" s="10">
        <v>540000</v>
      </c>
      <c r="CJ388" s="7">
        <v>38707</v>
      </c>
    </row>
    <row r="389" spans="1:88">
      <c r="A389">
        <v>27186669</v>
      </c>
      <c r="B389" s="2" t="str">
        <f>HYPERLINK("http://www.redfin.com/stingray/do/printable-listing?listing-id=1215048","Active")</f>
        <v>Active</v>
      </c>
      <c r="D389" t="s">
        <v>1058</v>
      </c>
      <c r="E389" t="s">
        <v>4821</v>
      </c>
      <c r="F389">
        <v>749000</v>
      </c>
      <c r="G389">
        <v>2002</v>
      </c>
      <c r="H389">
        <v>1529</v>
      </c>
      <c r="I389">
        <v>0</v>
      </c>
      <c r="J389">
        <v>3</v>
      </c>
      <c r="K389">
        <v>3</v>
      </c>
      <c r="M389" s="2" t="str">
        <f>HYPERLINK("http://maps.live.com/default.aspx?v=2&amp;lvl=15&amp;sp=Point.47.671937_-122.20176_322 5th Ave S&amp;cp=47.671937~-122.20176","Map")</f>
        <v>Map</v>
      </c>
      <c r="N389" s="2" t="str">
        <f>HYPERLINK("http://i-0.rfimg.us/photo/1/bigphoto/669/27186669_1.jpg","Photo")</f>
        <v>Photo</v>
      </c>
      <c r="AG389">
        <v>47.671937</v>
      </c>
      <c r="AH389">
        <v>-122.20175999999999</v>
      </c>
      <c r="AI389" t="s">
        <v>1058</v>
      </c>
      <c r="AJ389">
        <v>98033</v>
      </c>
      <c r="BC389" s="22">
        <v>39370.670254629629</v>
      </c>
      <c r="BI389" s="22">
        <v>39549.294907407406</v>
      </c>
      <c r="BL389">
        <v>14980</v>
      </c>
      <c r="BM389">
        <v>1215048</v>
      </c>
      <c r="BN389" t="s">
        <v>1768</v>
      </c>
      <c r="BO389" s="17">
        <f t="shared" ca="1" si="6"/>
        <v>178.63915127314976</v>
      </c>
      <c r="BP389" t="b">
        <v>0</v>
      </c>
      <c r="BQ389">
        <v>1</v>
      </c>
      <c r="BR389" t="s">
        <v>1667</v>
      </c>
      <c r="BS389" t="s">
        <v>1832</v>
      </c>
      <c r="BT389" t="b">
        <v>0</v>
      </c>
      <c r="BV389" t="s">
        <v>1668</v>
      </c>
      <c r="BW389">
        <v>322</v>
      </c>
      <c r="BX389" t="s">
        <v>1881</v>
      </c>
      <c r="BY389">
        <v>12352536</v>
      </c>
      <c r="BZ389" t="s">
        <v>2646</v>
      </c>
      <c r="CA389">
        <v>1</v>
      </c>
      <c r="CB389" t="b">
        <v>1</v>
      </c>
      <c r="CC389">
        <v>0</v>
      </c>
      <c r="CD389" t="b">
        <v>0</v>
      </c>
      <c r="CE389" t="b">
        <v>0</v>
      </c>
      <c r="CF389" t="b">
        <v>1</v>
      </c>
      <c r="CG389">
        <v>15556284</v>
      </c>
      <c r="CH389" t="s">
        <v>1681</v>
      </c>
      <c r="CI389" s="10">
        <v>749000</v>
      </c>
    </row>
    <row r="390" spans="1:88">
      <c r="A390">
        <v>27186813</v>
      </c>
      <c r="B390" s="2" t="str">
        <f>HYPERLINK("http://www.redfin.com/stingray/do/printable-listing?listing-id=1215381","Contingent")</f>
        <v>Contingent</v>
      </c>
      <c r="D390" t="s">
        <v>5119</v>
      </c>
      <c r="E390" t="s">
        <v>5147</v>
      </c>
      <c r="F390">
        <v>699900</v>
      </c>
      <c r="G390">
        <v>1967</v>
      </c>
      <c r="H390">
        <v>3303</v>
      </c>
      <c r="I390">
        <v>9583</v>
      </c>
      <c r="J390">
        <v>4</v>
      </c>
      <c r="K390">
        <v>2.25</v>
      </c>
      <c r="M390" s="2" t="str">
        <f>HYPERLINK("http://maps.live.com/default.aspx?v=2&amp;lvl=15&amp;sp=Point.47.596677_-122.178094_1524 121st Ave SE&amp;cp=47.596677~-122.178094","Map")</f>
        <v>Map</v>
      </c>
      <c r="N390" s="2" t="str">
        <f>HYPERLINK("http://i-0.rfimg.us/photo/1/bigphoto/813/27186813_8.jpg","Photo")</f>
        <v>Photo</v>
      </c>
      <c r="AG390">
        <v>47.596677</v>
      </c>
      <c r="AH390">
        <v>-122.178094</v>
      </c>
      <c r="AI390" t="s">
        <v>369</v>
      </c>
      <c r="AJ390">
        <v>98005</v>
      </c>
      <c r="AN390">
        <v>349500</v>
      </c>
      <c r="BC390" s="22">
        <v>39370.882222222222</v>
      </c>
      <c r="BI390" s="22">
        <v>39549.294907407406</v>
      </c>
      <c r="BL390">
        <v>13998</v>
      </c>
      <c r="BM390">
        <v>1215381</v>
      </c>
      <c r="BN390" t="s">
        <v>1768</v>
      </c>
      <c r="BO390" s="17">
        <f t="shared" ca="1" si="6"/>
        <v>178.42718368055648</v>
      </c>
      <c r="BP390" t="b">
        <v>0</v>
      </c>
      <c r="BQ390">
        <v>2</v>
      </c>
      <c r="BR390" t="s">
        <v>1667</v>
      </c>
      <c r="BS390" t="s">
        <v>4414</v>
      </c>
      <c r="BT390" t="b">
        <v>0</v>
      </c>
      <c r="BV390" t="s">
        <v>1668</v>
      </c>
      <c r="BW390">
        <v>1524</v>
      </c>
      <c r="BX390" t="s">
        <v>3856</v>
      </c>
      <c r="BY390">
        <v>509167</v>
      </c>
      <c r="BZ390" t="s">
        <v>5148</v>
      </c>
      <c r="CA390">
        <v>1</v>
      </c>
      <c r="CB390" t="b">
        <v>1</v>
      </c>
      <c r="CC390">
        <v>0</v>
      </c>
      <c r="CD390" t="b">
        <v>0</v>
      </c>
      <c r="CE390" t="b">
        <v>0</v>
      </c>
      <c r="CF390" t="b">
        <v>1</v>
      </c>
      <c r="CG390">
        <v>2605827</v>
      </c>
      <c r="CH390" t="s">
        <v>1681</v>
      </c>
      <c r="CI390" s="10">
        <v>699900</v>
      </c>
      <c r="CJ390" s="7">
        <v>37126</v>
      </c>
    </row>
    <row r="391" spans="1:88">
      <c r="A391">
        <v>27186871</v>
      </c>
      <c r="B391" s="2" t="str">
        <f>HYPERLINK("http://www.redfin.com/stingray/do/printable-listing?listing-id=1227284","Active")</f>
        <v>Active</v>
      </c>
      <c r="D391" t="s">
        <v>3704</v>
      </c>
      <c r="E391" t="s">
        <v>4071</v>
      </c>
      <c r="F391" s="19">
        <v>829000</v>
      </c>
      <c r="G391">
        <v>1900</v>
      </c>
      <c r="H391">
        <v>3490</v>
      </c>
      <c r="I391">
        <v>3960</v>
      </c>
      <c r="J391">
        <v>4</v>
      </c>
      <c r="K391">
        <v>2.5</v>
      </c>
      <c r="M391" s="2" t="str">
        <f>HYPERLINK("http://maps.live.com/default.aspx?v=2&amp;lvl=15&amp;sp=Point.47.61014_-122.313404_1415 E Marion St&amp;cp=47.61014~-122.313404","Map")</f>
        <v>Map</v>
      </c>
      <c r="N391" s="2" t="str">
        <f>HYPERLINK("http://i-0.rfimg.us/photo/1/bigphoto/871/27186871_2.jpg","Photo")</f>
        <v>Photo</v>
      </c>
      <c r="AG391">
        <v>47.610140000000001</v>
      </c>
      <c r="AH391">
        <v>-122.31340400000001</v>
      </c>
      <c r="AI391" t="s">
        <v>66</v>
      </c>
      <c r="AJ391">
        <v>98122</v>
      </c>
      <c r="BC391" s="22">
        <v>39374.730636574073</v>
      </c>
      <c r="BI391" s="22">
        <v>39549.294907407406</v>
      </c>
      <c r="BL391">
        <v>16680</v>
      </c>
      <c r="BM391">
        <v>1227284</v>
      </c>
      <c r="BN391" t="s">
        <v>1715</v>
      </c>
      <c r="BO391" s="17">
        <f t="shared" ca="1" si="6"/>
        <v>174.57876932870568</v>
      </c>
      <c r="BP391" t="b">
        <v>0</v>
      </c>
      <c r="BQ391">
        <v>1</v>
      </c>
      <c r="BR391" t="s">
        <v>1686</v>
      </c>
      <c r="BS391" t="s">
        <v>4072</v>
      </c>
      <c r="BT391" t="b">
        <v>0</v>
      </c>
      <c r="BU391" t="s">
        <v>2436</v>
      </c>
      <c r="BV391" t="s">
        <v>1668</v>
      </c>
      <c r="BW391">
        <v>1415</v>
      </c>
      <c r="BY391">
        <v>145726</v>
      </c>
      <c r="BZ391" t="s">
        <v>1730</v>
      </c>
      <c r="CA391">
        <v>1</v>
      </c>
      <c r="CB391" t="b">
        <v>1</v>
      </c>
      <c r="CC391">
        <v>0</v>
      </c>
      <c r="CD391" t="b">
        <v>0</v>
      </c>
      <c r="CE391" t="b">
        <v>0</v>
      </c>
      <c r="CF391" t="b">
        <v>1</v>
      </c>
      <c r="CG391">
        <v>2993182</v>
      </c>
      <c r="CH391" t="s">
        <v>1681</v>
      </c>
      <c r="CI391" s="10">
        <v>834000</v>
      </c>
    </row>
    <row r="392" spans="1:88">
      <c r="A392">
        <v>27186914</v>
      </c>
      <c r="B392" s="2" t="str">
        <f>HYPERLINK("http://www.redfin.com/stingray/do/printable-listing?listing-id=1216812","Active")</f>
        <v>Active</v>
      </c>
      <c r="D392" t="s">
        <v>63</v>
      </c>
      <c r="E392" t="s">
        <v>141</v>
      </c>
      <c r="F392">
        <v>429500</v>
      </c>
      <c r="G392">
        <v>1913</v>
      </c>
      <c r="H392">
        <v>1350</v>
      </c>
      <c r="I392">
        <v>5100</v>
      </c>
      <c r="J392">
        <v>2</v>
      </c>
      <c r="K392">
        <v>1</v>
      </c>
      <c r="M392" s="2" t="str">
        <f>HYPERLINK("http://maps.live.com/default.aspx?v=2&amp;lvl=15&amp;sp=Point.47.679181_-122.39115_6753 27th Ave NW&amp;cp=47.679181~-122.39115","Map")</f>
        <v>Map</v>
      </c>
      <c r="N392" s="2" t="str">
        <f>HYPERLINK("http://i-0.rfimg.us/photo/1/bigphoto/914/27186914_3.jpg","Photo")</f>
        <v>Photo</v>
      </c>
      <c r="AG392">
        <v>47.679181</v>
      </c>
      <c r="AH392">
        <v>-122.39115</v>
      </c>
      <c r="AI392" t="s">
        <v>66</v>
      </c>
      <c r="AJ392">
        <v>98117</v>
      </c>
      <c r="BC392" s="22">
        <v>39371.369479166664</v>
      </c>
      <c r="BI392" s="22">
        <v>39549.294907407406</v>
      </c>
      <c r="BL392">
        <v>8590</v>
      </c>
      <c r="BM392">
        <v>1216812</v>
      </c>
      <c r="BN392" t="s">
        <v>1700</v>
      </c>
      <c r="BO392" s="17">
        <f t="shared" ca="1" si="6"/>
        <v>177.93992685185367</v>
      </c>
      <c r="BP392" t="b">
        <v>0</v>
      </c>
      <c r="BQ392">
        <v>1</v>
      </c>
      <c r="BR392" t="s">
        <v>1667</v>
      </c>
      <c r="BS392" t="s">
        <v>1751</v>
      </c>
      <c r="BT392" t="b">
        <v>0</v>
      </c>
      <c r="BV392" t="s">
        <v>1668</v>
      </c>
      <c r="BW392">
        <v>6753</v>
      </c>
      <c r="BX392" t="s">
        <v>1669</v>
      </c>
      <c r="BY392">
        <v>163260</v>
      </c>
      <c r="BZ392" t="s">
        <v>1752</v>
      </c>
      <c r="CA392">
        <v>1</v>
      </c>
      <c r="CB392" t="b">
        <v>1</v>
      </c>
      <c r="CC392">
        <v>0</v>
      </c>
      <c r="CD392" t="b">
        <v>1</v>
      </c>
      <c r="CE392" t="b">
        <v>0</v>
      </c>
      <c r="CF392" t="b">
        <v>1</v>
      </c>
      <c r="CG392">
        <v>2935952</v>
      </c>
      <c r="CH392" t="s">
        <v>1681</v>
      </c>
      <c r="CI392" s="10">
        <v>429500</v>
      </c>
    </row>
    <row r="393" spans="1:88">
      <c r="A393">
        <v>27187062</v>
      </c>
      <c r="B393" s="2" t="str">
        <f>HYPERLINK("http://www.redfin.com/stingray/do/printable-listing?listing-id=1217591","Active")</f>
        <v>Active</v>
      </c>
      <c r="D393" t="s">
        <v>5490</v>
      </c>
      <c r="E393" t="s">
        <v>5906</v>
      </c>
      <c r="F393" s="19">
        <v>749950</v>
      </c>
      <c r="G393">
        <v>2001</v>
      </c>
      <c r="H393">
        <v>3290</v>
      </c>
      <c r="I393">
        <v>5139</v>
      </c>
      <c r="J393">
        <v>5</v>
      </c>
      <c r="K393">
        <v>3.5</v>
      </c>
      <c r="M393" s="2" t="str">
        <f>HYPERLINK("http://maps.live.com/default.aspx?v=2&amp;lvl=15&amp;sp=Point.47.542259_-122.123779_6583 163rd Pl SE&amp;cp=47.542259~-122.123779","Map")</f>
        <v>Map</v>
      </c>
      <c r="N393" s="2" t="str">
        <f>HYPERLINK("http://i-0.rfimg.us/photo/1/bigphoto/062/27187062_3.jpg","Photo")</f>
        <v>Photo</v>
      </c>
      <c r="AG393">
        <v>47.542259000000001</v>
      </c>
      <c r="AH393">
        <v>-122.123779</v>
      </c>
      <c r="AI393" t="s">
        <v>369</v>
      </c>
      <c r="AJ393">
        <v>98006</v>
      </c>
      <c r="AN393">
        <v>760000</v>
      </c>
      <c r="BC393" s="22">
        <v>39371.625034722223</v>
      </c>
      <c r="BI393" s="22">
        <v>39549.294907407406</v>
      </c>
      <c r="BL393">
        <v>15380</v>
      </c>
      <c r="BM393">
        <v>1217591</v>
      </c>
      <c r="BN393" t="s">
        <v>1688</v>
      </c>
      <c r="BO393" s="17">
        <f t="shared" ca="1" si="6"/>
        <v>177.6843711805559</v>
      </c>
      <c r="BP393" t="b">
        <v>0</v>
      </c>
      <c r="BQ393">
        <v>1</v>
      </c>
      <c r="BR393" t="s">
        <v>1842</v>
      </c>
      <c r="BS393" t="s">
        <v>5885</v>
      </c>
      <c r="BT393" t="b">
        <v>0</v>
      </c>
      <c r="BV393" t="s">
        <v>1668</v>
      </c>
      <c r="BW393">
        <v>6583</v>
      </c>
      <c r="BX393" t="s">
        <v>3856</v>
      </c>
      <c r="BY393">
        <v>418573</v>
      </c>
      <c r="BZ393" t="s">
        <v>5907</v>
      </c>
      <c r="CA393">
        <v>1</v>
      </c>
      <c r="CB393" t="b">
        <v>1</v>
      </c>
      <c r="CC393">
        <v>0</v>
      </c>
      <c r="CD393" t="b">
        <v>0</v>
      </c>
      <c r="CE393" t="b">
        <v>0</v>
      </c>
      <c r="CF393" t="b">
        <v>1</v>
      </c>
      <c r="CG393">
        <v>2420824</v>
      </c>
      <c r="CH393" t="s">
        <v>1681</v>
      </c>
      <c r="CI393" s="10">
        <v>769000</v>
      </c>
      <c r="CJ393" s="7">
        <v>38919</v>
      </c>
    </row>
    <row r="394" spans="1:88">
      <c r="A394">
        <v>27187319</v>
      </c>
      <c r="B394" s="2" t="str">
        <f>HYPERLINK("http://www.redfin.com/stingray/do/printable-listing?listing-id=1219690","Active")</f>
        <v>Active</v>
      </c>
      <c r="D394" t="s">
        <v>4663</v>
      </c>
      <c r="E394" t="s">
        <v>4937</v>
      </c>
      <c r="F394">
        <v>820000</v>
      </c>
      <c r="G394">
        <v>1979</v>
      </c>
      <c r="H394">
        <v>2840</v>
      </c>
      <c r="I394">
        <v>35316</v>
      </c>
      <c r="J394">
        <v>4</v>
      </c>
      <c r="K394">
        <v>2.5</v>
      </c>
      <c r="M394" s="2" t="str">
        <f>HYPERLINK("http://maps.live.com/default.aspx?v=2&amp;lvl=15&amp;sp=Point.47.64319_-122.149588_3614 142nd Pl NE&amp;cp=47.64319~-122.149588","Map")</f>
        <v>Map</v>
      </c>
      <c r="N394" s="2" t="str">
        <f>HYPERLINK("http://i-0.rfimg.us/photo/1/bigphoto/319/27187319_1.jpg","Photo")</f>
        <v>Photo</v>
      </c>
      <c r="AG394">
        <v>47.643189999999997</v>
      </c>
      <c r="AH394">
        <v>-122.14958799999999</v>
      </c>
      <c r="AI394" t="s">
        <v>369</v>
      </c>
      <c r="AJ394">
        <v>98007</v>
      </c>
      <c r="BC394" s="22">
        <v>39372.35900462963</v>
      </c>
      <c r="BI394" s="22">
        <v>39549.294907407406</v>
      </c>
      <c r="BL394">
        <v>16400</v>
      </c>
      <c r="BM394">
        <v>1219690</v>
      </c>
      <c r="BN394" t="s">
        <v>1768</v>
      </c>
      <c r="BO394" s="17">
        <f t="shared" ca="1" si="6"/>
        <v>176.9504012731486</v>
      </c>
      <c r="BP394" t="b">
        <v>0</v>
      </c>
      <c r="BQ394">
        <v>1</v>
      </c>
      <c r="BR394" t="s">
        <v>1842</v>
      </c>
      <c r="BS394" t="s">
        <v>4694</v>
      </c>
      <c r="BT394" t="b">
        <v>0</v>
      </c>
      <c r="BV394" t="s">
        <v>1668</v>
      </c>
      <c r="BW394">
        <v>3614</v>
      </c>
      <c r="BX394" t="s">
        <v>1738</v>
      </c>
      <c r="BY394">
        <v>429967</v>
      </c>
      <c r="BZ394" t="s">
        <v>1892</v>
      </c>
      <c r="CA394">
        <v>1</v>
      </c>
      <c r="CB394" t="b">
        <v>1</v>
      </c>
      <c r="CC394">
        <v>0</v>
      </c>
      <c r="CD394" t="b">
        <v>0</v>
      </c>
      <c r="CE394" t="b">
        <v>0</v>
      </c>
      <c r="CF394" t="b">
        <v>1</v>
      </c>
      <c r="CG394">
        <v>2417193</v>
      </c>
      <c r="CH394" t="s">
        <v>1681</v>
      </c>
      <c r="CI394" s="10">
        <v>820000</v>
      </c>
    </row>
    <row r="395" spans="1:88">
      <c r="A395">
        <v>27187389</v>
      </c>
      <c r="B395" s="15" t="str">
        <f>HYPERLINK("http://www.redfin.com/stingray/do/printable-listing?listing-id=1217744","Subject To Inspection")</f>
        <v>Subject To Inspection</v>
      </c>
      <c r="D395" t="s">
        <v>3704</v>
      </c>
      <c r="E395" t="s">
        <v>4122</v>
      </c>
      <c r="F395">
        <v>450000</v>
      </c>
      <c r="G395">
        <v>1918</v>
      </c>
      <c r="H395">
        <v>2380</v>
      </c>
      <c r="I395">
        <v>2500</v>
      </c>
      <c r="J395">
        <v>3</v>
      </c>
      <c r="K395">
        <v>1</v>
      </c>
      <c r="M395" s="2" t="str">
        <f>HYPERLINK("http://maps.live.com/default.aspx?v=2&amp;lvl=15&amp;sp=Point.47.622495_-122.30161_2317 E Harrison St&amp;cp=47.622495~-122.30161","Map")</f>
        <v>Map</v>
      </c>
      <c r="N395" s="2" t="str">
        <f>HYPERLINK("http://i-0.rfimg.us/photo/1/bigphoto/389/27187389_1.jpg","Photo")</f>
        <v>Photo</v>
      </c>
      <c r="AG395">
        <v>47.622495000000001</v>
      </c>
      <c r="AH395">
        <v>-122.30161</v>
      </c>
      <c r="AI395" t="s">
        <v>66</v>
      </c>
      <c r="AJ395">
        <v>98112</v>
      </c>
      <c r="AN395">
        <v>410000</v>
      </c>
      <c r="BC395" s="22">
        <v>39371.677118055559</v>
      </c>
      <c r="BI395" s="22">
        <v>39549.294907407406</v>
      </c>
      <c r="BL395">
        <v>9000</v>
      </c>
      <c r="BM395">
        <v>1217744</v>
      </c>
      <c r="BN395" t="s">
        <v>4121</v>
      </c>
      <c r="BO395" s="17">
        <f t="shared" ca="1" si="6"/>
        <v>177.63228784722014</v>
      </c>
      <c r="BP395" t="b">
        <v>0</v>
      </c>
      <c r="BQ395">
        <v>1</v>
      </c>
      <c r="BR395" t="s">
        <v>1686</v>
      </c>
      <c r="BS395" t="s">
        <v>4123</v>
      </c>
      <c r="BT395" t="b">
        <v>0</v>
      </c>
      <c r="BU395" t="s">
        <v>2436</v>
      </c>
      <c r="BV395" t="s">
        <v>1668</v>
      </c>
      <c r="BW395">
        <v>2317</v>
      </c>
      <c r="BY395">
        <v>147725</v>
      </c>
      <c r="BZ395" t="s">
        <v>1736</v>
      </c>
      <c r="CA395">
        <v>1</v>
      </c>
      <c r="CB395" t="b">
        <v>1</v>
      </c>
      <c r="CC395">
        <v>0</v>
      </c>
      <c r="CD395" t="b">
        <v>0</v>
      </c>
      <c r="CE395" t="b">
        <v>0</v>
      </c>
      <c r="CF395" t="b">
        <v>1</v>
      </c>
      <c r="CG395">
        <v>2654484</v>
      </c>
      <c r="CH395" t="s">
        <v>1681</v>
      </c>
      <c r="CI395" s="10">
        <v>450000</v>
      </c>
      <c r="CJ395" s="7">
        <v>38470</v>
      </c>
    </row>
    <row r="396" spans="1:88">
      <c r="A396">
        <v>27187573</v>
      </c>
      <c r="B396" s="2" t="str">
        <f>HYPERLINK("http://www.redfin.com/stingray/do/printable-listing?listing-id=1219765","Active")</f>
        <v>Active</v>
      </c>
      <c r="D396" t="s">
        <v>63</v>
      </c>
      <c r="E396" t="s">
        <v>271</v>
      </c>
      <c r="F396">
        <v>488500</v>
      </c>
      <c r="G396">
        <v>2007</v>
      </c>
      <c r="H396">
        <v>1746</v>
      </c>
      <c r="I396">
        <v>0</v>
      </c>
      <c r="J396">
        <v>2</v>
      </c>
      <c r="K396">
        <v>2.5</v>
      </c>
      <c r="M396" s="2" t="str">
        <f>HYPERLINK("http://maps.live.com/default.aspx?v=2&amp;lvl=15&amp;sp=Point.47.678062_-122.374895_6708 Alonzo Ave NW&amp;cp=47.678062~-122.374895","Map")</f>
        <v>Map</v>
      </c>
      <c r="N396" s="2" t="str">
        <f>HYPERLINK("http://i-0.rfimg.us/photo/1/bigphoto/573/27187573_1.jpg","Photo")</f>
        <v>Photo</v>
      </c>
      <c r="AG396">
        <v>47.678061999999997</v>
      </c>
      <c r="AH396">
        <v>-122.374895</v>
      </c>
      <c r="AI396" t="s">
        <v>66</v>
      </c>
      <c r="AJ396">
        <v>98117</v>
      </c>
      <c r="BC396" s="22">
        <v>39372.381249999999</v>
      </c>
      <c r="BI396" s="22">
        <v>39549.294907407406</v>
      </c>
      <c r="BL396">
        <v>9770</v>
      </c>
      <c r="BM396">
        <v>1219765</v>
      </c>
      <c r="BN396" t="s">
        <v>1678</v>
      </c>
      <c r="BO396" s="17">
        <f t="shared" ca="1" si="6"/>
        <v>176.92815601851908</v>
      </c>
      <c r="BP396" t="b">
        <v>0</v>
      </c>
      <c r="BQ396">
        <v>1</v>
      </c>
      <c r="BR396" t="s">
        <v>1667</v>
      </c>
      <c r="BS396" t="s">
        <v>1778</v>
      </c>
      <c r="BT396" t="b">
        <v>0</v>
      </c>
      <c r="BV396" t="s">
        <v>1668</v>
      </c>
      <c r="BW396">
        <v>6708</v>
      </c>
      <c r="BX396" t="s">
        <v>1669</v>
      </c>
      <c r="BY396">
        <v>12318105</v>
      </c>
      <c r="BZ396" t="s">
        <v>1704</v>
      </c>
      <c r="CA396">
        <v>1</v>
      </c>
      <c r="CB396" t="b">
        <v>1</v>
      </c>
      <c r="CC396">
        <v>0</v>
      </c>
      <c r="CD396" t="b">
        <v>0</v>
      </c>
      <c r="CE396" t="b">
        <v>0</v>
      </c>
      <c r="CF396" t="b">
        <v>1</v>
      </c>
      <c r="CG396">
        <v>15524142</v>
      </c>
      <c r="CH396" t="s">
        <v>1681</v>
      </c>
      <c r="CI396" s="10">
        <v>488500</v>
      </c>
    </row>
    <row r="397" spans="1:88">
      <c r="A397">
        <v>27187583</v>
      </c>
      <c r="B397" s="2" t="str">
        <f>HYPERLINK("http://www.redfin.com/stingray/do/printable-listing?listing-id=1219748","Active")</f>
        <v>Active</v>
      </c>
      <c r="D397" t="s">
        <v>3071</v>
      </c>
      <c r="E397" t="s">
        <v>4517</v>
      </c>
      <c r="F397">
        <v>374950</v>
      </c>
      <c r="G397">
        <v>1962</v>
      </c>
      <c r="H397">
        <v>1370</v>
      </c>
      <c r="I397">
        <v>9462</v>
      </c>
      <c r="J397">
        <v>3</v>
      </c>
      <c r="K397">
        <v>1.5</v>
      </c>
      <c r="M397" s="2" t="str">
        <f>HYPERLINK("http://maps.live.com/default.aspx?v=2&amp;lvl=15&amp;sp=Point.47.719478_-122.225065_13224 87th Ave NE&amp;cp=47.719478~-122.225065","Map")</f>
        <v>Map</v>
      </c>
      <c r="N397" s="2" t="str">
        <f>HYPERLINK("http://i-0.rfimg.us/photo/1/bigphoto/583/27187583_3.jpg","Photo")</f>
        <v>Photo</v>
      </c>
      <c r="AG397">
        <v>47.719478000000002</v>
      </c>
      <c r="AH397">
        <v>-122.225065</v>
      </c>
      <c r="AI397" t="s">
        <v>1058</v>
      </c>
      <c r="AJ397">
        <v>98034</v>
      </c>
      <c r="AN397">
        <v>208750</v>
      </c>
      <c r="BC397" s="22">
        <v>39372.369780092595</v>
      </c>
      <c r="BI397" s="22">
        <v>39549.294907407406</v>
      </c>
      <c r="BL397">
        <v>7499</v>
      </c>
      <c r="BM397">
        <v>1219748</v>
      </c>
      <c r="BN397" t="s">
        <v>1674</v>
      </c>
      <c r="BO397" s="17">
        <f t="shared" ca="1" si="6"/>
        <v>176.93962581018422</v>
      </c>
      <c r="BP397" t="b">
        <v>0</v>
      </c>
      <c r="BQ397">
        <v>1</v>
      </c>
      <c r="BR397" t="s">
        <v>1667</v>
      </c>
      <c r="BS397" t="s">
        <v>1856</v>
      </c>
      <c r="BT397" t="b">
        <v>0</v>
      </c>
      <c r="BV397" t="s">
        <v>1668</v>
      </c>
      <c r="BW397">
        <v>13224</v>
      </c>
      <c r="BX397" t="s">
        <v>1738</v>
      </c>
      <c r="BY397">
        <v>278894</v>
      </c>
      <c r="BZ397" t="s">
        <v>4518</v>
      </c>
      <c r="CA397">
        <v>1</v>
      </c>
      <c r="CB397" t="b">
        <v>1</v>
      </c>
      <c r="CC397">
        <v>0</v>
      </c>
      <c r="CD397" t="b">
        <v>0</v>
      </c>
      <c r="CE397" t="b">
        <v>0</v>
      </c>
      <c r="CF397" t="b">
        <v>1</v>
      </c>
      <c r="CG397">
        <v>2455415</v>
      </c>
      <c r="CH397" t="s">
        <v>1681</v>
      </c>
      <c r="CI397" s="10">
        <v>374950</v>
      </c>
      <c r="CJ397" s="7">
        <v>37160</v>
      </c>
    </row>
    <row r="398" spans="1:88">
      <c r="A398">
        <v>27187687</v>
      </c>
      <c r="B398" s="2" t="str">
        <f>HYPERLINK("http://www.redfin.com/stingray/do/printable-listing?listing-id=1241576","Active")</f>
        <v>Active</v>
      </c>
      <c r="D398" t="s">
        <v>1023</v>
      </c>
      <c r="E398" t="s">
        <v>1926</v>
      </c>
      <c r="F398" s="19">
        <v>644950</v>
      </c>
      <c r="G398">
        <v>1919</v>
      </c>
      <c r="H398">
        <v>2780</v>
      </c>
      <c r="I398">
        <v>3483</v>
      </c>
      <c r="J398">
        <v>3</v>
      </c>
      <c r="K398">
        <v>3</v>
      </c>
      <c r="M398" s="2" t="str">
        <f>HYPERLINK("http://maps.live.com/default.aspx?v=2&amp;lvl=15&amp;sp=Point.47.689208_-122.397369_8325 31st Ave NW&amp;cp=47.689208~-122.397369","Map")</f>
        <v>Map</v>
      </c>
      <c r="N398" s="2" t="str">
        <f>HYPERLINK("http://i-0.rfimg.us/photo/1/bigphoto/687/27187687_1.jpg","Photo")</f>
        <v>Photo</v>
      </c>
      <c r="AG398">
        <v>47.689208000000001</v>
      </c>
      <c r="AH398">
        <v>-122.397369</v>
      </c>
      <c r="AI398" t="s">
        <v>66</v>
      </c>
      <c r="AJ398">
        <v>98117</v>
      </c>
      <c r="AN398">
        <v>410000</v>
      </c>
      <c r="BC398" s="22">
        <v>39381.327870370369</v>
      </c>
      <c r="BI398" s="7">
        <v>39540</v>
      </c>
      <c r="BL398">
        <v>13500</v>
      </c>
      <c r="BM398">
        <v>1241576</v>
      </c>
      <c r="BN398" t="s">
        <v>1700</v>
      </c>
      <c r="BO398" s="17">
        <f t="shared" ca="1" si="6"/>
        <v>167.98153564814857</v>
      </c>
      <c r="BP398" t="b">
        <v>0</v>
      </c>
      <c r="BQ398">
        <v>1</v>
      </c>
      <c r="BR398" t="s">
        <v>1667</v>
      </c>
      <c r="BS398" t="s">
        <v>1732</v>
      </c>
      <c r="BT398" t="b">
        <v>0</v>
      </c>
      <c r="BV398" t="s">
        <v>1668</v>
      </c>
      <c r="BW398">
        <v>8325</v>
      </c>
      <c r="BX398" t="s">
        <v>1669</v>
      </c>
      <c r="BY398">
        <v>163922</v>
      </c>
      <c r="BZ398" t="s">
        <v>1911</v>
      </c>
      <c r="CA398">
        <v>1</v>
      </c>
      <c r="CB398" t="b">
        <v>1</v>
      </c>
      <c r="CC398">
        <v>0</v>
      </c>
      <c r="CD398" t="b">
        <v>0</v>
      </c>
      <c r="CE398" t="b">
        <v>0</v>
      </c>
      <c r="CF398" t="b">
        <v>1</v>
      </c>
      <c r="CG398">
        <v>2921670</v>
      </c>
      <c r="CH398" t="s">
        <v>1681</v>
      </c>
      <c r="CI398" s="10">
        <v>675000</v>
      </c>
      <c r="CJ398" s="7">
        <v>36598</v>
      </c>
    </row>
    <row r="399" spans="1:88">
      <c r="A399">
        <v>27187691</v>
      </c>
      <c r="B399" s="2" t="str">
        <f>HYPERLINK("http://www.redfin.com/stingray/do/printable-listing?listing-id=1220080","Active")</f>
        <v>Active</v>
      </c>
      <c r="D399" t="s">
        <v>70</v>
      </c>
      <c r="E399" t="s">
        <v>2688</v>
      </c>
      <c r="F399">
        <v>344888</v>
      </c>
      <c r="G399">
        <v>2007</v>
      </c>
      <c r="H399">
        <v>1413</v>
      </c>
      <c r="I399">
        <v>0</v>
      </c>
      <c r="J399">
        <v>3</v>
      </c>
      <c r="K399">
        <v>2.25</v>
      </c>
      <c r="M399" s="2" t="str">
        <f>HYPERLINK("http://maps.live.com/default.aspx?v=2&amp;lvl=15&amp;sp=Point.47.711023_-122.355073_11212 Greenwood Ave N nA&amp;cp=47.711023~-122.355073","Map")</f>
        <v>Map</v>
      </c>
      <c r="N399" s="2" t="str">
        <f>HYPERLINK("http://i-0.rfimg.us/photo/1/bigphoto/691/27187691_1.jpg","Photo")</f>
        <v>Photo</v>
      </c>
      <c r="AG399">
        <v>47.711022999999997</v>
      </c>
      <c r="AH399">
        <v>-122.355073</v>
      </c>
      <c r="AI399" t="s">
        <v>66</v>
      </c>
      <c r="AJ399">
        <v>98133</v>
      </c>
      <c r="AM399" t="s">
        <v>1722</v>
      </c>
      <c r="BC399" s="22">
        <v>39372.4452662037</v>
      </c>
      <c r="BI399" s="22">
        <v>39549.294907407406</v>
      </c>
      <c r="BL399">
        <v>6898</v>
      </c>
      <c r="BM399">
        <v>1220080</v>
      </c>
      <c r="BN399" t="s">
        <v>1685</v>
      </c>
      <c r="BO399" s="17">
        <f t="shared" ca="1" si="6"/>
        <v>176.86413969907881</v>
      </c>
      <c r="BP399" t="b">
        <v>0</v>
      </c>
      <c r="BQ399">
        <v>1</v>
      </c>
      <c r="BR399" t="s">
        <v>1667</v>
      </c>
      <c r="BS399" t="s">
        <v>55</v>
      </c>
      <c r="BT399" t="b">
        <v>0</v>
      </c>
      <c r="BV399" t="s">
        <v>1668</v>
      </c>
      <c r="BW399">
        <v>11212</v>
      </c>
      <c r="BX399" t="s">
        <v>1712</v>
      </c>
      <c r="BY399">
        <v>12175206</v>
      </c>
      <c r="BZ399" t="s">
        <v>2689</v>
      </c>
      <c r="CA399">
        <v>1</v>
      </c>
      <c r="CB399" t="b">
        <v>1</v>
      </c>
      <c r="CC399">
        <v>0</v>
      </c>
      <c r="CD399" t="b">
        <v>0</v>
      </c>
      <c r="CE399" t="b">
        <v>0</v>
      </c>
      <c r="CF399" t="b">
        <v>1</v>
      </c>
      <c r="CG399">
        <v>15504768</v>
      </c>
      <c r="CH399" t="s">
        <v>1681</v>
      </c>
      <c r="CI399" s="10">
        <v>344888</v>
      </c>
    </row>
    <row r="400" spans="1:88">
      <c r="A400">
        <v>27188040</v>
      </c>
      <c r="B400" s="2" t="str">
        <f>HYPERLINK("http://www.redfin.com/stingray/do/printable-listing?listing-id=1220940","Active")</f>
        <v>Active</v>
      </c>
      <c r="D400" t="s">
        <v>5565</v>
      </c>
      <c r="E400" t="s">
        <v>5719</v>
      </c>
      <c r="F400">
        <v>585000</v>
      </c>
      <c r="G400">
        <v>1957</v>
      </c>
      <c r="H400">
        <v>3030</v>
      </c>
      <c r="I400">
        <v>9850</v>
      </c>
      <c r="J400">
        <v>4</v>
      </c>
      <c r="K400">
        <v>2.5</v>
      </c>
      <c r="M400" s="2" t="str">
        <f>HYPERLINK("http://maps.live.com/default.aspx?v=2&amp;lvl=15&amp;sp=Point.47.563281_-122.184752_11606 SE 47th St&amp;cp=47.563281~-122.184752","Map")</f>
        <v>Map</v>
      </c>
      <c r="N400" s="2" t="str">
        <f>HYPERLINK("http://i-0.rfimg.us/photo/1/bigphoto/040/27188040_1.jpg","Photo")</f>
        <v>Photo</v>
      </c>
      <c r="AG400">
        <v>47.563281000000003</v>
      </c>
      <c r="AH400">
        <v>-122.184752</v>
      </c>
      <c r="AI400" t="s">
        <v>369</v>
      </c>
      <c r="AJ400">
        <v>98006</v>
      </c>
      <c r="AN400">
        <v>305000</v>
      </c>
      <c r="BC400" s="22">
        <v>39372.687627314815</v>
      </c>
      <c r="BI400" s="22">
        <v>39549.294907407406</v>
      </c>
      <c r="BL400">
        <v>11700</v>
      </c>
      <c r="BM400">
        <v>1220940</v>
      </c>
      <c r="BN400" t="s">
        <v>1674</v>
      </c>
      <c r="BO400" s="17">
        <f t="shared" ca="1" si="6"/>
        <v>176.62177858796349</v>
      </c>
      <c r="BP400" t="b">
        <v>0</v>
      </c>
      <c r="BQ400">
        <v>1</v>
      </c>
      <c r="BR400" t="s">
        <v>1686</v>
      </c>
      <c r="BS400" t="s">
        <v>2453</v>
      </c>
      <c r="BT400" t="b">
        <v>0</v>
      </c>
      <c r="BU400" t="s">
        <v>3856</v>
      </c>
      <c r="BV400" t="s">
        <v>1668</v>
      </c>
      <c r="BW400">
        <v>11606</v>
      </c>
      <c r="BY400">
        <v>412993</v>
      </c>
      <c r="BZ400" t="s">
        <v>2646</v>
      </c>
      <c r="CA400">
        <v>1</v>
      </c>
      <c r="CB400" t="b">
        <v>1</v>
      </c>
      <c r="CC400">
        <v>0</v>
      </c>
      <c r="CD400" t="b">
        <v>0</v>
      </c>
      <c r="CE400" t="b">
        <v>0</v>
      </c>
      <c r="CF400" t="b">
        <v>1</v>
      </c>
      <c r="CG400">
        <v>2907663</v>
      </c>
      <c r="CH400" t="s">
        <v>1681</v>
      </c>
      <c r="CI400" s="10">
        <v>585000</v>
      </c>
      <c r="CJ400" s="7">
        <v>36175</v>
      </c>
    </row>
    <row r="401" spans="1:90">
      <c r="A401">
        <v>27188068</v>
      </c>
      <c r="B401" s="2" t="str">
        <f>HYPERLINK("http://www.redfin.com/stingray/do/printable-listing?listing-id=1221056","Active")</f>
        <v>Active</v>
      </c>
      <c r="D401" t="s">
        <v>3961</v>
      </c>
      <c r="E401" t="s">
        <v>4203</v>
      </c>
      <c r="F401">
        <v>1475000</v>
      </c>
      <c r="G401">
        <v>1984</v>
      </c>
      <c r="H401">
        <v>3000</v>
      </c>
      <c r="I401">
        <v>9000</v>
      </c>
      <c r="J401">
        <v>3</v>
      </c>
      <c r="K401">
        <v>2.5</v>
      </c>
      <c r="M401" s="2" t="str">
        <f>HYPERLINK("http://maps.live.com/default.aspx?v=2&amp;lvl=15&amp;sp=Point.47.606476_-122.286008_515 Randolph Ave&amp;cp=47.606476~-122.286008","Map")</f>
        <v>Map</v>
      </c>
      <c r="N401" s="2" t="str">
        <f>HYPERLINK("http://i-0.rfimg.us/photo/1/bigphoto/068/27188068_2.jpg","Photo")</f>
        <v>Photo</v>
      </c>
      <c r="AG401">
        <v>47.606476000000001</v>
      </c>
      <c r="AH401">
        <v>-122.286008</v>
      </c>
      <c r="AI401" t="s">
        <v>66</v>
      </c>
      <c r="AJ401">
        <v>98122</v>
      </c>
      <c r="AN401">
        <v>422500</v>
      </c>
      <c r="BC401" s="22">
        <v>39372.749328703707</v>
      </c>
      <c r="BI401" s="22">
        <v>39549.294907407406</v>
      </c>
      <c r="BL401">
        <v>29500</v>
      </c>
      <c r="BM401">
        <v>1221056</v>
      </c>
      <c r="BN401" t="s">
        <v>4202</v>
      </c>
      <c r="BO401" s="17">
        <f t="shared" ca="1" si="6"/>
        <v>176.56007719907211</v>
      </c>
      <c r="BP401" t="b">
        <v>0</v>
      </c>
      <c r="BQ401">
        <v>1</v>
      </c>
      <c r="BR401" t="s">
        <v>1667</v>
      </c>
      <c r="BS401" t="s">
        <v>4204</v>
      </c>
      <c r="BT401" t="b">
        <v>0</v>
      </c>
      <c r="BV401" t="s">
        <v>1668</v>
      </c>
      <c r="BW401">
        <v>515</v>
      </c>
      <c r="BY401">
        <v>141799</v>
      </c>
      <c r="BZ401" t="s">
        <v>4205</v>
      </c>
      <c r="CA401">
        <v>1</v>
      </c>
      <c r="CB401" t="b">
        <v>1</v>
      </c>
      <c r="CC401">
        <v>0</v>
      </c>
      <c r="CD401" t="b">
        <v>0</v>
      </c>
      <c r="CE401" t="b">
        <v>0</v>
      </c>
      <c r="CF401" t="b">
        <v>1</v>
      </c>
      <c r="CG401">
        <v>2576051</v>
      </c>
      <c r="CH401" t="s">
        <v>1681</v>
      </c>
      <c r="CI401" s="10">
        <v>1475000</v>
      </c>
      <c r="CJ401" s="7">
        <v>34292</v>
      </c>
    </row>
    <row r="402" spans="1:90">
      <c r="A402">
        <v>27188129</v>
      </c>
      <c r="B402" s="2" t="str">
        <f>HYPERLINK("http://www.redfin.com/stingray/do/printable-listing?listing-id=1232232","Active")</f>
        <v>Active</v>
      </c>
      <c r="D402" t="s">
        <v>5926</v>
      </c>
      <c r="E402" t="s">
        <v>6158</v>
      </c>
      <c r="F402">
        <v>389900</v>
      </c>
      <c r="G402">
        <v>1946</v>
      </c>
      <c r="H402">
        <v>680</v>
      </c>
      <c r="I402">
        <v>5600</v>
      </c>
      <c r="J402">
        <v>2</v>
      </c>
      <c r="K402">
        <v>1</v>
      </c>
      <c r="M402" s="2" t="str">
        <f>HYPERLINK("http://maps.live.com/default.aspx?v=2&amp;lvl=15&amp;sp=Point.47.517285_-122.201488_2814 Park Ave N&amp;cp=47.517285~-122.201488","Map")</f>
        <v>Map</v>
      </c>
      <c r="N402" s="2" t="str">
        <f>HYPERLINK("http://i-0.rfimg.us/photo/1/bigphoto/129/27188129_1.jpg","Photo")</f>
        <v>Photo</v>
      </c>
      <c r="AG402">
        <v>47.517285000000001</v>
      </c>
      <c r="AH402">
        <v>-122.201488</v>
      </c>
      <c r="AI402" t="s">
        <v>1077</v>
      </c>
      <c r="AJ402">
        <v>98056</v>
      </c>
      <c r="AN402">
        <v>350000</v>
      </c>
      <c r="BC402" s="22">
        <v>39377.740185185183</v>
      </c>
      <c r="BI402" s="22">
        <v>39549.294907407406</v>
      </c>
      <c r="BL402">
        <v>7798</v>
      </c>
      <c r="BM402">
        <v>1232232</v>
      </c>
      <c r="BN402" t="s">
        <v>1737</v>
      </c>
      <c r="BO402" s="17">
        <f t="shared" ca="1" si="6"/>
        <v>171.56922071759618</v>
      </c>
      <c r="BP402" t="b">
        <v>0</v>
      </c>
      <c r="BQ402">
        <v>1</v>
      </c>
      <c r="BR402" t="s">
        <v>1667</v>
      </c>
      <c r="BS402" t="s">
        <v>3101</v>
      </c>
      <c r="BT402" t="b">
        <v>0</v>
      </c>
      <c r="BV402" t="s">
        <v>1668</v>
      </c>
      <c r="BW402">
        <v>2814</v>
      </c>
      <c r="BX402" t="s">
        <v>1712</v>
      </c>
      <c r="BY402">
        <v>408751</v>
      </c>
      <c r="BZ402" t="s">
        <v>1957</v>
      </c>
      <c r="CA402">
        <v>1</v>
      </c>
      <c r="CB402" t="b">
        <v>1</v>
      </c>
      <c r="CC402">
        <v>0</v>
      </c>
      <c r="CD402" t="b">
        <v>0</v>
      </c>
      <c r="CE402" t="b">
        <v>0</v>
      </c>
      <c r="CF402" t="b">
        <v>1</v>
      </c>
      <c r="CG402">
        <v>2526950</v>
      </c>
      <c r="CH402" t="s">
        <v>1681</v>
      </c>
      <c r="CI402" s="10">
        <v>389900</v>
      </c>
      <c r="CJ402" s="7">
        <v>39274</v>
      </c>
    </row>
    <row r="403" spans="1:90">
      <c r="A403">
        <v>27188224</v>
      </c>
      <c r="B403" s="2" t="str">
        <f>HYPERLINK("http://www.redfin.com/stingray/do/printable-listing?listing-id=1222958","Active")</f>
        <v>Active</v>
      </c>
      <c r="D403" t="s">
        <v>3885</v>
      </c>
      <c r="E403" t="s">
        <v>5854</v>
      </c>
      <c r="F403">
        <v>419950</v>
      </c>
      <c r="G403">
        <v>1962</v>
      </c>
      <c r="H403">
        <v>1370</v>
      </c>
      <c r="I403">
        <v>7841</v>
      </c>
      <c r="J403">
        <v>3</v>
      </c>
      <c r="K403">
        <v>1.5</v>
      </c>
      <c r="M403" s="2" t="str">
        <f>HYPERLINK("http://maps.live.com/default.aspx?v=2&amp;lvl=15&amp;sp=Point.47.540904_-122.180134_6905 121st Ave SE&amp;cp=47.540904~-122.180134","Map")</f>
        <v>Map</v>
      </c>
      <c r="N403" s="2" t="str">
        <f>HYPERLINK("http://i-0.rfimg.us/photo/1/bigphoto/224/27188224_3.jpg","Photo")</f>
        <v>Photo</v>
      </c>
      <c r="AG403">
        <v>47.540903999999998</v>
      </c>
      <c r="AH403">
        <v>-122.180134</v>
      </c>
      <c r="AI403" t="s">
        <v>3885</v>
      </c>
      <c r="AJ403">
        <v>98056</v>
      </c>
      <c r="BC403" s="22">
        <v>39373.412928240738</v>
      </c>
      <c r="BI403" s="22">
        <v>39549.294907407406</v>
      </c>
      <c r="BL403">
        <v>8399</v>
      </c>
      <c r="BM403">
        <v>1222958</v>
      </c>
      <c r="BN403" t="s">
        <v>1790</v>
      </c>
      <c r="BO403" s="17">
        <f t="shared" ca="1" si="6"/>
        <v>175.89647766204143</v>
      </c>
      <c r="BP403" t="b">
        <v>0</v>
      </c>
      <c r="BQ403">
        <v>1</v>
      </c>
      <c r="BR403" t="s">
        <v>1667</v>
      </c>
      <c r="BS403" t="s">
        <v>4414</v>
      </c>
      <c r="BT403" t="b">
        <v>0</v>
      </c>
      <c r="BV403" t="s">
        <v>1668</v>
      </c>
      <c r="BW403">
        <v>6905</v>
      </c>
      <c r="BX403" t="s">
        <v>3856</v>
      </c>
      <c r="BY403">
        <v>416347</v>
      </c>
      <c r="BZ403" t="s">
        <v>5855</v>
      </c>
      <c r="CA403">
        <v>1</v>
      </c>
      <c r="CB403" t="b">
        <v>1</v>
      </c>
      <c r="CC403">
        <v>0</v>
      </c>
      <c r="CD403" t="b">
        <v>0</v>
      </c>
      <c r="CE403" t="b">
        <v>0</v>
      </c>
      <c r="CF403" t="b">
        <v>1</v>
      </c>
      <c r="CG403">
        <v>2400150</v>
      </c>
      <c r="CH403" t="s">
        <v>1681</v>
      </c>
      <c r="CI403" s="10">
        <v>419950</v>
      </c>
    </row>
    <row r="404" spans="1:90">
      <c r="A404">
        <v>27188255</v>
      </c>
      <c r="B404" s="2" t="str">
        <f>HYPERLINK("http://www.redfin.com/stingray/do/printable-listing?listing-id=1225898","Active")</f>
        <v>Active</v>
      </c>
      <c r="D404" t="s">
        <v>1972</v>
      </c>
      <c r="E404" t="s">
        <v>1980</v>
      </c>
      <c r="F404">
        <v>2350000</v>
      </c>
      <c r="G404">
        <v>1979</v>
      </c>
      <c r="H404">
        <v>0</v>
      </c>
      <c r="I404">
        <v>131551</v>
      </c>
      <c r="J404">
        <v>5</v>
      </c>
      <c r="K404">
        <v>4.5</v>
      </c>
      <c r="M404" s="2" t="str">
        <f>HYPERLINK("http://maps.live.com/default.aspx?v=2&amp;lvl=15&amp;sp=adr.0 The Highlands nLot 23 (Unable to map),98177","Map")</f>
        <v>Map</v>
      </c>
      <c r="N404" s="2" t="str">
        <f>HYPERLINK("http://i-0.rfimg.us/photo/1/bigphoto/255/27188255_3.jpg","Photo")</f>
        <v>Photo</v>
      </c>
      <c r="AI404" t="s">
        <v>66</v>
      </c>
      <c r="AJ404">
        <v>98177</v>
      </c>
      <c r="AM404" t="s">
        <v>1981</v>
      </c>
      <c r="BC404" s="22">
        <v>39374.392118055555</v>
      </c>
      <c r="BI404" s="22">
        <v>39549.294907407406</v>
      </c>
      <c r="BL404">
        <v>47000</v>
      </c>
      <c r="BM404">
        <v>1225898</v>
      </c>
      <c r="BN404" t="s">
        <v>1979</v>
      </c>
      <c r="BO404" s="17">
        <f t="shared" ca="1" si="6"/>
        <v>174.91728796296229</v>
      </c>
      <c r="BP404" t="b">
        <v>0</v>
      </c>
      <c r="BQ404">
        <v>1</v>
      </c>
      <c r="BS404" t="s">
        <v>1972</v>
      </c>
      <c r="BT404" t="b">
        <v>0</v>
      </c>
      <c r="BV404" t="s">
        <v>1668</v>
      </c>
      <c r="BW404">
        <v>0</v>
      </c>
      <c r="BY404">
        <v>0</v>
      </c>
      <c r="BZ404" t="s">
        <v>1982</v>
      </c>
      <c r="CA404">
        <v>1</v>
      </c>
      <c r="CB404" t="b">
        <v>1</v>
      </c>
      <c r="CC404">
        <v>0</v>
      </c>
      <c r="CD404" t="b">
        <v>0</v>
      </c>
      <c r="CE404" t="b">
        <v>0</v>
      </c>
      <c r="CF404" t="b">
        <v>1</v>
      </c>
      <c r="CG404" t="s">
        <v>1870</v>
      </c>
      <c r="CH404" t="s">
        <v>1681</v>
      </c>
      <c r="CI404" s="10">
        <v>2350000</v>
      </c>
      <c r="CK404" t="s">
        <v>2282</v>
      </c>
    </row>
    <row r="405" spans="1:90">
      <c r="A405">
        <v>27188289</v>
      </c>
      <c r="B405" s="2" t="str">
        <f>HYPERLINK("http://www.redfin.com/stingray/do/printable-listing?listing-id=1223090","Active")</f>
        <v>Active</v>
      </c>
      <c r="D405" t="s">
        <v>5153</v>
      </c>
      <c r="E405" t="s">
        <v>5402</v>
      </c>
      <c r="F405">
        <v>498000</v>
      </c>
      <c r="G405">
        <v>1955</v>
      </c>
      <c r="H405">
        <v>1510</v>
      </c>
      <c r="I405">
        <v>8400</v>
      </c>
      <c r="J405">
        <v>3</v>
      </c>
      <c r="K405">
        <v>1.75</v>
      </c>
      <c r="M405" s="2" t="str">
        <f>HYPERLINK("http://maps.live.com/default.aspx?v=2&amp;lvl=15&amp;sp=Point.47.56659_-122.140503_14919 SE 44th Pl&amp;cp=47.56659~-122.140503","Map")</f>
        <v>Map</v>
      </c>
      <c r="N405" s="2" t="str">
        <f>HYPERLINK("http://i-0.rfimg.us/photo/1/bigphoto/289/27188289_0.jpg","Photo")</f>
        <v>Photo</v>
      </c>
      <c r="AG405">
        <v>47.566589999999998</v>
      </c>
      <c r="AH405">
        <v>-122.140503</v>
      </c>
      <c r="AI405" t="s">
        <v>369</v>
      </c>
      <c r="AJ405">
        <v>98006</v>
      </c>
      <c r="AN405">
        <v>420000</v>
      </c>
      <c r="BC405" s="22">
        <v>39373.465775462966</v>
      </c>
      <c r="BI405" s="22">
        <v>39549.294907407406</v>
      </c>
      <c r="BL405">
        <v>9960</v>
      </c>
      <c r="BM405">
        <v>1223090</v>
      </c>
      <c r="BN405" t="s">
        <v>5401</v>
      </c>
      <c r="BO405" s="17">
        <f t="shared" ca="1" si="6"/>
        <v>175.84363043981284</v>
      </c>
      <c r="BP405" t="b">
        <v>0</v>
      </c>
      <c r="BQ405">
        <v>1</v>
      </c>
      <c r="BR405" t="s">
        <v>1842</v>
      </c>
      <c r="BS405" t="s">
        <v>3082</v>
      </c>
      <c r="BT405" t="b">
        <v>0</v>
      </c>
      <c r="BU405" t="s">
        <v>3856</v>
      </c>
      <c r="BV405" t="s">
        <v>1668</v>
      </c>
      <c r="BW405">
        <v>14919</v>
      </c>
      <c r="BY405">
        <v>238274</v>
      </c>
      <c r="BZ405" t="s">
        <v>1741</v>
      </c>
      <c r="CA405">
        <v>1</v>
      </c>
      <c r="CB405" t="b">
        <v>1</v>
      </c>
      <c r="CC405">
        <v>0</v>
      </c>
      <c r="CD405" t="b">
        <v>0</v>
      </c>
      <c r="CE405" t="b">
        <v>0</v>
      </c>
      <c r="CF405" t="b">
        <v>1</v>
      </c>
      <c r="CG405">
        <v>2609759</v>
      </c>
      <c r="CH405" t="s">
        <v>1681</v>
      </c>
      <c r="CI405" s="10">
        <v>498000</v>
      </c>
      <c r="CJ405" s="7">
        <v>39217</v>
      </c>
    </row>
    <row r="406" spans="1:90">
      <c r="A406">
        <v>27188427</v>
      </c>
      <c r="B406" s="2" t="str">
        <f>HYPERLINK("http://www.redfin.com/stingray/do/printable-listing?listing-id=1223461","Active")</f>
        <v>Active</v>
      </c>
      <c r="D406" t="s">
        <v>3885</v>
      </c>
      <c r="E406" t="s">
        <v>5768</v>
      </c>
      <c r="F406">
        <v>438000</v>
      </c>
      <c r="G406">
        <v>1979</v>
      </c>
      <c r="H406">
        <v>2300</v>
      </c>
      <c r="I406">
        <v>15682</v>
      </c>
      <c r="J406">
        <v>4</v>
      </c>
      <c r="K406">
        <v>2.75</v>
      </c>
      <c r="M406" s="2" t="str">
        <f>HYPERLINK("http://maps.live.com/default.aspx?v=2&amp;lvl=15&amp;sp=Point.47.520244_-122.18451_9201 117th Ave SE&amp;cp=47.520244~-122.18451","Map")</f>
        <v>Map</v>
      </c>
      <c r="N406" s="2" t="str">
        <f>HYPERLINK("http://i-0.rfimg.us/photo/1/bigphoto/427/27188427_3.jpg","Photo")</f>
        <v>Photo</v>
      </c>
      <c r="AG406">
        <v>47.520243999999998</v>
      </c>
      <c r="AH406">
        <v>-122.18451</v>
      </c>
      <c r="AI406" t="s">
        <v>3885</v>
      </c>
      <c r="AJ406">
        <v>98056</v>
      </c>
      <c r="BC406" s="22">
        <v>39373.56181712963</v>
      </c>
      <c r="BI406" s="22">
        <v>39549.294907407406</v>
      </c>
      <c r="BL406">
        <v>8760</v>
      </c>
      <c r="BM406">
        <v>1223461</v>
      </c>
      <c r="BN406" t="s">
        <v>2590</v>
      </c>
      <c r="BO406" s="17">
        <f t="shared" ca="1" si="6"/>
        <v>175.74758877314889</v>
      </c>
      <c r="BP406" t="b">
        <v>0</v>
      </c>
      <c r="BQ406">
        <v>1</v>
      </c>
      <c r="BR406" t="s">
        <v>1667</v>
      </c>
      <c r="BS406" t="s">
        <v>2743</v>
      </c>
      <c r="BT406" t="b">
        <v>0</v>
      </c>
      <c r="BV406" t="s">
        <v>1668</v>
      </c>
      <c r="BW406">
        <v>9201</v>
      </c>
      <c r="BX406" t="s">
        <v>3856</v>
      </c>
      <c r="BY406">
        <v>417005</v>
      </c>
      <c r="BZ406" t="s">
        <v>3889</v>
      </c>
      <c r="CA406">
        <v>1</v>
      </c>
      <c r="CB406" t="b">
        <v>1</v>
      </c>
      <c r="CC406">
        <v>0</v>
      </c>
      <c r="CD406" t="b">
        <v>0</v>
      </c>
      <c r="CE406" t="b">
        <v>0</v>
      </c>
      <c r="CF406" t="b">
        <v>1</v>
      </c>
      <c r="CG406">
        <v>2691133</v>
      </c>
      <c r="CH406" t="s">
        <v>1681</v>
      </c>
      <c r="CI406" s="10">
        <v>438000</v>
      </c>
    </row>
    <row r="407" spans="1:90">
      <c r="A407">
        <v>27189082</v>
      </c>
      <c r="B407" s="15" t="str">
        <f>HYPERLINK("http://www.redfin.com/stingray/do/printable-listing?listing-id=1226443","Subject To Inspection")</f>
        <v>Subject To Inspection</v>
      </c>
      <c r="D407" t="s">
        <v>4805</v>
      </c>
      <c r="E407" t="s">
        <v>4804</v>
      </c>
      <c r="F407" s="19">
        <v>399950</v>
      </c>
      <c r="G407">
        <v>1963</v>
      </c>
      <c r="H407">
        <v>1400</v>
      </c>
      <c r="I407">
        <v>7474</v>
      </c>
      <c r="J407">
        <v>3</v>
      </c>
      <c r="K407">
        <v>1.75</v>
      </c>
      <c r="M407" s="2" t="str">
        <f>HYPERLINK("http://maps.live.com/default.aspx?v=2&amp;lvl=15&amp;sp=Point.47.672336_-122.156605_7524 137th Ave NE&amp;cp=47.672336~-122.156605","Map")</f>
        <v>Map</v>
      </c>
      <c r="N407" s="2" t="str">
        <f>HYPERLINK("http://i-0.rfimg.us/photo/1/bigphoto/082/27189082_0.jpg","Photo")</f>
        <v>Photo</v>
      </c>
      <c r="AG407">
        <v>47.672336000000001</v>
      </c>
      <c r="AH407">
        <v>-122.156605</v>
      </c>
      <c r="AI407" t="s">
        <v>4363</v>
      </c>
      <c r="AJ407">
        <v>98052</v>
      </c>
      <c r="AN407">
        <v>147950</v>
      </c>
      <c r="BC407" s="22">
        <v>39374.527731481481</v>
      </c>
      <c r="BI407" s="22">
        <v>39546.925937499997</v>
      </c>
      <c r="BL407">
        <v>8380</v>
      </c>
      <c r="BM407">
        <v>1226443</v>
      </c>
      <c r="BN407" t="s">
        <v>1735</v>
      </c>
      <c r="BO407" s="17">
        <f t="shared" ca="1" si="6"/>
        <v>174.78167442129779</v>
      </c>
      <c r="BP407" t="b">
        <v>0</v>
      </c>
      <c r="BQ407">
        <v>1</v>
      </c>
      <c r="BR407" t="s">
        <v>1667</v>
      </c>
      <c r="BS407" t="s">
        <v>3855</v>
      </c>
      <c r="BT407" t="b">
        <v>0</v>
      </c>
      <c r="BV407" t="s">
        <v>1668</v>
      </c>
      <c r="BW407">
        <v>7524</v>
      </c>
      <c r="BX407" t="s">
        <v>1738</v>
      </c>
      <c r="BY407">
        <v>515473</v>
      </c>
      <c r="BZ407" t="s">
        <v>1747</v>
      </c>
      <c r="CA407">
        <v>1</v>
      </c>
      <c r="CB407" t="b">
        <v>1</v>
      </c>
      <c r="CC407">
        <v>0</v>
      </c>
      <c r="CD407" t="b">
        <v>0</v>
      </c>
      <c r="CE407" t="b">
        <v>0</v>
      </c>
      <c r="CF407" t="b">
        <v>1</v>
      </c>
      <c r="CG407">
        <v>2470662</v>
      </c>
      <c r="CH407" t="s">
        <v>1681</v>
      </c>
      <c r="CI407" s="10">
        <v>419000</v>
      </c>
      <c r="CJ407" s="7">
        <v>33857</v>
      </c>
    </row>
    <row r="408" spans="1:90">
      <c r="A408">
        <v>27189302</v>
      </c>
      <c r="B408" s="2" t="str">
        <f>HYPERLINK("http://www.redfin.com/stingray/do/printable-listing?listing-id=1227084","Active")</f>
        <v>Active</v>
      </c>
      <c r="D408" t="s">
        <v>3704</v>
      </c>
      <c r="E408" t="s">
        <v>4134</v>
      </c>
      <c r="F408">
        <v>849950</v>
      </c>
      <c r="G408">
        <v>2007</v>
      </c>
      <c r="H408">
        <v>0</v>
      </c>
      <c r="I408">
        <v>4400</v>
      </c>
      <c r="J408">
        <v>0</v>
      </c>
      <c r="K408">
        <v>0</v>
      </c>
      <c r="M408" s="2" t="str">
        <f>HYPERLINK("http://maps.live.com/default.aspx?v=2&amp;lvl=15&amp;sp=Point.47.62449_-122.327795_610 Melrose Ave E&amp;cp=47.62449~-122.327795","Map")</f>
        <v>Map</v>
      </c>
      <c r="N408" s="2" t="str">
        <f>HYPERLINK("http://i-0.rfimg.us/photo/1/bigphoto/302/27189302_0.jpg","Photo")</f>
        <v>Photo</v>
      </c>
      <c r="AG408">
        <v>47.624490000000002</v>
      </c>
      <c r="AH408">
        <v>-122.32779499999999</v>
      </c>
      <c r="AI408" t="s">
        <v>66</v>
      </c>
      <c r="AJ408">
        <v>98102</v>
      </c>
      <c r="BC408" s="22">
        <v>39374.671307870369</v>
      </c>
      <c r="BI408" s="22">
        <v>39549.294907407406</v>
      </c>
      <c r="BL408">
        <v>16999</v>
      </c>
      <c r="BM408">
        <v>1227084</v>
      </c>
      <c r="BN408" t="s">
        <v>1693</v>
      </c>
      <c r="BO408" s="17">
        <f t="shared" ca="1" si="6"/>
        <v>174.6380980324102</v>
      </c>
      <c r="BP408" t="b">
        <v>0</v>
      </c>
      <c r="BQ408">
        <v>1</v>
      </c>
      <c r="BR408" t="s">
        <v>1667</v>
      </c>
      <c r="BS408" t="s">
        <v>4135</v>
      </c>
      <c r="BT408" t="b">
        <v>0</v>
      </c>
      <c r="BV408" t="s">
        <v>1668</v>
      </c>
      <c r="BW408">
        <v>610</v>
      </c>
      <c r="BX408" t="s">
        <v>2436</v>
      </c>
      <c r="BY408">
        <v>12265823</v>
      </c>
      <c r="BZ408" t="s">
        <v>1741</v>
      </c>
      <c r="CA408">
        <v>1</v>
      </c>
      <c r="CB408" t="b">
        <v>1</v>
      </c>
      <c r="CC408">
        <v>0</v>
      </c>
      <c r="CD408" t="b">
        <v>0</v>
      </c>
      <c r="CE408" t="b">
        <v>0</v>
      </c>
      <c r="CF408" t="b">
        <v>1</v>
      </c>
      <c r="CG408">
        <v>15488155</v>
      </c>
      <c r="CH408" t="s">
        <v>1681</v>
      </c>
      <c r="CI408" s="10">
        <v>849950</v>
      </c>
    </row>
    <row r="409" spans="1:90">
      <c r="A409">
        <v>27189613</v>
      </c>
      <c r="B409" s="2" t="str">
        <f>HYPERLINK("http://www.redfin.com/stingray/do/printable-listing?listing-id=1229237","Active")</f>
        <v>Active</v>
      </c>
      <c r="D409" t="s">
        <v>55</v>
      </c>
      <c r="E409" t="s">
        <v>1272</v>
      </c>
      <c r="F409">
        <v>824900</v>
      </c>
      <c r="G409">
        <v>2007</v>
      </c>
      <c r="H409">
        <v>2500</v>
      </c>
      <c r="I409">
        <v>5100</v>
      </c>
      <c r="J409">
        <v>3</v>
      </c>
      <c r="K409">
        <v>2.5</v>
      </c>
      <c r="M409" s="2" t="str">
        <f>HYPERLINK("http://maps.live.com/default.aspx?v=2&amp;lvl=15&amp;sp=Point.47.687449_-122.361685_321 NW 81st St&amp;cp=47.687449~-122.361685","Map")</f>
        <v>Map</v>
      </c>
      <c r="N409" s="2" t="str">
        <f>HYPERLINK("http://i-0.rfimg.us/photo/1/bigphoto/613/27189613_4.jpg","Photo")</f>
        <v>Photo</v>
      </c>
      <c r="AG409">
        <v>47.687449000000001</v>
      </c>
      <c r="AH409">
        <v>-122.36168499999999</v>
      </c>
      <c r="AI409" t="s">
        <v>66</v>
      </c>
      <c r="AJ409">
        <v>98117</v>
      </c>
      <c r="AN409">
        <v>340000</v>
      </c>
      <c r="BC409" s="22">
        <v>39375.527719907404</v>
      </c>
      <c r="BI409" s="22">
        <v>39547.913935185185</v>
      </c>
      <c r="BL409">
        <v>16498</v>
      </c>
      <c r="BM409">
        <v>1229237</v>
      </c>
      <c r="BN409" t="s">
        <v>1954</v>
      </c>
      <c r="BO409" s="17">
        <f t="shared" ca="1" si="6"/>
        <v>173.78168611111323</v>
      </c>
      <c r="BP409" t="b">
        <v>0</v>
      </c>
      <c r="BQ409">
        <v>1</v>
      </c>
      <c r="BR409" t="s">
        <v>1686</v>
      </c>
      <c r="BS409" t="s">
        <v>1955</v>
      </c>
      <c r="BT409" t="b">
        <v>0</v>
      </c>
      <c r="BU409" t="s">
        <v>1669</v>
      </c>
      <c r="BV409" t="s">
        <v>1668</v>
      </c>
      <c r="BW409">
        <v>321</v>
      </c>
      <c r="BY409">
        <v>497943</v>
      </c>
      <c r="BZ409" t="s">
        <v>1956</v>
      </c>
      <c r="CA409">
        <v>1</v>
      </c>
      <c r="CB409" t="b">
        <v>1</v>
      </c>
      <c r="CC409">
        <v>0</v>
      </c>
      <c r="CD409" t="b">
        <v>0</v>
      </c>
      <c r="CE409" t="b">
        <v>0</v>
      </c>
      <c r="CF409" t="b">
        <v>1</v>
      </c>
      <c r="CG409">
        <v>2460102</v>
      </c>
      <c r="CH409" t="s">
        <v>1681</v>
      </c>
      <c r="CI409" s="10">
        <v>824900</v>
      </c>
      <c r="CJ409" s="7">
        <v>38834</v>
      </c>
    </row>
    <row r="410" spans="1:90">
      <c r="A410">
        <v>27189674</v>
      </c>
      <c r="B410" s="2" t="str">
        <f>HYPERLINK("http://www.redfin.com/stingray/do/printable-listing?listing-id=1229396","Active")</f>
        <v>Active</v>
      </c>
      <c r="D410" t="s">
        <v>99</v>
      </c>
      <c r="E410" t="s">
        <v>1787</v>
      </c>
      <c r="F410">
        <v>405000</v>
      </c>
      <c r="G410">
        <v>1999</v>
      </c>
      <c r="H410">
        <v>1600</v>
      </c>
      <c r="I410">
        <v>0</v>
      </c>
      <c r="J410">
        <v>3</v>
      </c>
      <c r="K410">
        <v>3.25</v>
      </c>
      <c r="M410" s="2" t="str">
        <f>HYPERLINK("http://maps.live.com/default.aspx?v=2&amp;lvl=15&amp;sp=Point.47.695568_-122.375295_9038 Mary Ave NW&amp;cp=47.695568~-122.375295","Map")</f>
        <v>Map</v>
      </c>
      <c r="N410" s="2" t="str">
        <f>HYPERLINK("http://i-0.rfimg.us/photo/1/bigphoto/674/27189674_1.jpg","Photo")</f>
        <v>Photo</v>
      </c>
      <c r="AG410">
        <v>47.695568000000002</v>
      </c>
      <c r="AH410">
        <v>-122.37529499999999</v>
      </c>
      <c r="AI410" t="s">
        <v>66</v>
      </c>
      <c r="AJ410">
        <v>98117</v>
      </c>
      <c r="BC410" s="22">
        <v>39375.62060185185</v>
      </c>
      <c r="BI410" s="7">
        <v>39539</v>
      </c>
      <c r="BL410">
        <v>8100</v>
      </c>
      <c r="BM410">
        <v>1229396</v>
      </c>
      <c r="BN410" t="s">
        <v>1786</v>
      </c>
      <c r="BO410" s="17">
        <f t="shared" ca="1" si="6"/>
        <v>173.68880416666798</v>
      </c>
      <c r="BP410" t="b">
        <v>0</v>
      </c>
      <c r="BQ410">
        <v>1</v>
      </c>
      <c r="BR410" t="s">
        <v>1667</v>
      </c>
      <c r="BS410" t="s">
        <v>1779</v>
      </c>
      <c r="BT410" t="b">
        <v>0</v>
      </c>
      <c r="BV410" t="s">
        <v>1668</v>
      </c>
      <c r="BW410">
        <v>9038</v>
      </c>
      <c r="BX410" t="s">
        <v>1669</v>
      </c>
      <c r="BY410">
        <v>12266152</v>
      </c>
      <c r="BZ410" t="s">
        <v>1756</v>
      </c>
      <c r="CA410">
        <v>1</v>
      </c>
      <c r="CB410" t="b">
        <v>1</v>
      </c>
      <c r="CC410">
        <v>0</v>
      </c>
      <c r="CD410" t="b">
        <v>0</v>
      </c>
      <c r="CE410" t="b">
        <v>0</v>
      </c>
      <c r="CF410" t="b">
        <v>1</v>
      </c>
      <c r="CG410">
        <v>15488484</v>
      </c>
      <c r="CH410" t="s">
        <v>1681</v>
      </c>
      <c r="CI410" s="10">
        <v>405000</v>
      </c>
    </row>
    <row r="411" spans="1:90">
      <c r="A411">
        <v>27190011</v>
      </c>
      <c r="B411" s="2" t="str">
        <f>HYPERLINK("http://www.redfin.com/stingray/do/printable-listing?listing-id=1233889","Active")</f>
        <v>Active</v>
      </c>
      <c r="D411" t="s">
        <v>3064</v>
      </c>
      <c r="E411" t="s">
        <v>4779</v>
      </c>
      <c r="F411">
        <v>908550</v>
      </c>
      <c r="G411">
        <v>2007</v>
      </c>
      <c r="H411">
        <v>3530</v>
      </c>
      <c r="I411">
        <v>0</v>
      </c>
      <c r="J411">
        <v>4</v>
      </c>
      <c r="K411">
        <v>2.5</v>
      </c>
      <c r="M411" s="2" t="str">
        <f>HYPERLINK("http://maps.live.com/default.aspx?v=2&amp;lvl=15&amp;sp=Point.47.6868_-122.185556_9519 117th Ave NE&amp;cp=47.6868~-122.185556","Map")</f>
        <v>Map</v>
      </c>
      <c r="N411" s="2" t="str">
        <f>HYPERLINK("http://i-0.rfimg.us/photo/1/bigphoto/011/27190011_1.jpg","Photo")</f>
        <v>Photo</v>
      </c>
      <c r="AG411">
        <v>47.686799999999998</v>
      </c>
      <c r="AH411">
        <v>-122.18555600000001</v>
      </c>
      <c r="AI411" t="s">
        <v>1058</v>
      </c>
      <c r="AJ411">
        <v>98033</v>
      </c>
      <c r="BC411" s="22">
        <v>39378.422858796293</v>
      </c>
      <c r="BI411" s="7">
        <v>39530</v>
      </c>
      <c r="BL411">
        <v>18171</v>
      </c>
      <c r="BM411">
        <v>1233889</v>
      </c>
      <c r="BN411" t="s">
        <v>3062</v>
      </c>
      <c r="BO411" s="17">
        <f t="shared" ca="1" si="6"/>
        <v>170.88654710648552</v>
      </c>
      <c r="BP411" t="b">
        <v>0</v>
      </c>
      <c r="BQ411">
        <v>1</v>
      </c>
      <c r="BR411" t="s">
        <v>1667</v>
      </c>
      <c r="BS411" t="s">
        <v>2743</v>
      </c>
      <c r="BT411" t="b">
        <v>0</v>
      </c>
      <c r="BV411" t="s">
        <v>1668</v>
      </c>
      <c r="BW411">
        <v>9519</v>
      </c>
      <c r="BX411" t="s">
        <v>1738</v>
      </c>
      <c r="BY411">
        <v>12279211</v>
      </c>
      <c r="BZ411" t="s">
        <v>1797</v>
      </c>
      <c r="CA411">
        <v>1</v>
      </c>
      <c r="CB411" t="b">
        <v>1</v>
      </c>
      <c r="CC411">
        <v>0</v>
      </c>
      <c r="CD411" t="b">
        <v>0</v>
      </c>
      <c r="CE411" t="b">
        <v>0</v>
      </c>
      <c r="CF411" t="b">
        <v>1</v>
      </c>
      <c r="CG411">
        <v>15492142</v>
      </c>
      <c r="CH411" t="s">
        <v>1681</v>
      </c>
      <c r="CI411" s="10">
        <v>908550</v>
      </c>
    </row>
    <row r="412" spans="1:90">
      <c r="A412">
        <v>27190068</v>
      </c>
      <c r="B412" s="15" t="str">
        <f>HYPERLINK("http://www.redfin.com/stingray/do/printable-listing?listing-id=1232137","Subject To Inspection")</f>
        <v>Subject To Inspection</v>
      </c>
      <c r="D412" t="s">
        <v>4974</v>
      </c>
      <c r="E412" t="s">
        <v>4973</v>
      </c>
      <c r="F412">
        <v>699000</v>
      </c>
      <c r="G412">
        <v>1954</v>
      </c>
      <c r="H412">
        <v>1940</v>
      </c>
      <c r="I412">
        <v>8152</v>
      </c>
      <c r="J412">
        <v>4</v>
      </c>
      <c r="K412">
        <v>1.75</v>
      </c>
      <c r="M412" s="2" t="str">
        <f>HYPERLINK("http://maps.live.com/default.aspx?v=2&amp;lvl=15&amp;sp=Point.47.637348_-122.206674_2910 100th Ave NE&amp;cp=47.637348~-122.206674","Map")</f>
        <v>Map</v>
      </c>
      <c r="N412" s="2" t="str">
        <f>HYPERLINK("http://i-0.rfimg.us/photo/1/bigphoto/068/27190068_0.jpg","Photo")</f>
        <v>Photo</v>
      </c>
      <c r="AG412">
        <v>47.637348000000003</v>
      </c>
      <c r="AH412">
        <v>-122.20667400000001</v>
      </c>
      <c r="AI412" t="s">
        <v>369</v>
      </c>
      <c r="AJ412">
        <v>98004</v>
      </c>
      <c r="AN412">
        <v>415000</v>
      </c>
      <c r="BC412" s="22">
        <v>39377.702349537038</v>
      </c>
      <c r="BI412" s="22">
        <v>39549.294907407406</v>
      </c>
      <c r="BL412">
        <v>13980</v>
      </c>
      <c r="BM412">
        <v>1232137</v>
      </c>
      <c r="BN412" t="s">
        <v>1674</v>
      </c>
      <c r="BO412" s="17">
        <f t="shared" ca="1" si="6"/>
        <v>171.6070563657413</v>
      </c>
      <c r="BP412" t="b">
        <v>0</v>
      </c>
      <c r="BQ412">
        <v>1</v>
      </c>
      <c r="BR412" t="s">
        <v>1667</v>
      </c>
      <c r="BS412" t="s">
        <v>2806</v>
      </c>
      <c r="BT412" t="b">
        <v>0</v>
      </c>
      <c r="BV412" t="s">
        <v>1668</v>
      </c>
      <c r="BW412">
        <v>2910</v>
      </c>
      <c r="BX412" t="s">
        <v>1738</v>
      </c>
      <c r="BY412">
        <v>506290</v>
      </c>
      <c r="BZ412" t="s">
        <v>1747</v>
      </c>
      <c r="CA412">
        <v>1</v>
      </c>
      <c r="CB412" t="b">
        <v>1</v>
      </c>
      <c r="CC412">
        <v>0</v>
      </c>
      <c r="CD412" t="b">
        <v>0</v>
      </c>
      <c r="CE412" t="b">
        <v>0</v>
      </c>
      <c r="CF412" t="b">
        <v>1</v>
      </c>
      <c r="CG412">
        <v>2867227</v>
      </c>
      <c r="CH412" t="s">
        <v>1681</v>
      </c>
      <c r="CI412" s="10">
        <v>699000</v>
      </c>
      <c r="CJ412" s="7">
        <v>38202</v>
      </c>
    </row>
    <row r="413" spans="1:90">
      <c r="A413">
        <v>27190139</v>
      </c>
      <c r="B413" s="2" t="str">
        <f>HYPERLINK("http://www.redfin.com/stingray/do/printable-listing?listing-id=1231467","Active")</f>
        <v>Active</v>
      </c>
      <c r="D413" t="s">
        <v>60</v>
      </c>
      <c r="E413" t="s">
        <v>2518</v>
      </c>
      <c r="F413">
        <v>565000</v>
      </c>
      <c r="G413">
        <v>1905</v>
      </c>
      <c r="H413">
        <v>2280</v>
      </c>
      <c r="I413">
        <v>6420</v>
      </c>
      <c r="J413">
        <v>3</v>
      </c>
      <c r="K413">
        <v>1</v>
      </c>
      <c r="M413" s="2" t="str">
        <f>HYPERLINK("http://maps.live.com/default.aspx?v=2&amp;lvl=15&amp;sp=Point.47.668452_-122.334299_1909 N 55th St&amp;cp=47.668452~-122.334299","Map")</f>
        <v>Map</v>
      </c>
      <c r="N413" s="2" t="str">
        <f>HYPERLINK("http://i-0.rfimg.us/photo/1/bigphoto/139/27190139_0.jpg","Photo")</f>
        <v>Photo</v>
      </c>
      <c r="AG413">
        <v>47.668452000000002</v>
      </c>
      <c r="AH413">
        <v>-122.334299</v>
      </c>
      <c r="AI413" t="s">
        <v>66</v>
      </c>
      <c r="AJ413">
        <v>98103</v>
      </c>
      <c r="AN413">
        <v>220000</v>
      </c>
      <c r="BC413" s="22">
        <v>39377.477835648147</v>
      </c>
      <c r="BI413" s="22">
        <v>39549.294907407406</v>
      </c>
      <c r="BL413">
        <v>11300</v>
      </c>
      <c r="BM413">
        <v>1231467</v>
      </c>
      <c r="BN413" t="s">
        <v>2516</v>
      </c>
      <c r="BO413" s="17">
        <f t="shared" ca="1" si="6"/>
        <v>171.83157037037017</v>
      </c>
      <c r="BP413" t="b">
        <v>0</v>
      </c>
      <c r="BQ413">
        <v>1</v>
      </c>
      <c r="BR413" t="s">
        <v>1686</v>
      </c>
      <c r="BS413" t="s">
        <v>2514</v>
      </c>
      <c r="BT413" t="b">
        <v>0</v>
      </c>
      <c r="BU413" t="s">
        <v>1712</v>
      </c>
      <c r="BV413" t="s">
        <v>1668</v>
      </c>
      <c r="BW413">
        <v>1909</v>
      </c>
      <c r="BY413">
        <v>304916</v>
      </c>
      <c r="BZ413" t="s">
        <v>1696</v>
      </c>
      <c r="CA413">
        <v>1</v>
      </c>
      <c r="CB413" t="b">
        <v>1</v>
      </c>
      <c r="CC413">
        <v>0</v>
      </c>
      <c r="CD413" t="b">
        <v>0</v>
      </c>
      <c r="CE413" t="b">
        <v>0</v>
      </c>
      <c r="CF413" t="b">
        <v>1</v>
      </c>
      <c r="CG413">
        <v>2385548</v>
      </c>
      <c r="CH413" t="s">
        <v>1681</v>
      </c>
      <c r="CI413" s="10">
        <v>565000</v>
      </c>
      <c r="CJ413" s="7">
        <v>36476</v>
      </c>
      <c r="CK413" t="s">
        <v>2517</v>
      </c>
    </row>
    <row r="414" spans="1:90">
      <c r="A414">
        <v>27190141</v>
      </c>
      <c r="B414" s="2" t="str">
        <f>HYPERLINK("http://www.redfin.com/stingray/do/printable-listing?listing-id=1237296","Active")</f>
        <v>Active</v>
      </c>
      <c r="D414" t="s">
        <v>5204</v>
      </c>
      <c r="E414" t="s">
        <v>5441</v>
      </c>
      <c r="F414">
        <v>439950</v>
      </c>
      <c r="G414">
        <v>1959</v>
      </c>
      <c r="H414">
        <v>0</v>
      </c>
      <c r="I414">
        <v>7280</v>
      </c>
      <c r="J414">
        <v>3</v>
      </c>
      <c r="K414">
        <v>1.5</v>
      </c>
      <c r="M414" s="2" t="str">
        <f>HYPERLINK("http://maps.live.com/default.aspx?v=2&amp;lvl=15&amp;sp=Point.47.609297_-122.130148_14 157th Ave SE&amp;cp=47.609297~-122.130148","Map")</f>
        <v>Map</v>
      </c>
      <c r="N414" s="2" t="str">
        <f>HYPERLINK("http://i-0.rfimg.us/photo/1/bigphoto/141/27190141_0.jpg","Photo")</f>
        <v>Photo</v>
      </c>
      <c r="AG414">
        <v>47.609296999999998</v>
      </c>
      <c r="AH414">
        <v>-122.13014800000001</v>
      </c>
      <c r="AI414" t="s">
        <v>369</v>
      </c>
      <c r="AJ414">
        <v>98008</v>
      </c>
      <c r="BC414" s="22">
        <v>39379.728807870371</v>
      </c>
      <c r="BI414" s="22">
        <v>39549.294907407406</v>
      </c>
      <c r="BL414">
        <v>8799</v>
      </c>
      <c r="BM414">
        <v>1237296</v>
      </c>
      <c r="BN414" t="s">
        <v>2959</v>
      </c>
      <c r="BO414" s="17">
        <f t="shared" ca="1" si="6"/>
        <v>169.58059803240758</v>
      </c>
      <c r="BP414" t="b">
        <v>0</v>
      </c>
      <c r="BQ414">
        <v>1</v>
      </c>
      <c r="BR414" t="s">
        <v>1667</v>
      </c>
      <c r="BS414" t="s">
        <v>4619</v>
      </c>
      <c r="BT414" t="b">
        <v>0</v>
      </c>
      <c r="BV414" t="s">
        <v>1668</v>
      </c>
      <c r="BW414">
        <v>14</v>
      </c>
      <c r="BX414" t="s">
        <v>3856</v>
      </c>
      <c r="BY414">
        <v>426093</v>
      </c>
      <c r="BZ414" t="s">
        <v>1741</v>
      </c>
      <c r="CA414">
        <v>1</v>
      </c>
      <c r="CB414" t="b">
        <v>1</v>
      </c>
      <c r="CC414">
        <v>0</v>
      </c>
      <c r="CD414" t="b">
        <v>0</v>
      </c>
      <c r="CE414" t="b">
        <v>0</v>
      </c>
      <c r="CF414" t="b">
        <v>1</v>
      </c>
      <c r="CG414">
        <v>2576066</v>
      </c>
      <c r="CH414" t="s">
        <v>1681</v>
      </c>
      <c r="CI414" s="10">
        <v>439950</v>
      </c>
    </row>
    <row r="415" spans="1:90">
      <c r="A415">
        <v>27190177</v>
      </c>
      <c r="B415" s="2" t="str">
        <f>HYPERLINK("http://www.redfin.com/stingray/do/printable-listing?listing-id=1233929","Active")</f>
        <v>Active</v>
      </c>
      <c r="D415" t="s">
        <v>3064</v>
      </c>
      <c r="E415" t="s">
        <v>4780</v>
      </c>
      <c r="F415">
        <v>877050</v>
      </c>
      <c r="G415">
        <v>2007</v>
      </c>
      <c r="H415">
        <v>3574</v>
      </c>
      <c r="I415">
        <v>0</v>
      </c>
      <c r="J415">
        <v>4</v>
      </c>
      <c r="K415">
        <v>2.5</v>
      </c>
      <c r="M415" s="2" t="str">
        <f>HYPERLINK("http://maps.live.com/default.aspx?v=2&amp;lvl=15&amp;sp=Point.47.686663_-122.185199_9514 117th Ave NE&amp;cp=47.686663~-122.185199","Map")</f>
        <v>Map</v>
      </c>
      <c r="N415" s="2" t="str">
        <f>HYPERLINK("http://i-0.rfimg.us/photo/1/bigphoto/177/27190177_2.jpg","Photo")</f>
        <v>Photo</v>
      </c>
      <c r="AG415">
        <v>47.686663000000003</v>
      </c>
      <c r="AH415">
        <v>-122.185199</v>
      </c>
      <c r="AI415" t="s">
        <v>1058</v>
      </c>
      <c r="AJ415">
        <v>98033</v>
      </c>
      <c r="BC415" s="22">
        <v>39378.434791666667</v>
      </c>
      <c r="BI415" s="7">
        <v>39530</v>
      </c>
      <c r="BL415">
        <v>17541</v>
      </c>
      <c r="BM415">
        <v>1233929</v>
      </c>
      <c r="BN415" t="s">
        <v>3062</v>
      </c>
      <c r="BO415" s="17">
        <f t="shared" ca="1" si="6"/>
        <v>170.87461423611239</v>
      </c>
      <c r="BP415" t="b">
        <v>0</v>
      </c>
      <c r="BQ415">
        <v>1</v>
      </c>
      <c r="BR415" t="s">
        <v>1667</v>
      </c>
      <c r="BS415" t="s">
        <v>2743</v>
      </c>
      <c r="BT415" t="b">
        <v>0</v>
      </c>
      <c r="BV415" t="s">
        <v>1668</v>
      </c>
      <c r="BW415">
        <v>9514</v>
      </c>
      <c r="BX415" t="s">
        <v>1738</v>
      </c>
      <c r="BY415">
        <v>12279214</v>
      </c>
      <c r="BZ415" t="s">
        <v>4781</v>
      </c>
      <c r="CA415">
        <v>1</v>
      </c>
      <c r="CB415" t="b">
        <v>1</v>
      </c>
      <c r="CC415">
        <v>0</v>
      </c>
      <c r="CD415" t="b">
        <v>0</v>
      </c>
      <c r="CE415" t="b">
        <v>0</v>
      </c>
      <c r="CF415" t="b">
        <v>1</v>
      </c>
      <c r="CG415">
        <v>15492145</v>
      </c>
      <c r="CH415" t="s">
        <v>1681</v>
      </c>
      <c r="CI415" s="10">
        <v>877050</v>
      </c>
    </row>
    <row r="416" spans="1:90">
      <c r="A416">
        <v>27190308</v>
      </c>
      <c r="B416" s="2" t="str">
        <f>HYPERLINK("http://www.redfin.com/stingray/do/printable-listing?listing-id=1245726","Active")</f>
        <v>Active</v>
      </c>
      <c r="D416" t="s">
        <v>4948</v>
      </c>
      <c r="E416" t="s">
        <v>4985</v>
      </c>
      <c r="F416">
        <v>1159888</v>
      </c>
      <c r="G416">
        <v>2007</v>
      </c>
      <c r="H416">
        <v>2719</v>
      </c>
      <c r="I416">
        <v>24394</v>
      </c>
      <c r="J416">
        <v>3</v>
      </c>
      <c r="K416">
        <v>3</v>
      </c>
      <c r="M416" s="2" t="str">
        <f>HYPERLINK("http://maps.live.com/default.aspx?v=2&amp;lvl=15&amp;sp=Point.47.645017010342_-122.20940044856_9015 NE 32nd Pl&amp;cp=47.645017010342~-122.20940044856","Map")</f>
        <v>Map</v>
      </c>
      <c r="N416" s="2" t="str">
        <f>HYPERLINK("http://i-0.rfimg.us/photo/1/bigphoto/308/27190308_S.jpg","Photo")</f>
        <v>Photo</v>
      </c>
      <c r="AG416">
        <v>47.645017010342002</v>
      </c>
      <c r="AH416">
        <v>-122.20940044856</v>
      </c>
      <c r="AI416" t="s">
        <v>369</v>
      </c>
      <c r="AJ416">
        <v>98004</v>
      </c>
      <c r="AN416">
        <v>1875000</v>
      </c>
      <c r="BC416" s="22">
        <v>39383.463391203702</v>
      </c>
      <c r="BI416" s="22">
        <v>39549.294907407406</v>
      </c>
      <c r="BL416">
        <v>23198</v>
      </c>
      <c r="BM416">
        <v>1245726</v>
      </c>
      <c r="BN416" t="s">
        <v>3907</v>
      </c>
      <c r="BO416" s="17">
        <f t="shared" ca="1" si="6"/>
        <v>165.84601469907648</v>
      </c>
      <c r="BP416" t="b">
        <v>0</v>
      </c>
      <c r="BQ416">
        <v>1</v>
      </c>
      <c r="BR416" t="s">
        <v>1842</v>
      </c>
      <c r="BS416" t="s">
        <v>1733</v>
      </c>
      <c r="BT416" t="b">
        <v>0</v>
      </c>
      <c r="BU416" t="s">
        <v>1738</v>
      </c>
      <c r="BV416" t="s">
        <v>1668</v>
      </c>
      <c r="BW416">
        <v>9015</v>
      </c>
      <c r="BY416">
        <v>12056190</v>
      </c>
      <c r="BZ416" t="s">
        <v>4986</v>
      </c>
      <c r="CA416">
        <v>1</v>
      </c>
      <c r="CB416" t="b">
        <v>1</v>
      </c>
      <c r="CC416">
        <v>0</v>
      </c>
      <c r="CD416" t="b">
        <v>0</v>
      </c>
      <c r="CE416" t="b">
        <v>0</v>
      </c>
      <c r="CF416" t="b">
        <v>1</v>
      </c>
      <c r="CG416">
        <v>2615336</v>
      </c>
      <c r="CH416" t="s">
        <v>1681</v>
      </c>
      <c r="CI416" s="10">
        <v>1159888</v>
      </c>
      <c r="CJ416" s="7">
        <v>38638</v>
      </c>
      <c r="CL416" t="s">
        <v>6432</v>
      </c>
    </row>
    <row r="417" spans="1:88">
      <c r="A417">
        <v>27190443</v>
      </c>
      <c r="B417" s="2" t="str">
        <f>HYPERLINK("http://www.redfin.com/stingray/do/printable-listing?listing-id=1232481","Active")</f>
        <v>Active</v>
      </c>
      <c r="D417" t="s">
        <v>3704</v>
      </c>
      <c r="E417" t="s">
        <v>3773</v>
      </c>
      <c r="F417">
        <v>990000</v>
      </c>
      <c r="G417">
        <v>1954</v>
      </c>
      <c r="H417">
        <v>2180</v>
      </c>
      <c r="I417">
        <v>5590</v>
      </c>
      <c r="J417">
        <v>3</v>
      </c>
      <c r="K417">
        <v>2.75</v>
      </c>
      <c r="M417" s="2" t="str">
        <f>HYPERLINK("http://maps.live.com/default.aspx?v=2&amp;lvl=15&amp;sp=Point.47.634377_-122.32195_1610 Lakeview Blvd E&amp;cp=47.634377~-122.32195","Map")</f>
        <v>Map</v>
      </c>
      <c r="N417" s="2" t="str">
        <f>HYPERLINK("http://i-0.rfimg.us/photo/1/bigphoto/443/27190443_0.jpg","Photo")</f>
        <v>Photo</v>
      </c>
      <c r="AG417">
        <v>47.634377000000001</v>
      </c>
      <c r="AH417">
        <v>-122.32195</v>
      </c>
      <c r="AI417" t="s">
        <v>66</v>
      </c>
      <c r="AJ417">
        <v>98102</v>
      </c>
      <c r="AN417">
        <v>4850</v>
      </c>
      <c r="BC417" s="22">
        <v>39377.923530092594</v>
      </c>
      <c r="BI417" s="22">
        <v>39549.294907407406</v>
      </c>
      <c r="BL417">
        <v>19800</v>
      </c>
      <c r="BM417">
        <v>1232481</v>
      </c>
      <c r="BN417" t="s">
        <v>1673</v>
      </c>
      <c r="BO417" s="17">
        <f t="shared" ca="1" si="6"/>
        <v>171.3858758101851</v>
      </c>
      <c r="BP417" t="b">
        <v>0</v>
      </c>
      <c r="BQ417">
        <v>1</v>
      </c>
      <c r="BR417" t="s">
        <v>3141</v>
      </c>
      <c r="BS417" t="s">
        <v>3774</v>
      </c>
      <c r="BT417" t="b">
        <v>0</v>
      </c>
      <c r="BV417" t="s">
        <v>1668</v>
      </c>
      <c r="BW417">
        <v>1610</v>
      </c>
      <c r="BX417" t="s">
        <v>2436</v>
      </c>
      <c r="BY417">
        <v>135663</v>
      </c>
      <c r="BZ417" t="s">
        <v>1672</v>
      </c>
      <c r="CA417">
        <v>1</v>
      </c>
      <c r="CB417" t="b">
        <v>1</v>
      </c>
      <c r="CC417">
        <v>0</v>
      </c>
      <c r="CD417" t="b">
        <v>0</v>
      </c>
      <c r="CE417" t="b">
        <v>0</v>
      </c>
      <c r="CF417" t="b">
        <v>1</v>
      </c>
      <c r="CG417">
        <v>2967468</v>
      </c>
      <c r="CH417" t="s">
        <v>1681</v>
      </c>
      <c r="CI417" s="10">
        <v>990000</v>
      </c>
      <c r="CJ417" s="7">
        <v>38048</v>
      </c>
    </row>
    <row r="418" spans="1:88">
      <c r="A418">
        <v>27190494</v>
      </c>
      <c r="B418" s="2" t="str">
        <f>HYPERLINK("http://www.redfin.com/stingray/do/printable-listing?listing-id=1232211","Active")</f>
        <v>Active</v>
      </c>
      <c r="D418" t="s">
        <v>6382</v>
      </c>
      <c r="E418" t="s">
        <v>6395</v>
      </c>
      <c r="F418">
        <v>368000</v>
      </c>
      <c r="G418">
        <v>2007</v>
      </c>
      <c r="H418">
        <v>1600</v>
      </c>
      <c r="I418">
        <v>0</v>
      </c>
      <c r="J418">
        <v>4</v>
      </c>
      <c r="K418">
        <v>2.25</v>
      </c>
      <c r="M418" s="2" t="str">
        <f>HYPERLINK("http://maps.live.com/default.aspx?v=2&amp;lvl=15&amp;sp=adr.12719 67th pl S (Unable to map),98178","Map")</f>
        <v>Map</v>
      </c>
      <c r="N418" s="2" t="str">
        <f>HYPERLINK("http://i-0.rfimg.us/photo/1/bigphoto/494/27190494_1.jpg","Photo")</f>
        <v>Photo</v>
      </c>
      <c r="AI418" t="s">
        <v>66</v>
      </c>
      <c r="AJ418">
        <v>98178</v>
      </c>
      <c r="BC418" s="22">
        <v>39377.717442129629</v>
      </c>
      <c r="BI418" s="7">
        <v>39536</v>
      </c>
      <c r="BL418">
        <v>7360</v>
      </c>
      <c r="BM418">
        <v>1232211</v>
      </c>
      <c r="BN418" t="s">
        <v>3236</v>
      </c>
      <c r="BO418" s="17">
        <f t="shared" ca="1" si="6"/>
        <v>171.59196377314947</v>
      </c>
      <c r="BP418" t="b">
        <v>0</v>
      </c>
      <c r="BQ418">
        <v>1</v>
      </c>
      <c r="BR418" t="s">
        <v>6385</v>
      </c>
      <c r="BS418" t="s">
        <v>1864</v>
      </c>
      <c r="BT418" t="b">
        <v>0</v>
      </c>
      <c r="BV418" t="s">
        <v>1668</v>
      </c>
      <c r="BW418">
        <v>12719</v>
      </c>
      <c r="BX418" t="s">
        <v>1881</v>
      </c>
      <c r="BY418">
        <v>0</v>
      </c>
      <c r="BZ418" t="s">
        <v>6396</v>
      </c>
      <c r="CA418">
        <v>1</v>
      </c>
      <c r="CB418" t="b">
        <v>1</v>
      </c>
      <c r="CC418">
        <v>0</v>
      </c>
      <c r="CD418" t="b">
        <v>0</v>
      </c>
      <c r="CE418" t="b">
        <v>0</v>
      </c>
      <c r="CF418" t="b">
        <v>1</v>
      </c>
      <c r="CG418" t="s">
        <v>1870</v>
      </c>
      <c r="CH418" t="s">
        <v>1681</v>
      </c>
      <c r="CI418" s="10">
        <v>368000</v>
      </c>
    </row>
    <row r="419" spans="1:88">
      <c r="A419">
        <v>27190503</v>
      </c>
      <c r="B419" s="2" t="str">
        <f>HYPERLINK("http://www.redfin.com/stingray/do/printable-listing?listing-id=1232233","Subject To Inspection")</f>
        <v>Subject To Inspection</v>
      </c>
      <c r="D419" t="s">
        <v>6382</v>
      </c>
      <c r="E419" t="s">
        <v>6384</v>
      </c>
      <c r="F419">
        <v>389900</v>
      </c>
      <c r="G419">
        <v>2007</v>
      </c>
      <c r="H419">
        <v>1750</v>
      </c>
      <c r="I419">
        <v>0</v>
      </c>
      <c r="J419">
        <v>4</v>
      </c>
      <c r="K419">
        <v>2.25</v>
      </c>
      <c r="M419" s="2" t="str">
        <f>HYPERLINK("http://maps.live.com/default.aspx?v=2&amp;lvl=15&amp;sp=adr.12749 (lot 10) 67th pl S (Unable to map),98178","Map")</f>
        <v>Map</v>
      </c>
      <c r="N419" s="2" t="str">
        <f>HYPERLINK("http://i-0.rfimg.us/photo/1/bigphoto/503/27190503_0.jpg","Photo")</f>
        <v>Photo</v>
      </c>
      <c r="AI419" t="s">
        <v>66</v>
      </c>
      <c r="AJ419">
        <v>98178</v>
      </c>
      <c r="BC419" s="22">
        <v>39377.740231481483</v>
      </c>
      <c r="BI419" s="7">
        <v>39542</v>
      </c>
      <c r="BL419">
        <v>7798</v>
      </c>
      <c r="BM419">
        <v>1232233</v>
      </c>
      <c r="BN419" t="s">
        <v>3236</v>
      </c>
      <c r="BO419" s="17">
        <f t="shared" ca="1" si="6"/>
        <v>171.56917442129634</v>
      </c>
      <c r="BP419" t="b">
        <v>0</v>
      </c>
      <c r="BQ419">
        <v>2</v>
      </c>
      <c r="BR419" t="s">
        <v>6385</v>
      </c>
      <c r="BS419" t="s">
        <v>6386</v>
      </c>
      <c r="BT419" t="b">
        <v>0</v>
      </c>
      <c r="BV419" t="s">
        <v>1668</v>
      </c>
      <c r="BW419">
        <v>12749</v>
      </c>
      <c r="BX419" t="s">
        <v>1881</v>
      </c>
      <c r="BY419">
        <v>0</v>
      </c>
      <c r="BZ419" t="s">
        <v>6387</v>
      </c>
      <c r="CA419">
        <v>1</v>
      </c>
      <c r="CB419" t="b">
        <v>1</v>
      </c>
      <c r="CC419">
        <v>0</v>
      </c>
      <c r="CD419" t="b">
        <v>0</v>
      </c>
      <c r="CE419" t="b">
        <v>0</v>
      </c>
      <c r="CF419" t="b">
        <v>1</v>
      </c>
      <c r="CG419" t="s">
        <v>1870</v>
      </c>
      <c r="CH419" t="s">
        <v>1681</v>
      </c>
      <c r="CI419" s="10">
        <v>389900</v>
      </c>
    </row>
    <row r="420" spans="1:88">
      <c r="A420">
        <v>27190508</v>
      </c>
      <c r="B420" s="2" t="str">
        <f>HYPERLINK("http://www.redfin.com/stingray/do/printable-listing?listing-id=1232261","Subject To Inspection")</f>
        <v>Subject To Inspection</v>
      </c>
      <c r="D420" t="s">
        <v>6382</v>
      </c>
      <c r="E420" t="s">
        <v>6391</v>
      </c>
      <c r="F420">
        <v>439900</v>
      </c>
      <c r="G420">
        <v>2007</v>
      </c>
      <c r="H420">
        <v>2150</v>
      </c>
      <c r="I420">
        <v>0</v>
      </c>
      <c r="J420">
        <v>4</v>
      </c>
      <c r="K420">
        <v>2.5</v>
      </c>
      <c r="M420" s="2" t="str">
        <f>HYPERLINK("http://maps.live.com/default.aspx?v=2&amp;lvl=15&amp;sp=adr.12718 (lot 8) 67th Pl S (Unable to map),98178","Map")</f>
        <v>Map</v>
      </c>
      <c r="N420" s="2" t="str">
        <f>HYPERLINK("http://i-0.rfimg.us/photo/1/bigphoto/508/27190508_6.jpg","Photo")</f>
        <v>Photo</v>
      </c>
      <c r="AI420" t="s">
        <v>66</v>
      </c>
      <c r="AJ420">
        <v>98178</v>
      </c>
      <c r="BC420" s="22">
        <v>39377.760416666664</v>
      </c>
      <c r="BI420" s="7">
        <v>39542</v>
      </c>
      <c r="BL420">
        <v>8798</v>
      </c>
      <c r="BM420">
        <v>1232261</v>
      </c>
      <c r="BN420" t="s">
        <v>3236</v>
      </c>
      <c r="BO420" s="17">
        <f t="shared" ca="1" si="6"/>
        <v>171.54898923611472</v>
      </c>
      <c r="BP420" t="b">
        <v>0</v>
      </c>
      <c r="BQ420">
        <v>2</v>
      </c>
      <c r="BR420" t="s">
        <v>1842</v>
      </c>
      <c r="BS420" t="s">
        <v>6392</v>
      </c>
      <c r="BT420" t="b">
        <v>0</v>
      </c>
      <c r="BV420" t="s">
        <v>1668</v>
      </c>
      <c r="BW420">
        <v>12718</v>
      </c>
      <c r="BX420" t="s">
        <v>1881</v>
      </c>
      <c r="BY420">
        <v>0</v>
      </c>
      <c r="BZ420" s="21">
        <v>6.9444444444444447E-4</v>
      </c>
      <c r="CA420">
        <v>1</v>
      </c>
      <c r="CB420" t="b">
        <v>1</v>
      </c>
      <c r="CC420">
        <v>0</v>
      </c>
      <c r="CD420" t="b">
        <v>0</v>
      </c>
      <c r="CE420" t="b">
        <v>0</v>
      </c>
      <c r="CF420" t="b">
        <v>1</v>
      </c>
      <c r="CG420" t="s">
        <v>1870</v>
      </c>
      <c r="CH420" t="s">
        <v>1681</v>
      </c>
      <c r="CI420" s="10">
        <v>439900</v>
      </c>
    </row>
    <row r="421" spans="1:88">
      <c r="A421">
        <v>27190526</v>
      </c>
      <c r="B421" s="2" t="str">
        <f>HYPERLINK("http://www.redfin.com/stingray/do/printable-listing?listing-id=1232404","Active")</f>
        <v>Active</v>
      </c>
      <c r="D421" t="s">
        <v>6382</v>
      </c>
      <c r="E421" t="s">
        <v>6399</v>
      </c>
      <c r="F421">
        <v>398900</v>
      </c>
      <c r="G421">
        <v>2007</v>
      </c>
      <c r="H421">
        <v>2030</v>
      </c>
      <c r="I421">
        <v>0</v>
      </c>
      <c r="J421">
        <v>4</v>
      </c>
      <c r="K421">
        <v>2.5</v>
      </c>
      <c r="M421" s="2" t="str">
        <f>HYPERLINK("http://maps.live.com/default.aspx?v=2&amp;lvl=15&amp;sp=adr.12724 (lot 7 ) 67thPl S (Unable to map),98178","Map")</f>
        <v>Map</v>
      </c>
      <c r="N421" s="2" t="str">
        <f>HYPERLINK("http://i-0.rfimg.us/photo/1/bigphoto/526/27190526_.jpg","Photo")</f>
        <v>Photo</v>
      </c>
      <c r="AI421" t="s">
        <v>66</v>
      </c>
      <c r="AJ421">
        <v>98178</v>
      </c>
      <c r="BC421" s="22">
        <v>39377.83662037037</v>
      </c>
      <c r="BI421" s="7">
        <v>39538</v>
      </c>
      <c r="BL421">
        <v>7978</v>
      </c>
      <c r="BM421">
        <v>1232404</v>
      </c>
      <c r="BN421" t="s">
        <v>3236</v>
      </c>
      <c r="BO421" s="17">
        <f t="shared" ca="1" si="6"/>
        <v>171.47278553240903</v>
      </c>
      <c r="BP421" t="b">
        <v>0</v>
      </c>
      <c r="BQ421">
        <v>1</v>
      </c>
      <c r="BS421" t="s">
        <v>6400</v>
      </c>
      <c r="BT421" t="b">
        <v>0</v>
      </c>
      <c r="BV421" t="s">
        <v>1668</v>
      </c>
      <c r="BW421">
        <v>12724</v>
      </c>
      <c r="BX421" t="s">
        <v>1881</v>
      </c>
      <c r="BY421">
        <v>0</v>
      </c>
      <c r="CA421">
        <v>1</v>
      </c>
      <c r="CB421" t="b">
        <v>1</v>
      </c>
      <c r="CC421">
        <v>0</v>
      </c>
      <c r="CD421" t="b">
        <v>0</v>
      </c>
      <c r="CE421" t="b">
        <v>0</v>
      </c>
      <c r="CF421" t="b">
        <v>1</v>
      </c>
      <c r="CG421" t="s">
        <v>1870</v>
      </c>
      <c r="CH421" t="s">
        <v>1681</v>
      </c>
      <c r="CI421" s="10">
        <v>398900</v>
      </c>
    </row>
    <row r="422" spans="1:88">
      <c r="A422">
        <v>27190538</v>
      </c>
      <c r="B422" s="2" t="str">
        <f>HYPERLINK("http://www.redfin.com/stingray/do/printable-listing?listing-id=1232422","Active")</f>
        <v>Active</v>
      </c>
      <c r="D422" t="s">
        <v>6382</v>
      </c>
      <c r="E422" t="s">
        <v>6393</v>
      </c>
      <c r="F422">
        <v>389900</v>
      </c>
      <c r="G422">
        <v>2007</v>
      </c>
      <c r="H422">
        <v>1879</v>
      </c>
      <c r="I422">
        <v>0</v>
      </c>
      <c r="J422">
        <v>4</v>
      </c>
      <c r="K422">
        <v>2.5</v>
      </c>
      <c r="M422" s="2" t="str">
        <f>HYPERLINK("http://maps.live.com/default.aspx?v=2&amp;lvl=15&amp;sp=adr.12730 (lot 6 ) 67th Pl S (Unable to map),98178","Map")</f>
        <v>Map</v>
      </c>
      <c r="N422" s="2" t="str">
        <f>HYPERLINK("http://i-0.rfimg.us/photo/1/bigphoto/538/27190538_.jpg","Photo")</f>
        <v>Photo</v>
      </c>
      <c r="AI422" t="s">
        <v>66</v>
      </c>
      <c r="AJ422">
        <v>98178</v>
      </c>
      <c r="BC422" s="22">
        <v>39377.85429398148</v>
      </c>
      <c r="BI422" s="7">
        <v>39538</v>
      </c>
      <c r="BL422">
        <v>7798</v>
      </c>
      <c r="BM422">
        <v>1232422</v>
      </c>
      <c r="BN422" t="s">
        <v>3236</v>
      </c>
      <c r="BO422" s="17">
        <f t="shared" ca="1" si="6"/>
        <v>171.45511192129925</v>
      </c>
      <c r="BP422" t="b">
        <v>0</v>
      </c>
      <c r="BQ422">
        <v>1</v>
      </c>
      <c r="BR422" t="s">
        <v>1842</v>
      </c>
      <c r="BS422" t="s">
        <v>6394</v>
      </c>
      <c r="BT422" t="b">
        <v>0</v>
      </c>
      <c r="BV422" t="s">
        <v>1668</v>
      </c>
      <c r="BW422">
        <v>12730</v>
      </c>
      <c r="BX422" t="s">
        <v>1881</v>
      </c>
      <c r="BY422">
        <v>0</v>
      </c>
      <c r="CA422">
        <v>1</v>
      </c>
      <c r="CB422" t="b">
        <v>1</v>
      </c>
      <c r="CC422">
        <v>0</v>
      </c>
      <c r="CD422" t="b">
        <v>0</v>
      </c>
      <c r="CE422" t="b">
        <v>0</v>
      </c>
      <c r="CF422" t="b">
        <v>1</v>
      </c>
      <c r="CG422" t="s">
        <v>1870</v>
      </c>
      <c r="CH422" t="s">
        <v>1681</v>
      </c>
      <c r="CI422" s="10">
        <v>389900</v>
      </c>
    </row>
    <row r="423" spans="1:88">
      <c r="A423">
        <v>27190547</v>
      </c>
      <c r="B423" s="2" t="str">
        <f>HYPERLINK("http://www.redfin.com/stingray/do/printable-listing?listing-id=1232444","Active")</f>
        <v>Active</v>
      </c>
      <c r="D423" t="s">
        <v>6382</v>
      </c>
      <c r="E423" t="s">
        <v>6397</v>
      </c>
      <c r="F423">
        <v>398900</v>
      </c>
      <c r="G423">
        <v>2007</v>
      </c>
      <c r="H423">
        <v>1879</v>
      </c>
      <c r="I423">
        <v>0</v>
      </c>
      <c r="J423">
        <v>4</v>
      </c>
      <c r="K423">
        <v>2.5</v>
      </c>
      <c r="M423" s="2" t="str">
        <f>HYPERLINK("http://maps.live.com/default.aspx?v=2&amp;lvl=15&amp;sp=adr.12736 (lot 5 ) 67th Pl S (Unable to map),98178","Map")</f>
        <v>Map</v>
      </c>
      <c r="N423" s="2" t="str">
        <f>HYPERLINK("http://i-0.rfimg.us/photo/1/bigphoto/547/27190547_.jpg","Photo")</f>
        <v>Photo</v>
      </c>
      <c r="AI423" t="s">
        <v>66</v>
      </c>
      <c r="AJ423">
        <v>98178</v>
      </c>
      <c r="BC423" s="22">
        <v>39377.873506944445</v>
      </c>
      <c r="BI423" s="7">
        <v>39538</v>
      </c>
      <c r="BL423">
        <v>7978</v>
      </c>
      <c r="BM423">
        <v>1232444</v>
      </c>
      <c r="BN423" t="s">
        <v>3236</v>
      </c>
      <c r="BO423" s="17">
        <f t="shared" ca="1" si="6"/>
        <v>171.43589895833429</v>
      </c>
      <c r="BP423" t="b">
        <v>0</v>
      </c>
      <c r="BQ423">
        <v>1</v>
      </c>
      <c r="BR423" t="s">
        <v>1842</v>
      </c>
      <c r="BS423" t="s">
        <v>6398</v>
      </c>
      <c r="BT423" t="b">
        <v>0</v>
      </c>
      <c r="BV423" t="s">
        <v>1668</v>
      </c>
      <c r="BW423">
        <v>12736</v>
      </c>
      <c r="BX423" t="s">
        <v>1881</v>
      </c>
      <c r="BY423">
        <v>0</v>
      </c>
      <c r="CA423">
        <v>1</v>
      </c>
      <c r="CB423" t="b">
        <v>1</v>
      </c>
      <c r="CC423">
        <v>0</v>
      </c>
      <c r="CD423" t="b">
        <v>0</v>
      </c>
      <c r="CE423" t="b">
        <v>0</v>
      </c>
      <c r="CF423" t="b">
        <v>1</v>
      </c>
      <c r="CG423" t="s">
        <v>1870</v>
      </c>
      <c r="CH423" t="s">
        <v>1681</v>
      </c>
      <c r="CI423" s="10">
        <v>398900</v>
      </c>
    </row>
    <row r="424" spans="1:88">
      <c r="A424">
        <v>27190554</v>
      </c>
      <c r="B424" s="2" t="str">
        <f>HYPERLINK("http://www.redfin.com/stingray/do/printable-listing?listing-id=1232464","Active")</f>
        <v>Active</v>
      </c>
      <c r="D424" t="s">
        <v>6382</v>
      </c>
      <c r="E424" t="s">
        <v>6401</v>
      </c>
      <c r="F424">
        <v>389900</v>
      </c>
      <c r="G424">
        <v>2007</v>
      </c>
      <c r="H424">
        <v>1744</v>
      </c>
      <c r="I424">
        <v>0</v>
      </c>
      <c r="J424">
        <v>4</v>
      </c>
      <c r="K424">
        <v>2.5</v>
      </c>
      <c r="M424" s="2" t="str">
        <f>HYPERLINK("http://maps.live.com/default.aspx?v=2&amp;lvl=15&amp;sp=adr.12742 (lot 4 ) 67th PL S (Unable to map),98178","Map")</f>
        <v>Map</v>
      </c>
      <c r="N424" s="2" t="str">
        <f>HYPERLINK("http://i-0.rfimg.us/photo/1/bigphoto/554/27190554_0.jpg","Photo")</f>
        <v>Photo</v>
      </c>
      <c r="AI424" t="s">
        <v>66</v>
      </c>
      <c r="AJ424">
        <v>98178</v>
      </c>
      <c r="BC424" s="22">
        <v>39377.89508101852</v>
      </c>
      <c r="BI424" s="7">
        <v>39538</v>
      </c>
      <c r="BL424">
        <v>7798</v>
      </c>
      <c r="BM424">
        <v>1232464</v>
      </c>
      <c r="BN424" t="s">
        <v>3236</v>
      </c>
      <c r="BO424" s="17">
        <f t="shared" ca="1" si="6"/>
        <v>171.41432488425926</v>
      </c>
      <c r="BP424" t="b">
        <v>0</v>
      </c>
      <c r="BQ424">
        <v>1</v>
      </c>
      <c r="BR424" t="s">
        <v>4457</v>
      </c>
      <c r="BS424" t="s">
        <v>6402</v>
      </c>
      <c r="BT424" t="b">
        <v>0</v>
      </c>
      <c r="BV424" t="s">
        <v>1668</v>
      </c>
      <c r="BW424">
        <v>12742</v>
      </c>
      <c r="BX424" t="s">
        <v>1881</v>
      </c>
      <c r="BY424">
        <v>0</v>
      </c>
      <c r="BZ424" t="s">
        <v>6403</v>
      </c>
      <c r="CA424">
        <v>1</v>
      </c>
      <c r="CB424" t="b">
        <v>1</v>
      </c>
      <c r="CC424">
        <v>0</v>
      </c>
      <c r="CD424" t="b">
        <v>0</v>
      </c>
      <c r="CE424" t="b">
        <v>0</v>
      </c>
      <c r="CF424" t="b">
        <v>1</v>
      </c>
      <c r="CG424" t="s">
        <v>1870</v>
      </c>
      <c r="CH424" t="s">
        <v>1681</v>
      </c>
      <c r="CI424" s="10">
        <v>389900</v>
      </c>
    </row>
    <row r="425" spans="1:88">
      <c r="A425">
        <v>27190555</v>
      </c>
      <c r="B425" s="2" t="str">
        <f>HYPERLINK("http://www.redfin.com/stingray/do/printable-listing?listing-id=1232465","Active")</f>
        <v>Active</v>
      </c>
      <c r="D425" t="s">
        <v>6382</v>
      </c>
      <c r="E425" t="s">
        <v>6388</v>
      </c>
      <c r="F425">
        <v>398900</v>
      </c>
      <c r="G425">
        <v>2007</v>
      </c>
      <c r="H425">
        <v>2030</v>
      </c>
      <c r="I425">
        <v>0</v>
      </c>
      <c r="J425">
        <v>4</v>
      </c>
      <c r="K425">
        <v>2.5</v>
      </c>
      <c r="M425" s="2" t="str">
        <f>HYPERLINK("http://maps.live.com/default.aspx?v=2&amp;lvl=15&amp;sp=adr.12754 (lot 2 ) 67th Pl S (Unable to map),98178","Map")</f>
        <v>Map</v>
      </c>
      <c r="N425" s="2" t="str">
        <f>HYPERLINK("http://i-0.rfimg.us/photo/1/bigphoto/555/27190555_2.jpg","Photo")</f>
        <v>Photo</v>
      </c>
      <c r="AI425" t="s">
        <v>66</v>
      </c>
      <c r="AJ425">
        <v>98178</v>
      </c>
      <c r="BC425" s="22">
        <v>39377.89508101852</v>
      </c>
      <c r="BI425" s="7">
        <v>39538</v>
      </c>
      <c r="BL425">
        <v>7978</v>
      </c>
      <c r="BM425">
        <v>1232465</v>
      </c>
      <c r="BN425" t="s">
        <v>3236</v>
      </c>
      <c r="BO425" s="17">
        <f t="shared" ca="1" si="6"/>
        <v>171.41432488425926</v>
      </c>
      <c r="BP425" t="b">
        <v>0</v>
      </c>
      <c r="BQ425">
        <v>1</v>
      </c>
      <c r="BR425" t="s">
        <v>1842</v>
      </c>
      <c r="BS425" t="s">
        <v>6389</v>
      </c>
      <c r="BT425" t="b">
        <v>0</v>
      </c>
      <c r="BV425" t="s">
        <v>1668</v>
      </c>
      <c r="BW425">
        <v>12754</v>
      </c>
      <c r="BX425" t="s">
        <v>1881</v>
      </c>
      <c r="BY425">
        <v>0</v>
      </c>
      <c r="BZ425" t="s">
        <v>6390</v>
      </c>
      <c r="CA425">
        <v>1</v>
      </c>
      <c r="CB425" t="b">
        <v>1</v>
      </c>
      <c r="CC425">
        <v>0</v>
      </c>
      <c r="CD425" t="b">
        <v>0</v>
      </c>
      <c r="CE425" t="b">
        <v>0</v>
      </c>
      <c r="CF425" t="b">
        <v>1</v>
      </c>
      <c r="CG425" t="s">
        <v>1870</v>
      </c>
      <c r="CH425" t="s">
        <v>1681</v>
      </c>
      <c r="CI425" s="10">
        <v>398900</v>
      </c>
    </row>
    <row r="426" spans="1:88">
      <c r="A426">
        <v>27190558</v>
      </c>
      <c r="B426" s="15" t="str">
        <f>HYPERLINK("http://www.redfin.com/stingray/do/printable-listing?listing-id=1232478","Active")</f>
        <v>Active</v>
      </c>
      <c r="D426" t="s">
        <v>6382</v>
      </c>
      <c r="E426" t="s">
        <v>6406</v>
      </c>
      <c r="F426" s="19">
        <v>385000</v>
      </c>
      <c r="G426">
        <v>2007</v>
      </c>
      <c r="H426">
        <v>2030</v>
      </c>
      <c r="I426">
        <v>0</v>
      </c>
      <c r="J426">
        <v>4</v>
      </c>
      <c r="K426">
        <v>2.5</v>
      </c>
      <c r="M426" s="2" t="str">
        <f>HYPERLINK("http://maps.live.com/default.aspx?v=2&amp;lvl=15&amp;sp=adr.12760 (lot 1) 67th Pl S (Unable to map),98178","Map")</f>
        <v>Map</v>
      </c>
      <c r="N426" s="2" t="str">
        <f>HYPERLINK("http://i-0.rfimg.us/photo/1/bigphoto/558/27190558_0.jpg","Photo")</f>
        <v>Photo</v>
      </c>
      <c r="AI426" t="s">
        <v>66</v>
      </c>
      <c r="AJ426">
        <v>98178</v>
      </c>
      <c r="BC426" s="22">
        <v>39377.914664351854</v>
      </c>
      <c r="BI426" s="7">
        <v>39538</v>
      </c>
      <c r="BL426">
        <v>7960</v>
      </c>
      <c r="BM426">
        <v>1232478</v>
      </c>
      <c r="BN426" t="s">
        <v>3236</v>
      </c>
      <c r="BO426" s="17">
        <f t="shared" ca="1" si="6"/>
        <v>171.39474155092466</v>
      </c>
      <c r="BP426" t="b">
        <v>0</v>
      </c>
      <c r="BQ426">
        <v>2</v>
      </c>
      <c r="BR426" t="s">
        <v>1842</v>
      </c>
      <c r="BS426" t="s">
        <v>6407</v>
      </c>
      <c r="BT426" t="b">
        <v>0</v>
      </c>
      <c r="BV426" t="s">
        <v>1668</v>
      </c>
      <c r="BW426">
        <v>12760</v>
      </c>
      <c r="BX426" t="s">
        <v>1881</v>
      </c>
      <c r="BY426">
        <v>0</v>
      </c>
      <c r="BZ426" t="s">
        <v>6387</v>
      </c>
      <c r="CA426">
        <v>1</v>
      </c>
      <c r="CB426" t="b">
        <v>1</v>
      </c>
      <c r="CC426">
        <v>0</v>
      </c>
      <c r="CD426" t="b">
        <v>0</v>
      </c>
      <c r="CE426" t="b">
        <v>0</v>
      </c>
      <c r="CF426" t="b">
        <v>1</v>
      </c>
      <c r="CG426" t="s">
        <v>1870</v>
      </c>
      <c r="CH426" t="s">
        <v>1681</v>
      </c>
      <c r="CI426" s="10">
        <v>398000</v>
      </c>
    </row>
    <row r="427" spans="1:88">
      <c r="A427">
        <v>27190638</v>
      </c>
      <c r="B427" s="2" t="str">
        <f>HYPERLINK("http://www.redfin.com/stingray/do/printable-listing?listing-id=1233888","Active")</f>
        <v>Active</v>
      </c>
      <c r="D427" t="s">
        <v>3064</v>
      </c>
      <c r="E427" t="s">
        <v>3063</v>
      </c>
      <c r="F427">
        <v>884205</v>
      </c>
      <c r="G427">
        <v>2007</v>
      </c>
      <c r="H427">
        <v>3371</v>
      </c>
      <c r="I427">
        <v>0</v>
      </c>
      <c r="J427">
        <v>4</v>
      </c>
      <c r="K427">
        <v>2.5</v>
      </c>
      <c r="M427" s="2" t="str">
        <f>HYPERLINK("http://maps.live.com/default.aspx?v=2&amp;lvl=15&amp;sp=adr.9418 117th Ave NE (Unable to map),98033","Map")</f>
        <v>Map</v>
      </c>
      <c r="N427" s="2" t="str">
        <f>HYPERLINK("http://i-0.rfimg.us/photo/1/bigphoto/638/27190638_1.jpg","Photo")</f>
        <v>Photo</v>
      </c>
      <c r="AI427" t="s">
        <v>1058</v>
      </c>
      <c r="AJ427">
        <v>98033</v>
      </c>
      <c r="BC427" s="22">
        <v>39378.422858796293</v>
      </c>
      <c r="BI427" s="7">
        <v>39531</v>
      </c>
      <c r="BL427">
        <v>17684</v>
      </c>
      <c r="BM427">
        <v>1233888</v>
      </c>
      <c r="BN427" t="s">
        <v>3062</v>
      </c>
      <c r="BO427" s="17">
        <f t="shared" ca="1" si="6"/>
        <v>170.88654710648552</v>
      </c>
      <c r="BP427" t="b">
        <v>0</v>
      </c>
      <c r="BQ427">
        <v>1</v>
      </c>
      <c r="BR427" t="s">
        <v>1667</v>
      </c>
      <c r="BS427" t="s">
        <v>2743</v>
      </c>
      <c r="BT427" t="b">
        <v>0</v>
      </c>
      <c r="BV427" t="s">
        <v>1668</v>
      </c>
      <c r="BW427">
        <v>9418</v>
      </c>
      <c r="BX427" t="s">
        <v>1738</v>
      </c>
      <c r="BY427">
        <v>0</v>
      </c>
      <c r="BZ427" t="s">
        <v>3047</v>
      </c>
      <c r="CA427">
        <v>1</v>
      </c>
      <c r="CB427" t="b">
        <v>1</v>
      </c>
      <c r="CC427">
        <v>0</v>
      </c>
      <c r="CD427" t="b">
        <v>0</v>
      </c>
      <c r="CE427" t="b">
        <v>0</v>
      </c>
      <c r="CF427" t="b">
        <v>1</v>
      </c>
      <c r="CG427" t="s">
        <v>1870</v>
      </c>
      <c r="CH427" t="s">
        <v>1681</v>
      </c>
      <c r="CI427" s="10">
        <v>884205</v>
      </c>
    </row>
    <row r="428" spans="1:88">
      <c r="A428">
        <v>27190660</v>
      </c>
      <c r="B428" s="2" t="str">
        <f>HYPERLINK("http://www.redfin.com/stingray/do/printable-listing?listing-id=1234766","Active")</f>
        <v>Active</v>
      </c>
      <c r="D428" t="s">
        <v>60</v>
      </c>
      <c r="E428" t="s">
        <v>2394</v>
      </c>
      <c r="F428">
        <v>549900</v>
      </c>
      <c r="G428">
        <v>1905</v>
      </c>
      <c r="H428">
        <v>1430</v>
      </c>
      <c r="I428">
        <v>3960</v>
      </c>
      <c r="J428">
        <v>4</v>
      </c>
      <c r="K428">
        <v>2</v>
      </c>
      <c r="M428" s="2" t="str">
        <f>HYPERLINK("http://maps.live.com/default.aspx?v=2&amp;lvl=15&amp;sp=Point.47.670663_-122.325278_5716 Latona Ave NE&amp;cp=47.670663~-122.325278","Map")</f>
        <v>Map</v>
      </c>
      <c r="N428" s="2" t="str">
        <f>HYPERLINK("http://i-0.rfimg.us/photo/1/bigphoto/660/27190660_3.jpg","Photo")</f>
        <v>Photo</v>
      </c>
      <c r="AG428">
        <v>47.670662999999998</v>
      </c>
      <c r="AH428">
        <v>-122.325278</v>
      </c>
      <c r="AI428" t="s">
        <v>66</v>
      </c>
      <c r="AJ428">
        <v>98105</v>
      </c>
      <c r="AN428">
        <v>310000</v>
      </c>
      <c r="BC428" s="22">
        <v>39378.77753472222</v>
      </c>
      <c r="BI428" s="22">
        <v>39549.294907407406</v>
      </c>
      <c r="BL428">
        <v>10998</v>
      </c>
      <c r="BM428">
        <v>1234766</v>
      </c>
      <c r="BN428" t="s">
        <v>1674</v>
      </c>
      <c r="BO428" s="17">
        <f t="shared" ca="1" si="6"/>
        <v>170.53187129629805</v>
      </c>
      <c r="BP428" t="b">
        <v>0</v>
      </c>
      <c r="BQ428">
        <v>1</v>
      </c>
      <c r="BR428" t="s">
        <v>1667</v>
      </c>
      <c r="BS428" t="s">
        <v>2395</v>
      </c>
      <c r="BT428" t="b">
        <v>0</v>
      </c>
      <c r="BV428" t="s">
        <v>1668</v>
      </c>
      <c r="BW428">
        <v>5716</v>
      </c>
      <c r="BX428" t="s">
        <v>1738</v>
      </c>
      <c r="BY428">
        <v>305722</v>
      </c>
      <c r="BZ428" t="s">
        <v>2396</v>
      </c>
      <c r="CA428">
        <v>1</v>
      </c>
      <c r="CB428" t="b">
        <v>1</v>
      </c>
      <c r="CC428">
        <v>0</v>
      </c>
      <c r="CD428" t="b">
        <v>0</v>
      </c>
      <c r="CE428" t="b">
        <v>0</v>
      </c>
      <c r="CF428" t="b">
        <v>1</v>
      </c>
      <c r="CG428">
        <v>2481491</v>
      </c>
      <c r="CH428" t="s">
        <v>1681</v>
      </c>
      <c r="CI428" s="10">
        <v>549900</v>
      </c>
      <c r="CJ428" s="7">
        <v>36700</v>
      </c>
    </row>
    <row r="429" spans="1:88">
      <c r="A429">
        <v>27190679</v>
      </c>
      <c r="B429" s="2" t="str">
        <f>HYPERLINK("http://www.redfin.com/stingray/do/printable-listing?listing-id=1233927","Active")</f>
        <v>Active</v>
      </c>
      <c r="D429" t="s">
        <v>3064</v>
      </c>
      <c r="E429" t="s">
        <v>4782</v>
      </c>
      <c r="F429">
        <v>880935</v>
      </c>
      <c r="G429">
        <v>2007</v>
      </c>
      <c r="H429">
        <v>3222</v>
      </c>
      <c r="I429">
        <v>0</v>
      </c>
      <c r="J429">
        <v>3</v>
      </c>
      <c r="K429">
        <v>2.5</v>
      </c>
      <c r="M429" s="2" t="str">
        <f>HYPERLINK("http://maps.live.com/default.aspx?v=2&amp;lvl=15&amp;sp=Point.47.686623_-122.185221_9506 117th Ave NE&amp;cp=47.686623~-122.185221","Map")</f>
        <v>Map</v>
      </c>
      <c r="N429" s="2" t="str">
        <f>HYPERLINK("http://i-0.rfimg.us/photo/1/bigphoto/679/27190679_1.jpg","Photo")</f>
        <v>Photo</v>
      </c>
      <c r="AG429">
        <v>47.686622999999997</v>
      </c>
      <c r="AH429">
        <v>-122.185221</v>
      </c>
      <c r="AI429" t="s">
        <v>1058</v>
      </c>
      <c r="AJ429">
        <v>98033</v>
      </c>
      <c r="BC429" s="22">
        <v>39378.43478009259</v>
      </c>
      <c r="BI429" s="7">
        <v>39531</v>
      </c>
      <c r="BL429">
        <v>17619</v>
      </c>
      <c r="BM429">
        <v>1233927</v>
      </c>
      <c r="BN429" t="s">
        <v>3062</v>
      </c>
      <c r="BO429" s="17">
        <f t="shared" ca="1" si="6"/>
        <v>170.87462581018917</v>
      </c>
      <c r="BP429" t="b">
        <v>0</v>
      </c>
      <c r="BQ429">
        <v>1</v>
      </c>
      <c r="BR429" t="s">
        <v>1667</v>
      </c>
      <c r="BS429" t="s">
        <v>2743</v>
      </c>
      <c r="BT429" t="b">
        <v>0</v>
      </c>
      <c r="BV429" t="s">
        <v>1668</v>
      </c>
      <c r="BW429">
        <v>9506</v>
      </c>
      <c r="BX429" t="s">
        <v>1738</v>
      </c>
      <c r="BY429">
        <v>12279213</v>
      </c>
      <c r="BZ429" t="s">
        <v>3047</v>
      </c>
      <c r="CA429">
        <v>1</v>
      </c>
      <c r="CB429" t="b">
        <v>1</v>
      </c>
      <c r="CC429">
        <v>0</v>
      </c>
      <c r="CD429" t="b">
        <v>0</v>
      </c>
      <c r="CE429" t="b">
        <v>0</v>
      </c>
      <c r="CF429" t="b">
        <v>1</v>
      </c>
      <c r="CG429">
        <v>15492144</v>
      </c>
      <c r="CH429" t="s">
        <v>1681</v>
      </c>
      <c r="CI429" s="10">
        <v>880935</v>
      </c>
    </row>
    <row r="430" spans="1:88">
      <c r="A430">
        <v>27190694</v>
      </c>
      <c r="B430" s="2" t="str">
        <f>HYPERLINK("http://www.redfin.com/stingray/do/printable-listing?listing-id=1242078","Active")</f>
        <v>Active</v>
      </c>
      <c r="D430" t="s">
        <v>2552</v>
      </c>
      <c r="E430" t="s">
        <v>3384</v>
      </c>
      <c r="F430">
        <v>2880000</v>
      </c>
      <c r="G430">
        <v>2007</v>
      </c>
      <c r="H430">
        <v>5300</v>
      </c>
      <c r="I430">
        <v>6000</v>
      </c>
      <c r="J430">
        <v>4</v>
      </c>
      <c r="K430">
        <v>4</v>
      </c>
      <c r="M430" s="2" t="str">
        <f>HYPERLINK("http://maps.live.com/default.aspx?v=2&amp;lvl=15&amp;sp=Point.47.636397_-122.402118_1914 Edgemont Pl W&amp;cp=47.636397~-122.402118","Map")</f>
        <v>Map</v>
      </c>
      <c r="N430" s="2" t="str">
        <f>HYPERLINK("http://i-0.rfimg.us/photo/1/bigphoto/694/27190694_4.jpg","Photo")</f>
        <v>Photo</v>
      </c>
      <c r="AG430">
        <v>47.636397000000002</v>
      </c>
      <c r="AH430">
        <v>-122.402118</v>
      </c>
      <c r="AI430" t="s">
        <v>66</v>
      </c>
      <c r="AJ430">
        <v>98199</v>
      </c>
      <c r="AN430">
        <v>799000</v>
      </c>
      <c r="BC430" s="22">
        <v>39381.476527777777</v>
      </c>
      <c r="BI430" s="22">
        <v>39549.294907407406</v>
      </c>
      <c r="BL430">
        <v>57600</v>
      </c>
      <c r="BM430">
        <v>1242078</v>
      </c>
      <c r="BN430" t="s">
        <v>1674</v>
      </c>
      <c r="BO430" s="17">
        <f t="shared" ca="1" si="6"/>
        <v>167.83287812500203</v>
      </c>
      <c r="BP430" t="b">
        <v>0</v>
      </c>
      <c r="BQ430">
        <v>1</v>
      </c>
      <c r="BR430" t="s">
        <v>1842</v>
      </c>
      <c r="BS430" t="s">
        <v>3385</v>
      </c>
      <c r="BT430" t="b">
        <v>0</v>
      </c>
      <c r="BV430" t="s">
        <v>1668</v>
      </c>
      <c r="BW430">
        <v>1914</v>
      </c>
      <c r="BX430" t="s">
        <v>2423</v>
      </c>
      <c r="BY430">
        <v>126432</v>
      </c>
      <c r="BZ430" t="s">
        <v>3386</v>
      </c>
      <c r="CA430">
        <v>1</v>
      </c>
      <c r="CB430" t="b">
        <v>1</v>
      </c>
      <c r="CC430">
        <v>0</v>
      </c>
      <c r="CD430" t="b">
        <v>0</v>
      </c>
      <c r="CE430" t="b">
        <v>0</v>
      </c>
      <c r="CF430" t="b">
        <v>1</v>
      </c>
      <c r="CG430">
        <v>2769524</v>
      </c>
      <c r="CH430" t="s">
        <v>1681</v>
      </c>
      <c r="CI430" s="10">
        <v>2880000</v>
      </c>
      <c r="CJ430" s="7">
        <v>38868</v>
      </c>
    </row>
    <row r="431" spans="1:88">
      <c r="A431">
        <v>27190718</v>
      </c>
      <c r="B431" s="2" t="str">
        <f>HYPERLINK("http://www.redfin.com/stingray/do/printable-listing?listing-id=1233987","Active")</f>
        <v>Active</v>
      </c>
      <c r="D431" t="s">
        <v>3064</v>
      </c>
      <c r="E431" t="s">
        <v>3067</v>
      </c>
      <c r="F431">
        <v>908550</v>
      </c>
      <c r="G431">
        <v>2007</v>
      </c>
      <c r="H431">
        <v>3574</v>
      </c>
      <c r="I431">
        <v>0</v>
      </c>
      <c r="J431">
        <v>4</v>
      </c>
      <c r="K431">
        <v>2.5</v>
      </c>
      <c r="M431" s="2" t="str">
        <f>HYPERLINK("http://maps.live.com/default.aspx?v=2&amp;lvl=15&amp;sp=adr.9423 117th Ave NE (Unable to map),98033","Map")</f>
        <v>Map</v>
      </c>
      <c r="N431" s="2" t="str">
        <f>HYPERLINK("http://i-0.rfimg.us/photo/1/bigphoto/718/27190718_0.jpg","Photo")</f>
        <v>Photo</v>
      </c>
      <c r="AI431" t="s">
        <v>1058</v>
      </c>
      <c r="AJ431">
        <v>98033</v>
      </c>
      <c r="BC431" s="22">
        <v>39378.445879629631</v>
      </c>
      <c r="BI431" s="7">
        <v>39531</v>
      </c>
      <c r="BL431">
        <v>18171</v>
      </c>
      <c r="BM431">
        <v>1233987</v>
      </c>
      <c r="BN431" t="s">
        <v>3062</v>
      </c>
      <c r="BO431" s="17">
        <f t="shared" ca="1" si="6"/>
        <v>170.86352627314773</v>
      </c>
      <c r="BP431" t="b">
        <v>0</v>
      </c>
      <c r="BQ431">
        <v>1</v>
      </c>
      <c r="BR431" t="s">
        <v>1667</v>
      </c>
      <c r="BS431" t="s">
        <v>2743</v>
      </c>
      <c r="BT431" t="b">
        <v>0</v>
      </c>
      <c r="BV431" t="s">
        <v>1668</v>
      </c>
      <c r="BW431">
        <v>9423</v>
      </c>
      <c r="BX431" t="s">
        <v>1738</v>
      </c>
      <c r="BY431">
        <v>0</v>
      </c>
      <c r="BZ431" t="s">
        <v>1813</v>
      </c>
      <c r="CA431">
        <v>1</v>
      </c>
      <c r="CB431" t="b">
        <v>1</v>
      </c>
      <c r="CC431">
        <v>0</v>
      </c>
      <c r="CD431" t="b">
        <v>0</v>
      </c>
      <c r="CE431" t="b">
        <v>0</v>
      </c>
      <c r="CF431" t="b">
        <v>1</v>
      </c>
      <c r="CG431" t="s">
        <v>1870</v>
      </c>
      <c r="CH431" t="s">
        <v>1681</v>
      </c>
      <c r="CI431" s="10">
        <v>908550</v>
      </c>
    </row>
    <row r="432" spans="1:88">
      <c r="A432">
        <v>27190734</v>
      </c>
      <c r="B432" s="2" t="str">
        <f>HYPERLINK("http://www.redfin.com/stingray/do/printable-listing?listing-id=1234170","Active")</f>
        <v>Active</v>
      </c>
      <c r="D432" t="s">
        <v>3064</v>
      </c>
      <c r="E432" t="s">
        <v>3068</v>
      </c>
      <c r="F432">
        <v>873550</v>
      </c>
      <c r="G432">
        <v>2007</v>
      </c>
      <c r="H432">
        <v>3561</v>
      </c>
      <c r="I432">
        <v>0</v>
      </c>
      <c r="J432">
        <v>4</v>
      </c>
      <c r="K432">
        <v>2.5</v>
      </c>
      <c r="M432" s="2" t="str">
        <f>HYPERLINK("http://maps.live.com/default.aspx?v=2&amp;lvl=15&amp;sp=adr.9404 117th Ave NE (Unable to map),98033","Map")</f>
        <v>Map</v>
      </c>
      <c r="N432" s="2" t="str">
        <f>HYPERLINK("http://i-0.rfimg.us/photo/1/bigphoto/734/27190734_0.jpg","Photo")</f>
        <v>Photo</v>
      </c>
      <c r="AI432" t="s">
        <v>1058</v>
      </c>
      <c r="AJ432">
        <v>98033</v>
      </c>
      <c r="BC432" s="22">
        <v>39378.52888888889</v>
      </c>
      <c r="BI432" s="7">
        <v>39531</v>
      </c>
      <c r="BL432">
        <v>17471</v>
      </c>
      <c r="BM432">
        <v>1234170</v>
      </c>
      <c r="BN432" t="s">
        <v>3062</v>
      </c>
      <c r="BO432" s="17">
        <f t="shared" ca="1" si="6"/>
        <v>170.78051701388904</v>
      </c>
      <c r="BP432" t="b">
        <v>0</v>
      </c>
      <c r="BQ432">
        <v>1</v>
      </c>
      <c r="BR432" t="s">
        <v>1667</v>
      </c>
      <c r="BS432" t="s">
        <v>2743</v>
      </c>
      <c r="BT432" t="b">
        <v>0</v>
      </c>
      <c r="BV432" t="s">
        <v>1668</v>
      </c>
      <c r="BW432">
        <v>9404</v>
      </c>
      <c r="BX432" t="s">
        <v>1738</v>
      </c>
      <c r="BY432">
        <v>0</v>
      </c>
      <c r="BZ432" t="s">
        <v>1813</v>
      </c>
      <c r="CA432">
        <v>1</v>
      </c>
      <c r="CB432" t="b">
        <v>1</v>
      </c>
      <c r="CC432">
        <v>0</v>
      </c>
      <c r="CD432" t="b">
        <v>0</v>
      </c>
      <c r="CE432" t="b">
        <v>0</v>
      </c>
      <c r="CF432" t="b">
        <v>1</v>
      </c>
      <c r="CG432" t="s">
        <v>1870</v>
      </c>
      <c r="CH432" t="s">
        <v>1681</v>
      </c>
      <c r="CI432" s="10">
        <v>873550</v>
      </c>
    </row>
    <row r="433" spans="1:89">
      <c r="A433">
        <v>27190849</v>
      </c>
      <c r="B433" s="2" t="str">
        <f>HYPERLINK("http://www.redfin.com/stingray/do/printable-listing?listing-id=1234635","Active")</f>
        <v>Active</v>
      </c>
      <c r="D433" t="s">
        <v>3924</v>
      </c>
      <c r="E433" t="s">
        <v>4098</v>
      </c>
      <c r="F433">
        <v>699950</v>
      </c>
      <c r="G433">
        <v>1945</v>
      </c>
      <c r="H433">
        <v>1600</v>
      </c>
      <c r="I433">
        <v>5400</v>
      </c>
      <c r="J433">
        <v>2</v>
      </c>
      <c r="K433">
        <v>1</v>
      </c>
      <c r="M433" s="2" t="str">
        <f>HYPERLINK("http://maps.live.com/default.aspx?v=2&amp;lvl=15&amp;sp=Point.47.620339_-122.298191_202 26th Ave E&amp;cp=47.620339~-122.298191","Map")</f>
        <v>Map</v>
      </c>
      <c r="N433" s="2" t="str">
        <f>HYPERLINK("http://i-0.rfimg.us/photo/1/bigphoto/849/27190849_0.jpg","Photo")</f>
        <v>Photo</v>
      </c>
      <c r="AG433">
        <v>47.620339000000001</v>
      </c>
      <c r="AH433">
        <v>-122.298191</v>
      </c>
      <c r="AI433" t="s">
        <v>66</v>
      </c>
      <c r="AJ433">
        <v>98112</v>
      </c>
      <c r="BC433" s="22">
        <v>39378.677858796298</v>
      </c>
      <c r="BI433" s="22">
        <v>39549.294907407406</v>
      </c>
      <c r="BL433">
        <v>13999</v>
      </c>
      <c r="BM433">
        <v>1234635</v>
      </c>
      <c r="BN433" t="s">
        <v>4097</v>
      </c>
      <c r="BO433" s="17">
        <f t="shared" ca="1" si="6"/>
        <v>170.63154710648087</v>
      </c>
      <c r="BP433" t="b">
        <v>0</v>
      </c>
      <c r="BQ433">
        <v>1</v>
      </c>
      <c r="BR433" t="s">
        <v>1667</v>
      </c>
      <c r="BS433" t="s">
        <v>1769</v>
      </c>
      <c r="BT433" t="b">
        <v>0</v>
      </c>
      <c r="BV433" t="s">
        <v>1668</v>
      </c>
      <c r="BW433">
        <v>202</v>
      </c>
      <c r="BX433" t="s">
        <v>2436</v>
      </c>
      <c r="BY433">
        <v>147720</v>
      </c>
      <c r="BZ433" t="s">
        <v>1696</v>
      </c>
      <c r="CA433">
        <v>1</v>
      </c>
      <c r="CB433" t="b">
        <v>1</v>
      </c>
      <c r="CC433">
        <v>0</v>
      </c>
      <c r="CD433" t="b">
        <v>0</v>
      </c>
      <c r="CE433" t="b">
        <v>0</v>
      </c>
      <c r="CF433" t="b">
        <v>1</v>
      </c>
      <c r="CG433">
        <v>2899908</v>
      </c>
      <c r="CH433" t="s">
        <v>1681</v>
      </c>
      <c r="CI433" s="10">
        <v>699950</v>
      </c>
    </row>
    <row r="434" spans="1:89">
      <c r="A434">
        <v>27190882</v>
      </c>
      <c r="B434" s="2" t="str">
        <f>HYPERLINK("http://www.redfin.com/stingray/do/printable-listing?listing-id=1234216","Active")</f>
        <v>Active</v>
      </c>
      <c r="D434" t="s">
        <v>3064</v>
      </c>
      <c r="E434" t="s">
        <v>3078</v>
      </c>
      <c r="F434">
        <v>853050</v>
      </c>
      <c r="G434">
        <v>2007</v>
      </c>
      <c r="H434">
        <v>3222</v>
      </c>
      <c r="I434">
        <v>0</v>
      </c>
      <c r="J434">
        <v>4</v>
      </c>
      <c r="K434">
        <v>2.5</v>
      </c>
      <c r="M434" s="2" t="str">
        <f>HYPERLINK("http://maps.live.com/default.aspx?v=2&amp;lvl=15&amp;sp=adr.9410 117th Ave NE (Unable to map),98033","Map")</f>
        <v>Map</v>
      </c>
      <c r="N434" s="2" t="str">
        <f>HYPERLINK("http://i-0.rfimg.us/photo/1/bigphoto/882/27190882_0.jpg","Photo")</f>
        <v>Photo</v>
      </c>
      <c r="AI434" t="s">
        <v>1058</v>
      </c>
      <c r="AJ434">
        <v>98033</v>
      </c>
      <c r="BC434" s="22">
        <v>39378.552407407406</v>
      </c>
      <c r="BI434" s="7">
        <v>39531</v>
      </c>
      <c r="BL434">
        <v>17061</v>
      </c>
      <c r="BM434">
        <v>1234216</v>
      </c>
      <c r="BN434" t="s">
        <v>3062</v>
      </c>
      <c r="BO434" s="17">
        <f t="shared" ca="1" si="6"/>
        <v>170.75699849537341</v>
      </c>
      <c r="BP434" t="b">
        <v>0</v>
      </c>
      <c r="BQ434">
        <v>1</v>
      </c>
      <c r="BR434" t="s">
        <v>1667</v>
      </c>
      <c r="BS434" t="s">
        <v>2743</v>
      </c>
      <c r="BT434" t="b">
        <v>0</v>
      </c>
      <c r="BV434" t="s">
        <v>1668</v>
      </c>
      <c r="BW434">
        <v>9410</v>
      </c>
      <c r="BX434" t="s">
        <v>1738</v>
      </c>
      <c r="BY434">
        <v>0</v>
      </c>
      <c r="BZ434" t="s">
        <v>1813</v>
      </c>
      <c r="CA434">
        <v>1</v>
      </c>
      <c r="CB434" t="b">
        <v>1</v>
      </c>
      <c r="CC434">
        <v>0</v>
      </c>
      <c r="CD434" t="b">
        <v>0</v>
      </c>
      <c r="CE434" t="b">
        <v>0</v>
      </c>
      <c r="CF434" t="b">
        <v>1</v>
      </c>
      <c r="CG434" t="s">
        <v>1870</v>
      </c>
      <c r="CH434" t="s">
        <v>1681</v>
      </c>
      <c r="CI434" s="10">
        <v>853050</v>
      </c>
    </row>
    <row r="435" spans="1:89">
      <c r="A435">
        <v>27190918</v>
      </c>
      <c r="B435" s="2" t="str">
        <f>HYPERLINK("http://www.redfin.com/stingray/do/printable-listing?listing-id=1234283","Active")</f>
        <v>Active</v>
      </c>
      <c r="D435" t="s">
        <v>192</v>
      </c>
      <c r="E435" t="s">
        <v>3002</v>
      </c>
      <c r="F435">
        <v>524950</v>
      </c>
      <c r="G435">
        <v>1931</v>
      </c>
      <c r="H435">
        <v>2820</v>
      </c>
      <c r="I435">
        <v>6380</v>
      </c>
      <c r="J435">
        <v>6</v>
      </c>
      <c r="K435">
        <v>2.75</v>
      </c>
      <c r="M435" s="2" t="str">
        <f>HYPERLINK("http://maps.live.com/default.aspx?v=2&amp;lvl=15&amp;sp=Point.47.692801_-122.31031_1543 NE 89th St&amp;cp=47.692801~-122.31031","Map")</f>
        <v>Map</v>
      </c>
      <c r="N435" s="2" t="str">
        <f>HYPERLINK("http://i-0.rfimg.us/photo/1/bigphoto/918/27190918_0.jpg","Photo")</f>
        <v>Photo</v>
      </c>
      <c r="AG435">
        <v>47.692801000000003</v>
      </c>
      <c r="AH435">
        <v>-122.31031</v>
      </c>
      <c r="AI435" t="s">
        <v>66</v>
      </c>
      <c r="AJ435">
        <v>98115</v>
      </c>
      <c r="AN435">
        <v>113000</v>
      </c>
      <c r="BC435" s="22">
        <v>39378.57476851852</v>
      </c>
      <c r="BI435" s="22">
        <v>39549.294907407406</v>
      </c>
      <c r="BL435">
        <v>10499</v>
      </c>
      <c r="BM435">
        <v>1234283</v>
      </c>
      <c r="BN435" t="s">
        <v>1725</v>
      </c>
      <c r="BO435" s="17">
        <f t="shared" ca="1" si="6"/>
        <v>170.73463738425926</v>
      </c>
      <c r="BP435" t="b">
        <v>0</v>
      </c>
      <c r="BQ435">
        <v>1</v>
      </c>
      <c r="BR435" t="s">
        <v>1686</v>
      </c>
      <c r="BS435" t="s">
        <v>2741</v>
      </c>
      <c r="BT435" t="b">
        <v>0</v>
      </c>
      <c r="BU435" t="s">
        <v>1738</v>
      </c>
      <c r="BV435" t="s">
        <v>1668</v>
      </c>
      <c r="BW435">
        <v>1543</v>
      </c>
      <c r="BY435">
        <v>107215</v>
      </c>
      <c r="BZ435" t="s">
        <v>1747</v>
      </c>
      <c r="CA435">
        <v>1</v>
      </c>
      <c r="CB435" t="b">
        <v>1</v>
      </c>
      <c r="CC435">
        <v>0</v>
      </c>
      <c r="CD435" t="b">
        <v>0</v>
      </c>
      <c r="CE435" t="b">
        <v>0</v>
      </c>
      <c r="CF435" t="b">
        <v>1</v>
      </c>
      <c r="CG435">
        <v>2451846</v>
      </c>
      <c r="CH435" t="s">
        <v>1681</v>
      </c>
      <c r="CI435" s="10">
        <v>524950</v>
      </c>
      <c r="CJ435" s="7">
        <v>31646</v>
      </c>
    </row>
    <row r="436" spans="1:89">
      <c r="A436">
        <v>27190986</v>
      </c>
      <c r="B436" s="2" t="str">
        <f>HYPERLINK("http://www.redfin.com/stingray/do/printable-listing?listing-id=1234374","Active")</f>
        <v>Active</v>
      </c>
      <c r="D436" t="s">
        <v>60</v>
      </c>
      <c r="E436" t="s">
        <v>2729</v>
      </c>
      <c r="F436" s="19">
        <v>319998</v>
      </c>
      <c r="G436">
        <v>2007</v>
      </c>
      <c r="H436">
        <v>0</v>
      </c>
      <c r="I436">
        <v>0</v>
      </c>
      <c r="J436">
        <v>2</v>
      </c>
      <c r="K436">
        <v>1.5</v>
      </c>
      <c r="M436" s="2" t="str">
        <f>HYPERLINK("http://maps.live.com/default.aspx?v=2&amp;lvl=15&amp;sp=Point.47.697748_-122.34868_749 N 95th St&amp;cp=47.697748~-122.34868","Map")</f>
        <v>Map</v>
      </c>
      <c r="N436" s="2" t="str">
        <f>HYPERLINK("http://i-0.rfimg.us/photo/1/bigphoto/986/27190986_0.jpg","Photo")</f>
        <v>Photo</v>
      </c>
      <c r="AG436">
        <v>47.697747999999997</v>
      </c>
      <c r="AH436">
        <v>-122.34868</v>
      </c>
      <c r="AI436" t="s">
        <v>66</v>
      </c>
      <c r="AJ436">
        <v>98103</v>
      </c>
      <c r="BC436" s="22">
        <v>39378.614930555559</v>
      </c>
      <c r="BI436" s="22">
        <v>39549.294907407406</v>
      </c>
      <c r="BL436">
        <v>6580</v>
      </c>
      <c r="BM436">
        <v>1234374</v>
      </c>
      <c r="BN436" t="s">
        <v>1710</v>
      </c>
      <c r="BO436" s="17">
        <f t="shared" ca="1" si="6"/>
        <v>170.69447546295851</v>
      </c>
      <c r="BP436" t="b">
        <v>0</v>
      </c>
      <c r="BQ436">
        <v>1</v>
      </c>
      <c r="BR436" t="s">
        <v>1686</v>
      </c>
      <c r="BS436" t="s">
        <v>2722</v>
      </c>
      <c r="BT436" t="b">
        <v>0</v>
      </c>
      <c r="BU436" t="s">
        <v>1712</v>
      </c>
      <c r="BV436" t="s">
        <v>1668</v>
      </c>
      <c r="BW436">
        <v>749</v>
      </c>
      <c r="BY436">
        <v>12279300</v>
      </c>
      <c r="BZ436" t="s">
        <v>1676</v>
      </c>
      <c r="CA436">
        <v>1</v>
      </c>
      <c r="CB436" t="b">
        <v>1</v>
      </c>
      <c r="CC436">
        <v>0</v>
      </c>
      <c r="CD436" t="b">
        <v>0</v>
      </c>
      <c r="CE436" t="b">
        <v>0</v>
      </c>
      <c r="CF436" t="b">
        <v>1</v>
      </c>
      <c r="CG436">
        <v>15492231</v>
      </c>
      <c r="CH436" t="s">
        <v>1681</v>
      </c>
      <c r="CI436" s="10">
        <v>329000</v>
      </c>
    </row>
    <row r="437" spans="1:89">
      <c r="A437">
        <v>27191057</v>
      </c>
      <c r="B437" s="2" t="str">
        <f>HYPERLINK("http://www.redfin.com/stingray/do/printable-listing?listing-id=1239382","Active")</f>
        <v>Active</v>
      </c>
      <c r="D437" t="s">
        <v>2850</v>
      </c>
      <c r="E437" t="s">
        <v>4496</v>
      </c>
      <c r="F437">
        <v>644950</v>
      </c>
      <c r="G437">
        <v>1916</v>
      </c>
      <c r="H437">
        <v>1380</v>
      </c>
      <c r="I437">
        <v>15821</v>
      </c>
      <c r="J437">
        <v>3</v>
      </c>
      <c r="K437">
        <v>1.75</v>
      </c>
      <c r="M437" s="2" t="str">
        <f>HYPERLINK("http://maps.live.com/default.aspx?v=2&amp;lvl=15&amp;sp=Point.47.706645_-122.197686_11827 108th Ave NE&amp;cp=47.706645~-122.197686","Map")</f>
        <v>Map</v>
      </c>
      <c r="N437" s="2" t="str">
        <f>HYPERLINK("http://i-0.rfimg.us/photo/1/bigphoto/057/27191057_0.jpg","Photo")</f>
        <v>Photo</v>
      </c>
      <c r="AG437">
        <v>47.706645000000002</v>
      </c>
      <c r="AH437">
        <v>-122.197686</v>
      </c>
      <c r="AI437" t="s">
        <v>1058</v>
      </c>
      <c r="AJ437">
        <v>98034</v>
      </c>
      <c r="AN437">
        <v>629500</v>
      </c>
      <c r="BC437" s="22">
        <v>39380.547708333332</v>
      </c>
      <c r="BI437" s="22">
        <v>39549.294907407406</v>
      </c>
      <c r="BL437">
        <v>12899</v>
      </c>
      <c r="BM437">
        <v>1239382</v>
      </c>
      <c r="BN437" t="s">
        <v>1671</v>
      </c>
      <c r="BO437" s="17">
        <f t="shared" ca="1" si="6"/>
        <v>168.76169756944728</v>
      </c>
      <c r="BP437" t="b">
        <v>0</v>
      </c>
      <c r="BQ437">
        <v>1</v>
      </c>
      <c r="BR437" t="s">
        <v>1667</v>
      </c>
      <c r="BS437" t="s">
        <v>4355</v>
      </c>
      <c r="BT437" t="b">
        <v>0</v>
      </c>
      <c r="BV437" t="s">
        <v>1668</v>
      </c>
      <c r="BW437">
        <v>11827</v>
      </c>
      <c r="BX437" t="s">
        <v>1738</v>
      </c>
      <c r="BY437">
        <v>459094</v>
      </c>
      <c r="BZ437" t="s">
        <v>1672</v>
      </c>
      <c r="CA437">
        <v>1</v>
      </c>
      <c r="CB437" t="b">
        <v>1</v>
      </c>
      <c r="CC437">
        <v>0</v>
      </c>
      <c r="CD437" t="b">
        <v>0</v>
      </c>
      <c r="CE437" t="b">
        <v>0</v>
      </c>
      <c r="CF437" t="b">
        <v>1</v>
      </c>
      <c r="CG437">
        <v>2794048</v>
      </c>
      <c r="CH437" t="s">
        <v>1681</v>
      </c>
      <c r="CI437" s="10">
        <v>644950</v>
      </c>
      <c r="CJ437" s="7">
        <v>38961</v>
      </c>
    </row>
    <row r="438" spans="1:89">
      <c r="A438">
        <v>27191359</v>
      </c>
      <c r="B438" s="2" t="str">
        <f>HYPERLINK("http://www.redfin.com/stingray/do/printable-listing?listing-id=1236629","Active")</f>
        <v>Active</v>
      </c>
      <c r="D438" t="s">
        <v>2850</v>
      </c>
      <c r="E438" t="s">
        <v>4360</v>
      </c>
      <c r="F438">
        <v>840000</v>
      </c>
      <c r="G438">
        <v>1942</v>
      </c>
      <c r="H438">
        <v>2600</v>
      </c>
      <c r="I438">
        <v>7202</v>
      </c>
      <c r="J438">
        <v>3</v>
      </c>
      <c r="K438">
        <v>3</v>
      </c>
      <c r="M438" s="2" t="str">
        <f>HYPERLINK("http://maps.live.com/default.aspx?v=2&amp;lvl=15&amp;sp=Point.47.698395_-122.23243_8215 NE Juanita Dr&amp;cp=47.698395~-122.23243","Map")</f>
        <v>Map</v>
      </c>
      <c r="N438" s="2" t="str">
        <f>HYPERLINK("http://i-0.rfimg.us/photo/1/bigphoto/359/27191359_0.jpg","Photo")</f>
        <v>Photo</v>
      </c>
      <c r="AG438">
        <v>47.698394999999998</v>
      </c>
      <c r="AH438">
        <v>-122.23242999999999</v>
      </c>
      <c r="AI438" t="s">
        <v>1058</v>
      </c>
      <c r="AJ438">
        <v>98034</v>
      </c>
      <c r="AN438">
        <v>385000</v>
      </c>
      <c r="BC438" s="22">
        <v>39379.527777777781</v>
      </c>
      <c r="BI438" s="22">
        <v>39549.294907407406</v>
      </c>
      <c r="BL438">
        <v>16800</v>
      </c>
      <c r="BM438">
        <v>1236629</v>
      </c>
      <c r="BN438" t="s">
        <v>1673</v>
      </c>
      <c r="BO438" s="17">
        <f t="shared" ca="1" si="6"/>
        <v>169.78162812499795</v>
      </c>
      <c r="BP438" t="b">
        <v>0</v>
      </c>
      <c r="BQ438">
        <v>1</v>
      </c>
      <c r="BR438" t="s">
        <v>1816</v>
      </c>
      <c r="BS438" t="s">
        <v>2850</v>
      </c>
      <c r="BT438" t="b">
        <v>0</v>
      </c>
      <c r="BU438" t="s">
        <v>1738</v>
      </c>
      <c r="BV438" t="s">
        <v>1668</v>
      </c>
      <c r="BW438">
        <v>8215</v>
      </c>
      <c r="BY438">
        <v>282360</v>
      </c>
      <c r="BZ438" t="s">
        <v>1741</v>
      </c>
      <c r="CA438">
        <v>1</v>
      </c>
      <c r="CB438" t="b">
        <v>1</v>
      </c>
      <c r="CC438">
        <v>0</v>
      </c>
      <c r="CD438" t="b">
        <v>0</v>
      </c>
      <c r="CE438" t="b">
        <v>0</v>
      </c>
      <c r="CF438" t="b">
        <v>1</v>
      </c>
      <c r="CG438">
        <v>2406133</v>
      </c>
      <c r="CH438" t="s">
        <v>1681</v>
      </c>
      <c r="CI438" s="10">
        <v>840000</v>
      </c>
      <c r="CJ438" s="7">
        <v>34898</v>
      </c>
    </row>
    <row r="439" spans="1:89">
      <c r="A439">
        <v>27191474</v>
      </c>
      <c r="B439" s="2" t="str">
        <f>HYPERLINK("http://www.redfin.com/stingray/do/printable-listing?listing-id=1236630","Active")</f>
        <v>Active</v>
      </c>
      <c r="D439" t="s">
        <v>3966</v>
      </c>
      <c r="E439" t="s">
        <v>4251</v>
      </c>
      <c r="F439">
        <v>550000</v>
      </c>
      <c r="G439">
        <v>1925</v>
      </c>
      <c r="H439">
        <v>1780</v>
      </c>
      <c r="I439">
        <v>0</v>
      </c>
      <c r="J439">
        <v>4</v>
      </c>
      <c r="K439">
        <v>1.75</v>
      </c>
      <c r="M439" s="2" t="str">
        <f>HYPERLINK("http://maps.live.com/default.aspx?v=2&amp;lvl=15&amp;sp=Point.47.614262_-122.295803_1500 MLK JR. Way&amp;cp=47.614262~-122.295803","Map")</f>
        <v>Map</v>
      </c>
      <c r="N439" s="2" t="str">
        <f>HYPERLINK("http://i-0.rfimg.us/photo/1/bigphoto/474/27191474_0.jpg","Photo")</f>
        <v>Photo</v>
      </c>
      <c r="AG439">
        <v>47.614261999999997</v>
      </c>
      <c r="AH439">
        <v>-122.29580300000001</v>
      </c>
      <c r="AI439" t="s">
        <v>66</v>
      </c>
      <c r="AJ439">
        <v>98122</v>
      </c>
      <c r="AN439">
        <v>325000</v>
      </c>
      <c r="BC439" s="22">
        <v>39379.527789351851</v>
      </c>
      <c r="BI439" s="22">
        <v>39549.294907407406</v>
      </c>
      <c r="BL439">
        <v>11000</v>
      </c>
      <c r="BM439">
        <v>1236630</v>
      </c>
      <c r="BN439" t="s">
        <v>1737</v>
      </c>
      <c r="BO439" s="17">
        <f t="shared" ca="1" si="6"/>
        <v>169.78161655092845</v>
      </c>
      <c r="BP439" t="b">
        <v>0</v>
      </c>
      <c r="BQ439">
        <v>1</v>
      </c>
      <c r="BR439" t="s">
        <v>2463</v>
      </c>
      <c r="BS439" t="s">
        <v>4252</v>
      </c>
      <c r="BT439" t="b">
        <v>0</v>
      </c>
      <c r="BV439" t="s">
        <v>1668</v>
      </c>
      <c r="BW439">
        <v>1500</v>
      </c>
      <c r="BY439">
        <v>147344</v>
      </c>
      <c r="BZ439" t="s">
        <v>1696</v>
      </c>
      <c r="CA439">
        <v>1</v>
      </c>
      <c r="CB439" t="b">
        <v>1</v>
      </c>
      <c r="CC439">
        <v>0</v>
      </c>
      <c r="CD439" t="b">
        <v>0</v>
      </c>
      <c r="CE439" t="b">
        <v>0</v>
      </c>
      <c r="CF439" t="b">
        <v>1</v>
      </c>
      <c r="CG439">
        <v>2558813</v>
      </c>
      <c r="CH439" t="s">
        <v>1681</v>
      </c>
      <c r="CI439" s="10">
        <v>550000</v>
      </c>
      <c r="CJ439" s="7">
        <v>37965</v>
      </c>
    </row>
    <row r="440" spans="1:89">
      <c r="A440">
        <v>27191499</v>
      </c>
      <c r="B440" s="2" t="str">
        <f>HYPERLINK("http://www.redfin.com/stingray/do/printable-listing?listing-id=1242209","Active")</f>
        <v>Active</v>
      </c>
      <c r="D440" t="s">
        <v>5926</v>
      </c>
      <c r="E440" t="s">
        <v>6193</v>
      </c>
      <c r="F440">
        <v>724900</v>
      </c>
      <c r="G440">
        <v>2006</v>
      </c>
      <c r="H440">
        <v>3550</v>
      </c>
      <c r="I440">
        <v>5100</v>
      </c>
      <c r="J440">
        <v>5</v>
      </c>
      <c r="K440">
        <v>3.5</v>
      </c>
      <c r="M440" s="2" t="str">
        <f>HYPERLINK("http://maps.live.com/default.aspx?v=2&amp;lvl=15&amp;sp=Point.47.517563_-122.205534_1013 N 29th St&amp;cp=47.517563~-122.205534","Map")</f>
        <v>Map</v>
      </c>
      <c r="N440" s="2" t="str">
        <f>HYPERLINK("http://i-0.rfimg.us/photo/1/bigphoto/499/27191499_0.jpg","Photo")</f>
        <v>Photo</v>
      </c>
      <c r="AG440">
        <v>47.517563000000003</v>
      </c>
      <c r="AH440">
        <v>-122.205534</v>
      </c>
      <c r="AI440" t="s">
        <v>1077</v>
      </c>
      <c r="AJ440">
        <v>98056</v>
      </c>
      <c r="AN440">
        <v>689000</v>
      </c>
      <c r="BC440" s="22">
        <v>39381.527314814812</v>
      </c>
      <c r="BI440" s="22">
        <v>39549.294907407406</v>
      </c>
      <c r="BL440">
        <v>14498</v>
      </c>
      <c r="BM440">
        <v>1242209</v>
      </c>
      <c r="BN440" t="s">
        <v>1674</v>
      </c>
      <c r="BO440" s="17">
        <f t="shared" ca="1" si="6"/>
        <v>167.78209108796727</v>
      </c>
      <c r="BP440" t="b">
        <v>0</v>
      </c>
      <c r="BQ440">
        <v>1</v>
      </c>
      <c r="BR440" t="s">
        <v>1686</v>
      </c>
      <c r="BS440" t="s">
        <v>1772</v>
      </c>
      <c r="BT440" t="b">
        <v>0</v>
      </c>
      <c r="BU440" t="s">
        <v>1712</v>
      </c>
      <c r="BV440" t="s">
        <v>1668</v>
      </c>
      <c r="BW440">
        <v>1013</v>
      </c>
      <c r="BY440">
        <v>2075307</v>
      </c>
      <c r="BZ440" t="s">
        <v>1672</v>
      </c>
      <c r="CA440">
        <v>1</v>
      </c>
      <c r="CB440" t="b">
        <v>1</v>
      </c>
      <c r="CC440">
        <v>0</v>
      </c>
      <c r="CD440" t="b">
        <v>0</v>
      </c>
      <c r="CE440" t="b">
        <v>0</v>
      </c>
      <c r="CF440" t="b">
        <v>1</v>
      </c>
      <c r="CG440">
        <v>2622241</v>
      </c>
      <c r="CH440" t="s">
        <v>1681</v>
      </c>
      <c r="CI440" s="10">
        <v>724900</v>
      </c>
      <c r="CJ440" s="7">
        <v>39282</v>
      </c>
    </row>
    <row r="441" spans="1:89">
      <c r="A441">
        <v>27191546</v>
      </c>
      <c r="B441" s="2" t="str">
        <f>HYPERLINK("http://www.redfin.com/stingray/do/printable-listing?listing-id=1237068","Active")</f>
        <v>Active</v>
      </c>
      <c r="D441" t="s">
        <v>3885</v>
      </c>
      <c r="E441" t="s">
        <v>5973</v>
      </c>
      <c r="F441">
        <v>1250000</v>
      </c>
      <c r="G441">
        <v>2001</v>
      </c>
      <c r="H441">
        <v>5120</v>
      </c>
      <c r="I441">
        <v>12832</v>
      </c>
      <c r="J441">
        <v>5</v>
      </c>
      <c r="K441">
        <v>3.75</v>
      </c>
      <c r="M441" s="2" t="str">
        <f>HYPERLINK("http://maps.live.com/default.aspx?v=2&amp;lvl=15&amp;sp=Point.47.519041_-122.153846_14007 SE 92nd St&amp;cp=47.519041~-122.153846","Map")</f>
        <v>Map</v>
      </c>
      <c r="N441" s="2" t="str">
        <f>HYPERLINK("http://i-0.rfimg.us/photo/1/bigphoto/546/27191546_1.jpg","Photo")</f>
        <v>Photo</v>
      </c>
      <c r="AG441">
        <v>47.519041000000001</v>
      </c>
      <c r="AH441">
        <v>-122.153846</v>
      </c>
      <c r="AI441" t="s">
        <v>3885</v>
      </c>
      <c r="AJ441">
        <v>98059</v>
      </c>
      <c r="AN441">
        <v>775000</v>
      </c>
      <c r="BC441" s="22">
        <v>39379.634791666664</v>
      </c>
      <c r="BI441" s="22">
        <v>39549.294907407406</v>
      </c>
      <c r="BL441">
        <v>25000</v>
      </c>
      <c r="BM441">
        <v>1237068</v>
      </c>
      <c r="BN441" t="s">
        <v>1688</v>
      </c>
      <c r="BO441" s="17">
        <f t="shared" ca="1" si="6"/>
        <v>169.6746142361153</v>
      </c>
      <c r="BP441" t="b">
        <v>0</v>
      </c>
      <c r="BQ441">
        <v>1</v>
      </c>
      <c r="BR441" t="s">
        <v>1686</v>
      </c>
      <c r="BS441" t="s">
        <v>2726</v>
      </c>
      <c r="BT441" t="b">
        <v>0</v>
      </c>
      <c r="BU441" t="s">
        <v>3856</v>
      </c>
      <c r="BV441" t="s">
        <v>1668</v>
      </c>
      <c r="BW441">
        <v>14007</v>
      </c>
      <c r="BY441">
        <v>414186</v>
      </c>
      <c r="BZ441" t="s">
        <v>1709</v>
      </c>
      <c r="CA441">
        <v>1</v>
      </c>
      <c r="CB441" t="b">
        <v>1</v>
      </c>
      <c r="CC441">
        <v>0</v>
      </c>
      <c r="CD441" t="b">
        <v>0</v>
      </c>
      <c r="CE441" t="b">
        <v>0</v>
      </c>
      <c r="CF441" t="b">
        <v>1</v>
      </c>
      <c r="CG441">
        <v>2928326</v>
      </c>
      <c r="CH441" t="s">
        <v>1681</v>
      </c>
      <c r="CI441" s="10">
        <v>1250000</v>
      </c>
      <c r="CJ441" s="7">
        <v>37246</v>
      </c>
    </row>
    <row r="442" spans="1:89">
      <c r="A442">
        <v>27191568</v>
      </c>
      <c r="B442" s="2" t="str">
        <f>HYPERLINK("http://www.redfin.com/stingray/do/printable-listing?listing-id=1236927","Active")</f>
        <v>Active</v>
      </c>
      <c r="D442" t="s">
        <v>60</v>
      </c>
      <c r="E442" t="s">
        <v>127</v>
      </c>
      <c r="F442">
        <v>363500</v>
      </c>
      <c r="G442">
        <v>2005</v>
      </c>
      <c r="H442">
        <v>1175</v>
      </c>
      <c r="I442">
        <v>1366</v>
      </c>
      <c r="J442">
        <v>2</v>
      </c>
      <c r="K442">
        <v>2.5</v>
      </c>
      <c r="M442" s="2" t="str">
        <f>HYPERLINK("http://maps.live.com/default.aspx?v=2&amp;lvl=15&amp;sp=Point.47.695787_-122.342103_9219 Stone Ave N&amp;cp=47.695787~-122.342103","Map")</f>
        <v>Map</v>
      </c>
      <c r="N442" s="2" t="str">
        <f>HYPERLINK("http://i-0.rfimg.us/photo/1/bigphoto/568/27191568_0.jpg","Photo")</f>
        <v>Photo</v>
      </c>
      <c r="AG442">
        <v>47.695787000000003</v>
      </c>
      <c r="AH442">
        <v>-122.34210299999999</v>
      </c>
      <c r="AI442" t="s">
        <v>66</v>
      </c>
      <c r="AJ442">
        <v>98103</v>
      </c>
      <c r="AN442">
        <v>348000</v>
      </c>
      <c r="BC442" s="22">
        <v>39379.616875</v>
      </c>
      <c r="BI442" s="22">
        <v>39549.294907407406</v>
      </c>
      <c r="BL442">
        <v>7270</v>
      </c>
      <c r="BM442">
        <v>1236927</v>
      </c>
      <c r="BN442" t="s">
        <v>2718</v>
      </c>
      <c r="BO442" s="17">
        <f t="shared" ca="1" si="6"/>
        <v>169.69253101851791</v>
      </c>
      <c r="BP442" t="b">
        <v>0</v>
      </c>
      <c r="BQ442">
        <v>1</v>
      </c>
      <c r="BR442" t="s">
        <v>1667</v>
      </c>
      <c r="BS442" t="s">
        <v>2719</v>
      </c>
      <c r="BT442" t="b">
        <v>0</v>
      </c>
      <c r="BV442" t="s">
        <v>1668</v>
      </c>
      <c r="BW442">
        <v>9219</v>
      </c>
      <c r="BX442" t="s">
        <v>1712</v>
      </c>
      <c r="BY442">
        <v>2066207</v>
      </c>
      <c r="BZ442" t="s">
        <v>1762</v>
      </c>
      <c r="CA442">
        <v>1</v>
      </c>
      <c r="CB442" t="b">
        <v>1</v>
      </c>
      <c r="CC442">
        <v>0</v>
      </c>
      <c r="CD442" t="b">
        <v>0</v>
      </c>
      <c r="CE442" t="b">
        <v>0</v>
      </c>
      <c r="CF442" t="b">
        <v>1</v>
      </c>
      <c r="CG442">
        <v>2457920</v>
      </c>
      <c r="CH442" t="s">
        <v>1681</v>
      </c>
      <c r="CI442" s="10">
        <v>363500</v>
      </c>
      <c r="CJ442" s="7">
        <v>38677</v>
      </c>
    </row>
    <row r="443" spans="1:89">
      <c r="A443">
        <v>27191674</v>
      </c>
      <c r="B443" s="2" t="str">
        <f>HYPERLINK("http://www.redfin.com/stingray/do/printable-listing?listing-id=1237170","Active")</f>
        <v>Active</v>
      </c>
      <c r="D443" t="s">
        <v>369</v>
      </c>
      <c r="E443" t="s">
        <v>5048</v>
      </c>
      <c r="F443" s="19">
        <v>550000</v>
      </c>
      <c r="G443">
        <v>1975</v>
      </c>
      <c r="H443">
        <v>1950</v>
      </c>
      <c r="I443">
        <v>10425</v>
      </c>
      <c r="J443">
        <v>4</v>
      </c>
      <c r="K443">
        <v>3</v>
      </c>
      <c r="M443" s="2" t="str">
        <f>HYPERLINK("http://maps.live.com/default.aspx?v=2&amp;lvl=15&amp;sp=Point.47.612562_-122.174071_12414 NE 2nd St&amp;cp=47.612562~-122.174071","Map")</f>
        <v>Map</v>
      </c>
      <c r="N443" s="2" t="str">
        <f>HYPERLINK("http://i-0.rfimg.us/photo/1/bigphoto/674/27191674_1.jpg","Photo")</f>
        <v>Photo</v>
      </c>
      <c r="AG443">
        <v>47.612561999999997</v>
      </c>
      <c r="AH443">
        <v>-122.174071</v>
      </c>
      <c r="AI443" t="s">
        <v>369</v>
      </c>
      <c r="AJ443">
        <v>98005</v>
      </c>
      <c r="AN443">
        <v>262000</v>
      </c>
      <c r="BC443" s="22">
        <v>39379.66847222222</v>
      </c>
      <c r="BI443" s="7">
        <v>39534</v>
      </c>
      <c r="BL443">
        <v>11500</v>
      </c>
      <c r="BM443">
        <v>1237170</v>
      </c>
      <c r="BN443" t="s">
        <v>3121</v>
      </c>
      <c r="BO443" s="17">
        <f t="shared" ca="1" si="6"/>
        <v>169.6409336805591</v>
      </c>
      <c r="BP443" t="b">
        <v>0</v>
      </c>
      <c r="BQ443">
        <v>1</v>
      </c>
      <c r="BR443" t="s">
        <v>1686</v>
      </c>
      <c r="BS443" t="s">
        <v>1958</v>
      </c>
      <c r="BT443" t="b">
        <v>0</v>
      </c>
      <c r="BU443" t="s">
        <v>1738</v>
      </c>
      <c r="BV443" t="s">
        <v>1668</v>
      </c>
      <c r="BW443">
        <v>12414</v>
      </c>
      <c r="BY443">
        <v>509128</v>
      </c>
      <c r="BZ443" t="s">
        <v>3047</v>
      </c>
      <c r="CA443">
        <v>1</v>
      </c>
      <c r="CB443" t="b">
        <v>1</v>
      </c>
      <c r="CC443">
        <v>0</v>
      </c>
      <c r="CD443" t="b">
        <v>0</v>
      </c>
      <c r="CE443" t="b">
        <v>0</v>
      </c>
      <c r="CF443" t="b">
        <v>1</v>
      </c>
      <c r="CG443">
        <v>2543381</v>
      </c>
      <c r="CH443" t="s">
        <v>1681</v>
      </c>
      <c r="CI443" s="10">
        <v>575000</v>
      </c>
      <c r="CJ443" s="7">
        <v>35998</v>
      </c>
    </row>
    <row r="444" spans="1:89">
      <c r="A444">
        <v>27191720</v>
      </c>
      <c r="B444" s="15" t="str">
        <f>HYPERLINK("http://www.redfin.com/stingray/do/printable-listing?listing-id=1237265","Subject To Inspection")</f>
        <v>Subject To Inspection</v>
      </c>
      <c r="D444" t="s">
        <v>63</v>
      </c>
      <c r="E444" t="s">
        <v>1946</v>
      </c>
      <c r="F444">
        <v>349999</v>
      </c>
      <c r="G444">
        <v>2007</v>
      </c>
      <c r="H444">
        <v>1338</v>
      </c>
      <c r="I444">
        <v>0</v>
      </c>
      <c r="J444">
        <v>3</v>
      </c>
      <c r="K444">
        <v>2.5</v>
      </c>
      <c r="M444" s="2" t="str">
        <f>HYPERLINK("http://maps.live.com/default.aspx?v=2&amp;lvl=15&amp;sp=Point.47.689993_-122.366303_8405 8th Ave NW nB&amp;cp=47.689993~-122.366303","Map")</f>
        <v>Map</v>
      </c>
      <c r="N444" s="2" t="str">
        <f>HYPERLINK("http://i-0.rfimg.us/photo/1/bigphoto/720/27191720_0.jpg","Photo")</f>
        <v>Photo</v>
      </c>
      <c r="AG444">
        <v>47.689993000000001</v>
      </c>
      <c r="AH444">
        <v>-122.366303</v>
      </c>
      <c r="AI444" t="s">
        <v>66</v>
      </c>
      <c r="AJ444">
        <v>98117</v>
      </c>
      <c r="AM444" t="s">
        <v>1699</v>
      </c>
      <c r="BC444" s="22">
        <v>39379.709803240738</v>
      </c>
      <c r="BI444" s="7">
        <v>39539</v>
      </c>
      <c r="BL444">
        <v>7000</v>
      </c>
      <c r="BM444">
        <v>1237265</v>
      </c>
      <c r="BN444" t="s">
        <v>1852</v>
      </c>
      <c r="BO444" s="17">
        <f t="shared" ca="1" si="6"/>
        <v>169.59960277778009</v>
      </c>
      <c r="BP444" t="b">
        <v>0</v>
      </c>
      <c r="BQ444">
        <v>1</v>
      </c>
      <c r="BR444" t="s">
        <v>1667</v>
      </c>
      <c r="BS444" t="s">
        <v>1723</v>
      </c>
      <c r="BT444" t="b">
        <v>0</v>
      </c>
      <c r="BV444" t="s">
        <v>1668</v>
      </c>
      <c r="BW444">
        <v>8405</v>
      </c>
      <c r="BX444" t="s">
        <v>1669</v>
      </c>
      <c r="BY444">
        <v>12279204</v>
      </c>
      <c r="BZ444" t="s">
        <v>1741</v>
      </c>
      <c r="CA444">
        <v>1</v>
      </c>
      <c r="CB444" t="b">
        <v>1</v>
      </c>
      <c r="CC444">
        <v>0</v>
      </c>
      <c r="CD444" t="b">
        <v>0</v>
      </c>
      <c r="CE444" t="b">
        <v>0</v>
      </c>
      <c r="CF444" t="b">
        <v>1</v>
      </c>
      <c r="CG444">
        <v>15492135</v>
      </c>
      <c r="CH444" t="s">
        <v>1681</v>
      </c>
      <c r="CI444" s="10">
        <v>349999</v>
      </c>
    </row>
    <row r="445" spans="1:89">
      <c r="A445">
        <v>27191728</v>
      </c>
      <c r="B445" s="15" t="str">
        <f>HYPERLINK("http://www.redfin.com/stingray/do/printable-listing?listing-id=1237264","Subject To Inspection")</f>
        <v>Subject To Inspection</v>
      </c>
      <c r="D445" t="s">
        <v>63</v>
      </c>
      <c r="E445" t="s">
        <v>1855</v>
      </c>
      <c r="F445">
        <v>349999</v>
      </c>
      <c r="G445">
        <v>2007</v>
      </c>
      <c r="H445">
        <v>1338</v>
      </c>
      <c r="I445">
        <v>0</v>
      </c>
      <c r="J445">
        <v>3</v>
      </c>
      <c r="K445">
        <v>2.5</v>
      </c>
      <c r="M445" s="2" t="str">
        <f>HYPERLINK("http://maps.live.com/default.aspx?v=2&amp;lvl=15&amp;sp=Point.47.689993_-122.366303_8405 8th Ave NW nA&amp;cp=47.689993~-122.366303","Map")</f>
        <v>Map</v>
      </c>
      <c r="N445" s="2" t="str">
        <f>HYPERLINK("http://i-0.rfimg.us/photo/1/bigphoto/728/27191728_0.jpg","Photo")</f>
        <v>Photo</v>
      </c>
      <c r="AG445">
        <v>47.689993000000001</v>
      </c>
      <c r="AH445">
        <v>-122.366303</v>
      </c>
      <c r="AI445" t="s">
        <v>66</v>
      </c>
      <c r="AJ445">
        <v>98117</v>
      </c>
      <c r="AM445" t="s">
        <v>1722</v>
      </c>
      <c r="BC445" s="22">
        <v>39379.709803240738</v>
      </c>
      <c r="BI445" s="7">
        <v>39535</v>
      </c>
      <c r="BL445">
        <v>7000</v>
      </c>
      <c r="BM445">
        <v>1237264</v>
      </c>
      <c r="BN445" t="s">
        <v>1852</v>
      </c>
      <c r="BO445" s="17">
        <f t="shared" ca="1" si="6"/>
        <v>169.59960277778009</v>
      </c>
      <c r="BP445" t="b">
        <v>0</v>
      </c>
      <c r="BQ445">
        <v>1</v>
      </c>
      <c r="BR445" t="s">
        <v>1667</v>
      </c>
      <c r="BS445" t="s">
        <v>1723</v>
      </c>
      <c r="BT445" t="b">
        <v>0</v>
      </c>
      <c r="BV445" t="s">
        <v>1668</v>
      </c>
      <c r="BW445">
        <v>8405</v>
      </c>
      <c r="BX445" t="s">
        <v>1669</v>
      </c>
      <c r="BY445">
        <v>12279203</v>
      </c>
      <c r="BZ445" t="s">
        <v>1741</v>
      </c>
      <c r="CA445">
        <v>1</v>
      </c>
      <c r="CB445" t="b">
        <v>1</v>
      </c>
      <c r="CC445">
        <v>0</v>
      </c>
      <c r="CD445" t="b">
        <v>0</v>
      </c>
      <c r="CE445" t="b">
        <v>0</v>
      </c>
      <c r="CF445" t="b">
        <v>1</v>
      </c>
      <c r="CG445">
        <v>15492135</v>
      </c>
      <c r="CH445" t="s">
        <v>1681</v>
      </c>
      <c r="CI445" s="10">
        <v>349999</v>
      </c>
      <c r="CK445" t="s">
        <v>2054</v>
      </c>
    </row>
    <row r="446" spans="1:89">
      <c r="A446">
        <v>27191729</v>
      </c>
      <c r="B446" s="2" t="str">
        <f>HYPERLINK("http://www.redfin.com/stingray/do/printable-listing?listing-id=1237262","Active")</f>
        <v>Active</v>
      </c>
      <c r="D446" t="s">
        <v>63</v>
      </c>
      <c r="E446" t="s">
        <v>1945</v>
      </c>
      <c r="F446">
        <v>349999</v>
      </c>
      <c r="G446">
        <v>2007</v>
      </c>
      <c r="H446">
        <v>1338</v>
      </c>
      <c r="I446">
        <v>0</v>
      </c>
      <c r="J446">
        <v>3</v>
      </c>
      <c r="K446">
        <v>2.5</v>
      </c>
      <c r="M446" s="2" t="str">
        <f>HYPERLINK("http://maps.live.com/default.aspx?v=2&amp;lvl=15&amp;sp=Point.47.690116_-122.366409_8403 8th Ave NW nB&amp;cp=47.690116~-122.366409","Map")</f>
        <v>Map</v>
      </c>
      <c r="N446" s="2" t="str">
        <f>HYPERLINK("http://i-0.rfimg.us/photo/1/bigphoto/729/27191729_0.jpg","Photo")</f>
        <v>Photo</v>
      </c>
      <c r="AG446">
        <v>47.690116000000003</v>
      </c>
      <c r="AH446">
        <v>-122.366409</v>
      </c>
      <c r="AI446" t="s">
        <v>66</v>
      </c>
      <c r="AJ446">
        <v>98117</v>
      </c>
      <c r="AM446" t="s">
        <v>1699</v>
      </c>
      <c r="BC446" s="22">
        <v>39379.709803240738</v>
      </c>
      <c r="BI446" s="22">
        <v>39549.294907407406</v>
      </c>
      <c r="BL446">
        <v>7000</v>
      </c>
      <c r="BM446">
        <v>1237262</v>
      </c>
      <c r="BN446" t="s">
        <v>1852</v>
      </c>
      <c r="BO446" s="17">
        <f t="shared" ca="1" si="6"/>
        <v>169.59960277778009</v>
      </c>
      <c r="BP446" t="b">
        <v>0</v>
      </c>
      <c r="BQ446">
        <v>1</v>
      </c>
      <c r="BR446" t="s">
        <v>1667</v>
      </c>
      <c r="BS446" t="s">
        <v>1723</v>
      </c>
      <c r="BT446" t="b">
        <v>0</v>
      </c>
      <c r="BV446" t="s">
        <v>1668</v>
      </c>
      <c r="BW446">
        <v>8403</v>
      </c>
      <c r="BX446" t="s">
        <v>1669</v>
      </c>
      <c r="BY446">
        <v>12279201</v>
      </c>
      <c r="BZ446" t="s">
        <v>1741</v>
      </c>
      <c r="CA446">
        <v>1</v>
      </c>
      <c r="CB446" t="b">
        <v>1</v>
      </c>
      <c r="CC446">
        <v>0</v>
      </c>
      <c r="CD446" t="b">
        <v>0</v>
      </c>
      <c r="CE446" t="b">
        <v>0</v>
      </c>
      <c r="CF446" t="b">
        <v>1</v>
      </c>
      <c r="CG446">
        <v>15492132</v>
      </c>
      <c r="CH446" t="s">
        <v>1681</v>
      </c>
      <c r="CI446" s="10">
        <v>349999</v>
      </c>
    </row>
    <row r="447" spans="1:89">
      <c r="A447">
        <v>27191731</v>
      </c>
      <c r="B447" s="15" t="str">
        <f>HYPERLINK("http://www.redfin.com/stingray/do/printable-listing?listing-id=1237263","Subject To Inspection")</f>
        <v>Subject To Inspection</v>
      </c>
      <c r="D447" t="s">
        <v>63</v>
      </c>
      <c r="E447" t="s">
        <v>1854</v>
      </c>
      <c r="F447">
        <v>349999</v>
      </c>
      <c r="G447">
        <v>2007</v>
      </c>
      <c r="H447">
        <v>1338</v>
      </c>
      <c r="I447">
        <v>0</v>
      </c>
      <c r="J447">
        <v>3</v>
      </c>
      <c r="K447">
        <v>2.5</v>
      </c>
      <c r="M447" s="2" t="str">
        <f>HYPERLINK("http://maps.live.com/default.aspx?v=2&amp;lvl=15&amp;sp=Point.47.690116_-122.366409_8403 8th Ave NW nA&amp;cp=47.690116~-122.366409","Map")</f>
        <v>Map</v>
      </c>
      <c r="N447" s="2" t="str">
        <f>HYPERLINK("http://i-0.rfimg.us/photo/1/bigphoto/731/27191731_0.jpg","Photo")</f>
        <v>Photo</v>
      </c>
      <c r="AG447">
        <v>47.690116000000003</v>
      </c>
      <c r="AH447">
        <v>-122.366409</v>
      </c>
      <c r="AI447" t="s">
        <v>66</v>
      </c>
      <c r="AJ447">
        <v>98117</v>
      </c>
      <c r="AM447" t="s">
        <v>1722</v>
      </c>
      <c r="BC447" s="22">
        <v>39379.709803240738</v>
      </c>
      <c r="BI447" s="7">
        <v>39535</v>
      </c>
      <c r="BL447">
        <v>7000</v>
      </c>
      <c r="BM447">
        <v>1237263</v>
      </c>
      <c r="BN447" t="s">
        <v>1852</v>
      </c>
      <c r="BO447" s="17">
        <f t="shared" ca="1" si="6"/>
        <v>169.59960277778009</v>
      </c>
      <c r="BP447" t="b">
        <v>0</v>
      </c>
      <c r="BQ447">
        <v>1</v>
      </c>
      <c r="BR447" t="s">
        <v>1667</v>
      </c>
      <c r="BS447" t="s">
        <v>1723</v>
      </c>
      <c r="BT447" t="b">
        <v>0</v>
      </c>
      <c r="BV447" t="s">
        <v>1668</v>
      </c>
      <c r="BW447">
        <v>8403</v>
      </c>
      <c r="BX447" t="s">
        <v>1669</v>
      </c>
      <c r="BY447">
        <v>12225624</v>
      </c>
      <c r="BZ447" t="s">
        <v>1741</v>
      </c>
      <c r="CA447">
        <v>1</v>
      </c>
      <c r="CB447" t="b">
        <v>1</v>
      </c>
      <c r="CC447">
        <v>0</v>
      </c>
      <c r="CD447" t="b">
        <v>0</v>
      </c>
      <c r="CE447" t="b">
        <v>0</v>
      </c>
      <c r="CF447" t="b">
        <v>1</v>
      </c>
      <c r="CG447">
        <v>15492132</v>
      </c>
      <c r="CH447" t="s">
        <v>1681</v>
      </c>
      <c r="CI447" s="10">
        <v>349999</v>
      </c>
      <c r="CK447" t="s">
        <v>2055</v>
      </c>
    </row>
    <row r="448" spans="1:89">
      <c r="A448">
        <v>27191778</v>
      </c>
      <c r="B448" s="2" t="str">
        <f>HYPERLINK("http://www.redfin.com/stingray/do/printable-listing?listing-id=1240332","Active")</f>
        <v>Active</v>
      </c>
      <c r="D448" t="s">
        <v>5565</v>
      </c>
      <c r="E448" t="s">
        <v>5711</v>
      </c>
      <c r="F448">
        <v>599950</v>
      </c>
      <c r="G448">
        <v>1965</v>
      </c>
      <c r="H448">
        <v>3120</v>
      </c>
      <c r="I448">
        <v>9463</v>
      </c>
      <c r="J448">
        <v>4</v>
      </c>
      <c r="K448">
        <v>2.5</v>
      </c>
      <c r="M448" s="2" t="str">
        <f>HYPERLINK("http://maps.live.com/default.aspx?v=2&amp;lvl=15&amp;sp=Point.47.543694_-122.178617_6517 121 Pl SE&amp;cp=47.543694~-122.178617","Map")</f>
        <v>Map</v>
      </c>
      <c r="N448" s="2" t="str">
        <f>HYPERLINK("http://i-0.rfimg.us/photo/1/bigphoto/778/27191778_1.jpg","Photo")</f>
        <v>Photo</v>
      </c>
      <c r="AG448">
        <v>47.543694000000002</v>
      </c>
      <c r="AH448">
        <v>-122.178617</v>
      </c>
      <c r="AI448" t="s">
        <v>369</v>
      </c>
      <c r="AJ448">
        <v>98006</v>
      </c>
      <c r="AN448">
        <v>455000</v>
      </c>
      <c r="BC448" s="22">
        <v>39380.913472222222</v>
      </c>
      <c r="BI448" s="22">
        <v>39549.294907407406</v>
      </c>
      <c r="BL448">
        <v>11999</v>
      </c>
      <c r="BM448">
        <v>1240332</v>
      </c>
      <c r="BN448" t="s">
        <v>3611</v>
      </c>
      <c r="BO448" s="17">
        <f t="shared" ca="1" si="6"/>
        <v>168.39593368055648</v>
      </c>
      <c r="BP448" t="b">
        <v>0</v>
      </c>
      <c r="BQ448">
        <v>1</v>
      </c>
      <c r="BR448" t="s">
        <v>1842</v>
      </c>
      <c r="BS448">
        <v>121</v>
      </c>
      <c r="BT448" t="b">
        <v>0</v>
      </c>
      <c r="BV448" t="s">
        <v>1668</v>
      </c>
      <c r="BW448">
        <v>6517</v>
      </c>
      <c r="BX448" t="s">
        <v>3856</v>
      </c>
      <c r="BY448">
        <v>417619</v>
      </c>
      <c r="BZ448" t="s">
        <v>5712</v>
      </c>
      <c r="CA448">
        <v>1</v>
      </c>
      <c r="CB448" t="b">
        <v>1</v>
      </c>
      <c r="CC448">
        <v>0</v>
      </c>
      <c r="CD448" t="b">
        <v>0</v>
      </c>
      <c r="CE448" t="b">
        <v>0</v>
      </c>
      <c r="CF448" t="b">
        <v>1</v>
      </c>
      <c r="CG448">
        <v>2400044</v>
      </c>
      <c r="CH448" t="s">
        <v>1681</v>
      </c>
      <c r="CI448" s="10">
        <v>599950</v>
      </c>
      <c r="CJ448" s="7">
        <v>38506</v>
      </c>
    </row>
    <row r="449" spans="1:90">
      <c r="A449">
        <v>27191868</v>
      </c>
      <c r="B449" s="2" t="str">
        <f>HYPERLINK("http://www.redfin.com/stingray/do/printable-listing?listing-id=1238243","Active")</f>
        <v>Active</v>
      </c>
      <c r="D449" t="s">
        <v>55</v>
      </c>
      <c r="E449" t="s">
        <v>152</v>
      </c>
      <c r="F449" s="19">
        <v>424900</v>
      </c>
      <c r="G449">
        <v>1931</v>
      </c>
      <c r="H449">
        <v>2080</v>
      </c>
      <c r="I449">
        <v>4950</v>
      </c>
      <c r="J449">
        <v>3</v>
      </c>
      <c r="K449">
        <v>1.5</v>
      </c>
      <c r="M449" s="2" t="str">
        <f>HYPERLINK("http://maps.live.com/default.aspx?v=2&amp;lvl=15&amp;sp=Point.47.692295_-122.364968_636 NW 87th St&amp;cp=47.692295~-122.364968","Map")</f>
        <v>Map</v>
      </c>
      <c r="N449" s="2" t="str">
        <f>HYPERLINK("http://i-0.rfimg.us/photo/1/bigphoto/868/27191868_2.jpg","Photo")</f>
        <v>Photo</v>
      </c>
      <c r="AG449">
        <v>47.692295000000001</v>
      </c>
      <c r="AH449">
        <v>-122.364968</v>
      </c>
      <c r="AI449" t="s">
        <v>66</v>
      </c>
      <c r="AJ449">
        <v>98117</v>
      </c>
      <c r="BC449" s="22">
        <v>39380.348437499997</v>
      </c>
      <c r="BI449" s="22">
        <v>39549.294907407406</v>
      </c>
      <c r="BL449">
        <v>8698</v>
      </c>
      <c r="BM449">
        <v>1238243</v>
      </c>
      <c r="BN449" t="s">
        <v>1673</v>
      </c>
      <c r="BO449" s="17">
        <f t="shared" ca="1" si="6"/>
        <v>168.96096851852053</v>
      </c>
      <c r="BP449" t="b">
        <v>0</v>
      </c>
      <c r="BQ449">
        <v>1</v>
      </c>
      <c r="BR449" t="s">
        <v>1686</v>
      </c>
      <c r="BS449" t="s">
        <v>1856</v>
      </c>
      <c r="BT449" t="b">
        <v>0</v>
      </c>
      <c r="BU449" t="s">
        <v>1669</v>
      </c>
      <c r="BV449" t="s">
        <v>1668</v>
      </c>
      <c r="BW449">
        <v>636</v>
      </c>
      <c r="BY449">
        <v>101096</v>
      </c>
      <c r="BZ449" t="s">
        <v>1860</v>
      </c>
      <c r="CA449">
        <v>1</v>
      </c>
      <c r="CB449" t="b">
        <v>1</v>
      </c>
      <c r="CC449">
        <v>0</v>
      </c>
      <c r="CD449" t="b">
        <v>0</v>
      </c>
      <c r="CE449" t="b">
        <v>0</v>
      </c>
      <c r="CF449" t="b">
        <v>1</v>
      </c>
      <c r="CG449">
        <v>2651831</v>
      </c>
      <c r="CH449" t="s">
        <v>1681</v>
      </c>
      <c r="CI449" s="10">
        <v>434900</v>
      </c>
      <c r="CL449" s="19" t="s">
        <v>2347</v>
      </c>
    </row>
    <row r="450" spans="1:90">
      <c r="A450">
        <v>27192067</v>
      </c>
      <c r="B450" s="2" t="str">
        <f>HYPERLINK("http://www.redfin.com/stingray/do/printable-listing?listing-id=1242051","Subject To Inspection")</f>
        <v>Subject To Inspection</v>
      </c>
      <c r="D450" t="s">
        <v>3066</v>
      </c>
      <c r="E450" t="s">
        <v>4746</v>
      </c>
      <c r="F450">
        <v>478000</v>
      </c>
      <c r="G450">
        <v>1967</v>
      </c>
      <c r="H450">
        <v>1578</v>
      </c>
      <c r="I450">
        <v>12981</v>
      </c>
      <c r="J450">
        <v>3</v>
      </c>
      <c r="K450">
        <v>2</v>
      </c>
      <c r="M450" s="2" t="str">
        <f>HYPERLINK("http://maps.live.com/default.aspx?v=2&amp;lvl=15&amp;sp=Point.47.673846_-122.17299_7809 126 Ave NE&amp;cp=47.673846~-122.17299","Map")</f>
        <v>Map</v>
      </c>
      <c r="N450" s="2" t="str">
        <f>HYPERLINK("http://i-0.rfimg.us/photo/1/bigphoto/067/27192067_2.jpg","Photo")</f>
        <v>Photo</v>
      </c>
      <c r="AG450">
        <v>47.673845999999998</v>
      </c>
      <c r="AH450">
        <v>-122.17299</v>
      </c>
      <c r="AI450" t="s">
        <v>1058</v>
      </c>
      <c r="AJ450">
        <v>98033</v>
      </c>
      <c r="AN450">
        <v>226500</v>
      </c>
      <c r="BC450" s="22">
        <v>39381.466481481482</v>
      </c>
      <c r="BI450" s="7">
        <v>39533</v>
      </c>
      <c r="BL450">
        <v>9560</v>
      </c>
      <c r="BM450">
        <v>1242051</v>
      </c>
      <c r="BN450" t="s">
        <v>2444</v>
      </c>
      <c r="BO450" s="17">
        <f t="shared" ref="BO450:BO513" ca="1" si="7">NOW()-BC450</f>
        <v>167.84292442129663</v>
      </c>
      <c r="BP450" t="b">
        <v>0</v>
      </c>
      <c r="BQ450">
        <v>2</v>
      </c>
      <c r="BR450" t="s">
        <v>1667</v>
      </c>
      <c r="BS450">
        <v>126</v>
      </c>
      <c r="BT450" t="b">
        <v>0</v>
      </c>
      <c r="BV450" t="s">
        <v>1668</v>
      </c>
      <c r="BW450">
        <v>7809</v>
      </c>
      <c r="BX450" t="s">
        <v>1738</v>
      </c>
      <c r="BY450">
        <v>516012</v>
      </c>
      <c r="BZ450" t="s">
        <v>4176</v>
      </c>
      <c r="CA450">
        <v>1</v>
      </c>
      <c r="CB450" t="b">
        <v>1</v>
      </c>
      <c r="CC450">
        <v>0</v>
      </c>
      <c r="CD450" t="b">
        <v>0</v>
      </c>
      <c r="CE450" t="b">
        <v>0</v>
      </c>
      <c r="CF450" t="b">
        <v>1</v>
      </c>
      <c r="CG450">
        <v>2721790</v>
      </c>
      <c r="CH450" t="s">
        <v>1681</v>
      </c>
      <c r="CI450" s="10">
        <v>478000</v>
      </c>
      <c r="CJ450" s="7">
        <v>35843</v>
      </c>
    </row>
    <row r="451" spans="1:90">
      <c r="A451">
        <v>27192141</v>
      </c>
      <c r="B451" s="2" t="str">
        <f>HYPERLINK("http://www.redfin.com/stingray/do/printable-listing?listing-id=1239378","Active")</f>
        <v>Active</v>
      </c>
      <c r="D451" t="s">
        <v>3704</v>
      </c>
      <c r="E451" t="s">
        <v>3831</v>
      </c>
      <c r="F451">
        <v>1800000</v>
      </c>
      <c r="G451">
        <v>1939</v>
      </c>
      <c r="H451">
        <v>0</v>
      </c>
      <c r="I451">
        <v>15904</v>
      </c>
      <c r="J451">
        <v>5</v>
      </c>
      <c r="K451">
        <v>3.5</v>
      </c>
      <c r="M451" s="2" t="str">
        <f>HYPERLINK("http://maps.live.com/default.aspx?v=2&amp;lvl=15&amp;sp=Point.47.630588_-122.302677_2214 E Highland Dr&amp;cp=47.630588~-122.302677","Map")</f>
        <v>Map</v>
      </c>
      <c r="N451" s="2" t="str">
        <f>HYPERLINK("http://i-0.rfimg.us/photo/1/bigphoto/141/27192141_2.jpg","Photo")</f>
        <v>Photo</v>
      </c>
      <c r="AG451">
        <v>47.630588000000003</v>
      </c>
      <c r="AH451">
        <v>-122.302677</v>
      </c>
      <c r="AI451" t="s">
        <v>66</v>
      </c>
      <c r="AJ451">
        <v>98112</v>
      </c>
      <c r="AN451">
        <v>1800000</v>
      </c>
      <c r="BC451" s="22">
        <v>39380.547384259262</v>
      </c>
      <c r="BI451" s="22">
        <v>39549.294907407406</v>
      </c>
      <c r="BL451">
        <v>36000</v>
      </c>
      <c r="BM451">
        <v>1239378</v>
      </c>
      <c r="BN451" t="s">
        <v>2985</v>
      </c>
      <c r="BO451" s="17">
        <f t="shared" ca="1" si="7"/>
        <v>168.76202164351707</v>
      </c>
      <c r="BP451" t="b">
        <v>0</v>
      </c>
      <c r="BQ451">
        <v>1</v>
      </c>
      <c r="BR451" t="s">
        <v>1816</v>
      </c>
      <c r="BS451" t="s">
        <v>3651</v>
      </c>
      <c r="BT451" t="b">
        <v>0</v>
      </c>
      <c r="BU451" t="s">
        <v>2436</v>
      </c>
      <c r="BV451" t="s">
        <v>1668</v>
      </c>
      <c r="BW451">
        <v>2214</v>
      </c>
      <c r="BY451">
        <v>135735</v>
      </c>
      <c r="BZ451" t="s">
        <v>3832</v>
      </c>
      <c r="CA451">
        <v>1</v>
      </c>
      <c r="CB451" t="b">
        <v>1</v>
      </c>
      <c r="CC451">
        <v>0</v>
      </c>
      <c r="CD451" t="b">
        <v>0</v>
      </c>
      <c r="CE451" t="b">
        <v>0</v>
      </c>
      <c r="CF451" t="b">
        <v>1</v>
      </c>
      <c r="CG451">
        <v>2355591</v>
      </c>
      <c r="CH451" t="s">
        <v>1681</v>
      </c>
      <c r="CI451" s="10">
        <v>1800000</v>
      </c>
      <c r="CJ451" s="7">
        <v>39171</v>
      </c>
    </row>
    <row r="452" spans="1:90">
      <c r="A452">
        <v>27192143</v>
      </c>
      <c r="B452" s="2" t="str">
        <f>HYPERLINK("http://www.redfin.com/stingray/do/printable-listing?listing-id=1239583","Active")</f>
        <v>Active</v>
      </c>
      <c r="D452" t="s">
        <v>6198</v>
      </c>
      <c r="E452" t="s">
        <v>6220</v>
      </c>
      <c r="F452">
        <v>440000</v>
      </c>
      <c r="G452">
        <v>2008</v>
      </c>
      <c r="H452">
        <v>2290</v>
      </c>
      <c r="I452">
        <v>6076</v>
      </c>
      <c r="J452">
        <v>4</v>
      </c>
      <c r="K452">
        <v>2.5</v>
      </c>
      <c r="M452" s="2" t="str">
        <f>HYPERLINK("http://maps.live.com/default.aspx?v=2&amp;lvl=15&amp;sp=adr.156 Talbot Rd S nXX (Unable to map),98055","Map")</f>
        <v>Map</v>
      </c>
      <c r="N452" s="2" t="str">
        <f>HYPERLINK("http://i-0.rfimg.us/photo/1/bigphoto/143/27192143_0.jpg","Photo")</f>
        <v>Photo</v>
      </c>
      <c r="AI452" t="s">
        <v>1077</v>
      </c>
      <c r="AJ452">
        <v>98055</v>
      </c>
      <c r="AM452" t="s">
        <v>4636</v>
      </c>
      <c r="BC452" s="22">
        <v>39380.589305555557</v>
      </c>
      <c r="BI452" s="7">
        <v>39542</v>
      </c>
      <c r="BL452">
        <v>8800</v>
      </c>
      <c r="BM452">
        <v>1239583</v>
      </c>
      <c r="BN452" t="s">
        <v>3092</v>
      </c>
      <c r="BO452" s="17">
        <f t="shared" ca="1" si="7"/>
        <v>168.72010034722189</v>
      </c>
      <c r="BP452" t="b">
        <v>0</v>
      </c>
      <c r="BQ452">
        <v>1</v>
      </c>
      <c r="BR452" t="s">
        <v>1949</v>
      </c>
      <c r="BS452" t="s">
        <v>6201</v>
      </c>
      <c r="BT452" t="b">
        <v>0</v>
      </c>
      <c r="BV452" t="s">
        <v>1668</v>
      </c>
      <c r="BW452">
        <v>156</v>
      </c>
      <c r="BX452" t="s">
        <v>1881</v>
      </c>
      <c r="BY452">
        <v>0</v>
      </c>
      <c r="BZ452" t="s">
        <v>6221</v>
      </c>
      <c r="CA452">
        <v>1</v>
      </c>
      <c r="CB452" t="b">
        <v>1</v>
      </c>
      <c r="CC452">
        <v>0</v>
      </c>
      <c r="CD452" t="b">
        <v>0</v>
      </c>
      <c r="CE452" t="b">
        <v>0</v>
      </c>
      <c r="CF452" t="b">
        <v>1</v>
      </c>
      <c r="CG452" t="s">
        <v>1870</v>
      </c>
      <c r="CH452" t="s">
        <v>1681</v>
      </c>
      <c r="CI452" s="10">
        <v>440000</v>
      </c>
    </row>
    <row r="453" spans="1:90">
      <c r="A453">
        <v>27192184</v>
      </c>
      <c r="B453" s="2" t="str">
        <f>HYPERLINK("http://www.redfin.com/stingray/do/printable-listing?listing-id=1239735","Active")</f>
        <v>Active</v>
      </c>
      <c r="D453" t="s">
        <v>1077</v>
      </c>
      <c r="E453" t="s">
        <v>6035</v>
      </c>
      <c r="F453">
        <v>749888</v>
      </c>
      <c r="G453">
        <v>2007</v>
      </c>
      <c r="H453">
        <v>3016</v>
      </c>
      <c r="I453">
        <v>8710</v>
      </c>
      <c r="J453">
        <v>3</v>
      </c>
      <c r="K453">
        <v>2.75</v>
      </c>
      <c r="M453" s="2" t="str">
        <f>HYPERLINK("http://maps.live.com/default.aspx?v=2&amp;lvl=15&amp;sp=Point.47.514785_-122.2014_1202 N 26th St&amp;cp=47.514785~-122.2014","Map")</f>
        <v>Map</v>
      </c>
      <c r="N453" s="2" t="str">
        <f>HYPERLINK("http://i-0.rfimg.us/photo/1/bigphoto/184/27192184_0.jpg","Photo")</f>
        <v>Photo</v>
      </c>
      <c r="AG453">
        <v>47.514785000000003</v>
      </c>
      <c r="AH453">
        <v>-122.20140000000001</v>
      </c>
      <c r="AI453" t="s">
        <v>1077</v>
      </c>
      <c r="AJ453">
        <v>98056</v>
      </c>
      <c r="BC453" s="22">
        <v>39380.611550925925</v>
      </c>
      <c r="BI453" s="22">
        <v>39549.294907407406</v>
      </c>
      <c r="BL453">
        <v>14998</v>
      </c>
      <c r="BM453">
        <v>1239735</v>
      </c>
      <c r="BN453" t="s">
        <v>3062</v>
      </c>
      <c r="BO453" s="17">
        <f t="shared" ca="1" si="7"/>
        <v>168.69785497685371</v>
      </c>
      <c r="BP453" t="b">
        <v>0</v>
      </c>
      <c r="BQ453">
        <v>1</v>
      </c>
      <c r="BR453" t="s">
        <v>1686</v>
      </c>
      <c r="BS453" t="s">
        <v>1769</v>
      </c>
      <c r="BT453" t="b">
        <v>0</v>
      </c>
      <c r="BU453" t="s">
        <v>1712</v>
      </c>
      <c r="BV453" t="s">
        <v>1668</v>
      </c>
      <c r="BW453">
        <v>1202</v>
      </c>
      <c r="BY453">
        <v>12280260</v>
      </c>
      <c r="BZ453" t="s">
        <v>1676</v>
      </c>
      <c r="CA453">
        <v>1</v>
      </c>
      <c r="CB453" t="b">
        <v>1</v>
      </c>
      <c r="CC453">
        <v>0</v>
      </c>
      <c r="CD453" t="b">
        <v>0</v>
      </c>
      <c r="CE453" t="b">
        <v>0</v>
      </c>
      <c r="CF453" t="b">
        <v>1</v>
      </c>
      <c r="CG453">
        <v>15493083</v>
      </c>
      <c r="CH453" t="s">
        <v>1681</v>
      </c>
      <c r="CI453" s="10">
        <v>749888</v>
      </c>
    </row>
    <row r="454" spans="1:90">
      <c r="A454">
        <v>27192377</v>
      </c>
      <c r="B454" s="2" t="str">
        <f>HYPERLINK("http://www.redfin.com/stingray/do/printable-listing?listing-id=1240316","Active")</f>
        <v>Active</v>
      </c>
      <c r="D454" t="s">
        <v>55</v>
      </c>
      <c r="E454" t="s">
        <v>250</v>
      </c>
      <c r="F454">
        <v>500000</v>
      </c>
      <c r="G454">
        <v>1982</v>
      </c>
      <c r="H454">
        <v>2400</v>
      </c>
      <c r="I454">
        <v>0</v>
      </c>
      <c r="J454">
        <v>3</v>
      </c>
      <c r="K454">
        <v>2.5</v>
      </c>
      <c r="M454" s="2" t="str">
        <f>HYPERLINK("http://maps.live.com/default.aspx?v=2&amp;lvl=15&amp;sp=Point.47.699928_-122.363871_9709 6th Ave NW&amp;cp=47.699928~-122.363871","Map")</f>
        <v>Map</v>
      </c>
      <c r="N454" s="2" t="str">
        <f>HYPERLINK("http://i-0.rfimg.us/photo/1/bigphoto/377/27192377_2.jpg","Photo")</f>
        <v>Photo</v>
      </c>
      <c r="AG454">
        <v>47.699928</v>
      </c>
      <c r="AH454">
        <v>-122.363871</v>
      </c>
      <c r="AI454" t="s">
        <v>66</v>
      </c>
      <c r="AJ454">
        <v>98117</v>
      </c>
      <c r="AN454">
        <v>163000</v>
      </c>
      <c r="BC454" s="22">
        <v>39380.883275462962</v>
      </c>
      <c r="BI454" s="7">
        <v>39538</v>
      </c>
      <c r="BL454">
        <v>10000</v>
      </c>
      <c r="BM454">
        <v>1240316</v>
      </c>
      <c r="BN454" t="s">
        <v>1848</v>
      </c>
      <c r="BO454" s="17">
        <f t="shared" ca="1" si="7"/>
        <v>168.42613055555557</v>
      </c>
      <c r="BP454" t="b">
        <v>0</v>
      </c>
      <c r="BQ454">
        <v>1</v>
      </c>
      <c r="BR454" t="s">
        <v>1667</v>
      </c>
      <c r="BS454" t="s">
        <v>1739</v>
      </c>
      <c r="BT454" t="b">
        <v>0</v>
      </c>
      <c r="BV454" t="s">
        <v>1668</v>
      </c>
      <c r="BW454">
        <v>9709</v>
      </c>
      <c r="BX454" t="s">
        <v>1669</v>
      </c>
      <c r="BY454">
        <v>101268</v>
      </c>
      <c r="BZ454" t="s">
        <v>1849</v>
      </c>
      <c r="CA454">
        <v>1</v>
      </c>
      <c r="CB454" t="b">
        <v>1</v>
      </c>
      <c r="CC454">
        <v>0</v>
      </c>
      <c r="CD454" t="b">
        <v>0</v>
      </c>
      <c r="CE454" t="b">
        <v>0</v>
      </c>
      <c r="CF454" t="b">
        <v>1</v>
      </c>
      <c r="CG454">
        <v>2902517</v>
      </c>
      <c r="CH454" t="s">
        <v>1681</v>
      </c>
      <c r="CI454" s="10">
        <v>500000</v>
      </c>
      <c r="CJ454" s="7">
        <v>33540</v>
      </c>
    </row>
    <row r="455" spans="1:90">
      <c r="A455">
        <v>27192403</v>
      </c>
      <c r="B455" s="2" t="str">
        <f>HYPERLINK("http://www.redfin.com/stingray/do/printable-listing?listing-id=1240317","Active")</f>
        <v>Active</v>
      </c>
      <c r="D455" t="s">
        <v>3064</v>
      </c>
      <c r="E455" t="s">
        <v>4554</v>
      </c>
      <c r="F455">
        <v>449000</v>
      </c>
      <c r="G455">
        <v>1967</v>
      </c>
      <c r="H455">
        <v>2150</v>
      </c>
      <c r="I455">
        <v>0</v>
      </c>
      <c r="J455">
        <v>3</v>
      </c>
      <c r="K455">
        <v>2</v>
      </c>
      <c r="M455" s="2" t="str">
        <f>HYPERLINK("http://maps.live.com/default.aspx?v=2&amp;lvl=15&amp;sp=Point.47.719776_-122.187189_13305 115 Ave NE&amp;cp=47.719776~-122.187189","Map")</f>
        <v>Map</v>
      </c>
      <c r="N455" s="2" t="str">
        <f>HYPERLINK("http://i-0.rfimg.us/photo/1/bigphoto/403/27192403_0.jpg","Photo")</f>
        <v>Photo</v>
      </c>
      <c r="AG455">
        <v>47.719776000000003</v>
      </c>
      <c r="AH455">
        <v>-122.187189</v>
      </c>
      <c r="AI455" t="s">
        <v>1058</v>
      </c>
      <c r="AJ455">
        <v>98034</v>
      </c>
      <c r="AN455">
        <v>300000</v>
      </c>
      <c r="BC455" s="22">
        <v>39380.883425925924</v>
      </c>
      <c r="BI455" s="7">
        <v>39533</v>
      </c>
      <c r="BL455">
        <v>8980</v>
      </c>
      <c r="BM455">
        <v>1240317</v>
      </c>
      <c r="BN455" t="s">
        <v>1737</v>
      </c>
      <c r="BO455" s="17">
        <f t="shared" ca="1" si="7"/>
        <v>168.42597997685516</v>
      </c>
      <c r="BP455" t="b">
        <v>0</v>
      </c>
      <c r="BQ455">
        <v>1</v>
      </c>
      <c r="BR455" t="s">
        <v>1667</v>
      </c>
      <c r="BS455">
        <v>115</v>
      </c>
      <c r="BT455" t="b">
        <v>0</v>
      </c>
      <c r="BV455" t="s">
        <v>1668</v>
      </c>
      <c r="BW455">
        <v>13305</v>
      </c>
      <c r="BX455" t="s">
        <v>1738</v>
      </c>
      <c r="BY455">
        <v>454895</v>
      </c>
      <c r="BZ455" t="s">
        <v>1696</v>
      </c>
      <c r="CA455">
        <v>1</v>
      </c>
      <c r="CB455" t="b">
        <v>1</v>
      </c>
      <c r="CC455">
        <v>0</v>
      </c>
      <c r="CD455" t="b">
        <v>0</v>
      </c>
      <c r="CE455" t="b">
        <v>0</v>
      </c>
      <c r="CF455" t="b">
        <v>1</v>
      </c>
      <c r="CG455">
        <v>2385788</v>
      </c>
      <c r="CH455" t="s">
        <v>1681</v>
      </c>
      <c r="CI455" s="10">
        <v>449000</v>
      </c>
      <c r="CJ455" s="7">
        <v>37984</v>
      </c>
    </row>
    <row r="456" spans="1:90">
      <c r="A456">
        <v>27192796</v>
      </c>
      <c r="B456" s="2" t="str">
        <f>HYPERLINK("http://www.redfin.com/stingray/do/printable-listing?listing-id=1242489","Active")</f>
        <v>Active</v>
      </c>
      <c r="D456" t="s">
        <v>4663</v>
      </c>
      <c r="E456" t="s">
        <v>4936</v>
      </c>
      <c r="F456">
        <v>979000</v>
      </c>
      <c r="G456">
        <v>1955</v>
      </c>
      <c r="H456">
        <v>2500</v>
      </c>
      <c r="I456">
        <v>35802</v>
      </c>
      <c r="J456">
        <v>4</v>
      </c>
      <c r="K456">
        <v>2.75</v>
      </c>
      <c r="M456" s="2" t="str">
        <f>HYPERLINK("http://maps.live.com/default.aspx?v=2&amp;lvl=15&amp;sp=Point.47.648814_-122.153019_4230 140th Ave NE&amp;cp=47.648814~-122.153019","Map")</f>
        <v>Map</v>
      </c>
      <c r="N456" s="2" t="str">
        <f>HYPERLINK("http://i-0.rfimg.us/photo/1/bigphoto/796/27192796_6.jpg","Photo")</f>
        <v>Photo</v>
      </c>
      <c r="AG456">
        <v>47.648814000000002</v>
      </c>
      <c r="AH456">
        <v>-122.153019</v>
      </c>
      <c r="AI456" t="s">
        <v>369</v>
      </c>
      <c r="AJ456">
        <v>98005</v>
      </c>
      <c r="AN456">
        <v>419000</v>
      </c>
      <c r="BC456" s="22">
        <v>39381.618414351855</v>
      </c>
      <c r="BI456" s="22">
        <v>39549.294907407406</v>
      </c>
      <c r="BL456">
        <v>19580</v>
      </c>
      <c r="BM456">
        <v>1242489</v>
      </c>
      <c r="BN456" t="s">
        <v>1868</v>
      </c>
      <c r="BO456" s="17">
        <f t="shared" ca="1" si="7"/>
        <v>167.69099155092408</v>
      </c>
      <c r="BP456" t="b">
        <v>0</v>
      </c>
      <c r="BQ456">
        <v>1</v>
      </c>
      <c r="BR456" t="s">
        <v>1667</v>
      </c>
      <c r="BS456" t="s">
        <v>4434</v>
      </c>
      <c r="BT456" t="b">
        <v>0</v>
      </c>
      <c r="BV456" t="s">
        <v>1668</v>
      </c>
      <c r="BW456">
        <v>4230</v>
      </c>
      <c r="BX456" t="s">
        <v>1738</v>
      </c>
      <c r="BY456">
        <v>430987</v>
      </c>
      <c r="BZ456" s="21">
        <v>6.9444444444444447E-4</v>
      </c>
      <c r="CA456">
        <v>1</v>
      </c>
      <c r="CB456" t="b">
        <v>1</v>
      </c>
      <c r="CC456">
        <v>0</v>
      </c>
      <c r="CD456" t="b">
        <v>0</v>
      </c>
      <c r="CE456" t="b">
        <v>0</v>
      </c>
      <c r="CF456" t="b">
        <v>1</v>
      </c>
      <c r="CG456">
        <v>2635581</v>
      </c>
      <c r="CH456" t="s">
        <v>1681</v>
      </c>
      <c r="CI456" s="10">
        <v>979000</v>
      </c>
      <c r="CJ456" s="7">
        <v>37361</v>
      </c>
    </row>
    <row r="457" spans="1:90">
      <c r="A457">
        <v>27192926</v>
      </c>
      <c r="B457" s="2" t="str">
        <f>HYPERLINK("http://www.redfin.com/stingray/do/printable-listing?listing-id=1243078","Active")</f>
        <v>Active</v>
      </c>
      <c r="D457" t="s">
        <v>5606</v>
      </c>
      <c r="E457" t="s">
        <v>5726</v>
      </c>
      <c r="F457">
        <v>1150000</v>
      </c>
      <c r="G457">
        <v>1963</v>
      </c>
      <c r="H457">
        <v>3100</v>
      </c>
      <c r="I457">
        <v>18200</v>
      </c>
      <c r="J457">
        <v>5</v>
      </c>
      <c r="K457">
        <v>2.75</v>
      </c>
      <c r="M457" s="2" t="str">
        <f>HYPERLINK("http://maps.live.com/default.aspx?v=2&amp;lvl=15&amp;sp=Point.47.547484_-122.218434_6140 90th Ave SE&amp;cp=47.547484~-122.218434","Map")</f>
        <v>Map</v>
      </c>
      <c r="N457" s="2" t="str">
        <f>HYPERLINK("http://i-0.rfimg.us/photo/1/bigphoto/926/27192926_5.jpg","Photo")</f>
        <v>Photo</v>
      </c>
      <c r="AG457">
        <v>47.547483999999997</v>
      </c>
      <c r="AH457">
        <v>-122.218434</v>
      </c>
      <c r="AI457" t="s">
        <v>5139</v>
      </c>
      <c r="AJ457">
        <v>98040</v>
      </c>
      <c r="AN457">
        <v>850000</v>
      </c>
      <c r="BC457" s="22">
        <v>39381.75571759259</v>
      </c>
      <c r="BI457" s="22">
        <v>39549.294907407406</v>
      </c>
      <c r="BL457">
        <v>23000</v>
      </c>
      <c r="BM457">
        <v>1243078</v>
      </c>
      <c r="BN457" t="s">
        <v>1674</v>
      </c>
      <c r="BO457" s="17">
        <f t="shared" ca="1" si="7"/>
        <v>167.55368831018859</v>
      </c>
      <c r="BP457" t="b">
        <v>0</v>
      </c>
      <c r="BQ457">
        <v>1</v>
      </c>
      <c r="BR457" t="s">
        <v>1667</v>
      </c>
      <c r="BS457" t="s">
        <v>1761</v>
      </c>
      <c r="BT457" t="b">
        <v>0</v>
      </c>
      <c r="BV457" t="s">
        <v>1668</v>
      </c>
      <c r="BW457">
        <v>6140</v>
      </c>
      <c r="BX457" t="s">
        <v>3856</v>
      </c>
      <c r="BY457">
        <v>255206</v>
      </c>
      <c r="BZ457" t="s">
        <v>5727</v>
      </c>
      <c r="CA457">
        <v>1</v>
      </c>
      <c r="CB457" t="b">
        <v>1</v>
      </c>
      <c r="CC457">
        <v>0</v>
      </c>
      <c r="CD457" t="b">
        <v>0</v>
      </c>
      <c r="CE457" t="b">
        <v>0</v>
      </c>
      <c r="CF457" t="b">
        <v>1</v>
      </c>
      <c r="CG457">
        <v>2867674</v>
      </c>
      <c r="CH457" t="s">
        <v>1681</v>
      </c>
      <c r="CI457" s="10">
        <v>1150000</v>
      </c>
      <c r="CJ457" s="7">
        <v>38307</v>
      </c>
    </row>
    <row r="458" spans="1:90">
      <c r="A458">
        <v>27192938</v>
      </c>
      <c r="B458" s="2" t="str">
        <f>HYPERLINK("http://www.redfin.com/stingray/do/printable-listing?listing-id=1243859","Active")</f>
        <v>Active</v>
      </c>
      <c r="D458" t="s">
        <v>3089</v>
      </c>
      <c r="E458" t="s">
        <v>3131</v>
      </c>
      <c r="F458">
        <v>1275000</v>
      </c>
      <c r="G458">
        <v>2007</v>
      </c>
      <c r="H458">
        <v>3824</v>
      </c>
      <c r="I458">
        <v>5000</v>
      </c>
      <c r="J458">
        <v>4</v>
      </c>
      <c r="K458">
        <v>3.5</v>
      </c>
      <c r="M458" s="2" t="str">
        <f>HYPERLINK("http://maps.live.com/default.aspx?v=2&amp;lvl=15&amp;sp=Point.47.66644_-122.277684_5113 47th Ave NE&amp;cp=47.66644~-122.277684","Map")</f>
        <v>Map</v>
      </c>
      <c r="N458" s="2" t="str">
        <f>HYPERLINK("http://i-0.rfimg.us/photo/1/bigphoto/938/27192938_2.jpg","Photo")</f>
        <v>Photo</v>
      </c>
      <c r="AG458">
        <v>47.666440000000001</v>
      </c>
      <c r="AH458">
        <v>-122.27768399999999</v>
      </c>
      <c r="AI458" t="s">
        <v>66</v>
      </c>
      <c r="AJ458">
        <v>98105</v>
      </c>
      <c r="AN458">
        <v>411000</v>
      </c>
      <c r="BC458" s="22">
        <v>39382.254340277781</v>
      </c>
      <c r="BI458" s="22">
        <v>39549.294907407406</v>
      </c>
      <c r="BL458">
        <v>25500</v>
      </c>
      <c r="BM458">
        <v>1243859</v>
      </c>
      <c r="BN458" t="s">
        <v>1685</v>
      </c>
      <c r="BO458" s="17">
        <f t="shared" ca="1" si="7"/>
        <v>167.05506562499795</v>
      </c>
      <c r="BP458" t="b">
        <v>0</v>
      </c>
      <c r="BQ458">
        <v>1</v>
      </c>
      <c r="BR458" t="s">
        <v>1667</v>
      </c>
      <c r="BS458" t="s">
        <v>2453</v>
      </c>
      <c r="BT458" t="b">
        <v>0</v>
      </c>
      <c r="BV458" t="s">
        <v>1668</v>
      </c>
      <c r="BW458">
        <v>5113</v>
      </c>
      <c r="BX458" t="s">
        <v>1738</v>
      </c>
      <c r="BY458">
        <v>120727</v>
      </c>
      <c r="BZ458" t="s">
        <v>1730</v>
      </c>
      <c r="CA458">
        <v>1</v>
      </c>
      <c r="CB458" t="b">
        <v>1</v>
      </c>
      <c r="CC458">
        <v>0</v>
      </c>
      <c r="CD458" t="b">
        <v>0</v>
      </c>
      <c r="CE458" t="b">
        <v>0</v>
      </c>
      <c r="CF458" t="b">
        <v>1</v>
      </c>
      <c r="CG458">
        <v>2467839</v>
      </c>
      <c r="CH458" t="s">
        <v>1681</v>
      </c>
      <c r="CI458" s="10">
        <v>1275000</v>
      </c>
      <c r="CJ458" s="7">
        <v>38398</v>
      </c>
    </row>
    <row r="459" spans="1:90">
      <c r="A459">
        <v>27192998</v>
      </c>
      <c r="B459" s="2" t="str">
        <f>HYPERLINK("http://www.redfin.com/stingray/do/printable-listing?listing-id=1244661","Active")</f>
        <v>Active</v>
      </c>
      <c r="D459" t="s">
        <v>42</v>
      </c>
      <c r="E459" t="s">
        <v>123</v>
      </c>
      <c r="F459">
        <v>339500</v>
      </c>
      <c r="G459">
        <v>1950</v>
      </c>
      <c r="H459">
        <v>0</v>
      </c>
      <c r="I459">
        <v>6408</v>
      </c>
      <c r="J459">
        <v>2</v>
      </c>
      <c r="K459">
        <v>1</v>
      </c>
      <c r="M459" s="2" t="str">
        <f>HYPERLINK("http://maps.live.com/default.aspx?v=2&amp;lvl=15&amp;sp=Point.47.717185_-122.340667_1322 N 122nd St&amp;cp=47.717185~-122.340667","Map")</f>
        <v>Map</v>
      </c>
      <c r="N459" s="2" t="str">
        <f>HYPERLINK("http://i-0.rfimg.us/photo/1/bigphoto/998/27192998_3.jpg","Photo")</f>
        <v>Photo</v>
      </c>
      <c r="AG459">
        <v>47.717185000000001</v>
      </c>
      <c r="AH459">
        <v>-122.340667</v>
      </c>
      <c r="AI459" t="s">
        <v>66</v>
      </c>
      <c r="AJ459">
        <v>98133</v>
      </c>
      <c r="AN459">
        <v>190000</v>
      </c>
      <c r="BC459" s="22">
        <v>39382.547453703701</v>
      </c>
      <c r="BI459" s="22">
        <v>39549.294907407406</v>
      </c>
      <c r="BL459">
        <v>6790</v>
      </c>
      <c r="BM459">
        <v>1244661</v>
      </c>
      <c r="BN459" t="s">
        <v>1710</v>
      </c>
      <c r="BO459" s="17">
        <f t="shared" ca="1" si="7"/>
        <v>166.76195231481688</v>
      </c>
      <c r="BP459" t="b">
        <v>0</v>
      </c>
      <c r="BQ459">
        <v>1</v>
      </c>
      <c r="BR459" t="s">
        <v>1686</v>
      </c>
      <c r="BS459" t="s">
        <v>2672</v>
      </c>
      <c r="BT459" t="b">
        <v>0</v>
      </c>
      <c r="BU459" t="s">
        <v>1712</v>
      </c>
      <c r="BV459" t="s">
        <v>1668</v>
      </c>
      <c r="BW459">
        <v>1322</v>
      </c>
      <c r="BY459">
        <v>103576</v>
      </c>
      <c r="BZ459" t="s">
        <v>2673</v>
      </c>
      <c r="CA459">
        <v>1</v>
      </c>
      <c r="CB459" t="b">
        <v>1</v>
      </c>
      <c r="CC459">
        <v>0</v>
      </c>
      <c r="CD459" t="b">
        <v>0</v>
      </c>
      <c r="CE459" t="b">
        <v>0</v>
      </c>
      <c r="CF459" t="b">
        <v>1</v>
      </c>
      <c r="CG459">
        <v>2906032</v>
      </c>
      <c r="CH459" t="s">
        <v>1681</v>
      </c>
      <c r="CI459" s="10">
        <v>339500</v>
      </c>
      <c r="CJ459" s="7">
        <v>39304</v>
      </c>
    </row>
    <row r="460" spans="1:90">
      <c r="A460">
        <v>27193030</v>
      </c>
      <c r="B460" s="2" t="str">
        <f>HYPERLINK("http://www.redfin.com/stingray/do/printable-listing?listing-id=1244513","Active")</f>
        <v>Active</v>
      </c>
      <c r="D460" t="s">
        <v>3249</v>
      </c>
      <c r="E460" t="s">
        <v>3558</v>
      </c>
      <c r="F460">
        <v>1050000</v>
      </c>
      <c r="G460">
        <v>2007</v>
      </c>
      <c r="H460">
        <v>0</v>
      </c>
      <c r="I460">
        <v>0</v>
      </c>
      <c r="J460">
        <v>3</v>
      </c>
      <c r="K460">
        <v>3.5</v>
      </c>
      <c r="M460" s="2" t="str">
        <f>HYPERLINK("http://maps.live.com/default.aspx?v=2&amp;lvl=15&amp;sp=Point.47.642537_-122.365913_2564 7th Ave W&amp;cp=47.642537~-122.365913","Map")</f>
        <v>Map</v>
      </c>
      <c r="N460" s="2" t="str">
        <f>HYPERLINK("http://i-0.rfimg.us/photo/1/bigphoto/030/27193030_3.jpg","Photo")</f>
        <v>Photo</v>
      </c>
      <c r="AG460">
        <v>47.642536999999997</v>
      </c>
      <c r="AH460">
        <v>-122.36591300000001</v>
      </c>
      <c r="AI460" t="s">
        <v>66</v>
      </c>
      <c r="AJ460">
        <v>98119</v>
      </c>
      <c r="AN460">
        <v>995000</v>
      </c>
      <c r="BC460" s="22">
        <v>39382.43204861111</v>
      </c>
      <c r="BI460" s="22">
        <v>39549.294907407406</v>
      </c>
      <c r="BL460">
        <v>21000</v>
      </c>
      <c r="BM460">
        <v>1244513</v>
      </c>
      <c r="BN460" t="s">
        <v>3286</v>
      </c>
      <c r="BO460" s="17">
        <f t="shared" ca="1" si="7"/>
        <v>166.87735729166889</v>
      </c>
      <c r="BP460" t="b">
        <v>0</v>
      </c>
      <c r="BQ460">
        <v>1</v>
      </c>
      <c r="BR460" t="s">
        <v>1667</v>
      </c>
      <c r="BS460" t="s">
        <v>1859</v>
      </c>
      <c r="BT460" t="b">
        <v>0</v>
      </c>
      <c r="BV460" t="s">
        <v>1668</v>
      </c>
      <c r="BW460">
        <v>2564</v>
      </c>
      <c r="BX460" t="s">
        <v>2423</v>
      </c>
      <c r="BY460">
        <v>130103</v>
      </c>
      <c r="BZ460" t="s">
        <v>3559</v>
      </c>
      <c r="CA460">
        <v>1</v>
      </c>
      <c r="CB460" t="b">
        <v>1</v>
      </c>
      <c r="CC460">
        <v>0</v>
      </c>
      <c r="CD460" t="b">
        <v>0</v>
      </c>
      <c r="CE460" t="b">
        <v>0</v>
      </c>
      <c r="CF460" t="b">
        <v>1</v>
      </c>
      <c r="CG460">
        <v>2444158</v>
      </c>
      <c r="CH460" t="s">
        <v>1681</v>
      </c>
      <c r="CI460" s="10">
        <v>1050000</v>
      </c>
      <c r="CJ460" s="7">
        <v>39381</v>
      </c>
    </row>
    <row r="461" spans="1:90">
      <c r="A461">
        <v>27193169</v>
      </c>
      <c r="B461" s="15" t="str">
        <f>HYPERLINK("http://www.redfin.com/stingray/do/printable-listing?listing-id=1267530","Subject To Inspection")</f>
        <v>Subject To Inspection</v>
      </c>
      <c r="D461" t="s">
        <v>194</v>
      </c>
      <c r="E461" t="s">
        <v>2819</v>
      </c>
      <c r="F461">
        <v>975000</v>
      </c>
      <c r="G461">
        <v>2007</v>
      </c>
      <c r="H461">
        <v>3122</v>
      </c>
      <c r="I461">
        <v>7200</v>
      </c>
      <c r="J461">
        <v>4</v>
      </c>
      <c r="K461">
        <v>2.5</v>
      </c>
      <c r="M461" s="2" t="str">
        <f>HYPERLINK("http://maps.live.com/default.aspx?v=2&amp;lvl=15&amp;sp=Point.47.694592_-122.299643_2545 NE 91St St&amp;cp=47.694592~-122.299643","Map")</f>
        <v>Map</v>
      </c>
      <c r="N461" s="2" t="str">
        <f>HYPERLINK("http://i-0.rfimg.us/photo/1/bigphoto/169/27193169_1.jpg","Photo")</f>
        <v>Photo</v>
      </c>
      <c r="AG461">
        <v>47.694592</v>
      </c>
      <c r="AH461">
        <v>-122.299643</v>
      </c>
      <c r="AI461" t="s">
        <v>66</v>
      </c>
      <c r="AJ461">
        <v>98115</v>
      </c>
      <c r="BC461" s="22">
        <v>39389.590254629627</v>
      </c>
      <c r="BI461" s="22">
        <v>39549.294907407406</v>
      </c>
      <c r="BL461">
        <v>19500</v>
      </c>
      <c r="BM461">
        <v>1267530</v>
      </c>
      <c r="BN461" t="s">
        <v>1710</v>
      </c>
      <c r="BO461" s="17">
        <f t="shared" ca="1" si="7"/>
        <v>159.71915127315151</v>
      </c>
      <c r="BP461" t="b">
        <v>0</v>
      </c>
      <c r="BQ461">
        <v>1</v>
      </c>
      <c r="BR461" t="s">
        <v>1686</v>
      </c>
      <c r="BS461" t="s">
        <v>2820</v>
      </c>
      <c r="BT461" t="b">
        <v>0</v>
      </c>
      <c r="BU461" t="s">
        <v>1738</v>
      </c>
      <c r="BV461" t="s">
        <v>1668</v>
      </c>
      <c r="BW461">
        <v>2545</v>
      </c>
      <c r="BY461">
        <v>12304927</v>
      </c>
      <c r="BZ461" t="s">
        <v>2821</v>
      </c>
      <c r="CA461">
        <v>1</v>
      </c>
      <c r="CB461" t="b">
        <v>1</v>
      </c>
      <c r="CC461">
        <v>0</v>
      </c>
      <c r="CD461" t="b">
        <v>0</v>
      </c>
      <c r="CE461" t="b">
        <v>0</v>
      </c>
      <c r="CF461" t="b">
        <v>1</v>
      </c>
      <c r="CG461">
        <v>15511860</v>
      </c>
      <c r="CH461" t="s">
        <v>1681</v>
      </c>
      <c r="CI461" s="10">
        <v>975000</v>
      </c>
    </row>
    <row r="462" spans="1:90">
      <c r="A462">
        <v>27193215</v>
      </c>
      <c r="B462" s="2" t="str">
        <f>HYPERLINK("http://www.redfin.com/stingray/do/printable-listing?listing-id=1246085","Active")</f>
        <v>Active</v>
      </c>
      <c r="D462" t="s">
        <v>2552</v>
      </c>
      <c r="E462" t="s">
        <v>3540</v>
      </c>
      <c r="F462">
        <v>4250000</v>
      </c>
      <c r="G462">
        <v>1909</v>
      </c>
      <c r="H462">
        <v>9847</v>
      </c>
      <c r="I462">
        <v>11464</v>
      </c>
      <c r="J462">
        <v>7</v>
      </c>
      <c r="K462">
        <v>5.75</v>
      </c>
      <c r="M462" s="2" t="str">
        <f>HYPERLINK("http://maps.live.com/default.aspx?v=2&amp;lvl=15&amp;sp=Point.47.632559_-122.392724_2720 W Galer St&amp;cp=47.632559~-122.392724","Map")</f>
        <v>Map</v>
      </c>
      <c r="N462" s="2" t="str">
        <f>HYPERLINK("http://i-0.rfimg.us/photo/1/bigphoto/215/27193215_0.jpg","Photo")</f>
        <v>Photo</v>
      </c>
      <c r="AG462">
        <v>47.632559000000001</v>
      </c>
      <c r="AH462">
        <v>-122.392724</v>
      </c>
      <c r="AI462" t="s">
        <v>66</v>
      </c>
      <c r="AJ462">
        <v>98199</v>
      </c>
      <c r="AN462">
        <v>920000</v>
      </c>
      <c r="BC462" s="22">
        <v>39384.004814814813</v>
      </c>
      <c r="BI462" s="22">
        <v>39549.294907407406</v>
      </c>
      <c r="BL462">
        <v>85000</v>
      </c>
      <c r="BM462">
        <v>1246085</v>
      </c>
      <c r="BN462" t="s">
        <v>1766</v>
      </c>
      <c r="BO462" s="17">
        <f t="shared" ca="1" si="7"/>
        <v>165.3045910879664</v>
      </c>
      <c r="BP462" t="b">
        <v>0</v>
      </c>
      <c r="BQ462">
        <v>1</v>
      </c>
      <c r="BR462" t="s">
        <v>1686</v>
      </c>
      <c r="BS462" t="s">
        <v>3373</v>
      </c>
      <c r="BT462" t="b">
        <v>0</v>
      </c>
      <c r="BU462" t="s">
        <v>2423</v>
      </c>
      <c r="BV462" t="s">
        <v>1668</v>
      </c>
      <c r="BW462">
        <v>2720</v>
      </c>
      <c r="BY462">
        <v>126301</v>
      </c>
      <c r="BZ462" t="s">
        <v>1672</v>
      </c>
      <c r="CA462">
        <v>1</v>
      </c>
      <c r="CB462" t="b">
        <v>1</v>
      </c>
      <c r="CC462">
        <v>0</v>
      </c>
      <c r="CD462" t="b">
        <v>0</v>
      </c>
      <c r="CE462" t="b">
        <v>0</v>
      </c>
      <c r="CF462" t="b">
        <v>1</v>
      </c>
      <c r="CG462">
        <v>2990087</v>
      </c>
      <c r="CH462" t="s">
        <v>1681</v>
      </c>
      <c r="CI462" s="10">
        <v>4250000</v>
      </c>
      <c r="CJ462" s="7">
        <v>33382</v>
      </c>
    </row>
    <row r="463" spans="1:90">
      <c r="A463">
        <v>27193264</v>
      </c>
      <c r="B463" s="2" t="str">
        <f>HYPERLINK("http://www.redfin.com/stingray/do/printable-listing?listing-id=1266263","Active")</f>
        <v>Active</v>
      </c>
      <c r="D463" t="s">
        <v>2552</v>
      </c>
      <c r="E463" t="s">
        <v>3519</v>
      </c>
      <c r="F463">
        <v>799000</v>
      </c>
      <c r="G463">
        <v>1937</v>
      </c>
      <c r="H463">
        <v>3290</v>
      </c>
      <c r="I463">
        <v>6000</v>
      </c>
      <c r="J463">
        <v>3</v>
      </c>
      <c r="K463">
        <v>1.75</v>
      </c>
      <c r="M463" s="2" t="str">
        <f>HYPERLINK("http://maps.live.com/default.aspx?v=2&amp;lvl=15&amp;sp=Point.47.645422_-122.394657_2825 29th Ave W&amp;cp=47.645422~-122.394657","Map")</f>
        <v>Map</v>
      </c>
      <c r="N463" s="2" t="str">
        <f>HYPERLINK("http://i-0.rfimg.us/photo/1/bigphoto/264/27193264_0.jpg","Photo")</f>
        <v>Photo</v>
      </c>
      <c r="AG463">
        <v>47.645422000000003</v>
      </c>
      <c r="AH463">
        <v>-122.394657</v>
      </c>
      <c r="AI463" t="s">
        <v>66</v>
      </c>
      <c r="AJ463">
        <v>98199</v>
      </c>
      <c r="BC463" s="22">
        <v>39389.004837962966</v>
      </c>
      <c r="BI463" s="22">
        <v>39549.294907407406</v>
      </c>
      <c r="BL463">
        <v>15980</v>
      </c>
      <c r="BM463">
        <v>1266263</v>
      </c>
      <c r="BN463" t="s">
        <v>1674</v>
      </c>
      <c r="BO463" s="17">
        <f t="shared" ca="1" si="7"/>
        <v>160.30456793981284</v>
      </c>
      <c r="BP463" t="b">
        <v>0</v>
      </c>
      <c r="BQ463">
        <v>1</v>
      </c>
      <c r="BR463" t="s">
        <v>1667</v>
      </c>
      <c r="BS463" t="s">
        <v>1772</v>
      </c>
      <c r="BT463" t="b">
        <v>0</v>
      </c>
      <c r="BV463" t="s">
        <v>1668</v>
      </c>
      <c r="BW463">
        <v>2825</v>
      </c>
      <c r="BX463" t="s">
        <v>2423</v>
      </c>
      <c r="BY463">
        <v>127440</v>
      </c>
      <c r="BZ463" t="s">
        <v>1745</v>
      </c>
      <c r="CA463">
        <v>1</v>
      </c>
      <c r="CB463" t="b">
        <v>1</v>
      </c>
      <c r="CC463">
        <v>0</v>
      </c>
      <c r="CD463" t="b">
        <v>0</v>
      </c>
      <c r="CE463" t="b">
        <v>0</v>
      </c>
      <c r="CF463" t="b">
        <v>1</v>
      </c>
      <c r="CG463">
        <v>2796331</v>
      </c>
      <c r="CH463" t="s">
        <v>1681</v>
      </c>
      <c r="CI463" s="10">
        <v>799000</v>
      </c>
    </row>
    <row r="464" spans="1:90">
      <c r="A464">
        <v>27193417</v>
      </c>
      <c r="B464" s="2" t="str">
        <f>HYPERLINK("http://www.redfin.com/stingray/do/printable-listing?listing-id=1253649","Active")</f>
        <v>Active</v>
      </c>
      <c r="D464" t="s">
        <v>3249</v>
      </c>
      <c r="E464" t="s">
        <v>3554</v>
      </c>
      <c r="F464" s="19">
        <v>1450000</v>
      </c>
      <c r="G464">
        <v>2007</v>
      </c>
      <c r="H464">
        <v>0</v>
      </c>
      <c r="I464">
        <v>0</v>
      </c>
      <c r="J464">
        <v>5</v>
      </c>
      <c r="K464">
        <v>4</v>
      </c>
      <c r="M464" s="2" t="str">
        <f>HYPERLINK("http://maps.live.com/default.aspx?v=2&amp;lvl=15&amp;sp=Point.47.634577_-122.36397_1633 5th Ave W&amp;cp=47.634577~-122.36397","Map")</f>
        <v>Map</v>
      </c>
      <c r="N464" s="2" t="str">
        <f>HYPERLINK("http://i-0.rfimg.us/photo/1/bigphoto/417/27193417_1.jpg","Photo")</f>
        <v>Photo</v>
      </c>
      <c r="AG464">
        <v>47.634577</v>
      </c>
      <c r="AH464">
        <v>-122.36396999999999</v>
      </c>
      <c r="AI464" t="s">
        <v>66</v>
      </c>
      <c r="AJ464">
        <v>98119</v>
      </c>
      <c r="BC464" s="22">
        <v>39385.005185185182</v>
      </c>
      <c r="BI464" s="22">
        <v>39549.294907407406</v>
      </c>
      <c r="BL464">
        <v>29900</v>
      </c>
      <c r="BM464">
        <v>1253649</v>
      </c>
      <c r="BN464" t="s">
        <v>1749</v>
      </c>
      <c r="BO464" s="17">
        <f t="shared" ca="1" si="7"/>
        <v>164.30422071759676</v>
      </c>
      <c r="BP464" t="b">
        <v>0</v>
      </c>
      <c r="BQ464">
        <v>1</v>
      </c>
      <c r="BR464" t="s">
        <v>1667</v>
      </c>
      <c r="BS464" t="s">
        <v>1832</v>
      </c>
      <c r="BT464" t="b">
        <v>0</v>
      </c>
      <c r="BV464" t="s">
        <v>1668</v>
      </c>
      <c r="BW464">
        <v>1633</v>
      </c>
      <c r="BX464" t="s">
        <v>2423</v>
      </c>
      <c r="BY464">
        <v>132785</v>
      </c>
      <c r="BZ464" t="s">
        <v>3350</v>
      </c>
      <c r="CA464">
        <v>1</v>
      </c>
      <c r="CB464" t="b">
        <v>1</v>
      </c>
      <c r="CC464">
        <v>0</v>
      </c>
      <c r="CD464" t="b">
        <v>0</v>
      </c>
      <c r="CE464" t="b">
        <v>0</v>
      </c>
      <c r="CF464" t="b">
        <v>1</v>
      </c>
      <c r="CG464">
        <v>2629761</v>
      </c>
      <c r="CH464" t="s">
        <v>1681</v>
      </c>
      <c r="CI464" s="10">
        <v>1495000</v>
      </c>
    </row>
    <row r="465" spans="1:88">
      <c r="A465">
        <v>27193712</v>
      </c>
      <c r="B465" s="2" t="str">
        <f>HYPERLINK("http://www.redfin.com/stingray/do/printable-listing?listing-id=1263515","Active")</f>
        <v>Active</v>
      </c>
      <c r="D465" t="s">
        <v>5490</v>
      </c>
      <c r="E465" t="s">
        <v>5882</v>
      </c>
      <c r="F465">
        <v>999950</v>
      </c>
      <c r="G465">
        <v>2000</v>
      </c>
      <c r="H465">
        <v>4008</v>
      </c>
      <c r="I465">
        <v>8072</v>
      </c>
      <c r="J465">
        <v>3</v>
      </c>
      <c r="K465">
        <v>3.5</v>
      </c>
      <c r="M465" s="2" t="str">
        <f>HYPERLINK("http://maps.live.com/default.aspx?v=2&amp;lvl=15&amp;sp=Point.47.564569_-122.127066_4540 160th Ave SE&amp;cp=47.564569~-122.127066","Map")</f>
        <v>Map</v>
      </c>
      <c r="N465" s="2" t="str">
        <f>HYPERLINK("http://i-0.rfimg.us/photo/1/bigphoto/712/27193712_2.jpg","Photo")</f>
        <v>Photo</v>
      </c>
      <c r="AG465">
        <v>47.564568999999999</v>
      </c>
      <c r="AH465">
        <v>-122.127066</v>
      </c>
      <c r="AI465" t="s">
        <v>5280</v>
      </c>
      <c r="AJ465">
        <v>98027</v>
      </c>
      <c r="AN465">
        <v>628970</v>
      </c>
      <c r="BC465" s="22">
        <v>39388.171099537038</v>
      </c>
      <c r="BI465" s="7">
        <v>39538</v>
      </c>
      <c r="BL465">
        <v>19999</v>
      </c>
      <c r="BM465">
        <v>1263515</v>
      </c>
      <c r="BN465" t="s">
        <v>2203</v>
      </c>
      <c r="BO465" s="17">
        <f t="shared" ca="1" si="7"/>
        <v>161.1383063657413</v>
      </c>
      <c r="BP465" t="b">
        <v>0</v>
      </c>
      <c r="BQ465">
        <v>1</v>
      </c>
      <c r="BR465" t="s">
        <v>1667</v>
      </c>
      <c r="BS465" t="s">
        <v>5230</v>
      </c>
      <c r="BT465" t="b">
        <v>0</v>
      </c>
      <c r="BV465" t="s">
        <v>1668</v>
      </c>
      <c r="BW465">
        <v>4540</v>
      </c>
      <c r="BX465" t="s">
        <v>3856</v>
      </c>
      <c r="BY465">
        <v>238792</v>
      </c>
      <c r="BZ465" t="s">
        <v>5883</v>
      </c>
      <c r="CA465">
        <v>1</v>
      </c>
      <c r="CB465" t="b">
        <v>1</v>
      </c>
      <c r="CC465">
        <v>0</v>
      </c>
      <c r="CD465" t="b">
        <v>0</v>
      </c>
      <c r="CE465" t="b">
        <v>0</v>
      </c>
      <c r="CF465" t="b">
        <v>1</v>
      </c>
      <c r="CG465">
        <v>2471823</v>
      </c>
      <c r="CH465" t="s">
        <v>1681</v>
      </c>
      <c r="CI465" s="10">
        <v>999950</v>
      </c>
      <c r="CJ465" s="7">
        <v>36698</v>
      </c>
    </row>
    <row r="466" spans="1:88">
      <c r="A466">
        <v>27193772</v>
      </c>
      <c r="B466" s="2" t="str">
        <f>HYPERLINK("http://www.redfin.com/stingray/do/printable-listing?listing-id=1253085","Active")</f>
        <v>Active</v>
      </c>
      <c r="D466" t="s">
        <v>3885</v>
      </c>
      <c r="E466" t="s">
        <v>5844</v>
      </c>
      <c r="F466">
        <v>999950</v>
      </c>
      <c r="G466">
        <v>1994</v>
      </c>
      <c r="H466">
        <v>3831</v>
      </c>
      <c r="I466">
        <v>11494</v>
      </c>
      <c r="J466">
        <v>3</v>
      </c>
      <c r="K466">
        <v>2.75</v>
      </c>
      <c r="M466" s="2" t="str">
        <f>HYPERLINK("http://maps.live.com/default.aspx?v=2&amp;lvl=15&amp;sp=Point.47.5289_-122.152554_14125 SE 83 St&amp;cp=47.5289~-122.152554","Map")</f>
        <v>Map</v>
      </c>
      <c r="N466" s="2" t="str">
        <f>HYPERLINK("http://i-0.rfimg.us/photo/1/bigphoto/772/27193772_1.jpg","Photo")</f>
        <v>Photo</v>
      </c>
      <c r="AG466">
        <v>47.5289</v>
      </c>
      <c r="AH466">
        <v>-122.15255399999999</v>
      </c>
      <c r="AI466" t="s">
        <v>3885</v>
      </c>
      <c r="AJ466">
        <v>98059</v>
      </c>
      <c r="AN466">
        <v>605000</v>
      </c>
      <c r="BC466" s="22">
        <v>39384.607754629629</v>
      </c>
      <c r="BI466" s="22">
        <v>39549.294907407406</v>
      </c>
      <c r="BL466">
        <v>19999</v>
      </c>
      <c r="BM466">
        <v>1253085</v>
      </c>
      <c r="BN466" t="s">
        <v>1688</v>
      </c>
      <c r="BO466" s="17">
        <f t="shared" ca="1" si="7"/>
        <v>164.70165127314976</v>
      </c>
      <c r="BP466" t="b">
        <v>0</v>
      </c>
      <c r="BQ466">
        <v>1</v>
      </c>
      <c r="BR466" t="s">
        <v>1686</v>
      </c>
      <c r="BS466">
        <v>83</v>
      </c>
      <c r="BT466" t="b">
        <v>0</v>
      </c>
      <c r="BU466" t="s">
        <v>3856</v>
      </c>
      <c r="BV466" t="s">
        <v>1668</v>
      </c>
      <c r="BW466">
        <v>14125</v>
      </c>
      <c r="BY466">
        <v>417695</v>
      </c>
      <c r="BZ466" t="s">
        <v>1704</v>
      </c>
      <c r="CA466">
        <v>1</v>
      </c>
      <c r="CB466" t="b">
        <v>1</v>
      </c>
      <c r="CC466">
        <v>0</v>
      </c>
      <c r="CD466" t="b">
        <v>0</v>
      </c>
      <c r="CE466" t="b">
        <v>0</v>
      </c>
      <c r="CF466" t="b">
        <v>1</v>
      </c>
      <c r="CG466">
        <v>2600140</v>
      </c>
      <c r="CH466" t="s">
        <v>1681</v>
      </c>
      <c r="CI466" s="10">
        <v>999950</v>
      </c>
      <c r="CJ466" s="7">
        <v>37880</v>
      </c>
    </row>
    <row r="467" spans="1:88">
      <c r="A467">
        <v>27193784</v>
      </c>
      <c r="B467" s="2" t="str">
        <f>HYPERLINK("http://www.redfin.com/stingray/do/printable-listing?listing-id=1253086","Active")</f>
        <v>Active</v>
      </c>
      <c r="D467" t="s">
        <v>3064</v>
      </c>
      <c r="E467" t="s">
        <v>4704</v>
      </c>
      <c r="F467">
        <v>659000</v>
      </c>
      <c r="G467">
        <v>1915</v>
      </c>
      <c r="H467">
        <v>1070</v>
      </c>
      <c r="I467">
        <v>12800</v>
      </c>
      <c r="J467">
        <v>1</v>
      </c>
      <c r="K467">
        <v>1</v>
      </c>
      <c r="M467" s="2" t="str">
        <f>HYPERLINK("http://maps.live.com/default.aspx?v=2&amp;lvl=15&amp;sp=Point.47.683993_-122.188676_11395 NE 92nd St&amp;cp=47.683993~-122.188676","Map")</f>
        <v>Map</v>
      </c>
      <c r="N467" s="2" t="str">
        <f>HYPERLINK("http://i-0.rfimg.us/photo/1/bigphoto/784/27193784_0.jpg","Photo")</f>
        <v>Photo</v>
      </c>
      <c r="AG467">
        <v>47.683993000000001</v>
      </c>
      <c r="AH467">
        <v>-122.188676</v>
      </c>
      <c r="AI467" t="s">
        <v>1058</v>
      </c>
      <c r="AJ467">
        <v>98033</v>
      </c>
      <c r="AN467">
        <v>350000</v>
      </c>
      <c r="BC467" s="22">
        <v>39384.607858796298</v>
      </c>
      <c r="BI467" s="22">
        <v>39549.294907407406</v>
      </c>
      <c r="BL467">
        <v>13180</v>
      </c>
      <c r="BM467">
        <v>1253086</v>
      </c>
      <c r="BN467" t="s">
        <v>1768</v>
      </c>
      <c r="BO467" s="17">
        <f t="shared" ca="1" si="7"/>
        <v>164.70154710648058</v>
      </c>
      <c r="BP467" t="b">
        <v>0</v>
      </c>
      <c r="BQ467">
        <v>1</v>
      </c>
      <c r="BR467" t="s">
        <v>1686</v>
      </c>
      <c r="BS467" t="s">
        <v>2726</v>
      </c>
      <c r="BT467" t="b">
        <v>0</v>
      </c>
      <c r="BU467" t="s">
        <v>1738</v>
      </c>
      <c r="BV467" t="s">
        <v>1668</v>
      </c>
      <c r="BW467">
        <v>11395</v>
      </c>
      <c r="BY467">
        <v>461044</v>
      </c>
      <c r="BZ467" t="s">
        <v>1801</v>
      </c>
      <c r="CA467">
        <v>1</v>
      </c>
      <c r="CB467" t="b">
        <v>1</v>
      </c>
      <c r="CC467">
        <v>0</v>
      </c>
      <c r="CD467" t="b">
        <v>0</v>
      </c>
      <c r="CE467" t="b">
        <v>0</v>
      </c>
      <c r="CF467" t="b">
        <v>1</v>
      </c>
      <c r="CG467">
        <v>2616813</v>
      </c>
      <c r="CH467" t="s">
        <v>1681</v>
      </c>
      <c r="CI467" s="10">
        <v>659000</v>
      </c>
      <c r="CJ467" s="7">
        <v>36665</v>
      </c>
    </row>
    <row r="468" spans="1:88">
      <c r="A468">
        <v>27193790</v>
      </c>
      <c r="B468" s="2" t="str">
        <f>HYPERLINK("http://www.redfin.com/stingray/do/printable-listing?listing-id=1253081","Active")</f>
        <v>Active</v>
      </c>
      <c r="D468" t="s">
        <v>192</v>
      </c>
      <c r="E468" t="s">
        <v>193</v>
      </c>
      <c r="F468" s="19">
        <v>399999</v>
      </c>
      <c r="G468">
        <v>1926</v>
      </c>
      <c r="H468">
        <v>1600</v>
      </c>
      <c r="I468">
        <v>5080</v>
      </c>
      <c r="J468">
        <v>3</v>
      </c>
      <c r="K468">
        <v>2</v>
      </c>
      <c r="M468" s="2" t="str">
        <f>HYPERLINK("http://maps.live.com/default.aspx?v=2&amp;lvl=15&amp;sp=Point.47.69968_-122.310839_1524 NE 97th St&amp;cp=47.69968~-122.310839","Map")</f>
        <v>Map</v>
      </c>
      <c r="N468" s="2" t="str">
        <f>HYPERLINK("http://i-0.rfimg.us/photo/1/bigphoto/790/27193790_7.jpg","Photo")</f>
        <v>Photo</v>
      </c>
      <c r="AG468">
        <v>47.699680000000001</v>
      </c>
      <c r="AH468">
        <v>-122.310839</v>
      </c>
      <c r="AI468" t="s">
        <v>66</v>
      </c>
      <c r="AJ468">
        <v>98115</v>
      </c>
      <c r="AN468">
        <v>278500</v>
      </c>
      <c r="BC468" s="22">
        <v>39384.607453703706</v>
      </c>
      <c r="BI468" s="22">
        <v>39549.294907407406</v>
      </c>
      <c r="BL468">
        <v>8499</v>
      </c>
      <c r="BM468">
        <v>1253081</v>
      </c>
      <c r="BN468" t="s">
        <v>1790</v>
      </c>
      <c r="BO468" s="17">
        <f t="shared" ca="1" si="7"/>
        <v>164.70195219907328</v>
      </c>
      <c r="BP468" t="b">
        <v>0</v>
      </c>
      <c r="BQ468">
        <v>1</v>
      </c>
      <c r="BR468" t="s">
        <v>1686</v>
      </c>
      <c r="BS468" t="s">
        <v>1840</v>
      </c>
      <c r="BT468" t="b">
        <v>0</v>
      </c>
      <c r="BU468" t="s">
        <v>1738</v>
      </c>
      <c r="BV468" t="s">
        <v>1668</v>
      </c>
      <c r="BW468">
        <v>1524</v>
      </c>
      <c r="BY468">
        <v>107238</v>
      </c>
      <c r="BZ468" t="s">
        <v>3018</v>
      </c>
      <c r="CA468">
        <v>1</v>
      </c>
      <c r="CB468" t="b">
        <v>1</v>
      </c>
      <c r="CC468">
        <v>0</v>
      </c>
      <c r="CD468" t="b">
        <v>0</v>
      </c>
      <c r="CE468" t="b">
        <v>0</v>
      </c>
      <c r="CF468" t="b">
        <v>1</v>
      </c>
      <c r="CG468">
        <v>2797726</v>
      </c>
      <c r="CH468" t="s">
        <v>1681</v>
      </c>
      <c r="CI468" s="10">
        <v>424950</v>
      </c>
      <c r="CJ468" s="7">
        <v>38447</v>
      </c>
    </row>
    <row r="469" spans="1:88">
      <c r="A469">
        <v>27193861</v>
      </c>
      <c r="B469" s="2" t="str">
        <f>HYPERLINK("http://www.redfin.com/stingray/do/printable-listing?listing-id=1253836","Active")</f>
        <v>Active</v>
      </c>
      <c r="D469" t="s">
        <v>3885</v>
      </c>
      <c r="E469" t="s">
        <v>5967</v>
      </c>
      <c r="F469">
        <v>685000</v>
      </c>
      <c r="G469">
        <v>1985</v>
      </c>
      <c r="H469">
        <v>2510</v>
      </c>
      <c r="I469">
        <v>12513</v>
      </c>
      <c r="J469">
        <v>5</v>
      </c>
      <c r="K469">
        <v>3</v>
      </c>
      <c r="M469" s="2" t="str">
        <f>HYPERLINK("http://maps.live.com/default.aspx?v=2&amp;lvl=15&amp;sp=Point.47.534542_-122.191885_7611 111 Pl SE&amp;cp=47.534542~-122.191885","Map")</f>
        <v>Map</v>
      </c>
      <c r="N469" s="2" t="str">
        <f>HYPERLINK("http://i-0.rfimg.us/photo/1/bigphoto/861/27193861_5.jpg","Photo")</f>
        <v>Photo</v>
      </c>
      <c r="AG469">
        <v>47.534542000000002</v>
      </c>
      <c r="AH469">
        <v>-122.191885</v>
      </c>
      <c r="AI469" t="s">
        <v>3885</v>
      </c>
      <c r="AJ469">
        <v>98056</v>
      </c>
      <c r="AN469">
        <v>215000</v>
      </c>
      <c r="BC469" s="22">
        <v>39385.306944444441</v>
      </c>
      <c r="BI469" s="22">
        <v>39549.294907407406</v>
      </c>
      <c r="BL469">
        <v>13700</v>
      </c>
      <c r="BM469">
        <v>1253836</v>
      </c>
      <c r="BN469" t="s">
        <v>2959</v>
      </c>
      <c r="BO469" s="17">
        <f t="shared" ca="1" si="7"/>
        <v>164.00246145833808</v>
      </c>
      <c r="BP469" t="b">
        <v>0</v>
      </c>
      <c r="BQ469">
        <v>1</v>
      </c>
      <c r="BR469" t="s">
        <v>1842</v>
      </c>
      <c r="BS469">
        <v>111</v>
      </c>
      <c r="BT469" t="b">
        <v>0</v>
      </c>
      <c r="BV469" t="s">
        <v>1668</v>
      </c>
      <c r="BW469">
        <v>7611</v>
      </c>
      <c r="BX469" t="s">
        <v>3856</v>
      </c>
      <c r="BY469">
        <v>415335</v>
      </c>
      <c r="BZ469" t="s">
        <v>5968</v>
      </c>
      <c r="CA469">
        <v>1</v>
      </c>
      <c r="CB469" t="b">
        <v>1</v>
      </c>
      <c r="CC469">
        <v>0</v>
      </c>
      <c r="CD469" t="b">
        <v>0</v>
      </c>
      <c r="CE469" t="b">
        <v>0</v>
      </c>
      <c r="CF469" t="b">
        <v>1</v>
      </c>
      <c r="CG469">
        <v>2350593</v>
      </c>
      <c r="CH469" t="s">
        <v>1681</v>
      </c>
      <c r="CI469" s="10">
        <v>685000</v>
      </c>
      <c r="CJ469" s="7">
        <v>33882</v>
      </c>
    </row>
    <row r="470" spans="1:88">
      <c r="A470">
        <v>27193941</v>
      </c>
      <c r="B470" s="2" t="str">
        <f>HYPERLINK("http://www.redfin.com/stingray/do/printable-listing?listing-id=1253420","Active")</f>
        <v>Active</v>
      </c>
      <c r="D470" t="s">
        <v>70</v>
      </c>
      <c r="E470" t="s">
        <v>2690</v>
      </c>
      <c r="F470" s="19">
        <v>339888</v>
      </c>
      <c r="G470">
        <v>2007</v>
      </c>
      <c r="H470">
        <v>1450</v>
      </c>
      <c r="I470">
        <v>0</v>
      </c>
      <c r="J470">
        <v>3</v>
      </c>
      <c r="K470">
        <v>2.25</v>
      </c>
      <c r="M470" s="2" t="str">
        <f>HYPERLINK("http://maps.live.com/default.aspx?v=2&amp;lvl=15&amp;sp=Point.47.711023_-122.355073_11212 Greenwood Ave N nC&amp;cp=47.711023~-122.355073","Map")</f>
        <v>Map</v>
      </c>
      <c r="N470" s="2" t="str">
        <f>HYPERLINK("http://i-0.rfimg.us/photo/1/bigphoto/941/27193941_1.jpg","Photo")</f>
        <v>Photo</v>
      </c>
      <c r="AG470">
        <v>47.711022999999997</v>
      </c>
      <c r="AH470">
        <v>-122.355073</v>
      </c>
      <c r="AI470" t="s">
        <v>66</v>
      </c>
      <c r="AJ470">
        <v>98133</v>
      </c>
      <c r="AM470" t="s">
        <v>2341</v>
      </c>
      <c r="BC470" s="22">
        <v>39384.818854166668</v>
      </c>
      <c r="BI470" s="22">
        <v>39549.294907407406</v>
      </c>
      <c r="BL470">
        <v>6898</v>
      </c>
      <c r="BM470">
        <v>1253420</v>
      </c>
      <c r="BN470" t="s">
        <v>1685</v>
      </c>
      <c r="BO470" s="17">
        <f t="shared" ca="1" si="7"/>
        <v>164.49055185184989</v>
      </c>
      <c r="BP470" t="b">
        <v>0</v>
      </c>
      <c r="BQ470">
        <v>1</v>
      </c>
      <c r="BR470" t="s">
        <v>1667</v>
      </c>
      <c r="BS470" t="s">
        <v>55</v>
      </c>
      <c r="BT470" t="b">
        <v>0</v>
      </c>
      <c r="BV470" t="s">
        <v>1668</v>
      </c>
      <c r="BW470">
        <v>11212</v>
      </c>
      <c r="BX470" t="s">
        <v>1712</v>
      </c>
      <c r="BY470">
        <v>12296552</v>
      </c>
      <c r="BZ470" t="s">
        <v>2429</v>
      </c>
      <c r="CA470">
        <v>1</v>
      </c>
      <c r="CB470" t="b">
        <v>1</v>
      </c>
      <c r="CC470">
        <v>0</v>
      </c>
      <c r="CD470" t="b">
        <v>0</v>
      </c>
      <c r="CE470" t="b">
        <v>0</v>
      </c>
      <c r="CF470" t="b">
        <v>1</v>
      </c>
      <c r="CG470">
        <v>15405813</v>
      </c>
      <c r="CH470" t="s">
        <v>1681</v>
      </c>
      <c r="CI470" s="10">
        <v>344888</v>
      </c>
    </row>
    <row r="471" spans="1:88">
      <c r="A471">
        <v>27193955</v>
      </c>
      <c r="B471" s="2" t="str">
        <f>HYPERLINK("http://www.redfin.com/stingray/do/printable-listing?listing-id=1253438","Active")</f>
        <v>Active</v>
      </c>
      <c r="D471" t="s">
        <v>66</v>
      </c>
      <c r="E471" t="s">
        <v>377</v>
      </c>
      <c r="F471">
        <v>309950</v>
      </c>
      <c r="G471">
        <v>1944</v>
      </c>
      <c r="H471">
        <v>760</v>
      </c>
      <c r="I471">
        <v>5163</v>
      </c>
      <c r="J471">
        <v>2</v>
      </c>
      <c r="K471">
        <v>1</v>
      </c>
      <c r="M471" s="2" t="str">
        <f>HYPERLINK("http://maps.live.com/default.aspx?v=2&amp;lvl=15&amp;sp=Point.47.704471_-122.341611_10342 Stone Ave N&amp;cp=47.704471~-122.341611","Map")</f>
        <v>Map</v>
      </c>
      <c r="N471" s="2" t="str">
        <f>HYPERLINK("http://i-0.rfimg.us/photo/1/bigphoto/955/27193955_0.jpg","Photo")</f>
        <v>Photo</v>
      </c>
      <c r="AG471">
        <v>47.704470999999998</v>
      </c>
      <c r="AH471">
        <v>-122.341611</v>
      </c>
      <c r="AI471" t="s">
        <v>66</v>
      </c>
      <c r="AJ471">
        <v>98133</v>
      </c>
      <c r="AN471">
        <v>194000</v>
      </c>
      <c r="BC471" s="22">
        <v>39384.863854166666</v>
      </c>
      <c r="BI471" s="22">
        <v>39549.294907407406</v>
      </c>
      <c r="BL471">
        <v>6199</v>
      </c>
      <c r="BM471">
        <v>1253438</v>
      </c>
      <c r="BN471" t="s">
        <v>2798</v>
      </c>
      <c r="BO471" s="17">
        <f t="shared" ca="1" si="7"/>
        <v>164.44555185185163</v>
      </c>
      <c r="BP471" t="b">
        <v>0</v>
      </c>
      <c r="BQ471">
        <v>1</v>
      </c>
      <c r="BR471" t="s">
        <v>1667</v>
      </c>
      <c r="BS471" t="s">
        <v>2719</v>
      </c>
      <c r="BT471" t="b">
        <v>0</v>
      </c>
      <c r="BV471" t="s">
        <v>1668</v>
      </c>
      <c r="BW471">
        <v>10342</v>
      </c>
      <c r="BX471" t="s">
        <v>1712</v>
      </c>
      <c r="BY471">
        <v>105216</v>
      </c>
      <c r="BZ471" t="s">
        <v>1696</v>
      </c>
      <c r="CA471">
        <v>1</v>
      </c>
      <c r="CB471" t="b">
        <v>1</v>
      </c>
      <c r="CC471">
        <v>0</v>
      </c>
      <c r="CD471" t="b">
        <v>0</v>
      </c>
      <c r="CE471" t="b">
        <v>0</v>
      </c>
      <c r="CF471" t="b">
        <v>1</v>
      </c>
      <c r="CG471">
        <v>2947873</v>
      </c>
      <c r="CH471" t="s">
        <v>1681</v>
      </c>
      <c r="CI471" s="10">
        <v>309950</v>
      </c>
      <c r="CJ471" s="7">
        <v>38420</v>
      </c>
    </row>
    <row r="472" spans="1:88">
      <c r="A472">
        <v>27194164</v>
      </c>
      <c r="B472" s="2" t="str">
        <f>HYPERLINK("http://www.redfin.com/stingray/do/printable-listing?listing-id=1254908","Active")</f>
        <v>Active</v>
      </c>
      <c r="D472" t="s">
        <v>60</v>
      </c>
      <c r="E472" t="s">
        <v>2622</v>
      </c>
      <c r="F472">
        <v>575000</v>
      </c>
      <c r="G472">
        <v>2007</v>
      </c>
      <c r="H472">
        <v>0</v>
      </c>
      <c r="I472">
        <v>0</v>
      </c>
      <c r="J472">
        <v>2</v>
      </c>
      <c r="K472">
        <v>1.5</v>
      </c>
      <c r="M472" s="2" t="str">
        <f>HYPERLINK("http://maps.live.com/default.aspx?v=2&amp;lvl=15&amp;sp=Point.47.686863_-122.338745_1519 N 80th St&amp;cp=47.686863~-122.338745","Map")</f>
        <v>Map</v>
      </c>
      <c r="N472" s="2" t="str">
        <f>HYPERLINK("http://i-0.rfimg.us/photo/1/bigphoto/164/27194164_6.jpg","Photo")</f>
        <v>Photo</v>
      </c>
      <c r="AG472">
        <v>47.686863000000002</v>
      </c>
      <c r="AH472">
        <v>-122.338745</v>
      </c>
      <c r="AI472" t="s">
        <v>66</v>
      </c>
      <c r="AJ472">
        <v>98103</v>
      </c>
      <c r="BC472" s="22">
        <v>39385.502280092594</v>
      </c>
      <c r="BI472" s="22">
        <v>39549.294907407406</v>
      </c>
      <c r="BL472">
        <v>11500</v>
      </c>
      <c r="BM472">
        <v>1254908</v>
      </c>
      <c r="BN472" t="s">
        <v>1693</v>
      </c>
      <c r="BO472" s="17">
        <f t="shared" ca="1" si="7"/>
        <v>163.80712592592317</v>
      </c>
      <c r="BP472" t="b">
        <v>0</v>
      </c>
      <c r="BQ472">
        <v>1</v>
      </c>
      <c r="BR472" t="s">
        <v>1686</v>
      </c>
      <c r="BS472" t="s">
        <v>1711</v>
      </c>
      <c r="BT472" t="b">
        <v>0</v>
      </c>
      <c r="BU472" t="s">
        <v>1712</v>
      </c>
      <c r="BV472" t="s">
        <v>1668</v>
      </c>
      <c r="BW472">
        <v>1519</v>
      </c>
      <c r="BY472">
        <v>12296802</v>
      </c>
      <c r="BZ472" t="s">
        <v>2623</v>
      </c>
      <c r="CA472">
        <v>1</v>
      </c>
      <c r="CB472" t="b">
        <v>1</v>
      </c>
      <c r="CC472">
        <v>0</v>
      </c>
      <c r="CD472" t="b">
        <v>0</v>
      </c>
      <c r="CE472" t="b">
        <v>0</v>
      </c>
      <c r="CF472" t="b">
        <v>1</v>
      </c>
      <c r="CG472">
        <v>15505017</v>
      </c>
      <c r="CH472" t="s">
        <v>1681</v>
      </c>
      <c r="CI472" s="10">
        <v>575000</v>
      </c>
    </row>
    <row r="473" spans="1:88">
      <c r="A473">
        <v>27194176</v>
      </c>
      <c r="B473" s="2" t="str">
        <f>HYPERLINK("http://www.redfin.com/stingray/do/printable-listing?listing-id=1254901","Active")</f>
        <v>Active</v>
      </c>
      <c r="D473" t="s">
        <v>3885</v>
      </c>
      <c r="E473" t="s">
        <v>6702</v>
      </c>
      <c r="F473">
        <v>1235000</v>
      </c>
      <c r="G473">
        <v>2000</v>
      </c>
      <c r="H473">
        <v>4020</v>
      </c>
      <c r="I473">
        <v>12392</v>
      </c>
      <c r="J473">
        <v>4</v>
      </c>
      <c r="K473">
        <v>4.5</v>
      </c>
      <c r="M473" s="2" t="str">
        <f>HYPERLINK("http://maps.live.com/default.aspx?v=2&amp;lvl=15&amp;sp=Point.47.519524_-122.153522_9208 140th Ave SE&amp;cp=47.519524~-122.153522","Map")</f>
        <v>Map</v>
      </c>
      <c r="N473" s="2" t="str">
        <f>HYPERLINK("http://i-0.rfimg.us/photo/1/bigphoto/176/27194176_4.jpg","Photo")</f>
        <v>Photo</v>
      </c>
      <c r="AG473">
        <v>47.519523999999997</v>
      </c>
      <c r="AH473">
        <v>-122.153522</v>
      </c>
      <c r="AI473" t="s">
        <v>3885</v>
      </c>
      <c r="AJ473">
        <v>98059</v>
      </c>
      <c r="AN473">
        <v>1045000</v>
      </c>
      <c r="BC473" s="22">
        <v>39385.501805555556</v>
      </c>
      <c r="BI473" s="22">
        <v>39549.294907407406</v>
      </c>
      <c r="BL473">
        <v>24700</v>
      </c>
      <c r="BM473">
        <v>1254901</v>
      </c>
      <c r="BN473" t="s">
        <v>4593</v>
      </c>
      <c r="BO473" s="17">
        <f t="shared" ca="1" si="7"/>
        <v>163.80760034722334</v>
      </c>
      <c r="BP473" t="b">
        <v>0</v>
      </c>
      <c r="BQ473">
        <v>1</v>
      </c>
      <c r="BR473" t="s">
        <v>1667</v>
      </c>
      <c r="BS473" t="s">
        <v>4434</v>
      </c>
      <c r="BT473" t="b">
        <v>0</v>
      </c>
      <c r="BV473" t="s">
        <v>1668</v>
      </c>
      <c r="BW473">
        <v>9208</v>
      </c>
      <c r="BX473" t="s">
        <v>3856</v>
      </c>
      <c r="BY473">
        <v>418138</v>
      </c>
      <c r="BZ473" t="s">
        <v>6703</v>
      </c>
      <c r="CA473">
        <v>1</v>
      </c>
      <c r="CB473" t="b">
        <v>1</v>
      </c>
      <c r="CC473">
        <v>0</v>
      </c>
      <c r="CD473" t="b">
        <v>0</v>
      </c>
      <c r="CE473" t="b">
        <v>0</v>
      </c>
      <c r="CF473" t="b">
        <v>1</v>
      </c>
      <c r="CG473">
        <v>2430704</v>
      </c>
      <c r="CH473" t="s">
        <v>1681</v>
      </c>
      <c r="CI473" s="10">
        <v>1235000</v>
      </c>
      <c r="CJ473" s="7">
        <v>38566</v>
      </c>
    </row>
    <row r="474" spans="1:88">
      <c r="A474">
        <v>27194183</v>
      </c>
      <c r="B474" s="2" t="str">
        <f>HYPERLINK("http://www.redfin.com/stingray/do/printable-listing?listing-id=1255400","Active")</f>
        <v>Active</v>
      </c>
      <c r="D474" t="s">
        <v>109</v>
      </c>
      <c r="E474" t="s">
        <v>607</v>
      </c>
      <c r="F474">
        <v>395000</v>
      </c>
      <c r="G474">
        <v>1939</v>
      </c>
      <c r="H474">
        <v>1740</v>
      </c>
      <c r="I474">
        <v>4000</v>
      </c>
      <c r="J474">
        <v>3</v>
      </c>
      <c r="K474">
        <v>1.5</v>
      </c>
      <c r="M474" s="2" t="str">
        <f>HYPERLINK("http://maps.live.com/default.aspx?v=2&amp;lvl=15&amp;sp=Point.47.657102_-122.323159_4056 5th Ave NE&amp;cp=47.657102~-122.323159","Map")</f>
        <v>Map</v>
      </c>
      <c r="N474" s="2" t="str">
        <f>HYPERLINK("http://i-0.rfimg.us/photo/1/bigphoto/183/27194183_0.jpg","Photo")</f>
        <v>Photo</v>
      </c>
      <c r="AG474">
        <v>47.657102000000002</v>
      </c>
      <c r="AH474">
        <v>-122.323159</v>
      </c>
      <c r="AI474" t="s">
        <v>66</v>
      </c>
      <c r="AJ474">
        <v>98105</v>
      </c>
      <c r="AN474">
        <v>89500</v>
      </c>
      <c r="BC474" s="22">
        <v>39385.541018518517</v>
      </c>
      <c r="BI474" s="22">
        <v>39549.294907407406</v>
      </c>
      <c r="BL474">
        <v>7900</v>
      </c>
      <c r="BM474">
        <v>1255400</v>
      </c>
      <c r="BN474" t="s">
        <v>1823</v>
      </c>
      <c r="BO474" s="17">
        <f t="shared" ca="1" si="7"/>
        <v>163.76838738426159</v>
      </c>
      <c r="BP474" t="b">
        <v>0</v>
      </c>
      <c r="BQ474">
        <v>1</v>
      </c>
      <c r="BR474" t="s">
        <v>1667</v>
      </c>
      <c r="BS474" t="s">
        <v>1832</v>
      </c>
      <c r="BT474" t="b">
        <v>0</v>
      </c>
      <c r="BV474" t="s">
        <v>1668</v>
      </c>
      <c r="BW474">
        <v>4056</v>
      </c>
      <c r="BX474" t="s">
        <v>1738</v>
      </c>
      <c r="BY474">
        <v>118075</v>
      </c>
      <c r="BZ474" t="s">
        <v>1743</v>
      </c>
      <c r="CA474">
        <v>1</v>
      </c>
      <c r="CB474" t="b">
        <v>1</v>
      </c>
      <c r="CC474">
        <v>0</v>
      </c>
      <c r="CD474" t="b">
        <v>0</v>
      </c>
      <c r="CE474" t="b">
        <v>0</v>
      </c>
      <c r="CF474" t="b">
        <v>1</v>
      </c>
      <c r="CG474">
        <v>2912245</v>
      </c>
      <c r="CH474" t="s">
        <v>1681</v>
      </c>
      <c r="CI474" s="10">
        <v>395000</v>
      </c>
      <c r="CJ474" s="7">
        <v>32780</v>
      </c>
    </row>
    <row r="475" spans="1:88">
      <c r="A475">
        <v>27194208</v>
      </c>
      <c r="B475" s="2" t="str">
        <f>HYPERLINK("http://www.redfin.com/stingray/do/printable-listing?listing-id=1254952","Active")</f>
        <v>Active</v>
      </c>
      <c r="D475" t="s">
        <v>3691</v>
      </c>
      <c r="E475" t="s">
        <v>3765</v>
      </c>
      <c r="F475" s="19">
        <v>1388000</v>
      </c>
      <c r="G475">
        <v>2007</v>
      </c>
      <c r="H475">
        <v>2700</v>
      </c>
      <c r="I475">
        <v>4500</v>
      </c>
      <c r="J475">
        <v>3</v>
      </c>
      <c r="K475">
        <v>4</v>
      </c>
      <c r="M475" s="2" t="str">
        <f>HYPERLINK("http://maps.live.com/default.aspx?v=2&amp;lvl=15&amp;sp=Point.47.642011_-122.315153_2537 Boyer Ave E&amp;cp=47.642011~-122.315153","Map")</f>
        <v>Map</v>
      </c>
      <c r="N475" s="2" t="str">
        <f>HYPERLINK("http://i-0.rfimg.us/photo/1/bigphoto/208/27194208_6.jpg","Photo")</f>
        <v>Photo</v>
      </c>
      <c r="AG475">
        <v>47.642010999999997</v>
      </c>
      <c r="AH475">
        <v>-122.315153</v>
      </c>
      <c r="AI475" t="s">
        <v>66</v>
      </c>
      <c r="AJ475">
        <v>98102</v>
      </c>
      <c r="BC475" s="22">
        <v>39385.508032407408</v>
      </c>
      <c r="BI475" s="22">
        <v>39549.294907407406</v>
      </c>
      <c r="BL475">
        <v>30000</v>
      </c>
      <c r="BM475">
        <v>1254952</v>
      </c>
      <c r="BN475" t="s">
        <v>3253</v>
      </c>
      <c r="BO475" s="17">
        <f t="shared" ca="1" si="7"/>
        <v>163.80137349537108</v>
      </c>
      <c r="BP475" t="b">
        <v>0</v>
      </c>
      <c r="BQ475">
        <v>1</v>
      </c>
      <c r="BR475" t="s">
        <v>1667</v>
      </c>
      <c r="BS475" t="s">
        <v>3689</v>
      </c>
      <c r="BT475" t="b">
        <v>0</v>
      </c>
      <c r="BV475" t="s">
        <v>1668</v>
      </c>
      <c r="BW475">
        <v>2537</v>
      </c>
      <c r="BX475" t="s">
        <v>2436</v>
      </c>
      <c r="BY475">
        <v>12296807</v>
      </c>
      <c r="BZ475" t="s">
        <v>3766</v>
      </c>
      <c r="CA475">
        <v>1</v>
      </c>
      <c r="CB475" t="b">
        <v>1</v>
      </c>
      <c r="CC475">
        <v>0</v>
      </c>
      <c r="CD475" t="b">
        <v>0</v>
      </c>
      <c r="CE475" t="b">
        <v>0</v>
      </c>
      <c r="CF475" t="b">
        <v>1</v>
      </c>
      <c r="CG475">
        <v>15505022</v>
      </c>
      <c r="CH475" t="s">
        <v>1681</v>
      </c>
      <c r="CI475" s="10">
        <v>1500000</v>
      </c>
    </row>
    <row r="476" spans="1:88">
      <c r="A476">
        <v>27194247</v>
      </c>
      <c r="B476" s="2" t="str">
        <f>HYPERLINK("http://www.redfin.com/stingray/do/printable-listing?listing-id=1257830","Active")</f>
        <v>Active</v>
      </c>
      <c r="D476" t="s">
        <v>6041</v>
      </c>
      <c r="E476" t="s">
        <v>6072</v>
      </c>
      <c r="F476" s="19">
        <v>490000</v>
      </c>
      <c r="G476">
        <v>2006</v>
      </c>
      <c r="H476">
        <v>2810</v>
      </c>
      <c r="I476">
        <v>5350</v>
      </c>
      <c r="J476">
        <v>4</v>
      </c>
      <c r="K476">
        <v>2.5</v>
      </c>
      <c r="M476" s="2" t="str">
        <f>HYPERLINK("http://maps.live.com/default.aspx?v=2&amp;lvl=15&amp;sp=Point.47.510063_-122.167082_3921 21st St&amp;cp=47.510063~-122.167082","Map")</f>
        <v>Map</v>
      </c>
      <c r="N476" s="2" t="str">
        <f>HYPERLINK("http://i-0.rfimg.us/photo/1/bigphoto/247/27194247_4.jpg","Photo")</f>
        <v>Photo</v>
      </c>
      <c r="AG476">
        <v>47.510063000000002</v>
      </c>
      <c r="AH476">
        <v>-122.16708199999999</v>
      </c>
      <c r="AI476" t="s">
        <v>1077</v>
      </c>
      <c r="AJ476">
        <v>98056</v>
      </c>
      <c r="AN476">
        <v>610000</v>
      </c>
      <c r="BC476" s="22">
        <v>39386.403773148151</v>
      </c>
      <c r="BI476" s="22">
        <v>39549.294907407406</v>
      </c>
      <c r="BL476">
        <v>10100</v>
      </c>
      <c r="BM476">
        <v>1257830</v>
      </c>
      <c r="BN476" t="s">
        <v>3236</v>
      </c>
      <c r="BO476" s="17">
        <f t="shared" ca="1" si="7"/>
        <v>162.90563275462773</v>
      </c>
      <c r="BP476" t="b">
        <v>0</v>
      </c>
      <c r="BQ476">
        <v>1</v>
      </c>
      <c r="BR476" t="s">
        <v>1686</v>
      </c>
      <c r="BS476" t="s">
        <v>1903</v>
      </c>
      <c r="BT476" t="b">
        <v>0</v>
      </c>
      <c r="BV476" t="s">
        <v>1668</v>
      </c>
      <c r="BW476">
        <v>3921</v>
      </c>
      <c r="BY476">
        <v>8189780</v>
      </c>
      <c r="BZ476" t="s">
        <v>6073</v>
      </c>
      <c r="CA476">
        <v>1</v>
      </c>
      <c r="CB476" t="b">
        <v>1</v>
      </c>
      <c r="CC476">
        <v>0</v>
      </c>
      <c r="CD476" t="b">
        <v>0</v>
      </c>
      <c r="CE476" t="b">
        <v>0</v>
      </c>
      <c r="CF476" t="b">
        <v>1</v>
      </c>
      <c r="CG476">
        <v>3028086</v>
      </c>
      <c r="CH476" t="s">
        <v>1681</v>
      </c>
      <c r="CI476" s="10">
        <v>505000</v>
      </c>
      <c r="CJ476" s="7">
        <v>39122</v>
      </c>
    </row>
    <row r="477" spans="1:88">
      <c r="A477">
        <v>27194290</v>
      </c>
      <c r="B477" s="2" t="str">
        <f>HYPERLINK("http://www.redfin.com/stingray/do/printable-listing?listing-id=1255239","Active")</f>
        <v>Active</v>
      </c>
      <c r="D477" t="s">
        <v>2848</v>
      </c>
      <c r="E477" t="s">
        <v>2856</v>
      </c>
      <c r="F477">
        <v>1735000</v>
      </c>
      <c r="G477">
        <v>2008</v>
      </c>
      <c r="H477">
        <v>4698</v>
      </c>
      <c r="I477">
        <v>10453</v>
      </c>
      <c r="J477">
        <v>4</v>
      </c>
      <c r="K477">
        <v>3.5</v>
      </c>
      <c r="M477" s="2" t="str">
        <f>HYPERLINK("http://maps.live.com/default.aspx?v=2&amp;lvl=15&amp;sp=Point.47.720696_-122.25927_13259 Holmes Point Dr NE&amp;cp=47.720696~-122.25927","Map")</f>
        <v>Map</v>
      </c>
      <c r="N477" s="2" t="str">
        <f>HYPERLINK("http://i-0.rfimg.us/photo/1/bigphoto/290/27194290_4.jpg","Photo")</f>
        <v>Photo</v>
      </c>
      <c r="AG477">
        <v>47.720695999999997</v>
      </c>
      <c r="AH477">
        <v>-122.25927</v>
      </c>
      <c r="AI477" t="s">
        <v>1058</v>
      </c>
      <c r="AJ477">
        <v>98034</v>
      </c>
      <c r="AN477">
        <v>570000</v>
      </c>
      <c r="BC477" s="22">
        <v>39385.537754629629</v>
      </c>
      <c r="BI477" s="22">
        <v>39549.294907407406</v>
      </c>
      <c r="BL477">
        <v>34700</v>
      </c>
      <c r="BM477">
        <v>1255239</v>
      </c>
      <c r="BN477" t="s">
        <v>1798</v>
      </c>
      <c r="BO477" s="17">
        <f t="shared" ca="1" si="7"/>
        <v>163.77165127314947</v>
      </c>
      <c r="BP477" t="b">
        <v>0</v>
      </c>
      <c r="BQ477">
        <v>1</v>
      </c>
      <c r="BR477" t="s">
        <v>1816</v>
      </c>
      <c r="BS477" t="s">
        <v>2848</v>
      </c>
      <c r="BT477" t="b">
        <v>0</v>
      </c>
      <c r="BV477" t="s">
        <v>1668</v>
      </c>
      <c r="BW477">
        <v>13259</v>
      </c>
      <c r="BX477" t="s">
        <v>1738</v>
      </c>
      <c r="BY477">
        <v>282046</v>
      </c>
      <c r="BZ477" t="s">
        <v>2857</v>
      </c>
      <c r="CA477">
        <v>1</v>
      </c>
      <c r="CB477" t="b">
        <v>1</v>
      </c>
      <c r="CC477">
        <v>0</v>
      </c>
      <c r="CD477" t="b">
        <v>0</v>
      </c>
      <c r="CE477" t="b">
        <v>0</v>
      </c>
      <c r="CF477" t="b">
        <v>1</v>
      </c>
      <c r="CG477">
        <v>2936611</v>
      </c>
      <c r="CH477" t="s">
        <v>1681</v>
      </c>
      <c r="CI477" s="10">
        <v>1735000</v>
      </c>
      <c r="CJ477" s="7">
        <v>38974</v>
      </c>
    </row>
    <row r="478" spans="1:88">
      <c r="A478">
        <v>27194352</v>
      </c>
      <c r="B478" s="2" t="str">
        <f>HYPERLINK("http://www.redfin.com/stingray/do/printable-listing?listing-id=1258465","Contingent")</f>
        <v>Contingent</v>
      </c>
      <c r="D478" t="s">
        <v>5926</v>
      </c>
      <c r="E478" t="s">
        <v>6189</v>
      </c>
      <c r="F478">
        <v>474950</v>
      </c>
      <c r="G478">
        <v>2007</v>
      </c>
      <c r="H478">
        <v>2211</v>
      </c>
      <c r="I478">
        <v>5470</v>
      </c>
      <c r="J478">
        <v>4</v>
      </c>
      <c r="K478">
        <v>2.5</v>
      </c>
      <c r="M478" s="2" t="str">
        <f>HYPERLINK("http://maps.live.com/default.aspx?v=2&amp;lvl=15&amp;sp=Point.47.506263_-122.18632_2425 NE 16 St&amp;cp=47.506263~-122.18632","Map")</f>
        <v>Map</v>
      </c>
      <c r="N478" s="2" t="str">
        <f>HYPERLINK("http://i-0.rfimg.us/photo/1/bigphoto/352/27194352_1.jpg","Photo")</f>
        <v>Photo</v>
      </c>
      <c r="AG478">
        <v>47.506262999999997</v>
      </c>
      <c r="AH478">
        <v>-122.18631999999999</v>
      </c>
      <c r="AI478" t="s">
        <v>1077</v>
      </c>
      <c r="AJ478">
        <v>98056</v>
      </c>
      <c r="BC478" s="22">
        <v>39386.587233796294</v>
      </c>
      <c r="BI478" s="7">
        <v>39535</v>
      </c>
      <c r="BL478">
        <v>9499</v>
      </c>
      <c r="BM478">
        <v>1258465</v>
      </c>
      <c r="BN478" t="s">
        <v>6146</v>
      </c>
      <c r="BO478" s="17">
        <f t="shared" ca="1" si="7"/>
        <v>162.72217210648523</v>
      </c>
      <c r="BP478" t="b">
        <v>0</v>
      </c>
      <c r="BQ478">
        <v>2</v>
      </c>
      <c r="BR478" t="s">
        <v>1686</v>
      </c>
      <c r="BS478">
        <v>16</v>
      </c>
      <c r="BT478" t="b">
        <v>0</v>
      </c>
      <c r="BU478" t="s">
        <v>1738</v>
      </c>
      <c r="BV478" t="s">
        <v>1668</v>
      </c>
      <c r="BW478">
        <v>2425</v>
      </c>
      <c r="BY478">
        <v>12297483</v>
      </c>
      <c r="BZ478" t="s">
        <v>1836</v>
      </c>
      <c r="CA478">
        <v>1</v>
      </c>
      <c r="CB478" t="b">
        <v>1</v>
      </c>
      <c r="CC478">
        <v>0</v>
      </c>
      <c r="CD478" t="b">
        <v>0</v>
      </c>
      <c r="CE478" t="b">
        <v>0</v>
      </c>
      <c r="CF478" t="b">
        <v>1</v>
      </c>
      <c r="CG478">
        <v>15505698</v>
      </c>
      <c r="CH478" t="s">
        <v>1681</v>
      </c>
      <c r="CI478" s="10">
        <v>474950</v>
      </c>
    </row>
    <row r="479" spans="1:88">
      <c r="A479">
        <v>27194397</v>
      </c>
      <c r="B479" s="2" t="str">
        <f>HYPERLINK("http://www.redfin.com/stingray/do/printable-listing?listing-id=1257629","Active")</f>
        <v>Active</v>
      </c>
      <c r="D479" t="s">
        <v>60</v>
      </c>
      <c r="E479" t="s">
        <v>2607</v>
      </c>
      <c r="F479" s="19">
        <v>379000</v>
      </c>
      <c r="G479">
        <v>2004</v>
      </c>
      <c r="H479">
        <v>1466</v>
      </c>
      <c r="I479">
        <v>0</v>
      </c>
      <c r="J479">
        <v>3</v>
      </c>
      <c r="K479">
        <v>2.75</v>
      </c>
      <c r="M479" s="2" t="str">
        <f>HYPERLINK("http://maps.live.com/default.aspx?v=2&amp;lvl=15&amp;sp=Point.47.691095_-122.342195_8548 Midvale Ave N nA&amp;cp=47.691095~-122.342195","Map")</f>
        <v>Map</v>
      </c>
      <c r="N479" s="2" t="str">
        <f>HYPERLINK("http://i-0.rfimg.us/photo/1/bigphoto/397/27194397_1.jpg","Photo")</f>
        <v>Photo</v>
      </c>
      <c r="AG479">
        <v>47.691094999999997</v>
      </c>
      <c r="AH479">
        <v>-122.342195</v>
      </c>
      <c r="AI479" t="s">
        <v>66</v>
      </c>
      <c r="AJ479">
        <v>98103</v>
      </c>
      <c r="AM479" t="s">
        <v>1722</v>
      </c>
      <c r="BC479" s="22">
        <v>39386.317361111112</v>
      </c>
      <c r="BI479" s="22">
        <v>39549.294907407406</v>
      </c>
      <c r="BL479">
        <v>7700</v>
      </c>
      <c r="BM479">
        <v>1257629</v>
      </c>
      <c r="BN479" t="s">
        <v>1737</v>
      </c>
      <c r="BO479" s="17">
        <f t="shared" ca="1" si="7"/>
        <v>162.99204490740522</v>
      </c>
      <c r="BP479" t="b">
        <v>0</v>
      </c>
      <c r="BQ479">
        <v>1</v>
      </c>
      <c r="BR479" t="s">
        <v>1667</v>
      </c>
      <c r="BS479" t="s">
        <v>2608</v>
      </c>
      <c r="BT479" t="b">
        <v>0</v>
      </c>
      <c r="BV479" t="s">
        <v>1668</v>
      </c>
      <c r="BW479">
        <v>8548</v>
      </c>
      <c r="BX479" t="s">
        <v>1712</v>
      </c>
      <c r="BY479">
        <v>12297276</v>
      </c>
      <c r="BZ479" t="s">
        <v>2609</v>
      </c>
      <c r="CA479">
        <v>1</v>
      </c>
      <c r="CB479" t="b">
        <v>1</v>
      </c>
      <c r="CC479">
        <v>0</v>
      </c>
      <c r="CD479" t="b">
        <v>0</v>
      </c>
      <c r="CE479" t="b">
        <v>0</v>
      </c>
      <c r="CF479" t="b">
        <v>1</v>
      </c>
      <c r="CG479">
        <v>15505491</v>
      </c>
      <c r="CH479" t="s">
        <v>1681</v>
      </c>
      <c r="CI479" s="10">
        <v>385000</v>
      </c>
    </row>
    <row r="480" spans="1:88">
      <c r="A480">
        <v>27194450</v>
      </c>
      <c r="B480" s="15" t="str">
        <f>HYPERLINK("http://www.redfin.com/stingray/do/printable-listing?listing-id=1265242","Subject To Inspection")</f>
        <v>Subject To Inspection</v>
      </c>
      <c r="D480" t="s">
        <v>369</v>
      </c>
      <c r="E480" t="s">
        <v>5255</v>
      </c>
      <c r="F480">
        <v>599950</v>
      </c>
      <c r="G480">
        <v>1964</v>
      </c>
      <c r="H480">
        <v>3600</v>
      </c>
      <c r="I480">
        <v>9757</v>
      </c>
      <c r="J480">
        <v>8</v>
      </c>
      <c r="K480">
        <v>3.25</v>
      </c>
      <c r="M480" s="2" t="str">
        <f>HYPERLINK("http://maps.live.com/default.aspx?v=2&amp;lvl=15&amp;sp=Point.47.580271_-122.11972_3255 165th Ave&amp;cp=47.580271~-122.11972","Map")</f>
        <v>Map</v>
      </c>
      <c r="N480" s="2" t="str">
        <f>HYPERLINK("http://i-0.rfimg.us/photo/1/bigphoto/450/27194450_4.jpg","Photo")</f>
        <v>Photo</v>
      </c>
      <c r="AG480">
        <v>47.580271000000003</v>
      </c>
      <c r="AH480">
        <v>-122.11972</v>
      </c>
      <c r="AI480" t="s">
        <v>369</v>
      </c>
      <c r="AJ480">
        <v>98008</v>
      </c>
      <c r="AN480">
        <v>859950</v>
      </c>
      <c r="BC480" s="22">
        <v>39388.59443287037</v>
      </c>
      <c r="BI480" s="22">
        <v>39549.294907407406</v>
      </c>
      <c r="BL480">
        <v>11999</v>
      </c>
      <c r="BM480">
        <v>1265242</v>
      </c>
      <c r="BN480" t="s">
        <v>1737</v>
      </c>
      <c r="BO480" s="17">
        <f t="shared" ca="1" si="7"/>
        <v>160.71497303240903</v>
      </c>
      <c r="BP480" t="b">
        <v>0</v>
      </c>
      <c r="BQ480">
        <v>1</v>
      </c>
      <c r="BR480" t="s">
        <v>1667</v>
      </c>
      <c r="BS480" t="s">
        <v>5256</v>
      </c>
      <c r="BT480" t="b">
        <v>0</v>
      </c>
      <c r="BV480" t="s">
        <v>1668</v>
      </c>
      <c r="BW480">
        <v>3255</v>
      </c>
      <c r="BY480">
        <v>429065</v>
      </c>
      <c r="BZ480" t="s">
        <v>5257</v>
      </c>
      <c r="CA480">
        <v>1</v>
      </c>
      <c r="CB480" t="b">
        <v>1</v>
      </c>
      <c r="CC480">
        <v>0</v>
      </c>
      <c r="CD480" t="b">
        <v>0</v>
      </c>
      <c r="CE480" t="b">
        <v>0</v>
      </c>
      <c r="CF480" t="b">
        <v>1</v>
      </c>
      <c r="CG480">
        <v>2595735</v>
      </c>
      <c r="CH480" t="s">
        <v>1681</v>
      </c>
      <c r="CI480" s="10">
        <v>599950</v>
      </c>
      <c r="CJ480" s="7">
        <v>39017</v>
      </c>
    </row>
    <row r="481" spans="1:89">
      <c r="A481">
        <v>27194875</v>
      </c>
      <c r="B481" s="2" t="str">
        <f>HYPERLINK("http://www.redfin.com/stingray/do/printable-listing?listing-id=1258150","Active")</f>
        <v>Active</v>
      </c>
      <c r="D481" t="s">
        <v>70</v>
      </c>
      <c r="E481" t="s">
        <v>2771</v>
      </c>
      <c r="F481">
        <v>525000</v>
      </c>
      <c r="G481">
        <v>1951</v>
      </c>
      <c r="H481">
        <v>2660</v>
      </c>
      <c r="I481">
        <v>9229</v>
      </c>
      <c r="J481">
        <v>3</v>
      </c>
      <c r="K481">
        <v>2.5</v>
      </c>
      <c r="M481" s="2" t="str">
        <f>HYPERLINK("http://maps.live.com/default.aspx?v=2&amp;lvl=15&amp;sp=Point.47.716999_-122.35603_12035 Greenwood Ave N&amp;cp=47.716999~-122.35603","Map")</f>
        <v>Map</v>
      </c>
      <c r="N481" s="2" t="str">
        <f>HYPERLINK("http://i-0.rfimg.us/photo/1/bigphoto/875/27194875_3.jpg","Photo")</f>
        <v>Photo</v>
      </c>
      <c r="AG481">
        <v>47.716999000000001</v>
      </c>
      <c r="AH481">
        <v>-122.35603</v>
      </c>
      <c r="AI481" t="s">
        <v>66</v>
      </c>
      <c r="AJ481">
        <v>98133</v>
      </c>
      <c r="AN481">
        <v>484000</v>
      </c>
      <c r="BC481" s="22">
        <v>39386.475937499999</v>
      </c>
      <c r="BI481" s="22">
        <v>39549.294907407406</v>
      </c>
      <c r="BL481">
        <v>10500</v>
      </c>
      <c r="BM481">
        <v>1258150</v>
      </c>
      <c r="BN481" t="s">
        <v>1688</v>
      </c>
      <c r="BO481" s="17">
        <f t="shared" ca="1" si="7"/>
        <v>162.8334685185182</v>
      </c>
      <c r="BP481" t="b">
        <v>0</v>
      </c>
      <c r="BQ481">
        <v>1</v>
      </c>
      <c r="BR481" t="s">
        <v>1667</v>
      </c>
      <c r="BS481" t="s">
        <v>55</v>
      </c>
      <c r="BT481" t="b">
        <v>0</v>
      </c>
      <c r="BV481" t="s">
        <v>1668</v>
      </c>
      <c r="BW481">
        <v>12035</v>
      </c>
      <c r="BX481" t="s">
        <v>1712</v>
      </c>
      <c r="BY481">
        <v>96094</v>
      </c>
      <c r="BZ481" t="s">
        <v>2772</v>
      </c>
      <c r="CA481">
        <v>1</v>
      </c>
      <c r="CB481" t="b">
        <v>1</v>
      </c>
      <c r="CC481">
        <v>0</v>
      </c>
      <c r="CD481" t="b">
        <v>0</v>
      </c>
      <c r="CE481" t="b">
        <v>0</v>
      </c>
      <c r="CF481" t="b">
        <v>1</v>
      </c>
      <c r="CG481">
        <v>2890363</v>
      </c>
      <c r="CH481" t="s">
        <v>1681</v>
      </c>
      <c r="CI481" s="10">
        <v>525000</v>
      </c>
      <c r="CJ481" s="7">
        <v>39171</v>
      </c>
    </row>
    <row r="482" spans="1:89">
      <c r="A482">
        <v>27194889</v>
      </c>
      <c r="B482" s="15" t="str">
        <f>HYPERLINK("http://www.redfin.com/stingray/do/printable-listing?listing-id=1258153","Contingent")</f>
        <v>Contingent</v>
      </c>
      <c r="D482" t="s">
        <v>100</v>
      </c>
      <c r="E482" t="s">
        <v>3280</v>
      </c>
      <c r="F482">
        <v>459950</v>
      </c>
      <c r="G482">
        <v>2007</v>
      </c>
      <c r="H482">
        <v>1434</v>
      </c>
      <c r="I482">
        <v>0</v>
      </c>
      <c r="J482">
        <v>3</v>
      </c>
      <c r="K482">
        <v>2.25</v>
      </c>
      <c r="M482" s="2" t="str">
        <f>HYPERLINK("http://maps.live.com/default.aspx?v=2&amp;lvl=15&amp;sp=Point.47.650898_-122.344988_3617 Albion Pl N nB&amp;cp=47.650898~-122.344988","Map")</f>
        <v>Map</v>
      </c>
      <c r="N482" s="2" t="str">
        <f>HYPERLINK("http://i-0.rfimg.us/photo/1/bigphoto/889/27194889_1.jpg","Photo")</f>
        <v>Photo</v>
      </c>
      <c r="AG482">
        <v>47.650897999999998</v>
      </c>
      <c r="AH482">
        <v>-122.344988</v>
      </c>
      <c r="AI482" t="s">
        <v>66</v>
      </c>
      <c r="AJ482">
        <v>98103</v>
      </c>
      <c r="AM482" t="s">
        <v>1699</v>
      </c>
      <c r="BC482" s="22">
        <v>39386.476666666669</v>
      </c>
      <c r="BI482" s="22">
        <v>39549.294907407406</v>
      </c>
      <c r="BL482">
        <v>9199</v>
      </c>
      <c r="BM482">
        <v>1258153</v>
      </c>
      <c r="BN482" t="s">
        <v>1693</v>
      </c>
      <c r="BO482" s="17">
        <f t="shared" ca="1" si="7"/>
        <v>162.83273923610977</v>
      </c>
      <c r="BP482" t="b">
        <v>0</v>
      </c>
      <c r="BQ482">
        <v>2</v>
      </c>
      <c r="BR482" t="s">
        <v>1842</v>
      </c>
      <c r="BS482" t="s">
        <v>3277</v>
      </c>
      <c r="BT482" t="b">
        <v>0</v>
      </c>
      <c r="BV482" t="s">
        <v>1668</v>
      </c>
      <c r="BW482">
        <v>3617</v>
      </c>
      <c r="BX482" t="s">
        <v>1712</v>
      </c>
      <c r="BY482">
        <v>12297390</v>
      </c>
      <c r="BZ482" t="s">
        <v>1911</v>
      </c>
      <c r="CA482">
        <v>1</v>
      </c>
      <c r="CB482" t="b">
        <v>1</v>
      </c>
      <c r="CC482">
        <v>0</v>
      </c>
      <c r="CD482" t="b">
        <v>0</v>
      </c>
      <c r="CE482" t="b">
        <v>0</v>
      </c>
      <c r="CF482" t="b">
        <v>1</v>
      </c>
      <c r="CG482">
        <v>15625075</v>
      </c>
      <c r="CH482" t="s">
        <v>1681</v>
      </c>
      <c r="CI482" s="10">
        <v>459950</v>
      </c>
    </row>
    <row r="483" spans="1:89">
      <c r="A483">
        <v>27195013</v>
      </c>
      <c r="B483" s="2" t="str">
        <f>HYPERLINK("http://www.redfin.com/stingray/do/printable-listing?listing-id=1261301","Subject To Inspection")</f>
        <v>Subject To Inspection</v>
      </c>
      <c r="D483" t="s">
        <v>60</v>
      </c>
      <c r="E483" t="s">
        <v>2393</v>
      </c>
      <c r="F483">
        <v>610000</v>
      </c>
      <c r="G483">
        <v>2007</v>
      </c>
      <c r="H483">
        <v>1681</v>
      </c>
      <c r="I483">
        <v>0</v>
      </c>
      <c r="J483">
        <v>3</v>
      </c>
      <c r="K483">
        <v>2.25</v>
      </c>
      <c r="M483" s="2" t="str">
        <f>HYPERLINK("http://maps.live.com/default.aspx?v=2&amp;lvl=15&amp;sp=Point.47.682064_-122.324121_438 NE Maple Leaf Pl&amp;cp=47.682064~-122.324121","Map")</f>
        <v>Map</v>
      </c>
      <c r="N483" s="2" t="str">
        <f>HYPERLINK("http://i-0.rfimg.us/photo/1/bigphoto/013/27195013_2.jpg","Photo")</f>
        <v>Photo</v>
      </c>
      <c r="AG483">
        <v>47.682063999999997</v>
      </c>
      <c r="AH483">
        <v>-122.32412100000001</v>
      </c>
      <c r="AI483" t="s">
        <v>66</v>
      </c>
      <c r="AJ483">
        <v>98115</v>
      </c>
      <c r="BC483" s="22">
        <v>39387.522303240738</v>
      </c>
      <c r="BI483" s="22">
        <v>39549.294907407406</v>
      </c>
      <c r="BL483">
        <v>12200</v>
      </c>
      <c r="BM483">
        <v>1261301</v>
      </c>
      <c r="BN483" t="s">
        <v>1710</v>
      </c>
      <c r="BO483" s="17">
        <f t="shared" ca="1" si="7"/>
        <v>161.78710266204143</v>
      </c>
      <c r="BP483" t="b">
        <v>0</v>
      </c>
      <c r="BQ483">
        <v>2</v>
      </c>
      <c r="BR483" t="s">
        <v>1842</v>
      </c>
      <c r="BS483" t="s">
        <v>192</v>
      </c>
      <c r="BT483" t="b">
        <v>0</v>
      </c>
      <c r="BU483" t="s">
        <v>1738</v>
      </c>
      <c r="BV483" t="s">
        <v>1668</v>
      </c>
      <c r="BW483">
        <v>438</v>
      </c>
      <c r="BY483">
        <v>12297908</v>
      </c>
      <c r="BZ483" t="s">
        <v>2016</v>
      </c>
      <c r="CA483">
        <v>1</v>
      </c>
      <c r="CB483" t="b">
        <v>1</v>
      </c>
      <c r="CC483">
        <v>0</v>
      </c>
      <c r="CD483" t="b">
        <v>0</v>
      </c>
      <c r="CE483" t="b">
        <v>0</v>
      </c>
      <c r="CF483" t="b">
        <v>1</v>
      </c>
      <c r="CG483">
        <v>15506123</v>
      </c>
      <c r="CH483" t="s">
        <v>1681</v>
      </c>
      <c r="CI483" s="10">
        <v>610000</v>
      </c>
    </row>
    <row r="484" spans="1:89">
      <c r="A484">
        <v>27195040</v>
      </c>
      <c r="B484" s="2" t="str">
        <f>HYPERLINK("http://www.redfin.com/stingray/do/printable-listing?listing-id=1261299","Active")</f>
        <v>Active</v>
      </c>
      <c r="D484" t="s">
        <v>60</v>
      </c>
      <c r="E484" t="s">
        <v>2393</v>
      </c>
      <c r="F484">
        <v>610000</v>
      </c>
      <c r="G484">
        <v>2007</v>
      </c>
      <c r="H484">
        <v>1655</v>
      </c>
      <c r="I484">
        <v>0</v>
      </c>
      <c r="J484">
        <v>3</v>
      </c>
      <c r="K484">
        <v>2.25</v>
      </c>
      <c r="M484" s="2" t="str">
        <f>HYPERLINK("http://maps.live.com/default.aspx?v=2&amp;lvl=15&amp;sp=Point.47.682064_-122.324121_438 NE Maple Leaf Pl&amp;cp=47.682064~-122.324121","Map")</f>
        <v>Map</v>
      </c>
      <c r="N484" s="2" t="str">
        <f>HYPERLINK("http://i-0.rfimg.us/photo/1/bigphoto/040/27195040_1.jpg","Photo")</f>
        <v>Photo</v>
      </c>
      <c r="AG484">
        <v>47.682063999999997</v>
      </c>
      <c r="AH484">
        <v>-122.32412100000001</v>
      </c>
      <c r="AI484" t="s">
        <v>66</v>
      </c>
      <c r="AJ484">
        <v>98115</v>
      </c>
      <c r="BC484" s="22">
        <v>39387.522291666668</v>
      </c>
      <c r="BI484" s="22">
        <v>39549.294907407406</v>
      </c>
      <c r="BL484">
        <v>12200</v>
      </c>
      <c r="BM484">
        <v>1261299</v>
      </c>
      <c r="BN484" t="s">
        <v>1710</v>
      </c>
      <c r="BO484" s="17">
        <f t="shared" ca="1" si="7"/>
        <v>161.7871143518496</v>
      </c>
      <c r="BP484" t="b">
        <v>0</v>
      </c>
      <c r="BQ484">
        <v>1</v>
      </c>
      <c r="BR484" t="s">
        <v>1842</v>
      </c>
      <c r="BS484" t="s">
        <v>192</v>
      </c>
      <c r="BT484" t="b">
        <v>0</v>
      </c>
      <c r="BU484" t="s">
        <v>1738</v>
      </c>
      <c r="BV484" t="s">
        <v>1668</v>
      </c>
      <c r="BW484">
        <v>438</v>
      </c>
      <c r="BY484">
        <v>12297908</v>
      </c>
      <c r="BZ484" t="s">
        <v>1820</v>
      </c>
      <c r="CA484">
        <v>1</v>
      </c>
      <c r="CB484" t="b">
        <v>1</v>
      </c>
      <c r="CC484">
        <v>0</v>
      </c>
      <c r="CD484" t="b">
        <v>0</v>
      </c>
      <c r="CE484" t="b">
        <v>0</v>
      </c>
      <c r="CF484" t="b">
        <v>1</v>
      </c>
      <c r="CG484">
        <v>15506123</v>
      </c>
      <c r="CH484" t="s">
        <v>1681</v>
      </c>
      <c r="CI484" s="10">
        <v>610000</v>
      </c>
    </row>
    <row r="485" spans="1:89">
      <c r="A485">
        <v>27195054</v>
      </c>
      <c r="B485" s="2" t="str">
        <f>HYPERLINK("http://www.redfin.com/stingray/do/printable-listing?listing-id=1261370","Active")</f>
        <v>Active</v>
      </c>
      <c r="D485" t="s">
        <v>60</v>
      </c>
      <c r="E485" t="s">
        <v>2392</v>
      </c>
      <c r="F485">
        <v>585000</v>
      </c>
      <c r="G485">
        <v>2007</v>
      </c>
      <c r="H485">
        <v>1681</v>
      </c>
      <c r="I485">
        <v>0</v>
      </c>
      <c r="J485">
        <v>3</v>
      </c>
      <c r="K485">
        <v>2.5</v>
      </c>
      <c r="M485" s="2" t="str">
        <f>HYPERLINK("http://maps.live.com/default.aspx?v=2&amp;lvl=15&amp;sp=Point.47.682198_-122.324144_436 NE Maple Leaf Pl&amp;cp=47.682198~-122.324144","Map")</f>
        <v>Map</v>
      </c>
      <c r="N485" s="2" t="str">
        <f>HYPERLINK("http://i-0.rfimg.us/photo/1/bigphoto/054/27195054_1.jpg","Photo")</f>
        <v>Photo</v>
      </c>
      <c r="AG485">
        <v>47.682198</v>
      </c>
      <c r="AH485">
        <v>-122.324144</v>
      </c>
      <c r="AI485" t="s">
        <v>66</v>
      </c>
      <c r="AJ485">
        <v>98115</v>
      </c>
      <c r="AN485">
        <v>1000000</v>
      </c>
      <c r="BC485" s="22">
        <v>39387.544687499998</v>
      </c>
      <c r="BI485" s="22">
        <v>39549.294907407406</v>
      </c>
      <c r="BL485">
        <v>11700</v>
      </c>
      <c r="BM485">
        <v>1261370</v>
      </c>
      <c r="BN485" t="s">
        <v>1710</v>
      </c>
      <c r="BO485" s="17">
        <f t="shared" ca="1" si="7"/>
        <v>161.764718402781</v>
      </c>
      <c r="BP485" t="b">
        <v>0</v>
      </c>
      <c r="BQ485">
        <v>1</v>
      </c>
      <c r="BR485" t="s">
        <v>1842</v>
      </c>
      <c r="BS485" t="s">
        <v>192</v>
      </c>
      <c r="BT485" t="b">
        <v>0</v>
      </c>
      <c r="BU485" t="s">
        <v>1738</v>
      </c>
      <c r="BV485" t="s">
        <v>1668</v>
      </c>
      <c r="BW485">
        <v>436</v>
      </c>
      <c r="BY485">
        <v>307246</v>
      </c>
      <c r="BZ485" t="s">
        <v>1820</v>
      </c>
      <c r="CA485">
        <v>1</v>
      </c>
      <c r="CB485" t="b">
        <v>1</v>
      </c>
      <c r="CC485">
        <v>0</v>
      </c>
      <c r="CD485" t="b">
        <v>0</v>
      </c>
      <c r="CE485" t="b">
        <v>0</v>
      </c>
      <c r="CF485" t="b">
        <v>1</v>
      </c>
      <c r="CG485">
        <v>2390423</v>
      </c>
      <c r="CH485" t="s">
        <v>1681</v>
      </c>
      <c r="CI485" s="10">
        <v>585000</v>
      </c>
      <c r="CJ485" s="7">
        <v>38497</v>
      </c>
    </row>
    <row r="486" spans="1:89">
      <c r="A486">
        <v>27195069</v>
      </c>
      <c r="B486" s="2" t="str">
        <f>HYPERLINK("http://www.redfin.com/stingray/do/printable-listing?listing-id=1261367","Active")</f>
        <v>Active</v>
      </c>
      <c r="D486" t="s">
        <v>60</v>
      </c>
      <c r="E486" t="s">
        <v>2392</v>
      </c>
      <c r="F486">
        <v>589000</v>
      </c>
      <c r="G486">
        <v>2007</v>
      </c>
      <c r="H486">
        <v>1681</v>
      </c>
      <c r="I486">
        <v>0</v>
      </c>
      <c r="J486">
        <v>3</v>
      </c>
      <c r="K486">
        <v>2.25</v>
      </c>
      <c r="M486" s="2" t="str">
        <f>HYPERLINK("http://maps.live.com/default.aspx?v=2&amp;lvl=15&amp;sp=Point.47.682198_-122.324144_436 NE Maple Leaf Pl&amp;cp=47.682198~-122.324144","Map")</f>
        <v>Map</v>
      </c>
      <c r="N486" s="2" t="str">
        <f>HYPERLINK("http://i-0.rfimg.us/photo/1/bigphoto/069/27195069_1.jpg","Photo")</f>
        <v>Photo</v>
      </c>
      <c r="AG486">
        <v>47.682198</v>
      </c>
      <c r="AH486">
        <v>-122.324144</v>
      </c>
      <c r="AI486" t="s">
        <v>66</v>
      </c>
      <c r="AJ486">
        <v>98115</v>
      </c>
      <c r="AN486">
        <v>1000000</v>
      </c>
      <c r="BC486" s="22">
        <v>39387.544687499998</v>
      </c>
      <c r="BI486" s="22">
        <v>39549.294907407406</v>
      </c>
      <c r="BL486">
        <v>11780</v>
      </c>
      <c r="BM486">
        <v>1261367</v>
      </c>
      <c r="BN486" t="s">
        <v>1710</v>
      </c>
      <c r="BO486" s="17">
        <f t="shared" ca="1" si="7"/>
        <v>161.76471851851966</v>
      </c>
      <c r="BP486" t="b">
        <v>0</v>
      </c>
      <c r="BQ486">
        <v>1</v>
      </c>
      <c r="BR486" t="s">
        <v>1842</v>
      </c>
      <c r="BS486" t="s">
        <v>192</v>
      </c>
      <c r="BT486" t="b">
        <v>0</v>
      </c>
      <c r="BU486" t="s">
        <v>1738</v>
      </c>
      <c r="BV486" t="s">
        <v>1668</v>
      </c>
      <c r="BW486">
        <v>436</v>
      </c>
      <c r="BY486">
        <v>307246</v>
      </c>
      <c r="BZ486" t="s">
        <v>1820</v>
      </c>
      <c r="CA486">
        <v>1</v>
      </c>
      <c r="CB486" t="b">
        <v>1</v>
      </c>
      <c r="CC486">
        <v>0</v>
      </c>
      <c r="CD486" t="b">
        <v>0</v>
      </c>
      <c r="CE486" t="b">
        <v>0</v>
      </c>
      <c r="CF486" t="b">
        <v>1</v>
      </c>
      <c r="CG486">
        <v>2390423</v>
      </c>
      <c r="CH486" t="s">
        <v>1681</v>
      </c>
      <c r="CI486" s="10">
        <v>589000</v>
      </c>
      <c r="CJ486" s="7">
        <v>38497</v>
      </c>
    </row>
    <row r="487" spans="1:89">
      <c r="A487">
        <v>27195118</v>
      </c>
      <c r="B487" s="2" t="str">
        <f>HYPERLINK("http://www.redfin.com/stingray/do/printable-listing?listing-id=1261510","Active")</f>
        <v>Active</v>
      </c>
      <c r="D487" t="s">
        <v>6487</v>
      </c>
      <c r="E487" t="s">
        <v>6484</v>
      </c>
      <c r="F487">
        <v>399950</v>
      </c>
      <c r="G487">
        <v>2008</v>
      </c>
      <c r="H487">
        <v>1893</v>
      </c>
      <c r="I487">
        <v>8364</v>
      </c>
      <c r="J487">
        <v>4</v>
      </c>
      <c r="K487">
        <v>2.5</v>
      </c>
      <c r="M487" s="2" t="str">
        <f>HYPERLINK("http://maps.live.com/default.aspx?v=2&amp;lvl=15&amp;sp=adr.0 S 296th Pl n26xx (Unable to map),98003","Map")</f>
        <v>Map</v>
      </c>
      <c r="N487" s="2" t="str">
        <f>HYPERLINK("http://i-0.rfimg.us/photo/1/bigphoto/118/27195118_1.jpg","Photo")</f>
        <v>Photo</v>
      </c>
      <c r="AI487" t="s">
        <v>6487</v>
      </c>
      <c r="AJ487">
        <v>98003</v>
      </c>
      <c r="AM487" t="s">
        <v>6485</v>
      </c>
      <c r="BC487" s="22">
        <v>39387.582835648151</v>
      </c>
      <c r="BI487" s="22">
        <v>39549.294907407406</v>
      </c>
      <c r="BL487">
        <v>7999</v>
      </c>
      <c r="BM487">
        <v>1261510</v>
      </c>
      <c r="BN487" t="s">
        <v>6215</v>
      </c>
      <c r="BO487" s="17">
        <f t="shared" ca="1" si="7"/>
        <v>161.72657025462831</v>
      </c>
      <c r="BP487" t="b">
        <v>0</v>
      </c>
      <c r="BQ487">
        <v>1</v>
      </c>
      <c r="BR487" t="s">
        <v>1842</v>
      </c>
      <c r="BS487" t="s">
        <v>6486</v>
      </c>
      <c r="BT487" t="b">
        <v>0</v>
      </c>
      <c r="BU487" t="s">
        <v>1881</v>
      </c>
      <c r="BV487" t="s">
        <v>1668</v>
      </c>
      <c r="BW487">
        <v>0</v>
      </c>
      <c r="BY487">
        <v>0</v>
      </c>
      <c r="BZ487" t="s">
        <v>1836</v>
      </c>
      <c r="CA487">
        <v>1</v>
      </c>
      <c r="CB487" t="b">
        <v>1</v>
      </c>
      <c r="CC487">
        <v>0</v>
      </c>
      <c r="CD487" t="b">
        <v>0</v>
      </c>
      <c r="CE487" t="b">
        <v>0</v>
      </c>
      <c r="CF487" t="b">
        <v>1</v>
      </c>
      <c r="CG487" t="s">
        <v>1870</v>
      </c>
      <c r="CH487" t="s">
        <v>1681</v>
      </c>
      <c r="CI487" s="10">
        <v>399950</v>
      </c>
    </row>
    <row r="488" spans="1:89">
      <c r="A488">
        <v>27195187</v>
      </c>
      <c r="B488" s="2" t="str">
        <f>HYPERLINK("http://www.redfin.com/stingray/do/printable-listing?listing-id=1258766","Active")</f>
        <v>Active</v>
      </c>
      <c r="D488" t="s">
        <v>63</v>
      </c>
      <c r="E488" t="s">
        <v>169</v>
      </c>
      <c r="F488">
        <v>450000</v>
      </c>
      <c r="G488">
        <v>1907</v>
      </c>
      <c r="H488">
        <v>2060</v>
      </c>
      <c r="I488">
        <v>5000</v>
      </c>
      <c r="J488">
        <v>4</v>
      </c>
      <c r="K488">
        <v>1</v>
      </c>
      <c r="M488" s="2" t="str">
        <f>HYPERLINK("http://maps.live.com/default.aspx?v=2&amp;lvl=15&amp;sp=Point.47.679754_-122.39465_2838 NW 70th St&amp;cp=47.679754~-122.39465","Map")</f>
        <v>Map</v>
      </c>
      <c r="N488" s="2" t="str">
        <f>HYPERLINK("http://i-0.rfimg.us/photo/1/bigphoto/187/27195187_0.jpg","Photo")</f>
        <v>Photo</v>
      </c>
      <c r="AG488">
        <v>47.679754000000003</v>
      </c>
      <c r="AH488">
        <v>-122.39465</v>
      </c>
      <c r="AI488" t="s">
        <v>66</v>
      </c>
      <c r="AJ488">
        <v>98117</v>
      </c>
      <c r="BC488" s="25">
        <v>39386.689236111109</v>
      </c>
      <c r="BI488" s="22">
        <v>39549.294907407406</v>
      </c>
      <c r="BL488">
        <v>9000</v>
      </c>
      <c r="BM488">
        <v>1258766</v>
      </c>
      <c r="BN488" t="s">
        <v>1758</v>
      </c>
      <c r="BO488" s="17">
        <f t="shared" ca="1" si="7"/>
        <v>162.62016990740813</v>
      </c>
      <c r="BP488" t="b">
        <v>0</v>
      </c>
      <c r="BQ488">
        <v>1</v>
      </c>
      <c r="BR488" t="s">
        <v>1686</v>
      </c>
      <c r="BS488" t="s">
        <v>1703</v>
      </c>
      <c r="BT488" t="b">
        <v>0</v>
      </c>
      <c r="BU488" t="s">
        <v>1669</v>
      </c>
      <c r="BV488" t="s">
        <v>1668</v>
      </c>
      <c r="BW488">
        <v>2838</v>
      </c>
      <c r="BY488">
        <v>163465</v>
      </c>
      <c r="BZ488" s="21">
        <v>0</v>
      </c>
      <c r="CA488">
        <v>1</v>
      </c>
      <c r="CB488" t="b">
        <v>1</v>
      </c>
      <c r="CC488">
        <v>0</v>
      </c>
      <c r="CD488" t="b">
        <v>1</v>
      </c>
      <c r="CE488" t="b">
        <v>0</v>
      </c>
      <c r="CF488" t="b">
        <v>1</v>
      </c>
      <c r="CG488">
        <v>2446073</v>
      </c>
      <c r="CH488" t="s">
        <v>1681</v>
      </c>
      <c r="CI488" s="10">
        <v>450000</v>
      </c>
    </row>
    <row r="489" spans="1:89">
      <c r="A489">
        <v>27195345</v>
      </c>
      <c r="B489" s="2" t="str">
        <f>HYPERLINK("http://www.redfin.com/stingray/do/printable-listing?listing-id=1267571","Active")</f>
        <v>Active</v>
      </c>
      <c r="D489" t="s">
        <v>3249</v>
      </c>
      <c r="E489" t="s">
        <v>3527</v>
      </c>
      <c r="F489">
        <v>645000</v>
      </c>
      <c r="G489">
        <v>2003</v>
      </c>
      <c r="H489">
        <v>2290</v>
      </c>
      <c r="I489">
        <v>0</v>
      </c>
      <c r="J489">
        <v>3</v>
      </c>
      <c r="K489">
        <v>3.5</v>
      </c>
      <c r="M489" s="2" t="str">
        <f>HYPERLINK("http://maps.live.com/default.aspx?v=2&amp;lvl=15&amp;sp=Point.47.646996_-122.362564_3011 Humes Pl W&amp;cp=47.646996~-122.362564","Map")</f>
        <v>Map</v>
      </c>
      <c r="N489" s="2" t="str">
        <f>HYPERLINK("http://i-0.rfimg.us/photo/1/bigphoto/345/27195345_4.jpg","Photo")</f>
        <v>Photo</v>
      </c>
      <c r="AG489">
        <v>47.646996000000001</v>
      </c>
      <c r="AH489">
        <v>-122.36256400000001</v>
      </c>
      <c r="AI489" t="s">
        <v>66</v>
      </c>
      <c r="AJ489">
        <v>98119</v>
      </c>
      <c r="AN489">
        <v>449000</v>
      </c>
      <c r="BC489" s="22">
        <v>39389.622256944444</v>
      </c>
      <c r="BI489" s="7">
        <v>39540</v>
      </c>
      <c r="BL489">
        <v>12900</v>
      </c>
      <c r="BM489">
        <v>1267571</v>
      </c>
      <c r="BN489" t="s">
        <v>1700</v>
      </c>
      <c r="BO489" s="17">
        <f t="shared" ca="1" si="7"/>
        <v>159.68714895833546</v>
      </c>
      <c r="BP489" t="b">
        <v>0</v>
      </c>
      <c r="BQ489">
        <v>1</v>
      </c>
      <c r="BR489" t="s">
        <v>1842</v>
      </c>
      <c r="BS489" t="s">
        <v>3528</v>
      </c>
      <c r="BT489" t="b">
        <v>0</v>
      </c>
      <c r="BV489" t="s">
        <v>1668</v>
      </c>
      <c r="BW489">
        <v>3011</v>
      </c>
      <c r="BX489" t="s">
        <v>2423</v>
      </c>
      <c r="BY489">
        <v>131124</v>
      </c>
      <c r="BZ489" t="s">
        <v>3529</v>
      </c>
      <c r="CA489">
        <v>1</v>
      </c>
      <c r="CB489" t="b">
        <v>1</v>
      </c>
      <c r="CC489">
        <v>0</v>
      </c>
      <c r="CD489" t="b">
        <v>0</v>
      </c>
      <c r="CE489" t="b">
        <v>0</v>
      </c>
      <c r="CF489" t="b">
        <v>1</v>
      </c>
      <c r="CG489">
        <v>2514550</v>
      </c>
      <c r="CH489" t="s">
        <v>1681</v>
      </c>
      <c r="CI489" s="10">
        <v>645000</v>
      </c>
      <c r="CJ489" s="7">
        <v>38099</v>
      </c>
    </row>
    <row r="490" spans="1:89">
      <c r="A490">
        <v>27195373</v>
      </c>
      <c r="B490" s="2" t="str">
        <f>HYPERLINK("http://www.redfin.com/stingray/do/printable-listing?listing-id=1260703","Active")</f>
        <v>Active</v>
      </c>
      <c r="D490" t="s">
        <v>3061</v>
      </c>
      <c r="E490" t="s">
        <v>4566</v>
      </c>
      <c r="F490">
        <v>435900</v>
      </c>
      <c r="G490">
        <v>1968</v>
      </c>
      <c r="H490">
        <v>1360</v>
      </c>
      <c r="I490">
        <v>4600</v>
      </c>
      <c r="J490">
        <v>4</v>
      </c>
      <c r="K490">
        <v>2</v>
      </c>
      <c r="M490" s="2" t="str">
        <f>HYPERLINK("http://maps.live.com/default.aspx?v=2&amp;lvl=15&amp;sp=Point.47.721028_-122.180779_12001 NE 134th Pl&amp;cp=47.721028~-122.180779","Map")</f>
        <v>Map</v>
      </c>
      <c r="N490" s="2" t="str">
        <f>HYPERLINK("http://i-0.rfimg.us/photo/1/bigphoto/373/27195373_0.jpg","Photo")</f>
        <v>Photo</v>
      </c>
      <c r="AG490">
        <v>47.721027999999997</v>
      </c>
      <c r="AH490">
        <v>-122.180779</v>
      </c>
      <c r="AI490" t="s">
        <v>1058</v>
      </c>
      <c r="AJ490">
        <v>98034</v>
      </c>
      <c r="AN490">
        <v>340100</v>
      </c>
      <c r="BC490" s="22">
        <v>39387.372361111113</v>
      </c>
      <c r="BI490" s="7">
        <v>39539</v>
      </c>
      <c r="BL490">
        <v>8718</v>
      </c>
      <c r="BM490">
        <v>1260703</v>
      </c>
      <c r="BN490" t="s">
        <v>2777</v>
      </c>
      <c r="BO490" s="17">
        <f t="shared" ca="1" si="7"/>
        <v>161.93704479166627</v>
      </c>
      <c r="BP490" t="b">
        <v>0</v>
      </c>
      <c r="BQ490">
        <v>1</v>
      </c>
      <c r="BR490" t="s">
        <v>1842</v>
      </c>
      <c r="BS490" t="s">
        <v>2855</v>
      </c>
      <c r="BT490" t="b">
        <v>0</v>
      </c>
      <c r="BU490" t="s">
        <v>1738</v>
      </c>
      <c r="BV490" t="s">
        <v>1668</v>
      </c>
      <c r="BW490">
        <v>12001</v>
      </c>
      <c r="BY490">
        <v>454965</v>
      </c>
      <c r="BZ490" t="s">
        <v>1747</v>
      </c>
      <c r="CA490">
        <v>1</v>
      </c>
      <c r="CB490" t="b">
        <v>1</v>
      </c>
      <c r="CC490">
        <v>0</v>
      </c>
      <c r="CD490" t="b">
        <v>0</v>
      </c>
      <c r="CE490" t="b">
        <v>0</v>
      </c>
      <c r="CF490" t="b">
        <v>1</v>
      </c>
      <c r="CG490">
        <v>2377459</v>
      </c>
      <c r="CH490" t="s">
        <v>1681</v>
      </c>
      <c r="CI490" s="10">
        <v>435900</v>
      </c>
      <c r="CJ490" s="7">
        <v>39233</v>
      </c>
    </row>
    <row r="491" spans="1:89">
      <c r="A491">
        <v>27195402</v>
      </c>
      <c r="B491" s="2" t="str">
        <f>HYPERLINK("http://www.redfin.com/stingray/do/printable-listing?listing-id=1260746","Subject To Inspection")</f>
        <v>Subject To Inspection</v>
      </c>
      <c r="D491" t="s">
        <v>3249</v>
      </c>
      <c r="E491" t="s">
        <v>3287</v>
      </c>
      <c r="F491">
        <v>509950</v>
      </c>
      <c r="G491">
        <v>2007</v>
      </c>
      <c r="H491">
        <v>1620</v>
      </c>
      <c r="I491">
        <v>0</v>
      </c>
      <c r="J491">
        <v>3</v>
      </c>
      <c r="K491">
        <v>2.5</v>
      </c>
      <c r="M491" s="2" t="str">
        <f>HYPERLINK("http://maps.live.com/default.aspx?v=2&amp;lvl=15&amp;sp=Point.47.648405_-122.358243_11 W Dravus St nC&amp;cp=47.648405~-122.358243","Map")</f>
        <v>Map</v>
      </c>
      <c r="N491" s="2" t="str">
        <f>HYPERLINK("http://i-0.rfimg.us/photo/1/bigphoto/402/27195402_3.jpg","Photo")</f>
        <v>Photo</v>
      </c>
      <c r="AG491">
        <v>47.648404999999997</v>
      </c>
      <c r="AH491">
        <v>-122.358243</v>
      </c>
      <c r="AI491" t="s">
        <v>66</v>
      </c>
      <c r="AJ491">
        <v>98119</v>
      </c>
      <c r="AM491" t="s">
        <v>2341</v>
      </c>
      <c r="BC491" s="22">
        <v>39387.382534722223</v>
      </c>
      <c r="BI491" s="22">
        <v>39547.913935185185</v>
      </c>
      <c r="BL491">
        <v>10199</v>
      </c>
      <c r="BM491">
        <v>1260746</v>
      </c>
      <c r="BN491" t="s">
        <v>3286</v>
      </c>
      <c r="BO491" s="17">
        <f t="shared" ca="1" si="7"/>
        <v>161.92687118055619</v>
      </c>
      <c r="BP491" t="b">
        <v>0</v>
      </c>
      <c r="BQ491">
        <v>2</v>
      </c>
      <c r="BR491" t="s">
        <v>1686</v>
      </c>
      <c r="BS491" t="s">
        <v>3288</v>
      </c>
      <c r="BT491" t="b">
        <v>0</v>
      </c>
      <c r="BU491" t="s">
        <v>2423</v>
      </c>
      <c r="BV491" t="s">
        <v>1668</v>
      </c>
      <c r="BW491">
        <v>11</v>
      </c>
      <c r="BY491">
        <v>12321534</v>
      </c>
      <c r="BZ491" t="s">
        <v>3289</v>
      </c>
      <c r="CA491">
        <v>1</v>
      </c>
      <c r="CB491" t="b">
        <v>1</v>
      </c>
      <c r="CC491">
        <v>0</v>
      </c>
      <c r="CD491" t="b">
        <v>0</v>
      </c>
      <c r="CE491" t="b">
        <v>0</v>
      </c>
      <c r="CF491" t="b">
        <v>1</v>
      </c>
      <c r="CG491">
        <v>15527569</v>
      </c>
      <c r="CH491" t="s">
        <v>1681</v>
      </c>
      <c r="CI491" s="10">
        <v>509950</v>
      </c>
    </row>
    <row r="492" spans="1:89">
      <c r="A492">
        <v>27195651</v>
      </c>
      <c r="B492" s="2" t="str">
        <f>HYPERLINK("http://www.redfin.com/stingray/do/printable-listing?listing-id=1264421","Active")</f>
        <v>Active</v>
      </c>
      <c r="D492" t="s">
        <v>5198</v>
      </c>
      <c r="E492" t="s">
        <v>5447</v>
      </c>
      <c r="F492">
        <v>898900</v>
      </c>
      <c r="G492">
        <v>1974</v>
      </c>
      <c r="H492">
        <v>3320</v>
      </c>
      <c r="I492">
        <v>19206</v>
      </c>
      <c r="J492">
        <v>4</v>
      </c>
      <c r="K492">
        <v>2.75</v>
      </c>
      <c r="M492" s="2" t="str">
        <f>HYPERLINK("http://maps.live.com/default.aspx?v=2&amp;lvl=15&amp;sp=Point.47.583847_-122.113634_2830 170th Ave SE&amp;cp=47.583847~-122.113634","Map")</f>
        <v>Map</v>
      </c>
      <c r="N492" s="2" t="str">
        <f>HYPERLINK("http://i-0.rfimg.us/photo/1/bigphoto/651/27195651_0.jpg","Photo")</f>
        <v>Photo</v>
      </c>
      <c r="AG492">
        <v>47.583846999999999</v>
      </c>
      <c r="AH492">
        <v>-122.113634</v>
      </c>
      <c r="AI492" t="s">
        <v>369</v>
      </c>
      <c r="AJ492">
        <v>98008</v>
      </c>
      <c r="BC492" s="22">
        <v>39388.445196759261</v>
      </c>
      <c r="BI492" s="22">
        <v>39549.294907407406</v>
      </c>
      <c r="BL492">
        <v>17978</v>
      </c>
      <c r="BM492">
        <v>1264421</v>
      </c>
      <c r="BN492" t="s">
        <v>1798</v>
      </c>
      <c r="BO492" s="17">
        <f t="shared" ca="1" si="7"/>
        <v>160.86420914351766</v>
      </c>
      <c r="BP492" t="b">
        <v>0</v>
      </c>
      <c r="BQ492">
        <v>1</v>
      </c>
      <c r="BR492" t="s">
        <v>1667</v>
      </c>
      <c r="BS492" t="s">
        <v>5302</v>
      </c>
      <c r="BT492" t="b">
        <v>0</v>
      </c>
      <c r="BV492" t="s">
        <v>1668</v>
      </c>
      <c r="BW492">
        <v>2830</v>
      </c>
      <c r="BX492" t="s">
        <v>3856</v>
      </c>
      <c r="BY492">
        <v>427956</v>
      </c>
      <c r="BZ492" t="s">
        <v>5448</v>
      </c>
      <c r="CA492">
        <v>1</v>
      </c>
      <c r="CB492" t="b">
        <v>1</v>
      </c>
      <c r="CC492">
        <v>0</v>
      </c>
      <c r="CD492" t="b">
        <v>0</v>
      </c>
      <c r="CE492" t="b">
        <v>0</v>
      </c>
      <c r="CF492" t="b">
        <v>1</v>
      </c>
      <c r="CG492">
        <v>2531848</v>
      </c>
      <c r="CH492" t="s">
        <v>1681</v>
      </c>
      <c r="CI492" s="10">
        <v>898900</v>
      </c>
    </row>
    <row r="493" spans="1:89">
      <c r="A493">
        <v>27195995</v>
      </c>
      <c r="B493" s="2" t="str">
        <f>HYPERLINK("http://www.redfin.com/stingray/do/printable-listing?listing-id=1265357","Active")</f>
        <v>Active</v>
      </c>
      <c r="D493" t="s">
        <v>369</v>
      </c>
      <c r="E493" t="s">
        <v>5492</v>
      </c>
      <c r="F493">
        <v>499000</v>
      </c>
      <c r="G493">
        <v>1963</v>
      </c>
      <c r="H493">
        <v>1640</v>
      </c>
      <c r="I493">
        <v>11063</v>
      </c>
      <c r="J493">
        <v>3</v>
      </c>
      <c r="K493">
        <v>1.75</v>
      </c>
      <c r="M493" s="2" t="str">
        <f>HYPERLINK("http://maps.live.com/default.aspx?v=2&amp;lvl=15&amp;sp=Point.47.571672_-122.12652_4145 161st Ave SE&amp;cp=47.571672~-122.12652","Map")</f>
        <v>Map</v>
      </c>
      <c r="N493" s="2" t="str">
        <f>HYPERLINK("http://i-0.rfimg.us/photo/1/bigphoto/995/27195995_2.jpg","Photo")</f>
        <v>Photo</v>
      </c>
      <c r="AG493">
        <v>47.571672</v>
      </c>
      <c r="AH493">
        <v>-122.12652</v>
      </c>
      <c r="AI493" t="s">
        <v>369</v>
      </c>
      <c r="AJ493">
        <v>98006</v>
      </c>
      <c r="AN493">
        <v>185000</v>
      </c>
      <c r="BC493" s="22">
        <v>39388.626805555556</v>
      </c>
      <c r="BI493" s="7">
        <v>39533</v>
      </c>
      <c r="BL493">
        <v>9980</v>
      </c>
      <c r="BM493">
        <v>1265357</v>
      </c>
      <c r="BN493" t="s">
        <v>1688</v>
      </c>
      <c r="BO493" s="17">
        <f t="shared" ca="1" si="7"/>
        <v>160.68260034722334</v>
      </c>
      <c r="BP493" t="b">
        <v>0</v>
      </c>
      <c r="BQ493">
        <v>1</v>
      </c>
      <c r="BR493" t="s">
        <v>1667</v>
      </c>
      <c r="BS493" t="s">
        <v>5334</v>
      </c>
      <c r="BT493" t="b">
        <v>0</v>
      </c>
      <c r="BV493" t="s">
        <v>1668</v>
      </c>
      <c r="BW493">
        <v>4145</v>
      </c>
      <c r="BX493" t="s">
        <v>3856</v>
      </c>
      <c r="BY493">
        <v>237253</v>
      </c>
      <c r="BZ493" t="s">
        <v>5493</v>
      </c>
      <c r="CA493">
        <v>1</v>
      </c>
      <c r="CB493" t="b">
        <v>1</v>
      </c>
      <c r="CC493">
        <v>0</v>
      </c>
      <c r="CD493" t="b">
        <v>0</v>
      </c>
      <c r="CE493" t="b">
        <v>0</v>
      </c>
      <c r="CF493" t="b">
        <v>1</v>
      </c>
      <c r="CG493">
        <v>2765340</v>
      </c>
      <c r="CH493" t="s">
        <v>1681</v>
      </c>
      <c r="CI493" s="10">
        <v>499000</v>
      </c>
      <c r="CJ493" s="7">
        <v>34563</v>
      </c>
    </row>
    <row r="494" spans="1:89">
      <c r="A494">
        <v>27196012</v>
      </c>
      <c r="B494" s="2" t="str">
        <f>HYPERLINK("http://www.redfin.com/stingray/do/printable-listing?listing-id=1263931","Active")</f>
        <v>Active</v>
      </c>
      <c r="D494" t="s">
        <v>109</v>
      </c>
      <c r="E494" t="s">
        <v>3623</v>
      </c>
      <c r="F494">
        <v>999950</v>
      </c>
      <c r="G494">
        <v>1900</v>
      </c>
      <c r="H494">
        <v>4450</v>
      </c>
      <c r="I494">
        <v>6286</v>
      </c>
      <c r="J494">
        <v>6</v>
      </c>
      <c r="K494">
        <v>3.5</v>
      </c>
      <c r="M494" s="2" t="str">
        <f>HYPERLINK("http://maps.live.com/default.aspx?v=2&amp;lvl=15&amp;sp=Point.47.654707_-122.328671_3912 Eastern Ave N&amp;cp=47.654707~-122.328671","Map")</f>
        <v>Map</v>
      </c>
      <c r="N494" s="2" t="str">
        <f>HYPERLINK("http://i-0.rfimg.us/photo/1/bigphoto/012/27196012_1.jpg","Photo")</f>
        <v>Photo</v>
      </c>
      <c r="AG494">
        <v>47.654707000000002</v>
      </c>
      <c r="AH494">
        <v>-122.328671</v>
      </c>
      <c r="AI494" t="s">
        <v>66</v>
      </c>
      <c r="AJ494">
        <v>98103</v>
      </c>
      <c r="BC494" s="22">
        <v>39388.328680555554</v>
      </c>
      <c r="BI494" s="22">
        <v>39549.294907407406</v>
      </c>
      <c r="BL494">
        <v>19999</v>
      </c>
      <c r="BM494">
        <v>1263931</v>
      </c>
      <c r="BN494" t="s">
        <v>2766</v>
      </c>
      <c r="BO494" s="17">
        <f t="shared" ca="1" si="7"/>
        <v>160.98072534722451</v>
      </c>
      <c r="BP494" t="b">
        <v>0</v>
      </c>
      <c r="BQ494">
        <v>1</v>
      </c>
      <c r="BR494" t="s">
        <v>1667</v>
      </c>
      <c r="BS494" t="s">
        <v>2398</v>
      </c>
      <c r="BT494" t="b">
        <v>0</v>
      </c>
      <c r="BV494" t="s">
        <v>1668</v>
      </c>
      <c r="BW494">
        <v>3912</v>
      </c>
      <c r="BX494" t="s">
        <v>1712</v>
      </c>
      <c r="BY494">
        <v>120259</v>
      </c>
      <c r="BZ494" t="s">
        <v>1756</v>
      </c>
      <c r="CA494">
        <v>1</v>
      </c>
      <c r="CB494" t="b">
        <v>1</v>
      </c>
      <c r="CC494">
        <v>0</v>
      </c>
      <c r="CD494" t="b">
        <v>0</v>
      </c>
      <c r="CE494" t="b">
        <v>0</v>
      </c>
      <c r="CF494" t="b">
        <v>1</v>
      </c>
      <c r="CG494">
        <v>2881409</v>
      </c>
      <c r="CH494" t="s">
        <v>1681</v>
      </c>
      <c r="CI494" s="10">
        <v>999950</v>
      </c>
    </row>
    <row r="495" spans="1:89">
      <c r="A495">
        <v>27196041</v>
      </c>
      <c r="B495" s="2" t="str">
        <f>HYPERLINK("http://www.redfin.com/stingray/do/printable-listing?listing-id=1264011","Active")</f>
        <v>Active</v>
      </c>
      <c r="D495" t="s">
        <v>6207</v>
      </c>
      <c r="E495" t="s">
        <v>6249</v>
      </c>
      <c r="F495" s="19">
        <v>359950</v>
      </c>
      <c r="G495">
        <v>2008</v>
      </c>
      <c r="H495">
        <v>1920</v>
      </c>
      <c r="I495">
        <v>0</v>
      </c>
      <c r="J495">
        <v>4</v>
      </c>
      <c r="K495">
        <v>2.5</v>
      </c>
      <c r="M495" s="2" t="str">
        <f>HYPERLINK("http://maps.live.com/default.aspx?v=2&amp;lvl=15&amp;sp=adr.11435 SE 195th Pl nLot 90 (Unable to map),98055","Map")</f>
        <v>Map</v>
      </c>
      <c r="N495" s="2" t="str">
        <f>HYPERLINK("http://i-0.rfimg.us/photo/1/bigphoto/041/27196041_6.jpg","Photo")</f>
        <v>Photo</v>
      </c>
      <c r="AI495" t="s">
        <v>1077</v>
      </c>
      <c r="AJ495">
        <v>98055</v>
      </c>
      <c r="AM495" t="s">
        <v>6250</v>
      </c>
      <c r="BC495" s="22">
        <v>39388.350543981483</v>
      </c>
      <c r="BI495" s="7">
        <v>39542</v>
      </c>
      <c r="BL495">
        <v>7099</v>
      </c>
      <c r="BM495">
        <v>1264011</v>
      </c>
      <c r="BN495" t="s">
        <v>3092</v>
      </c>
      <c r="BO495" s="17">
        <f t="shared" ca="1" si="7"/>
        <v>160.95886192129547</v>
      </c>
      <c r="BP495" t="b">
        <v>0</v>
      </c>
      <c r="BQ495">
        <v>1</v>
      </c>
      <c r="BR495" t="s">
        <v>1842</v>
      </c>
      <c r="BS495" t="s">
        <v>6242</v>
      </c>
      <c r="BT495" t="b">
        <v>0</v>
      </c>
      <c r="BU495" t="s">
        <v>3856</v>
      </c>
      <c r="BV495" t="s">
        <v>1668</v>
      </c>
      <c r="BW495">
        <v>11435</v>
      </c>
      <c r="BY495">
        <v>0</v>
      </c>
      <c r="BZ495" t="s">
        <v>6251</v>
      </c>
      <c r="CA495">
        <v>1</v>
      </c>
      <c r="CB495" t="b">
        <v>1</v>
      </c>
      <c r="CC495">
        <v>0</v>
      </c>
      <c r="CD495" t="b">
        <v>0</v>
      </c>
      <c r="CE495" t="b">
        <v>0</v>
      </c>
      <c r="CF495" t="b">
        <v>1</v>
      </c>
      <c r="CG495" t="s">
        <v>1870</v>
      </c>
      <c r="CH495" t="s">
        <v>1681</v>
      </c>
      <c r="CI495" s="10">
        <v>354950</v>
      </c>
      <c r="CK495" t="s">
        <v>6458</v>
      </c>
    </row>
    <row r="496" spans="1:89">
      <c r="A496">
        <v>27196051</v>
      </c>
      <c r="B496" s="2" t="str">
        <f>HYPERLINK("http://www.redfin.com/stingray/do/printable-listing?listing-id=1264031","Active")</f>
        <v>Active</v>
      </c>
      <c r="D496" t="s">
        <v>6207</v>
      </c>
      <c r="E496" t="s">
        <v>6237</v>
      </c>
      <c r="F496" s="19">
        <v>359950</v>
      </c>
      <c r="G496">
        <v>2008</v>
      </c>
      <c r="H496">
        <v>1920</v>
      </c>
      <c r="I496">
        <v>0</v>
      </c>
      <c r="J496">
        <v>4</v>
      </c>
      <c r="K496">
        <v>2.5</v>
      </c>
      <c r="M496" s="2" t="str">
        <f>HYPERLINK("http://maps.live.com/default.aspx?v=2&amp;lvl=15&amp;sp=adr.19449 115th Pl SE nLot 70 (Unable to map),98055","Map")</f>
        <v>Map</v>
      </c>
      <c r="N496" s="2" t="str">
        <f>HYPERLINK("http://i-0.rfimg.us/photo/1/bigphoto/051/27196051_5.jpg","Photo")</f>
        <v>Photo</v>
      </c>
      <c r="AI496" t="s">
        <v>1077</v>
      </c>
      <c r="AJ496">
        <v>98055</v>
      </c>
      <c r="AM496" t="s">
        <v>6238</v>
      </c>
      <c r="BC496" s="22">
        <v>39388.361134259256</v>
      </c>
      <c r="BI496" s="7">
        <v>39542</v>
      </c>
      <c r="BL496">
        <v>7099</v>
      </c>
      <c r="BM496">
        <v>1264031</v>
      </c>
      <c r="BN496" t="s">
        <v>3092</v>
      </c>
      <c r="BO496" s="17">
        <f t="shared" ca="1" si="7"/>
        <v>160.94827164352319</v>
      </c>
      <c r="BP496" t="b">
        <v>0</v>
      </c>
      <c r="BQ496">
        <v>1</v>
      </c>
      <c r="BR496" t="s">
        <v>1842</v>
      </c>
      <c r="BS496" t="s">
        <v>4439</v>
      </c>
      <c r="BT496" t="b">
        <v>0</v>
      </c>
      <c r="BV496" t="s">
        <v>1668</v>
      </c>
      <c r="BW496">
        <v>19449</v>
      </c>
      <c r="BX496" t="s">
        <v>3856</v>
      </c>
      <c r="BY496">
        <v>0</v>
      </c>
      <c r="BZ496" t="s">
        <v>6239</v>
      </c>
      <c r="CA496">
        <v>1</v>
      </c>
      <c r="CB496" t="b">
        <v>1</v>
      </c>
      <c r="CC496">
        <v>0</v>
      </c>
      <c r="CD496" t="b">
        <v>0</v>
      </c>
      <c r="CE496" t="b">
        <v>0</v>
      </c>
      <c r="CF496" t="b">
        <v>1</v>
      </c>
      <c r="CG496" t="s">
        <v>1870</v>
      </c>
      <c r="CH496" t="s">
        <v>1681</v>
      </c>
      <c r="CI496" s="10">
        <v>354950</v>
      </c>
    </row>
    <row r="497" spans="1:89">
      <c r="A497">
        <v>27196060</v>
      </c>
      <c r="B497" s="2" t="str">
        <f>HYPERLINK("http://www.redfin.com/stingray/do/printable-listing?listing-id=1264032","Active")</f>
        <v>Active</v>
      </c>
      <c r="D497" t="s">
        <v>6207</v>
      </c>
      <c r="E497" t="s">
        <v>6321</v>
      </c>
      <c r="F497">
        <v>353950</v>
      </c>
      <c r="G497">
        <v>2008</v>
      </c>
      <c r="H497">
        <v>1719</v>
      </c>
      <c r="I497">
        <v>0</v>
      </c>
      <c r="J497">
        <v>3</v>
      </c>
      <c r="K497">
        <v>3.5</v>
      </c>
      <c r="M497" s="2" t="str">
        <f>HYPERLINK("http://maps.live.com/default.aspx?v=2&amp;lvl=15&amp;sp=adr.19467 115th Pl SE nLot 67 (Unable to map),98055","Map")</f>
        <v>Map</v>
      </c>
      <c r="N497" s="2" t="str">
        <f>HYPERLINK("http://i-0.rfimg.us/photo/1/bigphoto/060/27196060_6.jpg","Photo")</f>
        <v>Photo</v>
      </c>
      <c r="AI497" t="s">
        <v>1077</v>
      </c>
      <c r="AJ497">
        <v>98055</v>
      </c>
      <c r="AM497" t="s">
        <v>6322</v>
      </c>
      <c r="BC497" s="22">
        <v>39388.361134259256</v>
      </c>
      <c r="BI497" s="7">
        <v>39542</v>
      </c>
      <c r="BL497">
        <v>7079</v>
      </c>
      <c r="BM497">
        <v>1264032</v>
      </c>
      <c r="BN497" t="s">
        <v>3092</v>
      </c>
      <c r="BO497" s="17">
        <f t="shared" ca="1" si="7"/>
        <v>160.94827164352319</v>
      </c>
      <c r="BP497" t="b">
        <v>0</v>
      </c>
      <c r="BQ497">
        <v>1</v>
      </c>
      <c r="BR497" t="s">
        <v>1842</v>
      </c>
      <c r="BS497" t="s">
        <v>4439</v>
      </c>
      <c r="BT497" t="b">
        <v>0</v>
      </c>
      <c r="BV497" t="s">
        <v>1668</v>
      </c>
      <c r="BW497">
        <v>19467</v>
      </c>
      <c r="BX497" t="s">
        <v>3856</v>
      </c>
      <c r="BY497">
        <v>0</v>
      </c>
      <c r="BZ497" t="s">
        <v>6323</v>
      </c>
      <c r="CA497">
        <v>1</v>
      </c>
      <c r="CB497" t="b">
        <v>1</v>
      </c>
      <c r="CC497">
        <v>0</v>
      </c>
      <c r="CD497" t="b">
        <v>0</v>
      </c>
      <c r="CE497" t="b">
        <v>0</v>
      </c>
      <c r="CF497" t="b">
        <v>1</v>
      </c>
      <c r="CG497" t="s">
        <v>1870</v>
      </c>
      <c r="CH497" t="s">
        <v>1681</v>
      </c>
      <c r="CI497" s="10">
        <v>353950</v>
      </c>
    </row>
    <row r="498" spans="1:89">
      <c r="A498">
        <v>27196072</v>
      </c>
      <c r="B498" s="2" t="str">
        <f>HYPERLINK("http://www.redfin.com/stingray/do/printable-listing?listing-id=1264033","Active")</f>
        <v>Active</v>
      </c>
      <c r="D498" t="s">
        <v>6207</v>
      </c>
      <c r="E498" t="s">
        <v>6222</v>
      </c>
      <c r="F498" s="19">
        <v>359950</v>
      </c>
      <c r="G498">
        <v>2008</v>
      </c>
      <c r="H498">
        <v>1920</v>
      </c>
      <c r="I498">
        <v>0</v>
      </c>
      <c r="J498">
        <v>4</v>
      </c>
      <c r="K498">
        <v>2.5</v>
      </c>
      <c r="M498" s="2" t="str">
        <f>HYPERLINK("http://maps.live.com/default.aspx?v=2&amp;lvl=15&amp;sp=adr.19473 115th Pl SE nLot 66 (Unable to map),98055","Map")</f>
        <v>Map</v>
      </c>
      <c r="N498" s="2" t="str">
        <f>HYPERLINK("http://i-0.rfimg.us/photo/1/bigphoto/072/27196072_6.jpg","Photo")</f>
        <v>Photo</v>
      </c>
      <c r="AI498" t="s">
        <v>1077</v>
      </c>
      <c r="AJ498">
        <v>98055</v>
      </c>
      <c r="AM498" t="s">
        <v>6223</v>
      </c>
      <c r="BC498" s="22">
        <v>39388.361134259256</v>
      </c>
      <c r="BI498" s="7">
        <v>39542</v>
      </c>
      <c r="BL498">
        <v>7099</v>
      </c>
      <c r="BM498">
        <v>1264033</v>
      </c>
      <c r="BN498" t="s">
        <v>3092</v>
      </c>
      <c r="BO498" s="17">
        <f t="shared" ca="1" si="7"/>
        <v>160.94827164352319</v>
      </c>
      <c r="BP498" t="b">
        <v>0</v>
      </c>
      <c r="BQ498">
        <v>1</v>
      </c>
      <c r="BR498" t="s">
        <v>1842</v>
      </c>
      <c r="BS498" t="s">
        <v>4439</v>
      </c>
      <c r="BT498" t="b">
        <v>0</v>
      </c>
      <c r="BV498" t="s">
        <v>1668</v>
      </c>
      <c r="BW498">
        <v>19473</v>
      </c>
      <c r="BX498" t="s">
        <v>3856</v>
      </c>
      <c r="BY498">
        <v>0</v>
      </c>
      <c r="BZ498" t="s">
        <v>6224</v>
      </c>
      <c r="CA498">
        <v>1</v>
      </c>
      <c r="CB498" t="b">
        <v>1</v>
      </c>
      <c r="CC498">
        <v>0</v>
      </c>
      <c r="CD498" t="b">
        <v>0</v>
      </c>
      <c r="CE498" t="b">
        <v>0</v>
      </c>
      <c r="CF498" t="b">
        <v>1</v>
      </c>
      <c r="CG498" t="s">
        <v>1870</v>
      </c>
      <c r="CH498" t="s">
        <v>1681</v>
      </c>
      <c r="CI498" s="10">
        <v>354950</v>
      </c>
    </row>
    <row r="499" spans="1:89">
      <c r="A499">
        <v>27196092</v>
      </c>
      <c r="B499" s="2" t="str">
        <f>HYPERLINK("http://www.redfin.com/stingray/do/printable-listing?listing-id=1264126","Active")</f>
        <v>Active</v>
      </c>
      <c r="D499" t="s">
        <v>6207</v>
      </c>
      <c r="E499" t="s">
        <v>6240</v>
      </c>
      <c r="F499" s="19">
        <v>359950</v>
      </c>
      <c r="G499">
        <v>2008</v>
      </c>
      <c r="H499">
        <v>1920</v>
      </c>
      <c r="I499">
        <v>0</v>
      </c>
      <c r="J499">
        <v>4</v>
      </c>
      <c r="K499">
        <v>2.5</v>
      </c>
      <c r="M499" s="2" t="str">
        <f>HYPERLINK("http://maps.live.com/default.aspx?v=2&amp;lvl=15&amp;sp=adr.11411 195th Pl SE nLot 86 (Unable to map),98055","Map")</f>
        <v>Map</v>
      </c>
      <c r="N499" s="2" t="str">
        <f>HYPERLINK("http://i-0.rfimg.us/photo/1/bigphoto/092/27196092_5.jpg","Photo")</f>
        <v>Photo</v>
      </c>
      <c r="AI499" t="s">
        <v>1077</v>
      </c>
      <c r="AJ499">
        <v>98055</v>
      </c>
      <c r="AM499" t="s">
        <v>6241</v>
      </c>
      <c r="BC499" s="22">
        <v>39388.393842592595</v>
      </c>
      <c r="BI499" s="7">
        <v>39533</v>
      </c>
      <c r="BL499">
        <v>7099</v>
      </c>
      <c r="BM499">
        <v>1264126</v>
      </c>
      <c r="BN499" t="s">
        <v>3092</v>
      </c>
      <c r="BO499" s="17">
        <f t="shared" ca="1" si="7"/>
        <v>160.91556331018364</v>
      </c>
      <c r="BP499" t="b">
        <v>0</v>
      </c>
      <c r="BQ499">
        <v>1</v>
      </c>
      <c r="BR499" t="s">
        <v>1842</v>
      </c>
      <c r="BS499" t="s">
        <v>6242</v>
      </c>
      <c r="BT499" t="b">
        <v>0</v>
      </c>
      <c r="BV499" t="s">
        <v>1668</v>
      </c>
      <c r="BW499">
        <v>11411</v>
      </c>
      <c r="BX499" t="s">
        <v>3856</v>
      </c>
      <c r="BY499">
        <v>0</v>
      </c>
      <c r="BZ499" t="s">
        <v>6243</v>
      </c>
      <c r="CA499">
        <v>1</v>
      </c>
      <c r="CB499" t="b">
        <v>1</v>
      </c>
      <c r="CC499">
        <v>0</v>
      </c>
      <c r="CD499" t="b">
        <v>0</v>
      </c>
      <c r="CE499" t="b">
        <v>0</v>
      </c>
      <c r="CF499" t="b">
        <v>1</v>
      </c>
      <c r="CG499" t="s">
        <v>1870</v>
      </c>
      <c r="CH499" t="s">
        <v>1681</v>
      </c>
      <c r="CI499" s="10">
        <v>354950</v>
      </c>
    </row>
    <row r="500" spans="1:89">
      <c r="A500">
        <v>27196099</v>
      </c>
      <c r="B500" s="2" t="str">
        <f>HYPERLINK("http://www.redfin.com/stingray/do/printable-listing?listing-id=1264127","Active")</f>
        <v>Active</v>
      </c>
      <c r="D500" t="s">
        <v>6207</v>
      </c>
      <c r="E500" t="s">
        <v>6246</v>
      </c>
      <c r="F500" s="19">
        <v>359950</v>
      </c>
      <c r="G500">
        <v>2008</v>
      </c>
      <c r="H500">
        <v>1920</v>
      </c>
      <c r="I500">
        <v>0</v>
      </c>
      <c r="J500">
        <v>4</v>
      </c>
      <c r="K500">
        <v>2.5</v>
      </c>
      <c r="M500" s="2" t="str">
        <f>HYPERLINK("http://maps.live.com/default.aspx?v=2&amp;lvl=15&amp;sp=adr.11417 195th Pl SE nLot 87 (Unable to map),98055","Map")</f>
        <v>Map</v>
      </c>
      <c r="N500" s="2" t="str">
        <f>HYPERLINK("http://i-0.rfimg.us/photo/1/bigphoto/099/27196099_7.jpg","Photo")</f>
        <v>Photo</v>
      </c>
      <c r="AI500" t="s">
        <v>1077</v>
      </c>
      <c r="AJ500">
        <v>98055</v>
      </c>
      <c r="AM500" t="s">
        <v>6247</v>
      </c>
      <c r="BC500" s="22">
        <v>39388.393854166665</v>
      </c>
      <c r="BI500" s="7">
        <v>39542</v>
      </c>
      <c r="BL500">
        <v>7099</v>
      </c>
      <c r="BM500">
        <v>1264127</v>
      </c>
      <c r="BN500" t="s">
        <v>3092</v>
      </c>
      <c r="BO500" s="17">
        <f t="shared" ca="1" si="7"/>
        <v>160.91555173611414</v>
      </c>
      <c r="BP500" t="b">
        <v>0</v>
      </c>
      <c r="BQ500">
        <v>1</v>
      </c>
      <c r="BR500" t="s">
        <v>1842</v>
      </c>
      <c r="BS500" t="s">
        <v>6242</v>
      </c>
      <c r="BT500" t="b">
        <v>0</v>
      </c>
      <c r="BV500" t="s">
        <v>1668</v>
      </c>
      <c r="BW500">
        <v>11417</v>
      </c>
      <c r="BX500" t="s">
        <v>3856</v>
      </c>
      <c r="BY500">
        <v>0</v>
      </c>
      <c r="BZ500" t="s">
        <v>6248</v>
      </c>
      <c r="CA500">
        <v>1</v>
      </c>
      <c r="CB500" t="b">
        <v>1</v>
      </c>
      <c r="CC500">
        <v>0</v>
      </c>
      <c r="CD500" t="b">
        <v>0</v>
      </c>
      <c r="CE500" t="b">
        <v>0</v>
      </c>
      <c r="CF500" t="b">
        <v>1</v>
      </c>
      <c r="CG500" t="s">
        <v>1870</v>
      </c>
      <c r="CH500" t="s">
        <v>1681</v>
      </c>
      <c r="CI500" s="10">
        <v>354950</v>
      </c>
    </row>
    <row r="501" spans="1:89">
      <c r="A501">
        <v>27196230</v>
      </c>
      <c r="B501" s="2" t="str">
        <f>HYPERLINK("http://www.redfin.com/stingray/do/printable-listing?listing-id=1264528","Active")</f>
        <v>Active</v>
      </c>
      <c r="D501" t="s">
        <v>6487</v>
      </c>
      <c r="E501" t="s">
        <v>6484</v>
      </c>
      <c r="F501">
        <v>399950</v>
      </c>
      <c r="G501">
        <v>2008</v>
      </c>
      <c r="H501">
        <v>1893</v>
      </c>
      <c r="I501">
        <v>8364</v>
      </c>
      <c r="J501">
        <v>4</v>
      </c>
      <c r="K501">
        <v>2.5</v>
      </c>
      <c r="M501" s="2" t="str">
        <f>HYPERLINK("http://maps.live.com/default.aspx?v=2&amp;lvl=15&amp;sp=adr.0 S 296th Pl n26xx (Unable to map),98003","Map")</f>
        <v>Map</v>
      </c>
      <c r="N501" s="2" t="str">
        <f>HYPERLINK("http://i-0.rfimg.us/photo/1/bigphoto/230/27196230_1.jpg","Photo")</f>
        <v>Photo</v>
      </c>
      <c r="AI501" t="s">
        <v>6487</v>
      </c>
      <c r="AJ501">
        <v>98003</v>
      </c>
      <c r="AM501" t="s">
        <v>6485</v>
      </c>
      <c r="BC501" s="22">
        <v>39388.476539351854</v>
      </c>
      <c r="BI501" s="22">
        <v>39549.294907407406</v>
      </c>
      <c r="BL501">
        <v>7999</v>
      </c>
      <c r="BM501">
        <v>1264528</v>
      </c>
      <c r="BN501" t="s">
        <v>6215</v>
      </c>
      <c r="BO501" s="17">
        <f t="shared" ca="1" si="7"/>
        <v>160.83286655092525</v>
      </c>
      <c r="BP501" t="b">
        <v>0</v>
      </c>
      <c r="BQ501">
        <v>1</v>
      </c>
      <c r="BR501" t="s">
        <v>1842</v>
      </c>
      <c r="BS501" t="s">
        <v>6486</v>
      </c>
      <c r="BT501" t="b">
        <v>0</v>
      </c>
      <c r="BU501" t="s">
        <v>1881</v>
      </c>
      <c r="BV501" t="s">
        <v>1668</v>
      </c>
      <c r="BW501">
        <v>0</v>
      </c>
      <c r="BY501">
        <v>0</v>
      </c>
      <c r="BZ501" t="s">
        <v>3215</v>
      </c>
      <c r="CA501">
        <v>1</v>
      </c>
      <c r="CB501" t="b">
        <v>1</v>
      </c>
      <c r="CC501">
        <v>0</v>
      </c>
      <c r="CD501" t="b">
        <v>0</v>
      </c>
      <c r="CE501" t="b">
        <v>0</v>
      </c>
      <c r="CF501" t="b">
        <v>1</v>
      </c>
      <c r="CG501" t="s">
        <v>1870</v>
      </c>
      <c r="CH501" t="s">
        <v>1681</v>
      </c>
      <c r="CI501" s="10">
        <v>399950</v>
      </c>
    </row>
    <row r="502" spans="1:89">
      <c r="A502">
        <v>27196357</v>
      </c>
      <c r="B502" s="2" t="str">
        <f>HYPERLINK("http://www.redfin.com/stingray/do/printable-listing?listing-id=1265096","Active")</f>
        <v>Active</v>
      </c>
      <c r="D502" t="s">
        <v>5926</v>
      </c>
      <c r="E502" t="s">
        <v>6168</v>
      </c>
      <c r="F502" s="19">
        <v>699000</v>
      </c>
      <c r="G502">
        <v>2007</v>
      </c>
      <c r="H502">
        <v>3204</v>
      </c>
      <c r="I502">
        <v>18000</v>
      </c>
      <c r="J502">
        <v>3</v>
      </c>
      <c r="K502">
        <v>3.5</v>
      </c>
      <c r="M502" s="2" t="str">
        <f>HYPERLINK("http://maps.live.com/default.aspx?v=2&amp;lvl=15&amp;sp=Point.47.504279_-122.196611_1401 Jones Ave N&amp;cp=47.504279~-122.196611","Map")</f>
        <v>Map</v>
      </c>
      <c r="N502" s="2" t="str">
        <f>HYPERLINK("http://i-0.rfimg.us/photo/1/bigphoto/357/27196357_0.jpg","Photo")</f>
        <v>Photo</v>
      </c>
      <c r="AG502">
        <v>47.504278999999997</v>
      </c>
      <c r="AH502">
        <v>-122.196611</v>
      </c>
      <c r="AI502" t="s">
        <v>1077</v>
      </c>
      <c r="AJ502">
        <v>98056</v>
      </c>
      <c r="AN502">
        <v>390000</v>
      </c>
      <c r="BC502" s="22">
        <v>39388.566701388889</v>
      </c>
      <c r="BI502" s="22">
        <v>39549.294907407406</v>
      </c>
      <c r="BL502">
        <v>15000</v>
      </c>
      <c r="BM502">
        <v>1265096</v>
      </c>
      <c r="BN502" t="s">
        <v>6167</v>
      </c>
      <c r="BO502" s="17">
        <f t="shared" ca="1" si="7"/>
        <v>160.7427045138902</v>
      </c>
      <c r="BP502" t="b">
        <v>0</v>
      </c>
      <c r="BQ502">
        <v>1</v>
      </c>
      <c r="BR502" t="s">
        <v>1667</v>
      </c>
      <c r="BS502" t="s">
        <v>6148</v>
      </c>
      <c r="BT502" t="b">
        <v>0</v>
      </c>
      <c r="BV502" t="s">
        <v>1668</v>
      </c>
      <c r="BW502">
        <v>1401</v>
      </c>
      <c r="BX502" t="s">
        <v>1712</v>
      </c>
      <c r="BY502">
        <v>410204</v>
      </c>
      <c r="BZ502" t="s">
        <v>1672</v>
      </c>
      <c r="CA502">
        <v>1</v>
      </c>
      <c r="CB502" t="b">
        <v>1</v>
      </c>
      <c r="CC502">
        <v>0</v>
      </c>
      <c r="CD502" t="b">
        <v>0</v>
      </c>
      <c r="CE502" t="b">
        <v>0</v>
      </c>
      <c r="CF502" t="b">
        <v>1</v>
      </c>
      <c r="CG502">
        <v>2700431</v>
      </c>
      <c r="CH502" t="s">
        <v>1681</v>
      </c>
      <c r="CI502" s="10">
        <v>750000</v>
      </c>
      <c r="CJ502" s="7">
        <v>38835</v>
      </c>
    </row>
    <row r="503" spans="1:89">
      <c r="A503">
        <v>27196392</v>
      </c>
      <c r="B503" s="2" t="str">
        <f>HYPERLINK("http://www.redfin.com/stingray/do/printable-listing?listing-id=1265667","Active")</f>
        <v>Active</v>
      </c>
      <c r="D503" t="s">
        <v>5119</v>
      </c>
      <c r="E503" t="s">
        <v>5367</v>
      </c>
      <c r="F503" s="19">
        <v>719000</v>
      </c>
      <c r="G503">
        <v>1959</v>
      </c>
      <c r="H503">
        <v>2680</v>
      </c>
      <c r="I503">
        <v>11021</v>
      </c>
      <c r="J503">
        <v>3</v>
      </c>
      <c r="K503">
        <v>1.75</v>
      </c>
      <c r="M503" s="2" t="str">
        <f>HYPERLINK("http://maps.live.com/default.aspx?v=2&amp;lvl=15&amp;sp=Point.47.596811_-122.174076_1615 125th Ave SE&amp;cp=47.596811~-122.174076","Map")</f>
        <v>Map</v>
      </c>
      <c r="N503" s="2" t="str">
        <f>HYPERLINK("http://i-0.rfimg.us/photo/1/bigphoto/392/27196392_0.jpg","Photo")</f>
        <v>Photo</v>
      </c>
      <c r="AG503">
        <v>47.596811000000002</v>
      </c>
      <c r="AH503">
        <v>-122.174076</v>
      </c>
      <c r="AI503" t="s">
        <v>369</v>
      </c>
      <c r="AJ503">
        <v>98005</v>
      </c>
      <c r="AN503">
        <v>689999</v>
      </c>
      <c r="BC503" s="22">
        <v>39388.707777777781</v>
      </c>
      <c r="BI503" s="22">
        <v>39549.294907407406</v>
      </c>
      <c r="BL503">
        <v>14999</v>
      </c>
      <c r="BM503">
        <v>1265667</v>
      </c>
      <c r="BN503" t="s">
        <v>1688</v>
      </c>
      <c r="BO503" s="17">
        <f t="shared" ca="1" si="7"/>
        <v>160.60162812499766</v>
      </c>
      <c r="BP503" t="b">
        <v>0</v>
      </c>
      <c r="BQ503">
        <v>1</v>
      </c>
      <c r="BR503" t="s">
        <v>1667</v>
      </c>
      <c r="BS503" t="s">
        <v>2677</v>
      </c>
      <c r="BT503" t="b">
        <v>0</v>
      </c>
      <c r="BV503" t="s">
        <v>1668</v>
      </c>
      <c r="BW503">
        <v>1615</v>
      </c>
      <c r="BX503" t="s">
        <v>3856</v>
      </c>
      <c r="BY503">
        <v>509345</v>
      </c>
      <c r="BZ503" t="s">
        <v>1713</v>
      </c>
      <c r="CA503">
        <v>1</v>
      </c>
      <c r="CB503" t="b">
        <v>1</v>
      </c>
      <c r="CC503">
        <v>0</v>
      </c>
      <c r="CD503" t="b">
        <v>0</v>
      </c>
      <c r="CE503" t="b">
        <v>0</v>
      </c>
      <c r="CF503" t="b">
        <v>1</v>
      </c>
      <c r="CG503">
        <v>2536112</v>
      </c>
      <c r="CH503" t="s">
        <v>1681</v>
      </c>
      <c r="CI503" s="10">
        <v>749950</v>
      </c>
      <c r="CJ503" s="7">
        <v>38883</v>
      </c>
      <c r="CK503" t="s">
        <v>6444</v>
      </c>
    </row>
    <row r="504" spans="1:89">
      <c r="A504">
        <v>27196500</v>
      </c>
      <c r="B504" s="2" t="str">
        <f>HYPERLINK("http://www.redfin.com/stingray/do/printable-listing?listing-id=1265494","Active")</f>
        <v>Active</v>
      </c>
      <c r="D504" t="s">
        <v>60</v>
      </c>
      <c r="E504" t="s">
        <v>3147</v>
      </c>
      <c r="F504">
        <v>399950</v>
      </c>
      <c r="G504">
        <v>2007</v>
      </c>
      <c r="H504">
        <v>1295</v>
      </c>
      <c r="I504">
        <v>0</v>
      </c>
      <c r="J504">
        <v>2</v>
      </c>
      <c r="K504">
        <v>1.5</v>
      </c>
      <c r="M504" s="2" t="str">
        <f>HYPERLINK("http://maps.live.com/default.aspx?v=2&amp;lvl=15&amp;sp=Point.47.677076_-122.319005_825 NE 67th St&amp;cp=47.677076~-122.319005","Map")</f>
        <v>Map</v>
      </c>
      <c r="N504" s="2" t="str">
        <f>HYPERLINK("http://i-0.rfimg.us/photo/1/bigphoto/500/27196500_4.jpg","Photo")</f>
        <v>Photo</v>
      </c>
      <c r="AG504">
        <v>47.677076</v>
      </c>
      <c r="AH504">
        <v>-122.319005</v>
      </c>
      <c r="AI504" t="s">
        <v>66</v>
      </c>
      <c r="AJ504">
        <v>98115</v>
      </c>
      <c r="AN504">
        <v>535000</v>
      </c>
      <c r="BC504" s="22">
        <v>39388.648310185185</v>
      </c>
      <c r="BI504" s="22">
        <v>39549.294907407406</v>
      </c>
      <c r="BL504">
        <v>7999</v>
      </c>
      <c r="BM504">
        <v>1265494</v>
      </c>
      <c r="BN504" t="s">
        <v>1693</v>
      </c>
      <c r="BO504" s="17">
        <f t="shared" ca="1" si="7"/>
        <v>160.66109571759443</v>
      </c>
      <c r="BP504" t="b">
        <v>0</v>
      </c>
      <c r="BQ504">
        <v>1</v>
      </c>
      <c r="BR504" t="s">
        <v>1686</v>
      </c>
      <c r="BS504" t="s">
        <v>1864</v>
      </c>
      <c r="BT504" t="b">
        <v>0</v>
      </c>
      <c r="BU504" t="s">
        <v>1738</v>
      </c>
      <c r="BV504" t="s">
        <v>1668</v>
      </c>
      <c r="BW504">
        <v>825</v>
      </c>
      <c r="BY504">
        <v>310994</v>
      </c>
      <c r="BZ504" t="s">
        <v>3148</v>
      </c>
      <c r="CA504">
        <v>1</v>
      </c>
      <c r="CB504" t="b">
        <v>1</v>
      </c>
      <c r="CC504">
        <v>0</v>
      </c>
      <c r="CD504" t="b">
        <v>0</v>
      </c>
      <c r="CE504" t="b">
        <v>0</v>
      </c>
      <c r="CF504" t="b">
        <v>1</v>
      </c>
      <c r="CG504">
        <v>2428807</v>
      </c>
      <c r="CH504" t="s">
        <v>1681</v>
      </c>
      <c r="CI504" s="10">
        <v>399950</v>
      </c>
      <c r="CJ504" s="7">
        <v>38896</v>
      </c>
    </row>
    <row r="505" spans="1:89">
      <c r="A505">
        <v>27196582</v>
      </c>
      <c r="B505" s="2" t="str">
        <f>HYPERLINK("http://www.redfin.com/stingray/do/printable-listing?listing-id=1266151","Active")</f>
        <v>Active</v>
      </c>
      <c r="D505" t="s">
        <v>88</v>
      </c>
      <c r="E505" t="s">
        <v>2578</v>
      </c>
      <c r="F505" s="19">
        <v>775000</v>
      </c>
      <c r="G505">
        <v>2001</v>
      </c>
      <c r="H505">
        <v>2220</v>
      </c>
      <c r="I505">
        <v>0</v>
      </c>
      <c r="J505">
        <v>3</v>
      </c>
      <c r="K505">
        <v>3.5</v>
      </c>
      <c r="M505" s="2" t="str">
        <f>HYPERLINK("http://maps.live.com/default.aspx?v=2&amp;lvl=15&amp;sp=Point.47.67085_-122.359866_5634 2nd Ave NW&amp;cp=47.67085~-122.359866","Map")</f>
        <v>Map</v>
      </c>
      <c r="N505" s="2" t="str">
        <f>HYPERLINK("http://i-0.rfimg.us/photo/1/bigphoto/582/27196582_2.jpg","Photo")</f>
        <v>Photo</v>
      </c>
      <c r="AG505">
        <v>47.670850000000002</v>
      </c>
      <c r="AH505">
        <v>-122.359866</v>
      </c>
      <c r="AI505" t="s">
        <v>66</v>
      </c>
      <c r="AJ505">
        <v>98107</v>
      </c>
      <c r="AN505">
        <v>480000</v>
      </c>
      <c r="BC505" s="22">
        <v>39388.921458333331</v>
      </c>
      <c r="BI505" s="22">
        <v>39549.294907407406</v>
      </c>
      <c r="BL505">
        <v>15580</v>
      </c>
      <c r="BM505">
        <v>1266151</v>
      </c>
      <c r="BN505" t="s">
        <v>1766</v>
      </c>
      <c r="BO505" s="17">
        <f t="shared" ca="1" si="7"/>
        <v>160.3879476851871</v>
      </c>
      <c r="BP505" t="b">
        <v>0</v>
      </c>
      <c r="BQ505">
        <v>1</v>
      </c>
      <c r="BR505" t="s">
        <v>1667</v>
      </c>
      <c r="BS505" t="s">
        <v>1958</v>
      </c>
      <c r="BT505" t="b">
        <v>0</v>
      </c>
      <c r="BV505" t="s">
        <v>1668</v>
      </c>
      <c r="BW505">
        <v>5634</v>
      </c>
      <c r="BX505" t="s">
        <v>1669</v>
      </c>
      <c r="BY505">
        <v>299259</v>
      </c>
      <c r="BZ505" t="s">
        <v>2579</v>
      </c>
      <c r="CA505">
        <v>1</v>
      </c>
      <c r="CB505" t="b">
        <v>1</v>
      </c>
      <c r="CC505">
        <v>0</v>
      </c>
      <c r="CD505" t="b">
        <v>0</v>
      </c>
      <c r="CE505" t="b">
        <v>0</v>
      </c>
      <c r="CF505" t="b">
        <v>1</v>
      </c>
      <c r="CG505">
        <v>2644777</v>
      </c>
      <c r="CH505" t="s">
        <v>1681</v>
      </c>
      <c r="CI505" s="10">
        <v>779000</v>
      </c>
      <c r="CJ505" s="7">
        <v>37365</v>
      </c>
    </row>
    <row r="506" spans="1:89">
      <c r="A506">
        <v>27196730</v>
      </c>
      <c r="B506" s="2" t="str">
        <f>HYPERLINK("http://www.redfin.com/stingray/do/printable-listing?listing-id=1267453","Active")</f>
        <v>Active</v>
      </c>
      <c r="D506" t="s">
        <v>2552</v>
      </c>
      <c r="E506" t="s">
        <v>3465</v>
      </c>
      <c r="F506">
        <v>699000</v>
      </c>
      <c r="G506">
        <v>1931</v>
      </c>
      <c r="H506">
        <v>2490</v>
      </c>
      <c r="I506">
        <v>5250</v>
      </c>
      <c r="J506">
        <v>3</v>
      </c>
      <c r="K506">
        <v>1.5</v>
      </c>
      <c r="M506" s="2" t="str">
        <f>HYPERLINK("http://maps.live.com/default.aspx?v=2&amp;lvl=15&amp;sp=Point.47.649142_-122.391934_3215 27th Ave W&amp;cp=47.649142~-122.391934","Map")</f>
        <v>Map</v>
      </c>
      <c r="N506" s="2" t="str">
        <f>HYPERLINK("http://i-0.rfimg.us/photo/1/bigphoto/730/27196730_1.jpg","Photo")</f>
        <v>Photo</v>
      </c>
      <c r="AG506">
        <v>47.649141999999998</v>
      </c>
      <c r="AH506">
        <v>-122.39193400000001</v>
      </c>
      <c r="AI506" t="s">
        <v>66</v>
      </c>
      <c r="AJ506">
        <v>98199</v>
      </c>
      <c r="AN506">
        <v>665000</v>
      </c>
      <c r="BC506" s="22">
        <v>39389.538680555554</v>
      </c>
      <c r="BI506" s="22">
        <v>39549.294907407406</v>
      </c>
      <c r="BL506">
        <v>13980</v>
      </c>
      <c r="BM506">
        <v>1267453</v>
      </c>
      <c r="BN506" t="s">
        <v>1678</v>
      </c>
      <c r="BO506" s="17">
        <f t="shared" ca="1" si="7"/>
        <v>159.77072534722538</v>
      </c>
      <c r="BP506" t="b">
        <v>0</v>
      </c>
      <c r="BQ506">
        <v>1</v>
      </c>
      <c r="BR506" t="s">
        <v>1667</v>
      </c>
      <c r="BS506" t="s">
        <v>1751</v>
      </c>
      <c r="BT506" t="b">
        <v>0</v>
      </c>
      <c r="BV506" t="s">
        <v>1668</v>
      </c>
      <c r="BW506">
        <v>3215</v>
      </c>
      <c r="BX506" t="s">
        <v>2423</v>
      </c>
      <c r="BY506">
        <v>123236</v>
      </c>
      <c r="BZ506" t="s">
        <v>1709</v>
      </c>
      <c r="CA506">
        <v>1</v>
      </c>
      <c r="CB506" t="b">
        <v>1</v>
      </c>
      <c r="CC506">
        <v>0</v>
      </c>
      <c r="CD506" t="b">
        <v>0</v>
      </c>
      <c r="CE506" t="b">
        <v>0</v>
      </c>
      <c r="CF506" t="b">
        <v>1</v>
      </c>
      <c r="CG506">
        <v>2834994</v>
      </c>
      <c r="CH506" t="s">
        <v>1681</v>
      </c>
      <c r="CI506" s="10">
        <v>699000</v>
      </c>
      <c r="CJ506" s="7">
        <v>38665</v>
      </c>
    </row>
    <row r="507" spans="1:89">
      <c r="A507">
        <v>27196832</v>
      </c>
      <c r="B507" s="15" t="str">
        <f>HYPERLINK("http://www.redfin.com/stingray/do/printable-listing?listing-id=1268278","Subject To Inspection")</f>
        <v>Subject To Inspection</v>
      </c>
      <c r="D507" t="s">
        <v>5119</v>
      </c>
      <c r="E507" t="s">
        <v>5173</v>
      </c>
      <c r="F507">
        <v>450000</v>
      </c>
      <c r="G507">
        <v>1959</v>
      </c>
      <c r="H507">
        <v>1200</v>
      </c>
      <c r="I507">
        <v>8800</v>
      </c>
      <c r="J507">
        <v>4</v>
      </c>
      <c r="K507">
        <v>1.5</v>
      </c>
      <c r="M507" s="2" t="str">
        <f>HYPERLINK("http://maps.live.com/default.aspx?v=2&amp;lvl=15&amp;sp=Point.47.585425_-122.170639_2720 127th Pl SE&amp;cp=47.585425~-122.170639","Map")</f>
        <v>Map</v>
      </c>
      <c r="N507" s="2" t="str">
        <f>HYPERLINK("http://i-0.rfimg.us/photo/1/bigphoto/832/27196832_2.jpg","Photo")</f>
        <v>Photo</v>
      </c>
      <c r="AG507">
        <v>47.585425000000001</v>
      </c>
      <c r="AH507">
        <v>-122.17063899999999</v>
      </c>
      <c r="AI507" t="s">
        <v>369</v>
      </c>
      <c r="AJ507">
        <v>98005</v>
      </c>
      <c r="BC507" s="22">
        <v>39390.359039351853</v>
      </c>
      <c r="BI507" s="22">
        <v>39549.294907407406</v>
      </c>
      <c r="BL507">
        <v>9000</v>
      </c>
      <c r="BM507">
        <v>1268278</v>
      </c>
      <c r="BN507" t="s">
        <v>5172</v>
      </c>
      <c r="BO507" s="17">
        <f t="shared" ca="1" si="7"/>
        <v>158.95036655092554</v>
      </c>
      <c r="BP507" t="b">
        <v>0</v>
      </c>
      <c r="BQ507">
        <v>1</v>
      </c>
      <c r="BR507" t="s">
        <v>1842</v>
      </c>
      <c r="BS507" t="s">
        <v>2698</v>
      </c>
      <c r="BT507" t="b">
        <v>0</v>
      </c>
      <c r="BV507" t="s">
        <v>1668</v>
      </c>
      <c r="BW507">
        <v>2720</v>
      </c>
      <c r="BX507" t="s">
        <v>3856</v>
      </c>
      <c r="BY507">
        <v>507601</v>
      </c>
      <c r="BZ507" t="s">
        <v>2577</v>
      </c>
      <c r="CA507">
        <v>1</v>
      </c>
      <c r="CB507" t="b">
        <v>1</v>
      </c>
      <c r="CC507">
        <v>0</v>
      </c>
      <c r="CD507" t="b">
        <v>0</v>
      </c>
      <c r="CE507" t="b">
        <v>0</v>
      </c>
      <c r="CF507" t="b">
        <v>1</v>
      </c>
      <c r="CG507">
        <v>2518269</v>
      </c>
      <c r="CH507" t="s">
        <v>1681</v>
      </c>
      <c r="CI507" s="10">
        <v>450000</v>
      </c>
    </row>
    <row r="508" spans="1:89">
      <c r="A508">
        <v>27196857</v>
      </c>
      <c r="B508" s="2" t="str">
        <f>HYPERLINK("http://www.redfin.com/stingray/do/printable-listing?listing-id=1268337","Subject To Inspection")</f>
        <v>Subject To Inspection</v>
      </c>
      <c r="D508" t="s">
        <v>3079</v>
      </c>
      <c r="E508" t="s">
        <v>4838</v>
      </c>
      <c r="F508">
        <v>1099950</v>
      </c>
      <c r="G508">
        <v>2000</v>
      </c>
      <c r="H508">
        <v>3380</v>
      </c>
      <c r="I508">
        <v>10500</v>
      </c>
      <c r="J508">
        <v>4</v>
      </c>
      <c r="K508">
        <v>2.5</v>
      </c>
      <c r="M508" s="2" t="str">
        <f>HYPERLINK("http://maps.live.com/default.aspx?v=2&amp;lvl=15&amp;sp=Point.47.690326_-122.210764_609 18th Ave W&amp;cp=47.690326~-122.210764","Map")</f>
        <v>Map</v>
      </c>
      <c r="N508" s="2" t="str">
        <f>HYPERLINK("http://i-0.rfimg.us/photo/1/bigphoto/857/27196857_1.jpg","Photo")</f>
        <v>Photo</v>
      </c>
      <c r="AG508">
        <v>47.690325999999999</v>
      </c>
      <c r="AH508">
        <v>-122.210764</v>
      </c>
      <c r="AI508" t="s">
        <v>1058</v>
      </c>
      <c r="AJ508">
        <v>98033</v>
      </c>
      <c r="AN508">
        <v>1125000</v>
      </c>
      <c r="BC508" s="22">
        <v>39390.400613425925</v>
      </c>
      <c r="BI508" s="7">
        <v>39533</v>
      </c>
      <c r="BL508">
        <v>21999</v>
      </c>
      <c r="BM508">
        <v>1268337</v>
      </c>
      <c r="BN508" t="s">
        <v>1798</v>
      </c>
      <c r="BO508" s="17">
        <f t="shared" ca="1" si="7"/>
        <v>158.90879247685371</v>
      </c>
      <c r="BP508" t="b">
        <v>0</v>
      </c>
      <c r="BQ508">
        <v>2</v>
      </c>
      <c r="BR508" t="s">
        <v>1667</v>
      </c>
      <c r="BS508" t="s">
        <v>1909</v>
      </c>
      <c r="BT508" t="b">
        <v>0</v>
      </c>
      <c r="BV508" t="s">
        <v>1668</v>
      </c>
      <c r="BW508">
        <v>609</v>
      </c>
      <c r="BX508" t="s">
        <v>2423</v>
      </c>
      <c r="BY508">
        <v>463108</v>
      </c>
      <c r="BZ508" t="s">
        <v>1748</v>
      </c>
      <c r="CA508">
        <v>1</v>
      </c>
      <c r="CB508" t="b">
        <v>1</v>
      </c>
      <c r="CC508">
        <v>0</v>
      </c>
      <c r="CD508" t="b">
        <v>0</v>
      </c>
      <c r="CE508" t="b">
        <v>0</v>
      </c>
      <c r="CF508" t="b">
        <v>1</v>
      </c>
      <c r="CG508">
        <v>2637600</v>
      </c>
      <c r="CH508" t="s">
        <v>1681</v>
      </c>
      <c r="CI508" s="10">
        <v>1099950</v>
      </c>
      <c r="CJ508" s="7">
        <v>38819</v>
      </c>
    </row>
    <row r="509" spans="1:89">
      <c r="A509">
        <v>27197026</v>
      </c>
      <c r="B509" s="2" t="str">
        <f>HYPERLINK("http://www.redfin.com/stingray/do/printable-listing?listing-id=1269236","Contingent")</f>
        <v>Contingent</v>
      </c>
      <c r="D509" t="s">
        <v>3249</v>
      </c>
      <c r="E509" t="s">
        <v>3612</v>
      </c>
      <c r="F509">
        <v>625000</v>
      </c>
      <c r="G509">
        <v>1996</v>
      </c>
      <c r="H509">
        <v>1820</v>
      </c>
      <c r="I509">
        <v>2625</v>
      </c>
      <c r="J509">
        <v>3</v>
      </c>
      <c r="K509">
        <v>3</v>
      </c>
      <c r="M509" s="2" t="str">
        <f>HYPERLINK("http://maps.live.com/default.aspx?v=2&amp;lvl=15&amp;sp=Point.47.636609_-122.372407_1922 12th Ave W&amp;cp=47.636609~-122.372407","Map")</f>
        <v>Map</v>
      </c>
      <c r="N509" s="2" t="str">
        <f>HYPERLINK("http://i-0.rfimg.us/photo/1/bigphoto/026/27197026_3.jpg","Photo")</f>
        <v>Photo</v>
      </c>
      <c r="AG509">
        <v>47.636609</v>
      </c>
      <c r="AH509">
        <v>-122.372407</v>
      </c>
      <c r="AI509" t="s">
        <v>66</v>
      </c>
      <c r="AJ509">
        <v>98119</v>
      </c>
      <c r="AN509">
        <v>519250</v>
      </c>
      <c r="BC509" s="22">
        <v>39391.254247685189</v>
      </c>
      <c r="BI509" s="22">
        <v>39549.294907407406</v>
      </c>
      <c r="BL509">
        <v>12500</v>
      </c>
      <c r="BM509">
        <v>1269236</v>
      </c>
      <c r="BN509" t="s">
        <v>3611</v>
      </c>
      <c r="BO509" s="17">
        <f t="shared" ca="1" si="7"/>
        <v>158.05515821759036</v>
      </c>
      <c r="BP509" t="b">
        <v>0</v>
      </c>
      <c r="BQ509">
        <v>2</v>
      </c>
      <c r="BR509" t="s">
        <v>1667</v>
      </c>
      <c r="BS509" t="s">
        <v>1803</v>
      </c>
      <c r="BT509" t="b">
        <v>0</v>
      </c>
      <c r="BV509" t="s">
        <v>1668</v>
      </c>
      <c r="BW509">
        <v>1922</v>
      </c>
      <c r="BX509" t="s">
        <v>2423</v>
      </c>
      <c r="BY509">
        <v>134577</v>
      </c>
      <c r="BZ509" t="s">
        <v>3613</v>
      </c>
      <c r="CA509">
        <v>1</v>
      </c>
      <c r="CB509" t="b">
        <v>1</v>
      </c>
      <c r="CC509">
        <v>0</v>
      </c>
      <c r="CD509" t="b">
        <v>0</v>
      </c>
      <c r="CE509" t="b">
        <v>0</v>
      </c>
      <c r="CF509" t="b">
        <v>1</v>
      </c>
      <c r="CG509">
        <v>2780742</v>
      </c>
      <c r="CH509" t="s">
        <v>1681</v>
      </c>
      <c r="CI509" s="10">
        <v>625000</v>
      </c>
      <c r="CJ509" s="7">
        <v>38509</v>
      </c>
    </row>
    <row r="510" spans="1:89">
      <c r="A510">
        <v>27197058</v>
      </c>
      <c r="B510" s="2" t="str">
        <f>HYPERLINK("http://www.redfin.com/stingray/do/printable-listing?listing-id=1269360","Active")</f>
        <v>Active</v>
      </c>
      <c r="D510" t="s">
        <v>2850</v>
      </c>
      <c r="E510" t="s">
        <v>4527</v>
      </c>
      <c r="F510">
        <v>414950</v>
      </c>
      <c r="G510">
        <v>1972</v>
      </c>
      <c r="H510">
        <v>910</v>
      </c>
      <c r="I510">
        <v>0</v>
      </c>
      <c r="J510">
        <v>3</v>
      </c>
      <c r="K510">
        <v>1</v>
      </c>
      <c r="M510" s="2" t="str">
        <f>HYPERLINK("http://maps.live.com/default.aspx?v=2&amp;lvl=15&amp;sp=Point.47.714042_-122.211792_9775 NE 127th Pl&amp;cp=47.714042~-122.211792","Map")</f>
        <v>Map</v>
      </c>
      <c r="N510" s="2" t="str">
        <f>HYPERLINK("http://i-0.rfimg.us/photo/1/bigphoto/058/27197058_1.jpg","Photo")</f>
        <v>Photo</v>
      </c>
      <c r="AG510">
        <v>47.714041999999999</v>
      </c>
      <c r="AH510">
        <v>-122.211792</v>
      </c>
      <c r="AI510" t="s">
        <v>1058</v>
      </c>
      <c r="AJ510">
        <v>98034</v>
      </c>
      <c r="AN510">
        <v>123000</v>
      </c>
      <c r="BC510" s="22">
        <v>39391.369641203702</v>
      </c>
      <c r="BI510" s="22">
        <v>39549.294907407406</v>
      </c>
      <c r="BL510">
        <v>8299</v>
      </c>
      <c r="BM510">
        <v>1269360</v>
      </c>
      <c r="BN510" t="s">
        <v>4526</v>
      </c>
      <c r="BO510" s="17">
        <f t="shared" ca="1" si="7"/>
        <v>157.93976469907648</v>
      </c>
      <c r="BP510" t="b">
        <v>0</v>
      </c>
      <c r="BQ510">
        <v>1</v>
      </c>
      <c r="BR510" t="s">
        <v>1842</v>
      </c>
      <c r="BS510" t="s">
        <v>2698</v>
      </c>
      <c r="BT510" t="b">
        <v>0</v>
      </c>
      <c r="BU510" t="s">
        <v>1738</v>
      </c>
      <c r="BV510" t="s">
        <v>1668</v>
      </c>
      <c r="BW510">
        <v>9775</v>
      </c>
      <c r="BY510">
        <v>279898</v>
      </c>
      <c r="BZ510" t="s">
        <v>3309</v>
      </c>
      <c r="CA510">
        <v>1</v>
      </c>
      <c r="CB510" t="b">
        <v>1</v>
      </c>
      <c r="CC510">
        <v>0</v>
      </c>
      <c r="CD510" t="b">
        <v>0</v>
      </c>
      <c r="CE510" t="b">
        <v>0</v>
      </c>
      <c r="CF510" t="b">
        <v>1</v>
      </c>
      <c r="CG510">
        <v>2475426</v>
      </c>
      <c r="CH510" t="s">
        <v>1681</v>
      </c>
      <c r="CI510" s="10">
        <v>414950</v>
      </c>
      <c r="CJ510" s="7">
        <v>34200</v>
      </c>
    </row>
    <row r="511" spans="1:89">
      <c r="A511">
        <v>27197076</v>
      </c>
      <c r="B511" s="2" t="str">
        <f>HYPERLINK("http://www.redfin.com/stingray/do/printable-listing?listing-id=1269369","Subject To Inspection")</f>
        <v>Subject To Inspection</v>
      </c>
      <c r="D511" t="s">
        <v>60</v>
      </c>
      <c r="E511" t="s">
        <v>3158</v>
      </c>
      <c r="F511">
        <v>419950</v>
      </c>
      <c r="G511">
        <v>2007</v>
      </c>
      <c r="H511">
        <v>1285</v>
      </c>
      <c r="I511">
        <v>0</v>
      </c>
      <c r="J511">
        <v>2</v>
      </c>
      <c r="K511">
        <v>2.5</v>
      </c>
      <c r="M511" s="2" t="str">
        <f>HYPERLINK("http://maps.live.com/default.aspx?v=2&amp;lvl=15&amp;sp=Point.47.677163_-122.319283_823 NE 67th St&amp;cp=47.677163~-122.319283","Map")</f>
        <v>Map</v>
      </c>
      <c r="N511" s="2" t="str">
        <f>HYPERLINK("http://i-0.rfimg.us/photo/1/bigphoto/076/27197076_4.jpg","Photo")</f>
        <v>Photo</v>
      </c>
      <c r="AG511">
        <v>47.677163</v>
      </c>
      <c r="AH511">
        <v>-122.319283</v>
      </c>
      <c r="AI511" t="s">
        <v>66</v>
      </c>
      <c r="AJ511">
        <v>98115</v>
      </c>
      <c r="BC511" s="22">
        <v>39391.380613425928</v>
      </c>
      <c r="BI511" s="7">
        <v>39535</v>
      </c>
      <c r="BL511">
        <v>8399</v>
      </c>
      <c r="BM511">
        <v>1269369</v>
      </c>
      <c r="BN511" t="s">
        <v>1693</v>
      </c>
      <c r="BO511" s="17">
        <f t="shared" ca="1" si="7"/>
        <v>157.9287924768505</v>
      </c>
      <c r="BP511" t="b">
        <v>0</v>
      </c>
      <c r="BQ511">
        <v>2</v>
      </c>
      <c r="BR511" t="s">
        <v>1686</v>
      </c>
      <c r="BS511" t="s">
        <v>1864</v>
      </c>
      <c r="BT511" t="b">
        <v>0</v>
      </c>
      <c r="BU511" t="s">
        <v>1738</v>
      </c>
      <c r="BV511" t="s">
        <v>1668</v>
      </c>
      <c r="BW511">
        <v>823</v>
      </c>
      <c r="BY511">
        <v>12298888</v>
      </c>
      <c r="BZ511" t="s">
        <v>3159</v>
      </c>
      <c r="CA511">
        <v>1</v>
      </c>
      <c r="CB511" t="b">
        <v>1</v>
      </c>
      <c r="CC511">
        <v>0</v>
      </c>
      <c r="CD511" t="b">
        <v>0</v>
      </c>
      <c r="CE511" t="b">
        <v>0</v>
      </c>
      <c r="CF511" t="b">
        <v>1</v>
      </c>
      <c r="CG511">
        <v>15507103</v>
      </c>
      <c r="CH511" t="s">
        <v>1681</v>
      </c>
      <c r="CI511" s="10">
        <v>419950</v>
      </c>
    </row>
    <row r="512" spans="1:89">
      <c r="A512">
        <v>27197206</v>
      </c>
      <c r="B512" s="2" t="str">
        <f>HYPERLINK("http://www.redfin.com/stingray/do/printable-listing?listing-id=1269763","Active")</f>
        <v>Active</v>
      </c>
      <c r="D512" t="s">
        <v>369</v>
      </c>
      <c r="E512" t="s">
        <v>5795</v>
      </c>
      <c r="F512">
        <v>1153635</v>
      </c>
      <c r="G512">
        <v>2007</v>
      </c>
      <c r="H512">
        <v>3818</v>
      </c>
      <c r="I512">
        <v>10629</v>
      </c>
      <c r="J512">
        <v>4</v>
      </c>
      <c r="K512">
        <v>2.5</v>
      </c>
      <c r="M512" s="2" t="str">
        <f>HYPERLINK("http://maps.live.com/default.aspx?v=2&amp;lvl=15&amp;sp=Point.47.548337993664_-122.19150592352_11150 SE 61st Pl&amp;cp=47.548337993664~-122.19150592352","Map")</f>
        <v>Map</v>
      </c>
      <c r="N512" s="2" t="str">
        <f>HYPERLINK("http://i-0.rfimg.us/photo/1/bigphoto/206/27197206_0.jpg","Photo")</f>
        <v>Photo</v>
      </c>
      <c r="AG512">
        <v>47.548337993663999</v>
      </c>
      <c r="AH512">
        <v>-122.19150592352</v>
      </c>
      <c r="AI512" t="s">
        <v>369</v>
      </c>
      <c r="AJ512">
        <v>98006</v>
      </c>
      <c r="BC512" s="22">
        <v>39391.488761574074</v>
      </c>
      <c r="BI512" s="22">
        <v>39549.294907407406</v>
      </c>
      <c r="BL512">
        <v>23073</v>
      </c>
      <c r="BM512">
        <v>1269763</v>
      </c>
      <c r="BN512" t="s">
        <v>3062</v>
      </c>
      <c r="BO512" s="17">
        <f t="shared" ca="1" si="7"/>
        <v>157.82064432870538</v>
      </c>
      <c r="BP512" t="b">
        <v>0</v>
      </c>
      <c r="BQ512">
        <v>1</v>
      </c>
      <c r="BR512" t="s">
        <v>1842</v>
      </c>
      <c r="BS512" t="s">
        <v>2431</v>
      </c>
      <c r="BT512" t="b">
        <v>0</v>
      </c>
      <c r="BU512" t="s">
        <v>3856</v>
      </c>
      <c r="BV512" t="s">
        <v>1668</v>
      </c>
      <c r="BW512">
        <v>11150</v>
      </c>
      <c r="BY512">
        <v>8188055</v>
      </c>
      <c r="BZ512" t="s">
        <v>1672</v>
      </c>
      <c r="CA512">
        <v>1</v>
      </c>
      <c r="CB512" t="b">
        <v>1</v>
      </c>
      <c r="CC512">
        <v>0</v>
      </c>
      <c r="CD512" t="b">
        <v>0</v>
      </c>
      <c r="CE512" t="b">
        <v>0</v>
      </c>
      <c r="CF512" t="b">
        <v>1</v>
      </c>
      <c r="CG512">
        <v>2944424</v>
      </c>
      <c r="CH512" t="s">
        <v>1681</v>
      </c>
      <c r="CI512" s="10">
        <v>1153635</v>
      </c>
    </row>
    <row r="513" spans="1:90">
      <c r="A513">
        <v>27197212</v>
      </c>
      <c r="B513" s="2" t="str">
        <f>HYPERLINK("http://www.redfin.com/stingray/do/printable-listing?listing-id=1275208","Active")</f>
        <v>Active</v>
      </c>
      <c r="D513" t="s">
        <v>1058</v>
      </c>
      <c r="E513" t="s">
        <v>4395</v>
      </c>
      <c r="F513">
        <v>1250000</v>
      </c>
      <c r="G513">
        <v>1977</v>
      </c>
      <c r="H513">
        <v>2970</v>
      </c>
      <c r="I513">
        <v>27036</v>
      </c>
      <c r="J513">
        <v>4</v>
      </c>
      <c r="K513">
        <v>3</v>
      </c>
      <c r="M513" s="2" t="str">
        <f>HYPERLINK("http://maps.live.com/default.aspx?v=2&amp;lvl=15&amp;sp=Point.47.701151_-122.236022_7836 NE 112th St&amp;cp=47.701151~-122.236022","Map")</f>
        <v>Map</v>
      </c>
      <c r="N513" s="2" t="str">
        <f>HYPERLINK("http://i-0.rfimg.us/photo/1/bigphoto/212/27197212_5.jpg","Photo")</f>
        <v>Photo</v>
      </c>
      <c r="AG513">
        <v>47.701151000000003</v>
      </c>
      <c r="AH513">
        <v>-122.23602200000001</v>
      </c>
      <c r="AI513" t="s">
        <v>1058</v>
      </c>
      <c r="AJ513">
        <v>98034</v>
      </c>
      <c r="AN513">
        <v>420000</v>
      </c>
      <c r="BC513" s="22">
        <v>39393.486076388886</v>
      </c>
      <c r="BI513" s="22">
        <v>39549.294907407406</v>
      </c>
      <c r="BL513">
        <v>25000</v>
      </c>
      <c r="BM513">
        <v>1275208</v>
      </c>
      <c r="BN513" t="s">
        <v>2136</v>
      </c>
      <c r="BO513" s="17">
        <f t="shared" ca="1" si="7"/>
        <v>155.82332951389253</v>
      </c>
      <c r="BP513" t="b">
        <v>0</v>
      </c>
      <c r="BQ513">
        <v>1</v>
      </c>
      <c r="BR513" t="s">
        <v>1686</v>
      </c>
      <c r="BS513" t="s">
        <v>4382</v>
      </c>
      <c r="BT513" t="b">
        <v>0</v>
      </c>
      <c r="BU513" t="s">
        <v>1738</v>
      </c>
      <c r="BV513" t="s">
        <v>1668</v>
      </c>
      <c r="BW513">
        <v>7836</v>
      </c>
      <c r="BY513">
        <v>281395</v>
      </c>
      <c r="BZ513" t="s">
        <v>4396</v>
      </c>
      <c r="CA513">
        <v>1</v>
      </c>
      <c r="CB513" t="b">
        <v>1</v>
      </c>
      <c r="CC513">
        <v>0</v>
      </c>
      <c r="CD513" t="b">
        <v>0</v>
      </c>
      <c r="CE513" t="b">
        <v>0</v>
      </c>
      <c r="CF513" t="b">
        <v>1</v>
      </c>
      <c r="CG513">
        <v>2899719</v>
      </c>
      <c r="CH513" t="s">
        <v>1681</v>
      </c>
      <c r="CI513" s="10">
        <v>1250000</v>
      </c>
      <c r="CJ513" s="7">
        <v>37036</v>
      </c>
    </row>
    <row r="514" spans="1:90">
      <c r="A514">
        <v>27197230</v>
      </c>
      <c r="B514" s="2" t="str">
        <f>HYPERLINK("http://www.redfin.com/stingray/do/printable-listing?listing-id=1269764","Active")</f>
        <v>Active</v>
      </c>
      <c r="D514" t="s">
        <v>369</v>
      </c>
      <c r="E514" t="s">
        <v>5589</v>
      </c>
      <c r="F514">
        <v>1174950</v>
      </c>
      <c r="G514">
        <v>2007</v>
      </c>
      <c r="H514">
        <v>4124</v>
      </c>
      <c r="I514">
        <v>0</v>
      </c>
      <c r="J514">
        <v>5</v>
      </c>
      <c r="K514">
        <v>3.5</v>
      </c>
      <c r="M514" s="2" t="str">
        <f>HYPERLINK("http://maps.live.com/default.aspx?v=2&amp;lvl=15&amp;sp=Point.47.548_-122.1534_11139 SE 61st Pl&amp;cp=47.548~-122.1534","Map")</f>
        <v>Map</v>
      </c>
      <c r="N514" s="2" t="str">
        <f>HYPERLINK("http://i-0.rfimg.us/photo/1/bigphoto/230/27197230_1.jpg","Photo")</f>
        <v>Photo</v>
      </c>
      <c r="AG514">
        <v>47.548000000000002</v>
      </c>
      <c r="AH514">
        <v>-122.1534</v>
      </c>
      <c r="AI514" t="s">
        <v>369</v>
      </c>
      <c r="AJ514">
        <v>98006</v>
      </c>
      <c r="BC514" s="22">
        <v>39391.488761574074</v>
      </c>
      <c r="BI514" s="22">
        <v>39549.294907407406</v>
      </c>
      <c r="BL514">
        <v>23499</v>
      </c>
      <c r="BM514">
        <v>1269764</v>
      </c>
      <c r="BN514" t="s">
        <v>3062</v>
      </c>
      <c r="BO514" s="17">
        <f t="shared" ref="BO514:BO577" ca="1" si="8">NOW()-BC514</f>
        <v>157.82064432870538</v>
      </c>
      <c r="BP514" t="b">
        <v>0</v>
      </c>
      <c r="BQ514">
        <v>1</v>
      </c>
      <c r="BR514" t="s">
        <v>1842</v>
      </c>
      <c r="BS514" t="s">
        <v>2431</v>
      </c>
      <c r="BT514" t="b">
        <v>0</v>
      </c>
      <c r="BU514" t="s">
        <v>3856</v>
      </c>
      <c r="BV514" t="s">
        <v>1668</v>
      </c>
      <c r="BW514">
        <v>11139</v>
      </c>
      <c r="BY514">
        <v>11894304</v>
      </c>
      <c r="BZ514" t="s">
        <v>5590</v>
      </c>
      <c r="CA514">
        <v>1</v>
      </c>
      <c r="CB514" t="b">
        <v>1</v>
      </c>
      <c r="CC514">
        <v>0</v>
      </c>
      <c r="CD514" t="b">
        <v>0</v>
      </c>
      <c r="CE514" t="b">
        <v>0</v>
      </c>
      <c r="CF514" t="b">
        <v>1</v>
      </c>
      <c r="CG514">
        <v>15362369</v>
      </c>
      <c r="CH514" t="s">
        <v>1681</v>
      </c>
      <c r="CI514" s="10">
        <v>1174950</v>
      </c>
    </row>
    <row r="515" spans="1:90">
      <c r="A515">
        <v>27197247</v>
      </c>
      <c r="B515" s="2" t="str">
        <f>HYPERLINK("http://www.redfin.com/stingray/do/printable-listing?listing-id=1269787","Active")</f>
        <v>Active</v>
      </c>
      <c r="D515" t="s">
        <v>3704</v>
      </c>
      <c r="E515" t="s">
        <v>3963</v>
      </c>
      <c r="F515">
        <v>857000</v>
      </c>
      <c r="G515">
        <v>2007</v>
      </c>
      <c r="H515">
        <v>3320</v>
      </c>
      <c r="I515">
        <v>6000</v>
      </c>
      <c r="J515">
        <v>4</v>
      </c>
      <c r="K515">
        <v>3.5</v>
      </c>
      <c r="M515" s="2" t="str">
        <f>HYPERLINK("http://maps.live.com/default.aspx?v=2&amp;lvl=15&amp;sp=Point.47.609304_-122.304795_820 21st Ave&amp;cp=47.609304~-122.304795","Map")</f>
        <v>Map</v>
      </c>
      <c r="N515" s="2" t="str">
        <f>HYPERLINK("http://i-0.rfimg.us/photo/1/bigphoto/247/27197247_3.jpg","Photo")</f>
        <v>Photo</v>
      </c>
      <c r="AG515">
        <v>47.609304000000002</v>
      </c>
      <c r="AH515">
        <v>-122.304795</v>
      </c>
      <c r="AI515" t="s">
        <v>66</v>
      </c>
      <c r="AJ515">
        <v>98122</v>
      </c>
      <c r="AN515">
        <v>135000</v>
      </c>
      <c r="BC515" s="22">
        <v>39391.497106481482</v>
      </c>
      <c r="BI515" s="22">
        <v>39549.294907407406</v>
      </c>
      <c r="BL515">
        <v>17140</v>
      </c>
      <c r="BM515">
        <v>1269787</v>
      </c>
      <c r="BN515" t="s">
        <v>1815</v>
      </c>
      <c r="BO515" s="17">
        <f t="shared" ca="1" si="8"/>
        <v>157.81229942129721</v>
      </c>
      <c r="BP515" t="b">
        <v>0</v>
      </c>
      <c r="BQ515">
        <v>1</v>
      </c>
      <c r="BR515" t="s">
        <v>1667</v>
      </c>
      <c r="BS515" t="s">
        <v>1903</v>
      </c>
      <c r="BT515" t="b">
        <v>0</v>
      </c>
      <c r="BV515" t="s">
        <v>1668</v>
      </c>
      <c r="BW515">
        <v>820</v>
      </c>
      <c r="BY515">
        <v>12301497</v>
      </c>
      <c r="BZ515" t="s">
        <v>3964</v>
      </c>
      <c r="CA515">
        <v>1</v>
      </c>
      <c r="CB515" t="b">
        <v>1</v>
      </c>
      <c r="CC515">
        <v>0</v>
      </c>
      <c r="CD515" t="b">
        <v>0</v>
      </c>
      <c r="CE515" t="b">
        <v>0</v>
      </c>
      <c r="CF515" t="b">
        <v>1</v>
      </c>
      <c r="CG515">
        <v>2499762</v>
      </c>
      <c r="CH515" t="s">
        <v>1681</v>
      </c>
      <c r="CI515" s="10">
        <v>857000</v>
      </c>
      <c r="CJ515" s="7">
        <v>38884</v>
      </c>
      <c r="CL515" t="s">
        <v>3962</v>
      </c>
    </row>
    <row r="516" spans="1:90">
      <c r="A516">
        <v>27197337</v>
      </c>
      <c r="B516" s="2" t="str">
        <f>HYPERLINK("http://www.redfin.com/stingray/do/printable-listing?listing-id=1270494","Active")</f>
        <v>Active</v>
      </c>
      <c r="D516" t="s">
        <v>4710</v>
      </c>
      <c r="E516" t="s">
        <v>6691</v>
      </c>
      <c r="F516">
        <v>1199000</v>
      </c>
      <c r="G516">
        <v>1967</v>
      </c>
      <c r="H516">
        <v>2540</v>
      </c>
      <c r="I516">
        <v>12640</v>
      </c>
      <c r="J516">
        <v>2</v>
      </c>
      <c r="K516">
        <v>3</v>
      </c>
      <c r="M516" s="2" t="str">
        <f>HYPERLINK("http://maps.live.com/default.aspx?v=2&amp;lvl=15&amp;sp=Point.47.61348_-122.210938_9708 NE 1st St&amp;cp=47.61348~-122.210938","Map")</f>
        <v>Map</v>
      </c>
      <c r="N516" s="2" t="str">
        <f>HYPERLINK("http://i-0.rfimg.us/photo/1/bigphoto/337/27197337_6.jpg","Photo")</f>
        <v>Photo</v>
      </c>
      <c r="AG516">
        <v>47.613480000000003</v>
      </c>
      <c r="AH516">
        <v>-122.210938</v>
      </c>
      <c r="AI516" t="s">
        <v>369</v>
      </c>
      <c r="AJ516">
        <v>98004</v>
      </c>
      <c r="BC516" s="22">
        <v>39391.659583333334</v>
      </c>
      <c r="BI516" s="22">
        <v>39549.294907407406</v>
      </c>
      <c r="BL516">
        <v>23980</v>
      </c>
      <c r="BM516">
        <v>1270494</v>
      </c>
      <c r="BN516" t="s">
        <v>1768</v>
      </c>
      <c r="BO516" s="17">
        <f t="shared" ca="1" si="8"/>
        <v>157.64982256944495</v>
      </c>
      <c r="BP516" t="b">
        <v>0</v>
      </c>
      <c r="BQ516">
        <v>1</v>
      </c>
      <c r="BR516" t="s">
        <v>1686</v>
      </c>
      <c r="BS516" t="s">
        <v>1822</v>
      </c>
      <c r="BT516" t="b">
        <v>0</v>
      </c>
      <c r="BU516" t="s">
        <v>1738</v>
      </c>
      <c r="BV516" t="s">
        <v>1668</v>
      </c>
      <c r="BW516">
        <v>9708</v>
      </c>
      <c r="BY516">
        <v>251565</v>
      </c>
      <c r="BZ516" t="s">
        <v>6692</v>
      </c>
      <c r="CA516">
        <v>1</v>
      </c>
      <c r="CB516" t="b">
        <v>1</v>
      </c>
      <c r="CC516">
        <v>0</v>
      </c>
      <c r="CD516" t="b">
        <v>0</v>
      </c>
      <c r="CE516" t="b">
        <v>0</v>
      </c>
      <c r="CF516" t="b">
        <v>1</v>
      </c>
      <c r="CG516">
        <v>2367310</v>
      </c>
      <c r="CH516" t="s">
        <v>1681</v>
      </c>
      <c r="CI516" s="10">
        <v>1199000</v>
      </c>
    </row>
    <row r="517" spans="1:90">
      <c r="A517">
        <v>27197354</v>
      </c>
      <c r="B517" s="2" t="str">
        <f>HYPERLINK("http://www.redfin.com/stingray/do/printable-listing?listing-id=1275839","Active")</f>
        <v>Active</v>
      </c>
      <c r="D517" t="s">
        <v>4113</v>
      </c>
      <c r="E517" t="s">
        <v>4111</v>
      </c>
      <c r="F517">
        <v>749500</v>
      </c>
      <c r="G517">
        <v>1908</v>
      </c>
      <c r="H517">
        <v>2000</v>
      </c>
      <c r="I517">
        <v>4211</v>
      </c>
      <c r="J517">
        <v>4</v>
      </c>
      <c r="K517">
        <v>3</v>
      </c>
      <c r="M517" s="2" t="str">
        <f>HYPERLINK("http://maps.live.com/default.aspx?v=2&amp;lvl=15&amp;sp=Point.47.62835_-122.301166_2406 E Helen St&amp;cp=47.62835~-122.301166","Map")</f>
        <v>Map</v>
      </c>
      <c r="N517" s="2" t="str">
        <f>HYPERLINK("http://i-0.rfimg.us/photo/1/bigphoto/354/27197354_0.jpg","Photo")</f>
        <v>Photo</v>
      </c>
      <c r="AG517">
        <v>47.628349999999998</v>
      </c>
      <c r="AH517">
        <v>-122.30116599999999</v>
      </c>
      <c r="AI517" t="s">
        <v>66</v>
      </c>
      <c r="AJ517">
        <v>98112</v>
      </c>
      <c r="AN517">
        <v>405000</v>
      </c>
      <c r="BC517" s="22">
        <v>39393.647673611114</v>
      </c>
      <c r="BI517" s="22">
        <v>39549.294907407406</v>
      </c>
      <c r="BL517">
        <v>14990</v>
      </c>
      <c r="BM517">
        <v>1275839</v>
      </c>
      <c r="BN517" t="s">
        <v>1671</v>
      </c>
      <c r="BO517" s="17">
        <f t="shared" ca="1" si="8"/>
        <v>155.66173229166452</v>
      </c>
      <c r="BP517" t="b">
        <v>0</v>
      </c>
      <c r="BQ517">
        <v>1</v>
      </c>
      <c r="BR517" t="s">
        <v>1686</v>
      </c>
      <c r="BS517" t="s">
        <v>4112</v>
      </c>
      <c r="BT517" t="b">
        <v>0</v>
      </c>
      <c r="BU517" t="s">
        <v>2436</v>
      </c>
      <c r="BV517" t="s">
        <v>1668</v>
      </c>
      <c r="BW517">
        <v>2406</v>
      </c>
      <c r="BY517">
        <v>146312</v>
      </c>
      <c r="BZ517" t="s">
        <v>1672</v>
      </c>
      <c r="CA517">
        <v>1</v>
      </c>
      <c r="CB517" t="b">
        <v>1</v>
      </c>
      <c r="CC517">
        <v>0</v>
      </c>
      <c r="CD517" t="b">
        <v>0</v>
      </c>
      <c r="CE517" t="b">
        <v>0</v>
      </c>
      <c r="CF517" t="b">
        <v>1</v>
      </c>
      <c r="CG517">
        <v>2715311</v>
      </c>
      <c r="CH517" t="s">
        <v>1681</v>
      </c>
      <c r="CI517" s="10">
        <v>749500</v>
      </c>
      <c r="CJ517" s="7">
        <v>37011</v>
      </c>
    </row>
    <row r="518" spans="1:90">
      <c r="A518">
        <v>27197549</v>
      </c>
      <c r="B518" s="2" t="str">
        <f>HYPERLINK("http://www.redfin.com/stingray/do/printable-listing?listing-id=1272875","Active")</f>
        <v>Active</v>
      </c>
      <c r="D518" t="s">
        <v>5926</v>
      </c>
      <c r="E518" t="s">
        <v>6055</v>
      </c>
      <c r="F518">
        <v>399900</v>
      </c>
      <c r="G518">
        <v>1943</v>
      </c>
      <c r="H518">
        <v>1605</v>
      </c>
      <c r="I518">
        <v>15345</v>
      </c>
      <c r="J518">
        <v>3</v>
      </c>
      <c r="K518">
        <v>2</v>
      </c>
      <c r="M518" s="2" t="str">
        <f>HYPERLINK("http://maps.live.com/default.aspx?v=2&amp;lvl=15&amp;sp=Point.47.505681_-122.192334_1500 Monterey Ave NE&amp;cp=47.505681~-122.192334","Map")</f>
        <v>Map</v>
      </c>
      <c r="N518" s="2" t="str">
        <f>HYPERLINK("http://i-0.rfimg.us/photo/1/bigphoto/549/27197549_2.jpg","Photo")</f>
        <v>Photo</v>
      </c>
      <c r="AG518">
        <v>47.505681000000003</v>
      </c>
      <c r="AH518">
        <v>-122.192334</v>
      </c>
      <c r="AI518" t="s">
        <v>1077</v>
      </c>
      <c r="AJ518">
        <v>98056</v>
      </c>
      <c r="AN518">
        <v>235950</v>
      </c>
      <c r="BC518" s="22">
        <v>39392.592314814814</v>
      </c>
      <c r="BI518" s="22">
        <v>39549.294907407406</v>
      </c>
      <c r="BL518">
        <v>7998</v>
      </c>
      <c r="BM518">
        <v>1272875</v>
      </c>
      <c r="BN518" t="s">
        <v>3092</v>
      </c>
      <c r="BO518" s="17">
        <f t="shared" ca="1" si="8"/>
        <v>156.71709108796495</v>
      </c>
      <c r="BP518" t="b">
        <v>0</v>
      </c>
      <c r="BQ518">
        <v>1</v>
      </c>
      <c r="BR518" t="s">
        <v>1667</v>
      </c>
      <c r="BS518" t="s">
        <v>6056</v>
      </c>
      <c r="BT518" t="b">
        <v>0</v>
      </c>
      <c r="BV518" t="s">
        <v>1668</v>
      </c>
      <c r="BW518">
        <v>1500</v>
      </c>
      <c r="BX518" t="s">
        <v>1738</v>
      </c>
      <c r="BY518">
        <v>410873</v>
      </c>
      <c r="BZ518" t="s">
        <v>6057</v>
      </c>
      <c r="CA518">
        <v>1</v>
      </c>
      <c r="CB518" t="b">
        <v>1</v>
      </c>
      <c r="CC518">
        <v>0</v>
      </c>
      <c r="CD518" t="b">
        <v>0</v>
      </c>
      <c r="CE518" t="b">
        <v>0</v>
      </c>
      <c r="CF518" t="b">
        <v>1</v>
      </c>
      <c r="CG518">
        <v>2731251</v>
      </c>
      <c r="CH518" t="s">
        <v>1681</v>
      </c>
      <c r="CI518" s="10">
        <v>399900</v>
      </c>
      <c r="CJ518" s="7">
        <v>37830</v>
      </c>
    </row>
    <row r="519" spans="1:90">
      <c r="A519">
        <v>27197747</v>
      </c>
      <c r="B519" s="2" t="str">
        <f>HYPERLINK("http://www.redfin.com/stingray/do/printable-listing?listing-id=1272164","Active")</f>
        <v>Active</v>
      </c>
      <c r="D519" t="s">
        <v>194</v>
      </c>
      <c r="E519" t="s">
        <v>3019</v>
      </c>
      <c r="F519">
        <v>539999</v>
      </c>
      <c r="G519">
        <v>1946</v>
      </c>
      <c r="H519">
        <v>1980</v>
      </c>
      <c r="I519">
        <v>5400</v>
      </c>
      <c r="J519">
        <v>3</v>
      </c>
      <c r="K519">
        <v>1.75</v>
      </c>
      <c r="M519" s="2" t="str">
        <f>HYPERLINK("http://maps.live.com/default.aspx?v=2&amp;lvl=15&amp;sp=Point.47.697065_-122.282029_9411 44 Pl NE&amp;cp=47.697065~-122.282029","Map")</f>
        <v>Map</v>
      </c>
      <c r="N519" s="2" t="str">
        <f>HYPERLINK("http://i-0.rfimg.us/photo/1/bigphoto/747/27197747_3.jpg","Photo")</f>
        <v>Photo</v>
      </c>
      <c r="AG519">
        <v>47.697065000000002</v>
      </c>
      <c r="AH519">
        <v>-122.28202899999999</v>
      </c>
      <c r="AI519" t="s">
        <v>66</v>
      </c>
      <c r="AJ519">
        <v>98115</v>
      </c>
      <c r="AN519">
        <v>400000</v>
      </c>
      <c r="BC519" s="22">
        <v>39392.42559027778</v>
      </c>
      <c r="BI519" s="22">
        <v>39549.294907407406</v>
      </c>
      <c r="BL519">
        <v>10800</v>
      </c>
      <c r="BM519">
        <v>1272164</v>
      </c>
      <c r="BN519" t="s">
        <v>1841</v>
      </c>
      <c r="BO519" s="17">
        <f t="shared" ca="1" si="8"/>
        <v>156.88381562499853</v>
      </c>
      <c r="BP519" t="b">
        <v>0</v>
      </c>
      <c r="BQ519">
        <v>1</v>
      </c>
      <c r="BR519" t="s">
        <v>1842</v>
      </c>
      <c r="BS519">
        <v>44</v>
      </c>
      <c r="BT519" t="b">
        <v>0</v>
      </c>
      <c r="BV519" t="s">
        <v>1668</v>
      </c>
      <c r="BW519">
        <v>9411</v>
      </c>
      <c r="BX519" t="s">
        <v>1738</v>
      </c>
      <c r="BY519">
        <v>315250</v>
      </c>
      <c r="BZ519" t="s">
        <v>3020</v>
      </c>
      <c r="CA519">
        <v>1</v>
      </c>
      <c r="CB519" t="b">
        <v>1</v>
      </c>
      <c r="CC519">
        <v>0</v>
      </c>
      <c r="CD519" t="b">
        <v>0</v>
      </c>
      <c r="CE519" t="b">
        <v>0</v>
      </c>
      <c r="CF519" t="b">
        <v>1</v>
      </c>
      <c r="CG519">
        <v>2660504</v>
      </c>
      <c r="CH519" t="s">
        <v>1681</v>
      </c>
      <c r="CI519" s="10">
        <v>539999</v>
      </c>
      <c r="CJ519" s="7">
        <v>39062</v>
      </c>
    </row>
    <row r="520" spans="1:90">
      <c r="A520">
        <v>27198052</v>
      </c>
      <c r="B520" s="2" t="str">
        <f>HYPERLINK("http://www.redfin.com/stingray/do/printable-listing?listing-id=1272991","Active")</f>
        <v>Active</v>
      </c>
      <c r="D520" t="s">
        <v>5113</v>
      </c>
      <c r="E520" t="s">
        <v>5537</v>
      </c>
      <c r="F520">
        <v>559950</v>
      </c>
      <c r="G520">
        <v>1965</v>
      </c>
      <c r="H520">
        <v>2230</v>
      </c>
      <c r="I520">
        <v>7980</v>
      </c>
      <c r="J520">
        <v>4</v>
      </c>
      <c r="K520">
        <v>2.75</v>
      </c>
      <c r="M520" s="2" t="str">
        <f>HYPERLINK("http://maps.live.com/default.aspx?v=2&amp;lvl=15&amp;sp=Point.47.627201_-122.099509_17912 NE 19th Pl&amp;cp=47.627201~-122.099509","Map")</f>
        <v>Map</v>
      </c>
      <c r="N520" s="2" t="str">
        <f>HYPERLINK("http://i-0.rfimg.us/photo/1/bigphoto/052/27198052_0.jpg","Photo")</f>
        <v>Photo</v>
      </c>
      <c r="AG520">
        <v>47.627200999999999</v>
      </c>
      <c r="AH520">
        <v>-122.099509</v>
      </c>
      <c r="AI520" t="s">
        <v>369</v>
      </c>
      <c r="AJ520">
        <v>98008</v>
      </c>
      <c r="AN520">
        <v>310000</v>
      </c>
      <c r="BC520" s="22">
        <v>39392.616875</v>
      </c>
      <c r="BI520" s="7">
        <v>39532</v>
      </c>
      <c r="BL520">
        <v>11199</v>
      </c>
      <c r="BM520">
        <v>1272991</v>
      </c>
      <c r="BN520" t="s">
        <v>1688</v>
      </c>
      <c r="BO520" s="17">
        <f t="shared" ca="1" si="8"/>
        <v>156.69253090277925</v>
      </c>
      <c r="BP520" t="b">
        <v>0</v>
      </c>
      <c r="BQ520">
        <v>1</v>
      </c>
      <c r="BR520" t="s">
        <v>1842</v>
      </c>
      <c r="BS520" t="s">
        <v>1906</v>
      </c>
      <c r="BT520" t="b">
        <v>0</v>
      </c>
      <c r="BU520" t="s">
        <v>1738</v>
      </c>
      <c r="BV520" t="s">
        <v>1668</v>
      </c>
      <c r="BW520">
        <v>17912</v>
      </c>
      <c r="BY520">
        <v>504279</v>
      </c>
      <c r="BZ520" t="s">
        <v>1672</v>
      </c>
      <c r="CA520">
        <v>1</v>
      </c>
      <c r="CB520" t="b">
        <v>1</v>
      </c>
      <c r="CC520">
        <v>0</v>
      </c>
      <c r="CD520" t="b">
        <v>0</v>
      </c>
      <c r="CE520" t="b">
        <v>0</v>
      </c>
      <c r="CF520" t="b">
        <v>1</v>
      </c>
      <c r="CG520">
        <v>2507482</v>
      </c>
      <c r="CH520" t="s">
        <v>1681</v>
      </c>
      <c r="CI520" s="10">
        <v>559950</v>
      </c>
      <c r="CJ520" s="7">
        <v>37069</v>
      </c>
    </row>
    <row r="521" spans="1:90">
      <c r="A521">
        <v>27198131</v>
      </c>
      <c r="B521" s="2" t="str">
        <f>HYPERLINK("http://www.redfin.com/stingray/do/printable-listing?listing-id=1273170","Active")</f>
        <v>Active</v>
      </c>
      <c r="D521" t="s">
        <v>4663</v>
      </c>
      <c r="E521" t="s">
        <v>7079</v>
      </c>
      <c r="F521">
        <v>1100000</v>
      </c>
      <c r="G521">
        <v>1966</v>
      </c>
      <c r="H521">
        <v>3140</v>
      </c>
      <c r="I521">
        <v>35700</v>
      </c>
      <c r="J521">
        <v>4</v>
      </c>
      <c r="K521">
        <v>3</v>
      </c>
      <c r="M521" s="2" t="str">
        <f>HYPERLINK("http://maps.live.com/default.aspx?v=2&amp;lvl=15&amp;sp=Point.47.646463_-122.155747_13800 NE 40th St&amp;cp=47.646463~-122.155747","Map")</f>
        <v>Map</v>
      </c>
      <c r="N521" s="2" t="str">
        <f>HYPERLINK("http://i-0.rfimg.us/photo/1/bigphoto/131/27198131_W.jpg","Photo")</f>
        <v>Photo</v>
      </c>
      <c r="AG521">
        <v>47.646462999999997</v>
      </c>
      <c r="AH521">
        <v>-122.15574700000001</v>
      </c>
      <c r="AI521" t="s">
        <v>369</v>
      </c>
      <c r="AJ521">
        <v>98005</v>
      </c>
      <c r="AN521">
        <v>1260000</v>
      </c>
      <c r="BC521" s="22">
        <v>39392.655659722222</v>
      </c>
      <c r="BI521" s="22">
        <v>39549.294907407406</v>
      </c>
      <c r="BL521">
        <v>22000</v>
      </c>
      <c r="BM521">
        <v>1273170</v>
      </c>
      <c r="BN521" t="s">
        <v>1737</v>
      </c>
      <c r="BO521" s="17">
        <f t="shared" ca="1" si="8"/>
        <v>156.65374618055648</v>
      </c>
      <c r="BP521" t="b">
        <v>0</v>
      </c>
      <c r="BQ521">
        <v>1</v>
      </c>
      <c r="BR521" t="s">
        <v>1686</v>
      </c>
      <c r="BS521" t="s">
        <v>2832</v>
      </c>
      <c r="BT521" t="b">
        <v>0</v>
      </c>
      <c r="BU521" t="s">
        <v>1738</v>
      </c>
      <c r="BV521" t="s">
        <v>1668</v>
      </c>
      <c r="BW521">
        <v>13800</v>
      </c>
      <c r="BY521">
        <v>431324</v>
      </c>
      <c r="BZ521" t="s">
        <v>7080</v>
      </c>
      <c r="CA521">
        <v>1</v>
      </c>
      <c r="CB521" t="b">
        <v>1</v>
      </c>
      <c r="CC521">
        <v>0</v>
      </c>
      <c r="CD521" t="b">
        <v>0</v>
      </c>
      <c r="CE521" t="b">
        <v>0</v>
      </c>
      <c r="CF521" t="b">
        <v>1</v>
      </c>
      <c r="CG521">
        <v>2798454</v>
      </c>
      <c r="CH521" t="s">
        <v>1681</v>
      </c>
      <c r="CI521" s="10">
        <v>1100000</v>
      </c>
      <c r="CJ521" s="7">
        <v>39302</v>
      </c>
    </row>
    <row r="522" spans="1:90">
      <c r="A522">
        <v>27198190</v>
      </c>
      <c r="B522" s="2" t="str">
        <f>HYPERLINK("http://www.redfin.com/stingray/do/printable-listing?listing-id=1274747","Subject To Inspection")</f>
        <v>Subject To Inspection</v>
      </c>
      <c r="D522" t="s">
        <v>919</v>
      </c>
      <c r="E522" t="s">
        <v>774</v>
      </c>
      <c r="F522">
        <v>449990</v>
      </c>
      <c r="G522">
        <v>1995</v>
      </c>
      <c r="H522">
        <v>2130</v>
      </c>
      <c r="I522">
        <v>6187</v>
      </c>
      <c r="J522">
        <v>5</v>
      </c>
      <c r="K522">
        <v>3</v>
      </c>
      <c r="M522" s="2" t="str">
        <f>HYPERLINK("http://maps.live.com/default.aspx?v=2&amp;lvl=15&amp;sp=Point.47.719083_-122.315231_1205 NE 125th St&amp;cp=47.719083~-122.315231","Map")</f>
        <v>Map</v>
      </c>
      <c r="N522" s="2" t="str">
        <f>HYPERLINK("http://i-0.rfimg.us/photo/1/bigphoto/190/27198190_0.jpg","Photo")</f>
        <v>Photo</v>
      </c>
      <c r="AG522">
        <v>47.719082999999998</v>
      </c>
      <c r="AH522">
        <v>-122.315231</v>
      </c>
      <c r="AI522" t="s">
        <v>66</v>
      </c>
      <c r="AJ522">
        <v>98125</v>
      </c>
      <c r="AN522">
        <v>9000000</v>
      </c>
      <c r="BC522" s="22">
        <v>39393.348854166667</v>
      </c>
      <c r="BI522" s="22">
        <v>39545.917314814818</v>
      </c>
      <c r="BL522">
        <v>9000</v>
      </c>
      <c r="BM522">
        <v>1274747</v>
      </c>
      <c r="BN522" t="s">
        <v>1737</v>
      </c>
      <c r="BO522" s="17">
        <f t="shared" ca="1" si="8"/>
        <v>155.96055173611239</v>
      </c>
      <c r="BP522" t="b">
        <v>0</v>
      </c>
      <c r="BQ522">
        <v>2</v>
      </c>
      <c r="BR522" t="s">
        <v>1686</v>
      </c>
      <c r="BS522" t="s">
        <v>2677</v>
      </c>
      <c r="BT522" t="b">
        <v>0</v>
      </c>
      <c r="BU522" t="s">
        <v>1738</v>
      </c>
      <c r="BV522" t="s">
        <v>1668</v>
      </c>
      <c r="BW522">
        <v>1205</v>
      </c>
      <c r="BY522">
        <v>105756</v>
      </c>
      <c r="BZ522" t="s">
        <v>1701</v>
      </c>
      <c r="CA522">
        <v>1</v>
      </c>
      <c r="CB522" t="b">
        <v>1</v>
      </c>
      <c r="CC522">
        <v>0</v>
      </c>
      <c r="CD522" t="b">
        <v>0</v>
      </c>
      <c r="CE522" t="b">
        <v>0</v>
      </c>
      <c r="CF522" t="b">
        <v>1</v>
      </c>
      <c r="CG522">
        <v>2616028</v>
      </c>
      <c r="CH522" t="s">
        <v>1681</v>
      </c>
      <c r="CI522" s="10">
        <v>449990</v>
      </c>
      <c r="CJ522" s="7">
        <v>38561</v>
      </c>
    </row>
    <row r="523" spans="1:90">
      <c r="A523">
        <v>27198284</v>
      </c>
      <c r="B523" s="2" t="str">
        <f>HYPERLINK("http://www.redfin.com/stingray/do/printable-listing?listing-id=1275097","Active")</f>
        <v>Active</v>
      </c>
      <c r="D523" t="s">
        <v>1058</v>
      </c>
      <c r="E523" t="s">
        <v>4826</v>
      </c>
      <c r="F523">
        <v>1089000</v>
      </c>
      <c r="G523">
        <v>2003</v>
      </c>
      <c r="H523">
        <v>3925</v>
      </c>
      <c r="I523">
        <v>18327</v>
      </c>
      <c r="J523">
        <v>5</v>
      </c>
      <c r="K523">
        <v>3.75</v>
      </c>
      <c r="M523" s="2" t="str">
        <f>HYPERLINK("http://maps.live.com/default.aspx?v=2&amp;lvl=15&amp;sp=Point.47.670693_-122.179995_7336 120th Ave NE&amp;cp=47.670693~-122.179995","Map")</f>
        <v>Map</v>
      </c>
      <c r="N523" s="2" t="str">
        <f>HYPERLINK("http://i-0.rfimg.us/photo/1/bigphoto/284/27198284_2.jpg","Photo")</f>
        <v>Photo</v>
      </c>
      <c r="AG523">
        <v>47.670693</v>
      </c>
      <c r="AH523">
        <v>-122.17999500000001</v>
      </c>
      <c r="AI523" t="s">
        <v>1058</v>
      </c>
      <c r="AJ523">
        <v>98033</v>
      </c>
      <c r="BC523" s="22">
        <v>39393.45516203704</v>
      </c>
      <c r="BI523" s="22">
        <v>39546.925937499997</v>
      </c>
      <c r="BL523">
        <v>21780</v>
      </c>
      <c r="BM523">
        <v>1275097</v>
      </c>
      <c r="BN523" t="s">
        <v>1917</v>
      </c>
      <c r="BO523" s="17">
        <f t="shared" ca="1" si="8"/>
        <v>155.85424386573868</v>
      </c>
      <c r="BP523" t="b">
        <v>0</v>
      </c>
      <c r="BQ523">
        <v>1</v>
      </c>
      <c r="BR523" t="s">
        <v>1667</v>
      </c>
      <c r="BS523" t="s">
        <v>2785</v>
      </c>
      <c r="BT523" t="b">
        <v>0</v>
      </c>
      <c r="BV523" t="s">
        <v>1668</v>
      </c>
      <c r="BW523">
        <v>7336</v>
      </c>
      <c r="BX523" t="s">
        <v>1738</v>
      </c>
      <c r="BY523">
        <v>515696</v>
      </c>
      <c r="BZ523" t="s">
        <v>1912</v>
      </c>
      <c r="CA523">
        <v>1</v>
      </c>
      <c r="CB523" t="b">
        <v>1</v>
      </c>
      <c r="CC523">
        <v>0</v>
      </c>
      <c r="CD523" t="b">
        <v>0</v>
      </c>
      <c r="CE523" t="b">
        <v>0</v>
      </c>
      <c r="CF523" t="b">
        <v>1</v>
      </c>
      <c r="CG523">
        <v>2506606</v>
      </c>
      <c r="CH523" t="s">
        <v>1681</v>
      </c>
      <c r="CI523" s="10">
        <v>1089000</v>
      </c>
    </row>
    <row r="524" spans="1:90">
      <c r="A524">
        <v>27198723</v>
      </c>
      <c r="B524" s="2" t="str">
        <f>HYPERLINK("http://www.redfin.com/stingray/do/printable-listing?listing-id=1276288","Active")</f>
        <v>Active</v>
      </c>
      <c r="D524" t="s">
        <v>4004</v>
      </c>
      <c r="E524" t="s">
        <v>4201</v>
      </c>
      <c r="F524" s="19">
        <v>1995000</v>
      </c>
      <c r="G524">
        <v>1924</v>
      </c>
      <c r="H524">
        <v>3480</v>
      </c>
      <c r="I524">
        <v>7810</v>
      </c>
      <c r="J524">
        <v>4</v>
      </c>
      <c r="K524">
        <v>3.5</v>
      </c>
      <c r="M524" s="2" t="str">
        <f>HYPERLINK("http://maps.live.com/default.aspx?v=2&amp;lvl=15&amp;sp=Point.47.615116_-122.2818_1522 40th Ave&amp;cp=47.615116~-122.2818","Map")</f>
        <v>Map</v>
      </c>
      <c r="N524" s="2" t="str">
        <f>HYPERLINK("http://i-0.rfimg.us/photo/1/bigphoto/723/27198723_1.jpg","Photo")</f>
        <v>Photo</v>
      </c>
      <c r="AG524">
        <v>47.615116</v>
      </c>
      <c r="AH524">
        <v>-122.2818</v>
      </c>
      <c r="AI524" t="s">
        <v>66</v>
      </c>
      <c r="AJ524">
        <v>98122</v>
      </c>
      <c r="AN524">
        <v>1279000</v>
      </c>
      <c r="BC524" s="22">
        <v>39393.767280092594</v>
      </c>
      <c r="BI524" s="22">
        <v>39549.294907407406</v>
      </c>
      <c r="BL524">
        <v>43900</v>
      </c>
      <c r="BM524">
        <v>1276288</v>
      </c>
      <c r="BN524" t="s">
        <v>1829</v>
      </c>
      <c r="BO524" s="17">
        <f t="shared" ca="1" si="8"/>
        <v>155.5421258101851</v>
      </c>
      <c r="BP524" t="b">
        <v>0</v>
      </c>
      <c r="BQ524">
        <v>1</v>
      </c>
      <c r="BR524" t="s">
        <v>1667</v>
      </c>
      <c r="BS524" t="s">
        <v>2832</v>
      </c>
      <c r="BT524" t="b">
        <v>0</v>
      </c>
      <c r="BV524" t="s">
        <v>1668</v>
      </c>
      <c r="BW524">
        <v>1522</v>
      </c>
      <c r="BY524">
        <v>140374</v>
      </c>
      <c r="BZ524" t="s">
        <v>1704</v>
      </c>
      <c r="CA524">
        <v>1</v>
      </c>
      <c r="CB524" t="b">
        <v>1</v>
      </c>
      <c r="CC524">
        <v>0</v>
      </c>
      <c r="CD524" t="b">
        <v>0</v>
      </c>
      <c r="CE524" t="b">
        <v>0</v>
      </c>
      <c r="CF524" t="b">
        <v>1</v>
      </c>
      <c r="CG524">
        <v>2649566</v>
      </c>
      <c r="CH524" t="s">
        <v>1681</v>
      </c>
      <c r="CI524" s="10">
        <v>2195000</v>
      </c>
      <c r="CJ524" s="7">
        <v>37082</v>
      </c>
    </row>
    <row r="525" spans="1:90">
      <c r="A525">
        <v>27198727</v>
      </c>
      <c r="B525" s="2" t="str">
        <f>HYPERLINK("http://www.redfin.com/stingray/do/printable-listing?listing-id=1275841","Active")</f>
        <v>Active</v>
      </c>
      <c r="D525" t="s">
        <v>5926</v>
      </c>
      <c r="E525" t="s">
        <v>5994</v>
      </c>
      <c r="F525">
        <v>548888</v>
      </c>
      <c r="G525">
        <v>2007</v>
      </c>
      <c r="H525">
        <v>2690</v>
      </c>
      <c r="I525">
        <v>0</v>
      </c>
      <c r="J525">
        <v>3</v>
      </c>
      <c r="K525">
        <v>2.5</v>
      </c>
      <c r="M525" s="2" t="str">
        <f>HYPERLINK("http://maps.live.com/default.aspx?v=2&amp;lvl=15&amp;sp=adr.2108 NE 18th St (Unable to map),98056","Map")</f>
        <v>Map</v>
      </c>
      <c r="N525" s="2" t="str">
        <f>HYPERLINK("http://i-0.rfimg.us/photo/1/bigphoto/727/27198727_7.jpg","Photo")</f>
        <v>Photo</v>
      </c>
      <c r="AI525" t="s">
        <v>1077</v>
      </c>
      <c r="AJ525">
        <v>98056</v>
      </c>
      <c r="BC525" s="22">
        <v>39393.647731481484</v>
      </c>
      <c r="BI525" s="22">
        <v>39549.294907407406</v>
      </c>
      <c r="BL525">
        <v>10978</v>
      </c>
      <c r="BM525">
        <v>1275841</v>
      </c>
      <c r="BN525" t="s">
        <v>3907</v>
      </c>
      <c r="BO525" s="17">
        <f t="shared" ca="1" si="8"/>
        <v>155.66167442129517</v>
      </c>
      <c r="BP525" t="b">
        <v>0</v>
      </c>
      <c r="BQ525">
        <v>1</v>
      </c>
      <c r="BR525" t="s">
        <v>1686</v>
      </c>
      <c r="BS525" t="s">
        <v>1909</v>
      </c>
      <c r="BT525" t="b">
        <v>0</v>
      </c>
      <c r="BU525" t="s">
        <v>1738</v>
      </c>
      <c r="BV525" t="s">
        <v>1668</v>
      </c>
      <c r="BW525">
        <v>2108</v>
      </c>
      <c r="BY525">
        <v>0</v>
      </c>
      <c r="BZ525" t="s">
        <v>5995</v>
      </c>
      <c r="CA525">
        <v>1</v>
      </c>
      <c r="CB525" t="b">
        <v>1</v>
      </c>
      <c r="CC525">
        <v>0</v>
      </c>
      <c r="CD525" t="b">
        <v>0</v>
      </c>
      <c r="CE525" t="b">
        <v>0</v>
      </c>
      <c r="CF525" t="b">
        <v>1</v>
      </c>
      <c r="CG525" t="s">
        <v>1870</v>
      </c>
      <c r="CH525" t="s">
        <v>1681</v>
      </c>
      <c r="CI525" s="10">
        <v>548888</v>
      </c>
      <c r="CL525" s="19" t="s">
        <v>6582</v>
      </c>
    </row>
    <row r="526" spans="1:90">
      <c r="A526">
        <v>27198830</v>
      </c>
      <c r="B526" s="2" t="str">
        <f>HYPERLINK("http://www.redfin.com/stingray/do/printable-listing?listing-id=1276031","Active")</f>
        <v>Active</v>
      </c>
      <c r="D526" t="s">
        <v>63</v>
      </c>
      <c r="E526" t="s">
        <v>802</v>
      </c>
      <c r="F526" s="19">
        <v>445000</v>
      </c>
      <c r="G526">
        <v>1911</v>
      </c>
      <c r="H526">
        <v>1950</v>
      </c>
      <c r="I526">
        <v>3844</v>
      </c>
      <c r="J526">
        <v>4</v>
      </c>
      <c r="K526">
        <v>1.75</v>
      </c>
      <c r="M526" s="2" t="str">
        <f>HYPERLINK("http://maps.live.com/default.aspx?v=2&amp;lvl=15&amp;sp=Point.47.70486_-122.352233_507 N 105th St&amp;cp=47.70486~-122.352233","Map")</f>
        <v>Map</v>
      </c>
      <c r="N526" s="2" t="str">
        <f>HYPERLINK("http://i-0.rfimg.us/photo/1/bigphoto/830/27198830_1.jpg","Photo")</f>
        <v>Photo</v>
      </c>
      <c r="AG526">
        <v>47.704859999999996</v>
      </c>
      <c r="AH526">
        <v>-122.352233</v>
      </c>
      <c r="AI526" t="s">
        <v>66</v>
      </c>
      <c r="AJ526">
        <v>98133</v>
      </c>
      <c r="AN526">
        <v>268000</v>
      </c>
      <c r="BC526" s="22">
        <v>39393.688854166663</v>
      </c>
      <c r="BI526" s="22">
        <v>39549.294907407406</v>
      </c>
      <c r="BL526">
        <v>9300</v>
      </c>
      <c r="BM526">
        <v>1276031</v>
      </c>
      <c r="BN526" t="s">
        <v>1688</v>
      </c>
      <c r="BO526" s="17">
        <f t="shared" ca="1" si="8"/>
        <v>155.62055185185454</v>
      </c>
      <c r="BP526" t="b">
        <v>0</v>
      </c>
      <c r="BQ526">
        <v>1</v>
      </c>
      <c r="BR526" t="s">
        <v>1686</v>
      </c>
      <c r="BS526" t="s">
        <v>2705</v>
      </c>
      <c r="BT526" t="b">
        <v>0</v>
      </c>
      <c r="BU526" t="s">
        <v>1712</v>
      </c>
      <c r="BV526" t="s">
        <v>1668</v>
      </c>
      <c r="BW526">
        <v>507</v>
      </c>
      <c r="BY526">
        <v>99229</v>
      </c>
      <c r="BZ526" t="s">
        <v>1704</v>
      </c>
      <c r="CA526">
        <v>1</v>
      </c>
      <c r="CB526" t="b">
        <v>1</v>
      </c>
      <c r="CC526">
        <v>0</v>
      </c>
      <c r="CD526" t="b">
        <v>0</v>
      </c>
      <c r="CE526" t="b">
        <v>0</v>
      </c>
      <c r="CF526" t="b">
        <v>1</v>
      </c>
      <c r="CG526">
        <v>2618295</v>
      </c>
      <c r="CH526" t="s">
        <v>1681</v>
      </c>
      <c r="CI526" s="10">
        <v>465000</v>
      </c>
      <c r="CJ526" s="7">
        <v>38541</v>
      </c>
    </row>
    <row r="527" spans="1:90">
      <c r="A527">
        <v>27198846</v>
      </c>
      <c r="B527" s="2" t="str">
        <f>HYPERLINK("http://www.redfin.com/stingray/do/printable-listing?listing-id=1276097","Active")</f>
        <v>Active</v>
      </c>
      <c r="D527" t="s">
        <v>1238</v>
      </c>
      <c r="E527" t="s">
        <v>3776</v>
      </c>
      <c r="F527">
        <v>5300000</v>
      </c>
      <c r="G527">
        <v>1919</v>
      </c>
      <c r="H527">
        <v>7380</v>
      </c>
      <c r="I527">
        <v>20000</v>
      </c>
      <c r="J527">
        <v>5</v>
      </c>
      <c r="K527">
        <v>4.25</v>
      </c>
      <c r="M527" s="2" t="str">
        <f>HYPERLINK("http://maps.live.com/default.aspx?v=2&amp;lvl=15&amp;sp=Point.47.634534_-122.318521_1658 Federal Ave E&amp;cp=47.634534~-122.318521","Map")</f>
        <v>Map</v>
      </c>
      <c r="N527" s="2" t="str">
        <f>HYPERLINK("http://i-0.rfimg.us/photo/1/bigphoto/846/27198846_4.jpg","Photo")</f>
        <v>Photo</v>
      </c>
      <c r="AG527">
        <v>47.634534000000002</v>
      </c>
      <c r="AH527">
        <v>-122.318521</v>
      </c>
      <c r="AI527" t="s">
        <v>66</v>
      </c>
      <c r="AJ527">
        <v>98102</v>
      </c>
      <c r="AN527">
        <v>2600000</v>
      </c>
      <c r="BC527" s="22">
        <v>39393.709594907406</v>
      </c>
      <c r="BI527" s="22">
        <v>39549.294907407406</v>
      </c>
      <c r="BL527">
        <v>106000</v>
      </c>
      <c r="BM527">
        <v>1276097</v>
      </c>
      <c r="BN527" t="s">
        <v>3775</v>
      </c>
      <c r="BO527" s="17">
        <f t="shared" ca="1" si="8"/>
        <v>155.59981099537254</v>
      </c>
      <c r="BP527" t="b">
        <v>0</v>
      </c>
      <c r="BQ527">
        <v>1</v>
      </c>
      <c r="BR527" t="s">
        <v>1667</v>
      </c>
      <c r="BS527" t="s">
        <v>3724</v>
      </c>
      <c r="BT527" t="b">
        <v>0</v>
      </c>
      <c r="BV527" t="s">
        <v>1668</v>
      </c>
      <c r="BW527">
        <v>1658</v>
      </c>
      <c r="BX527" t="s">
        <v>2436</v>
      </c>
      <c r="BY527">
        <v>135745</v>
      </c>
      <c r="BZ527" t="s">
        <v>3777</v>
      </c>
      <c r="CA527">
        <v>1</v>
      </c>
      <c r="CB527" t="b">
        <v>1</v>
      </c>
      <c r="CC527">
        <v>0</v>
      </c>
      <c r="CD527" t="b">
        <v>0</v>
      </c>
      <c r="CE527" t="b">
        <v>0</v>
      </c>
      <c r="CF527" t="b">
        <v>1</v>
      </c>
      <c r="CG527">
        <v>2977318</v>
      </c>
      <c r="CH527" t="s">
        <v>1681</v>
      </c>
      <c r="CI527" s="10">
        <v>5300000</v>
      </c>
      <c r="CJ527" s="7">
        <v>38576</v>
      </c>
    </row>
    <row r="528" spans="1:90">
      <c r="A528">
        <v>27198978</v>
      </c>
      <c r="B528" s="2" t="str">
        <f>HYPERLINK("http://www.redfin.com/stingray/do/printable-listing?listing-id=1289555","Active")</f>
        <v>Active</v>
      </c>
      <c r="D528" t="s">
        <v>3089</v>
      </c>
      <c r="E528" t="s">
        <v>3674</v>
      </c>
      <c r="F528">
        <v>1895000</v>
      </c>
      <c r="G528">
        <v>2007</v>
      </c>
      <c r="H528">
        <v>4000</v>
      </c>
      <c r="I528">
        <v>4000</v>
      </c>
      <c r="J528">
        <v>4</v>
      </c>
      <c r="K528">
        <v>4.5</v>
      </c>
      <c r="M528" s="2" t="str">
        <f>HYPERLINK("http://maps.live.com/default.aspx?v=2&amp;lvl=15&amp;sp=Point.47.655601_-122.27899_4508 NE 38th St&amp;cp=47.655601~-122.27899","Map")</f>
        <v>Map</v>
      </c>
      <c r="N528" s="2" t="str">
        <f>HYPERLINK("http://i-0.rfimg.us/photo/1/bigphoto/978/27198978_2.jpg","Photo")</f>
        <v>Photo</v>
      </c>
      <c r="AG528">
        <v>47.655600999999997</v>
      </c>
      <c r="AH528">
        <v>-122.27898999999999</v>
      </c>
      <c r="AI528" t="s">
        <v>66</v>
      </c>
      <c r="AJ528">
        <v>98115</v>
      </c>
      <c r="AN528">
        <v>545000</v>
      </c>
      <c r="BC528" s="22">
        <v>39399.76829861111</v>
      </c>
      <c r="BI528" s="22">
        <v>39549.294907407406</v>
      </c>
      <c r="BL528">
        <v>37900</v>
      </c>
      <c r="BM528">
        <v>1289555</v>
      </c>
      <c r="BN528" t="s">
        <v>1710</v>
      </c>
      <c r="BO528" s="17">
        <f t="shared" ca="1" si="8"/>
        <v>149.5411072916686</v>
      </c>
      <c r="BP528" t="b">
        <v>0</v>
      </c>
      <c r="BQ528">
        <v>1</v>
      </c>
      <c r="BR528" t="s">
        <v>1686</v>
      </c>
      <c r="BS528" t="s">
        <v>3126</v>
      </c>
      <c r="BT528" t="b">
        <v>0</v>
      </c>
      <c r="BU528" t="s">
        <v>1738</v>
      </c>
      <c r="BV528" t="s">
        <v>1668</v>
      </c>
      <c r="BW528">
        <v>4508</v>
      </c>
      <c r="BY528">
        <v>122138</v>
      </c>
      <c r="BZ528" t="s">
        <v>3675</v>
      </c>
      <c r="CA528">
        <v>1</v>
      </c>
      <c r="CB528" t="b">
        <v>1</v>
      </c>
      <c r="CC528">
        <v>0</v>
      </c>
      <c r="CD528" t="b">
        <v>0</v>
      </c>
      <c r="CE528" t="b">
        <v>0</v>
      </c>
      <c r="CF528" t="b">
        <v>1</v>
      </c>
      <c r="CG528">
        <v>2980641</v>
      </c>
      <c r="CH528" t="s">
        <v>1681</v>
      </c>
      <c r="CI528" s="10">
        <v>1895000</v>
      </c>
      <c r="CJ528" s="7">
        <v>38771</v>
      </c>
    </row>
    <row r="529" spans="1:90">
      <c r="A529">
        <v>27199022</v>
      </c>
      <c r="B529" s="2" t="str">
        <f>HYPERLINK("http://www.redfin.com/stingray/do/printable-listing?listing-id=1277832","Active")</f>
        <v>Active</v>
      </c>
      <c r="D529" t="s">
        <v>4611</v>
      </c>
      <c r="E529" t="s">
        <v>5450</v>
      </c>
      <c r="F529">
        <v>799000</v>
      </c>
      <c r="G529">
        <v>1967</v>
      </c>
      <c r="H529">
        <v>3560</v>
      </c>
      <c r="I529">
        <v>11060</v>
      </c>
      <c r="J529">
        <v>6</v>
      </c>
      <c r="K529">
        <v>3</v>
      </c>
      <c r="M529" s="2" t="str">
        <f>HYPERLINK("http://maps.live.com/default.aspx?v=2&amp;lvl=15&amp;sp=Point.47.616014_-122.10835_17271 NE 7th Pl&amp;cp=47.616014~-122.10835","Map")</f>
        <v>Map</v>
      </c>
      <c r="N529" s="2" t="str">
        <f>HYPERLINK("http://i-0.rfimg.us/photo/1/bigphoto/022/27199022_0.jpg","Photo")</f>
        <v>Photo</v>
      </c>
      <c r="AG529">
        <v>47.616014</v>
      </c>
      <c r="AH529">
        <v>-122.10835</v>
      </c>
      <c r="AI529" t="s">
        <v>369</v>
      </c>
      <c r="AJ529">
        <v>98008</v>
      </c>
      <c r="AN529">
        <v>240000</v>
      </c>
      <c r="BC529" s="22">
        <v>39394.422407407408</v>
      </c>
      <c r="BI529" s="22">
        <v>39549.294907407406</v>
      </c>
      <c r="BL529">
        <v>15980</v>
      </c>
      <c r="BM529">
        <v>1277832</v>
      </c>
      <c r="BN529" t="s">
        <v>1688</v>
      </c>
      <c r="BO529" s="17">
        <f t="shared" ca="1" si="8"/>
        <v>154.88699849537079</v>
      </c>
      <c r="BP529" t="b">
        <v>0</v>
      </c>
      <c r="BQ529">
        <v>1</v>
      </c>
      <c r="BR529" t="s">
        <v>1842</v>
      </c>
      <c r="BS529" t="s">
        <v>1859</v>
      </c>
      <c r="BT529" t="b">
        <v>0</v>
      </c>
      <c r="BU529" t="s">
        <v>1738</v>
      </c>
      <c r="BV529" t="s">
        <v>1668</v>
      </c>
      <c r="BW529">
        <v>17271</v>
      </c>
      <c r="BY529">
        <v>499541</v>
      </c>
      <c r="BZ529" t="s">
        <v>1747</v>
      </c>
      <c r="CA529">
        <v>1</v>
      </c>
      <c r="CB529" t="b">
        <v>1</v>
      </c>
      <c r="CC529">
        <v>0</v>
      </c>
      <c r="CD529" t="b">
        <v>0</v>
      </c>
      <c r="CE529" t="b">
        <v>0</v>
      </c>
      <c r="CF529" t="b">
        <v>1</v>
      </c>
      <c r="CG529">
        <v>2704790</v>
      </c>
      <c r="CH529" t="s">
        <v>1681</v>
      </c>
      <c r="CI529" s="10">
        <v>799000</v>
      </c>
      <c r="CJ529" s="7">
        <v>35223</v>
      </c>
    </row>
    <row r="530" spans="1:90">
      <c r="A530">
        <v>27199067</v>
      </c>
      <c r="B530" s="2" t="str">
        <f>HYPERLINK("http://www.redfin.com/stingray/do/printable-listing?listing-id=1288171","Active")</f>
        <v>Active</v>
      </c>
      <c r="D530" t="s">
        <v>1058</v>
      </c>
      <c r="E530" t="s">
        <v>4402</v>
      </c>
      <c r="F530">
        <v>420000</v>
      </c>
      <c r="G530">
        <v>1981</v>
      </c>
      <c r="H530">
        <v>1470</v>
      </c>
      <c r="I530">
        <v>4400</v>
      </c>
      <c r="J530">
        <v>3</v>
      </c>
      <c r="K530">
        <v>2.5</v>
      </c>
      <c r="M530" s="2" t="str">
        <f>HYPERLINK("http://maps.live.com/default.aspx?v=2&amp;lvl=15&amp;sp=Point.47.722333_-122.159561_13505 NE 136th Pl&amp;cp=47.722333~-122.159561","Map")</f>
        <v>Map</v>
      </c>
      <c r="N530" s="2" t="str">
        <f>HYPERLINK("http://i-0.rfimg.us/photo/1/bigphoto/067/27199067_2.jpg","Photo")</f>
        <v>Photo</v>
      </c>
      <c r="AG530">
        <v>47.722332999999999</v>
      </c>
      <c r="AH530">
        <v>-122.159561</v>
      </c>
      <c r="AI530" t="s">
        <v>1058</v>
      </c>
      <c r="AJ530">
        <v>98034</v>
      </c>
      <c r="AN530">
        <v>135000</v>
      </c>
      <c r="BC530" s="22">
        <v>39399.411134259259</v>
      </c>
      <c r="BI530" s="22">
        <v>39549.294907407406</v>
      </c>
      <c r="BL530">
        <v>8400</v>
      </c>
      <c r="BM530">
        <v>1288171</v>
      </c>
      <c r="BN530" t="s">
        <v>1775</v>
      </c>
      <c r="BO530" s="17">
        <f t="shared" ca="1" si="8"/>
        <v>149.89827164352027</v>
      </c>
      <c r="BP530" t="b">
        <v>0</v>
      </c>
      <c r="BQ530">
        <v>1</v>
      </c>
      <c r="BR530" t="s">
        <v>1842</v>
      </c>
      <c r="BS530" t="s">
        <v>4403</v>
      </c>
      <c r="BT530" t="b">
        <v>0</v>
      </c>
      <c r="BU530" t="s">
        <v>1738</v>
      </c>
      <c r="BV530" t="s">
        <v>1668</v>
      </c>
      <c r="BW530">
        <v>13505</v>
      </c>
      <c r="BY530">
        <v>511527</v>
      </c>
      <c r="BZ530" t="s">
        <v>4404</v>
      </c>
      <c r="CA530">
        <v>1</v>
      </c>
      <c r="CB530" t="b">
        <v>1</v>
      </c>
      <c r="CC530">
        <v>0</v>
      </c>
      <c r="CD530" t="b">
        <v>0</v>
      </c>
      <c r="CE530" t="b">
        <v>0</v>
      </c>
      <c r="CF530" t="b">
        <v>1</v>
      </c>
      <c r="CG530">
        <v>2615731</v>
      </c>
      <c r="CH530" t="s">
        <v>1681</v>
      </c>
      <c r="CI530" s="10">
        <v>420000</v>
      </c>
      <c r="CJ530" s="7">
        <v>34059</v>
      </c>
      <c r="CL530" t="s">
        <v>2204</v>
      </c>
    </row>
    <row r="531" spans="1:90">
      <c r="A531">
        <v>27199084</v>
      </c>
      <c r="B531" s="2" t="str">
        <f>HYPERLINK("http://www.redfin.com/stingray/do/printable-listing?listing-id=1278673","Active")</f>
        <v>Active</v>
      </c>
      <c r="D531" t="s">
        <v>109</v>
      </c>
      <c r="E531" t="s">
        <v>3787</v>
      </c>
      <c r="F531" s="19">
        <v>624900</v>
      </c>
      <c r="G531">
        <v>1911</v>
      </c>
      <c r="H531">
        <v>0</v>
      </c>
      <c r="I531">
        <v>4080</v>
      </c>
      <c r="J531">
        <v>5</v>
      </c>
      <c r="K531">
        <v>1.75</v>
      </c>
      <c r="M531" s="2" t="str">
        <f>HYPERLINK("http://maps.live.com/default.aspx?v=2&amp;lvl=15&amp;sp=Point.47.657993_-122.325485_4209 Latona Ave NE&amp;cp=47.657993~-122.325485","Map")</f>
        <v>Map</v>
      </c>
      <c r="N531" s="2" t="str">
        <f>HYPERLINK("http://i-0.rfimg.us/photo/1/bigphoto/084/27199084_8.jpg","Photo")</f>
        <v>Photo</v>
      </c>
      <c r="AG531">
        <v>47.657992999999998</v>
      </c>
      <c r="AH531">
        <v>-122.325485</v>
      </c>
      <c r="AI531" t="s">
        <v>66</v>
      </c>
      <c r="AJ531">
        <v>98105</v>
      </c>
      <c r="AN531">
        <v>134500</v>
      </c>
      <c r="BC531" s="22">
        <v>39394.621689814812</v>
      </c>
      <c r="BI531" s="22">
        <v>39549.294907407406</v>
      </c>
      <c r="BL531">
        <v>12980</v>
      </c>
      <c r="BM531">
        <v>1278673</v>
      </c>
      <c r="BN531" t="s">
        <v>1678</v>
      </c>
      <c r="BO531" s="17">
        <f t="shared" ca="1" si="8"/>
        <v>154.68771608796669</v>
      </c>
      <c r="BP531" t="b">
        <v>0</v>
      </c>
      <c r="BQ531">
        <v>1</v>
      </c>
      <c r="BR531" t="s">
        <v>1667</v>
      </c>
      <c r="BS531" t="s">
        <v>2395</v>
      </c>
      <c r="BT531" t="b">
        <v>0</v>
      </c>
      <c r="BV531" t="s">
        <v>1668</v>
      </c>
      <c r="BW531">
        <v>4209</v>
      </c>
      <c r="BX531" t="s">
        <v>1738</v>
      </c>
      <c r="BY531">
        <v>118417</v>
      </c>
      <c r="BZ531" t="s">
        <v>3788</v>
      </c>
      <c r="CA531">
        <v>1</v>
      </c>
      <c r="CB531" t="b">
        <v>1</v>
      </c>
      <c r="CC531">
        <v>0</v>
      </c>
      <c r="CD531" t="b">
        <v>0</v>
      </c>
      <c r="CE531" t="b">
        <v>0</v>
      </c>
      <c r="CF531" t="b">
        <v>1</v>
      </c>
      <c r="CG531">
        <v>2828331</v>
      </c>
      <c r="CH531" t="s">
        <v>1681</v>
      </c>
      <c r="CI531" s="10">
        <v>649000</v>
      </c>
      <c r="CJ531" s="7">
        <v>33312</v>
      </c>
    </row>
    <row r="532" spans="1:90">
      <c r="A532">
        <v>27199085</v>
      </c>
      <c r="B532" s="2" t="str">
        <f>HYPERLINK("http://www.redfin.com/stingray/do/printable-listing?listing-id=1278191","Active")</f>
        <v>Active</v>
      </c>
      <c r="D532" s="19" t="s">
        <v>1152</v>
      </c>
      <c r="E532" t="s">
        <v>2187</v>
      </c>
      <c r="F532" s="19">
        <v>485000</v>
      </c>
      <c r="G532">
        <v>1948</v>
      </c>
      <c r="H532">
        <v>1780</v>
      </c>
      <c r="I532">
        <v>5050</v>
      </c>
      <c r="J532">
        <v>2</v>
      </c>
      <c r="K532">
        <v>1.5</v>
      </c>
      <c r="M532" s="2" t="str">
        <f>HYPERLINK("http://maps.live.com/default.aspx?v=2&amp;lvl=15&amp;sp=Point.47.672369_-122.284399_4008 NE 60th St&amp;cp=47.672369~-122.284399","Map")</f>
        <v>Map</v>
      </c>
      <c r="N532" s="2" t="str">
        <f>HYPERLINK("http://i-0.rfimg.us/photo/1/bigphoto/085/27199085_2.jpg","Photo")</f>
        <v>Photo</v>
      </c>
      <c r="AG532">
        <v>47.672369000000003</v>
      </c>
      <c r="AH532">
        <v>-122.28439899999999</v>
      </c>
      <c r="AI532" t="s">
        <v>66</v>
      </c>
      <c r="AJ532">
        <v>98115</v>
      </c>
      <c r="AN532">
        <v>485000</v>
      </c>
      <c r="BC532" s="22">
        <v>39394.476076388892</v>
      </c>
      <c r="BI532" s="22">
        <v>39549.294907407406</v>
      </c>
      <c r="BL532">
        <v>9980</v>
      </c>
      <c r="BM532">
        <v>1278191</v>
      </c>
      <c r="BN532" t="s">
        <v>1674</v>
      </c>
      <c r="BO532" s="17">
        <f t="shared" ca="1" si="8"/>
        <v>154.83332951388729</v>
      </c>
      <c r="BP532" t="b">
        <v>0</v>
      </c>
      <c r="BQ532">
        <v>1</v>
      </c>
      <c r="BR532" t="s">
        <v>1686</v>
      </c>
      <c r="BS532" t="s">
        <v>2417</v>
      </c>
      <c r="BT532" t="b">
        <v>0</v>
      </c>
      <c r="BU532" t="s">
        <v>1738</v>
      </c>
      <c r="BV532" t="s">
        <v>1668</v>
      </c>
      <c r="BW532">
        <v>4008</v>
      </c>
      <c r="BY532">
        <v>313573</v>
      </c>
      <c r="BZ532" t="s">
        <v>3103</v>
      </c>
      <c r="CA532">
        <v>1</v>
      </c>
      <c r="CB532" t="b">
        <v>1</v>
      </c>
      <c r="CC532">
        <v>0</v>
      </c>
      <c r="CD532" t="b">
        <v>0</v>
      </c>
      <c r="CE532" t="b">
        <v>0</v>
      </c>
      <c r="CF532" t="b">
        <v>1</v>
      </c>
      <c r="CG532">
        <v>2890413</v>
      </c>
      <c r="CH532" t="s">
        <v>1681</v>
      </c>
      <c r="CI532" s="10">
        <v>499000</v>
      </c>
      <c r="CJ532" s="7">
        <v>38973</v>
      </c>
    </row>
    <row r="533" spans="1:90">
      <c r="A533">
        <v>27199172</v>
      </c>
      <c r="B533" s="2" t="str">
        <f>HYPERLINK("http://www.redfin.com/stingray/do/printable-listing?listing-id=1291133","Active")</f>
        <v>Active</v>
      </c>
      <c r="D533" t="s">
        <v>3704</v>
      </c>
      <c r="E533" t="s">
        <v>4115</v>
      </c>
      <c r="F533">
        <v>849950</v>
      </c>
      <c r="G533">
        <v>1906</v>
      </c>
      <c r="H533">
        <v>2990</v>
      </c>
      <c r="I533">
        <v>0</v>
      </c>
      <c r="J533">
        <v>4</v>
      </c>
      <c r="K533">
        <v>1.75</v>
      </c>
      <c r="M533" s="2" t="str">
        <f>HYPERLINK("http://maps.live.com/default.aspx?v=2&amp;lvl=15&amp;sp=Point.47.625122_-122.317532_628 11th Ave E&amp;cp=47.625122~-122.317532","Map")</f>
        <v>Map</v>
      </c>
      <c r="N533" s="2" t="str">
        <f>HYPERLINK("http://i-0.rfimg.us/photo/1/bigphoto/172/27199172_1.jpg","Photo")</f>
        <v>Photo</v>
      </c>
      <c r="AG533">
        <v>47.625121999999998</v>
      </c>
      <c r="AH533">
        <v>-122.317532</v>
      </c>
      <c r="AI533" t="s">
        <v>66</v>
      </c>
      <c r="AJ533">
        <v>98102</v>
      </c>
      <c r="AN533">
        <v>670000</v>
      </c>
      <c r="BC533" s="22">
        <v>39400.486770833333</v>
      </c>
      <c r="BI533" s="22">
        <v>39549.294907407406</v>
      </c>
      <c r="BL533">
        <v>16999</v>
      </c>
      <c r="BM533">
        <v>1291133</v>
      </c>
      <c r="BN533" t="s">
        <v>1746</v>
      </c>
      <c r="BO533" s="17">
        <f t="shared" ca="1" si="8"/>
        <v>148.82263506944582</v>
      </c>
      <c r="BP533" t="b">
        <v>0</v>
      </c>
      <c r="BQ533">
        <v>1</v>
      </c>
      <c r="BR533" t="s">
        <v>1667</v>
      </c>
      <c r="BS533" t="s">
        <v>1792</v>
      </c>
      <c r="BT533" t="b">
        <v>0</v>
      </c>
      <c r="BV533" t="s">
        <v>1668</v>
      </c>
      <c r="BW533">
        <v>628</v>
      </c>
      <c r="BX533" t="s">
        <v>2436</v>
      </c>
      <c r="BY533">
        <v>137165</v>
      </c>
      <c r="BZ533" t="s">
        <v>1704</v>
      </c>
      <c r="CA533">
        <v>1</v>
      </c>
      <c r="CB533" t="b">
        <v>1</v>
      </c>
      <c r="CC533">
        <v>0</v>
      </c>
      <c r="CD533" t="b">
        <v>0</v>
      </c>
      <c r="CE533" t="b">
        <v>0</v>
      </c>
      <c r="CF533" t="b">
        <v>1</v>
      </c>
      <c r="CG533">
        <v>2454204</v>
      </c>
      <c r="CH533" t="s">
        <v>1681</v>
      </c>
      <c r="CI533" s="10">
        <v>849950</v>
      </c>
      <c r="CJ533" s="7">
        <v>38153</v>
      </c>
    </row>
    <row r="534" spans="1:90">
      <c r="A534">
        <v>27199305</v>
      </c>
      <c r="B534" s="2" t="str">
        <f>HYPERLINK("http://www.redfin.com/stingray/do/printable-listing?listing-id=1288551","Active")</f>
        <v>Active</v>
      </c>
      <c r="D534" t="s">
        <v>5140</v>
      </c>
      <c r="E534" t="s">
        <v>5353</v>
      </c>
      <c r="F534" s="19">
        <v>769950</v>
      </c>
      <c r="G534">
        <v>1972</v>
      </c>
      <c r="H534">
        <v>2530</v>
      </c>
      <c r="I534">
        <v>128502</v>
      </c>
      <c r="J534">
        <v>3</v>
      </c>
      <c r="K534">
        <v>2.25</v>
      </c>
      <c r="M534" s="2" t="str">
        <f>HYPERLINK("http://maps.live.com/default.aspx?v=2&amp;lvl=15&amp;sp=Point.47.584163_-122.236901_7635 SE 29 St&amp;cp=47.584163~-122.236901","Map")</f>
        <v>Map</v>
      </c>
      <c r="N534" s="2" t="str">
        <f>HYPERLINK("http://i-0.rfimg.us/photo/1/bigphoto/305/27199305_0.jpg","Photo")</f>
        <v>Photo</v>
      </c>
      <c r="AG534">
        <v>47.584162999999997</v>
      </c>
      <c r="AH534">
        <v>-122.236901</v>
      </c>
      <c r="AI534" t="s">
        <v>5139</v>
      </c>
      <c r="AJ534">
        <v>98040</v>
      </c>
      <c r="BC534" s="22">
        <v>39399.518657407411</v>
      </c>
      <c r="BI534" s="22">
        <v>39549.294907407406</v>
      </c>
      <c r="BL534">
        <v>15800</v>
      </c>
      <c r="BM534">
        <v>1288551</v>
      </c>
      <c r="BN534" t="s">
        <v>1688</v>
      </c>
      <c r="BO534" s="17">
        <f t="shared" ca="1" si="8"/>
        <v>149.79074849536846</v>
      </c>
      <c r="BP534" t="b">
        <v>0</v>
      </c>
      <c r="BQ534">
        <v>1</v>
      </c>
      <c r="BR534" t="s">
        <v>1686</v>
      </c>
      <c r="BS534">
        <v>29</v>
      </c>
      <c r="BT534" t="b">
        <v>0</v>
      </c>
      <c r="BU534" t="s">
        <v>3856</v>
      </c>
      <c r="BV534" t="s">
        <v>1668</v>
      </c>
      <c r="BW534">
        <v>7635</v>
      </c>
      <c r="BY534">
        <v>12065965</v>
      </c>
      <c r="BZ534" t="s">
        <v>1672</v>
      </c>
      <c r="CA534">
        <v>1</v>
      </c>
      <c r="CB534" t="b">
        <v>1</v>
      </c>
      <c r="CC534">
        <v>0</v>
      </c>
      <c r="CD534" t="b">
        <v>0</v>
      </c>
      <c r="CE534" t="b">
        <v>0</v>
      </c>
      <c r="CF534" t="b">
        <v>1</v>
      </c>
      <c r="CG534">
        <v>15320101</v>
      </c>
      <c r="CH534" t="s">
        <v>1681</v>
      </c>
      <c r="CI534" s="10">
        <v>790000</v>
      </c>
    </row>
    <row r="535" spans="1:90">
      <c r="A535">
        <v>27199347</v>
      </c>
      <c r="B535" s="2" t="str">
        <f>HYPERLINK("http://www.redfin.com/stingray/do/printable-listing?listing-id=1278967","Active")</f>
        <v>Active</v>
      </c>
      <c r="D535" t="s">
        <v>3704</v>
      </c>
      <c r="E535" t="s">
        <v>4168</v>
      </c>
      <c r="F535">
        <v>499950</v>
      </c>
      <c r="G535">
        <v>1908</v>
      </c>
      <c r="H535">
        <v>1200</v>
      </c>
      <c r="I535">
        <v>1265</v>
      </c>
      <c r="J535">
        <v>2</v>
      </c>
      <c r="K535">
        <v>1.75</v>
      </c>
      <c r="M535" s="2" t="str">
        <f>HYPERLINK("http://maps.live.com/default.aspx?v=2&amp;lvl=15&amp;sp=Point.47.620356_-122.308285_1807 E Thomas St&amp;cp=47.620356~-122.308285","Map")</f>
        <v>Map</v>
      </c>
      <c r="N535" s="2" t="str">
        <f>HYPERLINK("http://i-0.rfimg.us/photo/1/bigphoto/347/27199347_1.jpg","Photo")</f>
        <v>Photo</v>
      </c>
      <c r="AG535">
        <v>47.620356000000001</v>
      </c>
      <c r="AH535">
        <v>-122.308285</v>
      </c>
      <c r="AI535" t="s">
        <v>66</v>
      </c>
      <c r="AJ535">
        <v>98112</v>
      </c>
      <c r="AN535">
        <v>469500</v>
      </c>
      <c r="BC535" s="22">
        <v>39394.685034722221</v>
      </c>
      <c r="BI535" s="22">
        <v>39549.294907407406</v>
      </c>
      <c r="BL535">
        <v>9999</v>
      </c>
      <c r="BM535">
        <v>1278967</v>
      </c>
      <c r="BN535" t="s">
        <v>1823</v>
      </c>
      <c r="BO535" s="17">
        <f t="shared" ca="1" si="8"/>
        <v>154.62437118055823</v>
      </c>
      <c r="BP535" t="b">
        <v>0</v>
      </c>
      <c r="BQ535">
        <v>1</v>
      </c>
      <c r="BR535" t="s">
        <v>1686</v>
      </c>
      <c r="BS535" t="s">
        <v>4169</v>
      </c>
      <c r="BT535" t="b">
        <v>0</v>
      </c>
      <c r="BU535" t="s">
        <v>2436</v>
      </c>
      <c r="BV535" t="s">
        <v>1668</v>
      </c>
      <c r="BW535">
        <v>1807</v>
      </c>
      <c r="BY535">
        <v>144637</v>
      </c>
      <c r="BZ535" t="s">
        <v>1704</v>
      </c>
      <c r="CA535">
        <v>1</v>
      </c>
      <c r="CB535" t="b">
        <v>1</v>
      </c>
      <c r="CC535">
        <v>0</v>
      </c>
      <c r="CD535" t="b">
        <v>0</v>
      </c>
      <c r="CE535" t="b">
        <v>0</v>
      </c>
      <c r="CF535" t="b">
        <v>1</v>
      </c>
      <c r="CG535">
        <v>2693572</v>
      </c>
      <c r="CH535" t="s">
        <v>1681</v>
      </c>
      <c r="CI535" s="10">
        <v>499950</v>
      </c>
      <c r="CJ535" s="7">
        <v>38769</v>
      </c>
    </row>
    <row r="536" spans="1:90">
      <c r="A536">
        <v>27199361</v>
      </c>
      <c r="B536" s="2" t="str">
        <f>HYPERLINK("http://www.redfin.com/stingray/do/printable-listing?listing-id=1278883","Active")</f>
        <v>Active</v>
      </c>
      <c r="D536" t="s">
        <v>3066</v>
      </c>
      <c r="E536" t="s">
        <v>4354</v>
      </c>
      <c r="F536">
        <v>494900</v>
      </c>
      <c r="G536">
        <v>2000</v>
      </c>
      <c r="H536">
        <v>1530</v>
      </c>
      <c r="I536">
        <v>7202</v>
      </c>
      <c r="J536">
        <v>3</v>
      </c>
      <c r="K536">
        <v>2.5</v>
      </c>
      <c r="M536" s="2" t="str">
        <f>HYPERLINK("http://maps.live.com/default.aspx?v=2&amp;lvl=15&amp;sp=Point.47.6974_-122.1678_12112 108th Pl NE&amp;cp=47.6974~-122.1678","Map")</f>
        <v>Map</v>
      </c>
      <c r="N536" s="2" t="str">
        <f>HYPERLINK("http://i-0.rfimg.us/photo/1/bigphoto/361/27199361_6.jpg","Photo")</f>
        <v>Photo</v>
      </c>
      <c r="AG536">
        <v>47.697400000000002</v>
      </c>
      <c r="AH536">
        <v>-122.1678</v>
      </c>
      <c r="AI536" t="s">
        <v>1058</v>
      </c>
      <c r="AJ536">
        <v>98034</v>
      </c>
      <c r="BC536" s="22">
        <v>39394.663935185185</v>
      </c>
      <c r="BI536" s="22">
        <v>39545.917314814818</v>
      </c>
      <c r="BL536">
        <v>9898</v>
      </c>
      <c r="BM536">
        <v>1278883</v>
      </c>
      <c r="BN536" t="s">
        <v>2419</v>
      </c>
      <c r="BO536" s="17">
        <f t="shared" ca="1" si="8"/>
        <v>154.64547071759443</v>
      </c>
      <c r="BP536" t="b">
        <v>0</v>
      </c>
      <c r="BQ536">
        <v>1</v>
      </c>
      <c r="BR536" t="s">
        <v>1842</v>
      </c>
      <c r="BS536" t="s">
        <v>4355</v>
      </c>
      <c r="BT536" t="b">
        <v>0</v>
      </c>
      <c r="BV536" t="s">
        <v>1668</v>
      </c>
      <c r="BW536">
        <v>12112</v>
      </c>
      <c r="BX536" t="s">
        <v>1738</v>
      </c>
      <c r="BY536">
        <v>12384966</v>
      </c>
      <c r="BZ536" t="s">
        <v>4356</v>
      </c>
      <c r="CA536">
        <v>1</v>
      </c>
      <c r="CB536" t="b">
        <v>1</v>
      </c>
      <c r="CC536">
        <v>0</v>
      </c>
      <c r="CD536" t="b">
        <v>0</v>
      </c>
      <c r="CE536" t="b">
        <v>0</v>
      </c>
      <c r="CF536" t="b">
        <v>1</v>
      </c>
      <c r="CG536">
        <v>15588714</v>
      </c>
      <c r="CH536" t="s">
        <v>1681</v>
      </c>
      <c r="CI536" s="10">
        <v>494900</v>
      </c>
    </row>
    <row r="537" spans="1:90">
      <c r="A537">
        <v>27199386</v>
      </c>
      <c r="B537" s="15" t="str">
        <f>HYPERLINK("http://www.redfin.com/stingray/do/printable-listing?listing-id=1278961","Subject To Inspection")</f>
        <v>Subject To Inspection</v>
      </c>
      <c r="D537" t="s">
        <v>99</v>
      </c>
      <c r="E537" t="s">
        <v>1721</v>
      </c>
      <c r="F537">
        <v>319950</v>
      </c>
      <c r="G537">
        <v>2007</v>
      </c>
      <c r="H537">
        <v>0</v>
      </c>
      <c r="I537">
        <v>0</v>
      </c>
      <c r="J537">
        <v>3</v>
      </c>
      <c r="K537">
        <v>1.5</v>
      </c>
      <c r="M537" s="2" t="str">
        <f>HYPERLINK("http://maps.live.com/default.aspx?v=2&amp;lvl=15&amp;sp=Point.47.699199_-122.366203_9523 8th Ave NW nA&amp;cp=47.699199~-122.366203","Map")</f>
        <v>Map</v>
      </c>
      <c r="N537" s="2" t="str">
        <f>HYPERLINK("http://i-0.rfimg.us/photo/1/bigphoto/386/27199386_0.jpg","Photo")</f>
        <v>Photo</v>
      </c>
      <c r="AG537">
        <v>47.699199</v>
      </c>
      <c r="AH537">
        <v>-122.366203</v>
      </c>
      <c r="AI537" t="s">
        <v>66</v>
      </c>
      <c r="AJ537">
        <v>98117</v>
      </c>
      <c r="AM537" t="s">
        <v>1722</v>
      </c>
      <c r="BC537" s="22">
        <v>39394.684814814813</v>
      </c>
      <c r="BI537" s="7">
        <v>39533</v>
      </c>
      <c r="BL537">
        <v>6399</v>
      </c>
      <c r="BM537">
        <v>1278961</v>
      </c>
      <c r="BN537" t="s">
        <v>1720</v>
      </c>
      <c r="BO537" s="17">
        <f t="shared" ca="1" si="8"/>
        <v>154.62459120370477</v>
      </c>
      <c r="BP537" t="b">
        <v>0</v>
      </c>
      <c r="BQ537">
        <v>1</v>
      </c>
      <c r="BR537" t="s">
        <v>1667</v>
      </c>
      <c r="BS537" t="s">
        <v>1723</v>
      </c>
      <c r="BT537" t="b">
        <v>0</v>
      </c>
      <c r="BV537" t="s">
        <v>1668</v>
      </c>
      <c r="BW537">
        <v>9523</v>
      </c>
      <c r="BX537" t="s">
        <v>1669</v>
      </c>
      <c r="BY537">
        <v>12300341</v>
      </c>
      <c r="BZ537" t="s">
        <v>1701</v>
      </c>
      <c r="CA537">
        <v>1</v>
      </c>
      <c r="CB537" t="b">
        <v>1</v>
      </c>
      <c r="CC537">
        <v>0</v>
      </c>
      <c r="CD537" t="b">
        <v>0</v>
      </c>
      <c r="CE537" t="b">
        <v>0</v>
      </c>
      <c r="CF537" t="b">
        <v>1</v>
      </c>
      <c r="CG537">
        <v>15508337</v>
      </c>
      <c r="CH537" t="s">
        <v>1681</v>
      </c>
      <c r="CI537" s="10">
        <v>319950</v>
      </c>
      <c r="CK537" t="s">
        <v>2280</v>
      </c>
    </row>
    <row r="538" spans="1:90">
      <c r="A538">
        <v>27199601</v>
      </c>
      <c r="B538" s="2" t="str">
        <f>HYPERLINK("http://www.redfin.com/stingray/do/printable-listing?listing-id=1289162","Active")</f>
        <v>Active</v>
      </c>
      <c r="D538" t="s">
        <v>3885</v>
      </c>
      <c r="E538" t="s">
        <v>5695</v>
      </c>
      <c r="F538">
        <v>714950</v>
      </c>
      <c r="G538">
        <v>2006</v>
      </c>
      <c r="H538">
        <v>3060</v>
      </c>
      <c r="I538">
        <v>0</v>
      </c>
      <c r="J538">
        <v>4</v>
      </c>
      <c r="K538">
        <v>2.75</v>
      </c>
      <c r="M538" s="2" t="str">
        <f>HYPERLINK("http://maps.live.com/default.aspx?v=2&amp;lvl=15&amp;sp=Point.47.539913_-122.187996_7118 114 Ave SE&amp;cp=47.539913~-122.187996","Map")</f>
        <v>Map</v>
      </c>
      <c r="N538" s="2" t="str">
        <f>HYPERLINK("http://i-0.rfimg.us/photo/1/bigphoto/601/27199601_3.jpg","Photo")</f>
        <v>Photo</v>
      </c>
      <c r="AG538">
        <v>47.539912999999999</v>
      </c>
      <c r="AH538">
        <v>-122.187996</v>
      </c>
      <c r="AI538" t="s">
        <v>3885</v>
      </c>
      <c r="AJ538">
        <v>98056</v>
      </c>
      <c r="AN538">
        <v>730000</v>
      </c>
      <c r="BC538" s="22">
        <v>39399.669062499997</v>
      </c>
      <c r="BI538" s="22">
        <v>39549.294907407406</v>
      </c>
      <c r="BL538">
        <v>14299</v>
      </c>
      <c r="BM538">
        <v>1289162</v>
      </c>
      <c r="BN538" t="s">
        <v>1917</v>
      </c>
      <c r="BO538" s="17">
        <f t="shared" ca="1" si="8"/>
        <v>149.64034340278158</v>
      </c>
      <c r="BP538" t="b">
        <v>0</v>
      </c>
      <c r="BQ538">
        <v>1</v>
      </c>
      <c r="BR538" t="s">
        <v>1667</v>
      </c>
      <c r="BS538">
        <v>114</v>
      </c>
      <c r="BT538" t="b">
        <v>0</v>
      </c>
      <c r="BV538" t="s">
        <v>1668</v>
      </c>
      <c r="BW538">
        <v>7118</v>
      </c>
      <c r="BX538" t="s">
        <v>3856</v>
      </c>
      <c r="BY538">
        <v>8186795</v>
      </c>
      <c r="BZ538" t="s">
        <v>5696</v>
      </c>
      <c r="CA538">
        <v>1</v>
      </c>
      <c r="CB538" t="b">
        <v>1</v>
      </c>
      <c r="CC538">
        <v>0</v>
      </c>
      <c r="CD538" t="b">
        <v>0</v>
      </c>
      <c r="CE538" t="b">
        <v>0</v>
      </c>
      <c r="CF538" t="b">
        <v>1</v>
      </c>
      <c r="CG538">
        <v>2568291</v>
      </c>
      <c r="CH538" t="s">
        <v>1681</v>
      </c>
      <c r="CI538" s="10">
        <v>714950</v>
      </c>
      <c r="CJ538" s="7">
        <v>39248</v>
      </c>
    </row>
    <row r="539" spans="1:90">
      <c r="A539">
        <v>27199740</v>
      </c>
      <c r="B539" s="2" t="str">
        <f>HYPERLINK("http://www.redfin.com/stingray/do/printable-listing?listing-id=1283809","Active")</f>
        <v>Active</v>
      </c>
      <c r="D539" t="s">
        <v>5078</v>
      </c>
      <c r="E539" t="s">
        <v>5081</v>
      </c>
      <c r="F539">
        <v>464900</v>
      </c>
      <c r="G539">
        <v>1985</v>
      </c>
      <c r="H539">
        <v>1500</v>
      </c>
      <c r="I539">
        <v>0</v>
      </c>
      <c r="J539">
        <v>2</v>
      </c>
      <c r="K539">
        <v>2.25</v>
      </c>
      <c r="M539" s="2" t="str">
        <f>HYPERLINK("http://maps.live.com/default.aspx?v=2&amp;lvl=15&amp;sp=Point.47.621349_-122.152721_1270 140th Pl NE&amp;cp=47.621349~-122.152721","Map")</f>
        <v>Map</v>
      </c>
      <c r="N539" s="2" t="str">
        <f>HYPERLINK("http://i-0.rfimg.us/photo/1/bigphoto/740/27199740_0.jpg","Photo")</f>
        <v>Photo</v>
      </c>
      <c r="AG539">
        <v>47.621349000000002</v>
      </c>
      <c r="AH539">
        <v>-122.152721</v>
      </c>
      <c r="AI539" t="s">
        <v>369</v>
      </c>
      <c r="AJ539">
        <v>98007</v>
      </c>
      <c r="AN539">
        <v>4796800</v>
      </c>
      <c r="BC539" s="22">
        <v>39396.537719907406</v>
      </c>
      <c r="BI539" s="22">
        <v>39549.294907407406</v>
      </c>
      <c r="BL539">
        <v>9298</v>
      </c>
      <c r="BM539">
        <v>1283809</v>
      </c>
      <c r="BN539" t="s">
        <v>1768</v>
      </c>
      <c r="BO539" s="17">
        <f t="shared" ca="1" si="8"/>
        <v>152.77168599537254</v>
      </c>
      <c r="BP539" t="b">
        <v>0</v>
      </c>
      <c r="BQ539">
        <v>1</v>
      </c>
      <c r="BR539" t="s">
        <v>1842</v>
      </c>
      <c r="BS539" t="s">
        <v>4434</v>
      </c>
      <c r="BT539" t="b">
        <v>0</v>
      </c>
      <c r="BV539" t="s">
        <v>1668</v>
      </c>
      <c r="BW539">
        <v>1270</v>
      </c>
      <c r="BX539" t="s">
        <v>1738</v>
      </c>
      <c r="BY539">
        <v>499679</v>
      </c>
      <c r="BZ539" t="s">
        <v>1762</v>
      </c>
      <c r="CA539">
        <v>1</v>
      </c>
      <c r="CB539" t="b">
        <v>1</v>
      </c>
      <c r="CC539">
        <v>0</v>
      </c>
      <c r="CD539" t="b">
        <v>0</v>
      </c>
      <c r="CE539" t="b">
        <v>0</v>
      </c>
      <c r="CF539" t="b">
        <v>1</v>
      </c>
      <c r="CG539">
        <v>2771288</v>
      </c>
      <c r="CH539" t="s">
        <v>1681</v>
      </c>
      <c r="CI539" s="10">
        <v>464900</v>
      </c>
      <c r="CJ539" s="7">
        <v>39219</v>
      </c>
    </row>
    <row r="540" spans="1:90">
      <c r="A540">
        <v>27199863</v>
      </c>
      <c r="B540" s="2" t="str">
        <f>HYPERLINK("http://www.redfin.com/stingray/do/printable-listing?listing-id=1284291","Active")</f>
        <v>Active</v>
      </c>
      <c r="D540" t="s">
        <v>88</v>
      </c>
      <c r="E540" t="s">
        <v>2385</v>
      </c>
      <c r="F540">
        <v>679947</v>
      </c>
      <c r="G540">
        <v>1911</v>
      </c>
      <c r="H540">
        <v>2390</v>
      </c>
      <c r="I540">
        <v>3114</v>
      </c>
      <c r="J540">
        <v>3</v>
      </c>
      <c r="K540">
        <v>1.25</v>
      </c>
      <c r="M540" s="2" t="str">
        <f>HYPERLINK("http://maps.live.com/default.aspx?v=2&amp;lvl=15&amp;sp=Point.47.684976_-122.353551_340 N 77th St&amp;cp=47.684976~-122.353551","Map")</f>
        <v>Map</v>
      </c>
      <c r="N540" s="2" t="str">
        <f>HYPERLINK("http://i-0.rfimg.us/photo/1/bigphoto/863/27199863_1.jpg","Photo")</f>
        <v>Photo</v>
      </c>
      <c r="AG540">
        <v>47.684975999999999</v>
      </c>
      <c r="AH540">
        <v>-122.353551</v>
      </c>
      <c r="AI540" t="s">
        <v>66</v>
      </c>
      <c r="AJ540">
        <v>98103</v>
      </c>
      <c r="AN540">
        <v>599950</v>
      </c>
      <c r="BC540" s="22">
        <v>39396.942824074074</v>
      </c>
      <c r="BI540" s="22">
        <v>39549.294907407406</v>
      </c>
      <c r="BL540">
        <v>13599</v>
      </c>
      <c r="BM540">
        <v>1284291</v>
      </c>
      <c r="BN540" t="s">
        <v>2356</v>
      </c>
      <c r="BO540" s="17">
        <f t="shared" ca="1" si="8"/>
        <v>152.36658194444317</v>
      </c>
      <c r="BP540" t="b">
        <v>0</v>
      </c>
      <c r="BQ540">
        <v>1</v>
      </c>
      <c r="BR540" t="s">
        <v>1686</v>
      </c>
      <c r="BS540" t="s">
        <v>1714</v>
      </c>
      <c r="BT540" t="b">
        <v>0</v>
      </c>
      <c r="BU540" t="s">
        <v>1712</v>
      </c>
      <c r="BV540" t="s">
        <v>1668</v>
      </c>
      <c r="BW540">
        <v>340</v>
      </c>
      <c r="BY540">
        <v>300210</v>
      </c>
      <c r="BZ540" t="s">
        <v>2386</v>
      </c>
      <c r="CA540">
        <v>1</v>
      </c>
      <c r="CB540" t="b">
        <v>1</v>
      </c>
      <c r="CC540">
        <v>0</v>
      </c>
      <c r="CD540" t="b">
        <v>0</v>
      </c>
      <c r="CE540" t="b">
        <v>0</v>
      </c>
      <c r="CF540" t="b">
        <v>1</v>
      </c>
      <c r="CG540">
        <v>2893721</v>
      </c>
      <c r="CH540" t="s">
        <v>1681</v>
      </c>
      <c r="CI540" s="10">
        <v>679947</v>
      </c>
      <c r="CJ540" s="7">
        <v>38503</v>
      </c>
    </row>
    <row r="541" spans="1:90">
      <c r="A541">
        <v>27200079</v>
      </c>
      <c r="B541" s="15" t="str">
        <f>HYPERLINK("http://www.redfin.com/stingray/do/printable-listing?listing-id=1282320","Subject To Inspection")</f>
        <v>Subject To Inspection</v>
      </c>
      <c r="D541" t="s">
        <v>100</v>
      </c>
      <c r="E541" t="s">
        <v>3282</v>
      </c>
      <c r="F541">
        <v>459950</v>
      </c>
      <c r="G541">
        <v>2007</v>
      </c>
      <c r="H541">
        <v>1434</v>
      </c>
      <c r="I541">
        <v>0</v>
      </c>
      <c r="J541">
        <v>3</v>
      </c>
      <c r="K541">
        <v>2.25</v>
      </c>
      <c r="M541" s="2" t="str">
        <f>HYPERLINK("http://maps.live.com/default.aspx?v=2&amp;lvl=15&amp;sp=Point.47.650879_-122.344989_3615 Albion Pl N nB&amp;cp=47.650879~-122.344989","Map")</f>
        <v>Map</v>
      </c>
      <c r="N541" s="2" t="str">
        <f>HYPERLINK("http://i-0.rfimg.us/photo/1/bigphoto/079/27200079_1.jpg","Photo")</f>
        <v>Photo</v>
      </c>
      <c r="AG541">
        <v>47.650879000000003</v>
      </c>
      <c r="AH541">
        <v>-122.344989</v>
      </c>
      <c r="AI541" t="s">
        <v>66</v>
      </c>
      <c r="AJ541">
        <v>98103</v>
      </c>
      <c r="AM541" t="s">
        <v>1699</v>
      </c>
      <c r="BC541" s="22">
        <v>39395.732245370367</v>
      </c>
      <c r="BI541" s="7">
        <v>39542</v>
      </c>
      <c r="BL541">
        <v>9199</v>
      </c>
      <c r="BM541">
        <v>1282320</v>
      </c>
      <c r="BN541" t="s">
        <v>1693</v>
      </c>
      <c r="BO541" s="17">
        <f t="shared" ca="1" si="8"/>
        <v>153.57716053241165</v>
      </c>
      <c r="BP541" t="b">
        <v>0</v>
      </c>
      <c r="BQ541">
        <v>1</v>
      </c>
      <c r="BR541" t="s">
        <v>1842</v>
      </c>
      <c r="BS541" t="s">
        <v>3277</v>
      </c>
      <c r="BT541" t="b">
        <v>0</v>
      </c>
      <c r="BV541" t="s">
        <v>1668</v>
      </c>
      <c r="BW541">
        <v>3615</v>
      </c>
      <c r="BX541" t="s">
        <v>1712</v>
      </c>
      <c r="BY541">
        <v>12300960</v>
      </c>
      <c r="BZ541" t="s">
        <v>1911</v>
      </c>
      <c r="CA541">
        <v>1</v>
      </c>
      <c r="CB541" t="b">
        <v>1</v>
      </c>
      <c r="CC541">
        <v>0</v>
      </c>
      <c r="CD541" t="b">
        <v>0</v>
      </c>
      <c r="CE541" t="b">
        <v>0</v>
      </c>
      <c r="CF541" t="b">
        <v>1</v>
      </c>
      <c r="CG541">
        <v>15508791</v>
      </c>
      <c r="CH541" t="s">
        <v>1681</v>
      </c>
      <c r="CI541" s="10">
        <v>459950</v>
      </c>
    </row>
    <row r="542" spans="1:90">
      <c r="A542">
        <v>27200111</v>
      </c>
      <c r="B542" s="2" t="str">
        <f>HYPERLINK("http://www.redfin.com/stingray/do/printable-listing?listing-id=1282405","Active")</f>
        <v>Active</v>
      </c>
      <c r="D542" t="s">
        <v>3066</v>
      </c>
      <c r="E542" t="s">
        <v>4707</v>
      </c>
      <c r="F542" s="19">
        <v>999950</v>
      </c>
      <c r="G542">
        <v>2007</v>
      </c>
      <c r="H542">
        <v>3281</v>
      </c>
      <c r="I542">
        <v>12312</v>
      </c>
      <c r="J542">
        <v>4</v>
      </c>
      <c r="K542">
        <v>2.5</v>
      </c>
      <c r="M542" s="2" t="str">
        <f>HYPERLINK("http://maps.live.com/default.aspx?v=2&amp;lvl=15&amp;sp=Point.47.676169_-122.177995_8014 122nd Ave NE&amp;cp=47.676169~-122.177995","Map")</f>
        <v>Map</v>
      </c>
      <c r="N542" s="2" t="str">
        <f>HYPERLINK("http://i-0.rfimg.us/photo/1/bigphoto/111/27200111_0.jpg","Photo")</f>
        <v>Photo</v>
      </c>
      <c r="AG542">
        <v>47.676169000000002</v>
      </c>
      <c r="AH542">
        <v>-122.177995</v>
      </c>
      <c r="AI542" t="s">
        <v>1058</v>
      </c>
      <c r="AJ542">
        <v>98033</v>
      </c>
      <c r="AN542">
        <v>1528234</v>
      </c>
      <c r="BC542" s="22">
        <v>39395.751863425925</v>
      </c>
      <c r="BI542" s="22">
        <v>39549.294907407406</v>
      </c>
      <c r="BL542">
        <v>19799</v>
      </c>
      <c r="BM542">
        <v>1282405</v>
      </c>
      <c r="BN542" t="s">
        <v>3329</v>
      </c>
      <c r="BO542" s="17">
        <f t="shared" ca="1" si="8"/>
        <v>153.557542476854</v>
      </c>
      <c r="BP542" t="b">
        <v>0</v>
      </c>
      <c r="BQ542">
        <v>1</v>
      </c>
      <c r="BR542" t="s">
        <v>1667</v>
      </c>
      <c r="BS542" t="s">
        <v>2672</v>
      </c>
      <c r="BT542" t="b">
        <v>0</v>
      </c>
      <c r="BV542" t="s">
        <v>1668</v>
      </c>
      <c r="BW542">
        <v>8014</v>
      </c>
      <c r="BX542" t="s">
        <v>1738</v>
      </c>
      <c r="BY542">
        <v>2085340</v>
      </c>
      <c r="BZ542" t="s">
        <v>1743</v>
      </c>
      <c r="CA542">
        <v>1</v>
      </c>
      <c r="CB542" t="b">
        <v>1</v>
      </c>
      <c r="CC542">
        <v>0</v>
      </c>
      <c r="CD542" t="b">
        <v>0</v>
      </c>
      <c r="CE542" t="b">
        <v>0</v>
      </c>
      <c r="CF542" t="b">
        <v>1</v>
      </c>
      <c r="CG542">
        <v>2805470</v>
      </c>
      <c r="CH542" t="s">
        <v>1681</v>
      </c>
      <c r="CI542" s="10">
        <v>989950</v>
      </c>
      <c r="CJ542" s="7">
        <v>38982</v>
      </c>
      <c r="CK542" t="s">
        <v>6421</v>
      </c>
    </row>
    <row r="543" spans="1:90">
      <c r="A543">
        <v>27200165</v>
      </c>
      <c r="B543" s="2" t="str">
        <f>HYPERLINK("http://www.redfin.com/stingray/do/printable-listing?listing-id=1282698","Active")</f>
        <v>Active</v>
      </c>
      <c r="D543" t="s">
        <v>1058</v>
      </c>
      <c r="E543" t="s">
        <v>4539</v>
      </c>
      <c r="F543">
        <v>419000</v>
      </c>
      <c r="G543">
        <v>1960</v>
      </c>
      <c r="H543">
        <v>1100</v>
      </c>
      <c r="I543">
        <v>10294</v>
      </c>
      <c r="J543">
        <v>3</v>
      </c>
      <c r="K543">
        <v>1.5</v>
      </c>
      <c r="M543" s="2" t="str">
        <f>HYPERLINK("http://maps.live.com/default.aspx?v=2&amp;lvl=15&amp;sp=Point.47.701004_-122.173497_12607 NE 112th Pl&amp;cp=47.701004~-122.173497","Map")</f>
        <v>Map</v>
      </c>
      <c r="N543" s="2" t="str">
        <f>HYPERLINK("http://i-0.rfimg.us/photo/1/bigphoto/165/27200165_0.jpg","Photo")</f>
        <v>Photo</v>
      </c>
      <c r="AG543">
        <v>47.701003999999998</v>
      </c>
      <c r="AH543">
        <v>-122.173497</v>
      </c>
      <c r="AI543" t="s">
        <v>1058</v>
      </c>
      <c r="AJ543">
        <v>98033</v>
      </c>
      <c r="AN543">
        <v>175000</v>
      </c>
      <c r="BC543" s="22">
        <v>39395.914814814816</v>
      </c>
      <c r="BI543" s="22">
        <v>39549.294907407406</v>
      </c>
      <c r="BL543">
        <v>8380</v>
      </c>
      <c r="BM543">
        <v>1282698</v>
      </c>
      <c r="BN543" t="s">
        <v>2444</v>
      </c>
      <c r="BO543" s="17">
        <f t="shared" ca="1" si="8"/>
        <v>153.39459108796291</v>
      </c>
      <c r="BP543" t="b">
        <v>0</v>
      </c>
      <c r="BQ543">
        <v>1</v>
      </c>
      <c r="BR543" t="s">
        <v>1842</v>
      </c>
      <c r="BS543" t="s">
        <v>4382</v>
      </c>
      <c r="BT543" t="b">
        <v>0</v>
      </c>
      <c r="BU543" t="s">
        <v>1738</v>
      </c>
      <c r="BV543" t="s">
        <v>1668</v>
      </c>
      <c r="BW543">
        <v>12607</v>
      </c>
      <c r="BY543">
        <v>512211</v>
      </c>
      <c r="BZ543" t="s">
        <v>4540</v>
      </c>
      <c r="CA543">
        <v>1</v>
      </c>
      <c r="CB543" t="b">
        <v>1</v>
      </c>
      <c r="CC543">
        <v>0</v>
      </c>
      <c r="CD543" t="b">
        <v>0</v>
      </c>
      <c r="CE543" t="b">
        <v>0</v>
      </c>
      <c r="CF543" t="b">
        <v>1</v>
      </c>
      <c r="CG543">
        <v>2935115</v>
      </c>
      <c r="CH543" t="s">
        <v>1681</v>
      </c>
      <c r="CI543" s="10">
        <v>419000</v>
      </c>
      <c r="CJ543" s="7">
        <v>37460</v>
      </c>
    </row>
    <row r="544" spans="1:90">
      <c r="A544">
        <v>27200178</v>
      </c>
      <c r="B544" s="2" t="str">
        <f>HYPERLINK("http://www.redfin.com/stingray/do/printable-listing?listing-id=1282794","Active")</f>
        <v>Active</v>
      </c>
      <c r="D544" t="s">
        <v>5139</v>
      </c>
      <c r="E544" t="s">
        <v>5351</v>
      </c>
      <c r="F544">
        <v>785000</v>
      </c>
      <c r="G544">
        <v>1950</v>
      </c>
      <c r="H544">
        <v>1920</v>
      </c>
      <c r="I544">
        <v>14630</v>
      </c>
      <c r="J544">
        <v>4</v>
      </c>
      <c r="K544">
        <v>1.75</v>
      </c>
      <c r="M544" s="2" t="str">
        <f>HYPERLINK("http://maps.live.com/default.aspx?v=2&amp;lvl=15&amp;sp=Point.47.574337_-122.235225_7655 SE 40th St&amp;cp=47.574337~-122.235225","Map")</f>
        <v>Map</v>
      </c>
      <c r="N544" s="2" t="str">
        <f>HYPERLINK("http://i-0.rfimg.us/photo/1/bigphoto/178/27200178_0.jpg","Photo")</f>
        <v>Photo</v>
      </c>
      <c r="AG544">
        <v>47.574337</v>
      </c>
      <c r="AH544">
        <v>-122.235225</v>
      </c>
      <c r="AI544" t="s">
        <v>5139</v>
      </c>
      <c r="AJ544">
        <v>98040</v>
      </c>
      <c r="AN544">
        <v>675000</v>
      </c>
      <c r="BC544" s="22">
        <v>39395.973761574074</v>
      </c>
      <c r="BI544" s="22">
        <v>39549.294907407406</v>
      </c>
      <c r="BL544">
        <v>15700</v>
      </c>
      <c r="BM544">
        <v>1282794</v>
      </c>
      <c r="BN544" t="s">
        <v>1862</v>
      </c>
      <c r="BO544" s="17">
        <f t="shared" ca="1" si="8"/>
        <v>153.3356443287048</v>
      </c>
      <c r="BP544" t="b">
        <v>0</v>
      </c>
      <c r="BQ544">
        <v>1</v>
      </c>
      <c r="BR544" t="s">
        <v>1686</v>
      </c>
      <c r="BS544" t="s">
        <v>2832</v>
      </c>
      <c r="BT544" t="b">
        <v>0</v>
      </c>
      <c r="BU544" t="s">
        <v>3856</v>
      </c>
      <c r="BV544" t="s">
        <v>1668</v>
      </c>
      <c r="BW544">
        <v>7655</v>
      </c>
      <c r="BY544">
        <v>260124</v>
      </c>
      <c r="BZ544" t="s">
        <v>1743</v>
      </c>
      <c r="CA544">
        <v>1</v>
      </c>
      <c r="CB544" t="b">
        <v>1</v>
      </c>
      <c r="CC544">
        <v>0</v>
      </c>
      <c r="CD544" t="b">
        <v>0</v>
      </c>
      <c r="CE544" t="b">
        <v>0</v>
      </c>
      <c r="CF544" t="b">
        <v>1</v>
      </c>
      <c r="CG544">
        <v>2383482</v>
      </c>
      <c r="CH544" t="s">
        <v>1681</v>
      </c>
      <c r="CI544" s="10">
        <v>785000</v>
      </c>
      <c r="CJ544" s="7">
        <v>38891</v>
      </c>
    </row>
    <row r="545" spans="1:88">
      <c r="A545">
        <v>27200199</v>
      </c>
      <c r="B545" s="2" t="str">
        <f>HYPERLINK("http://www.redfin.com/stingray/do/printable-listing?listing-id=1283489","Active")</f>
        <v>Active</v>
      </c>
      <c r="D545" t="s">
        <v>5119</v>
      </c>
      <c r="E545" t="s">
        <v>5141</v>
      </c>
      <c r="F545">
        <v>655000</v>
      </c>
      <c r="G545">
        <v>1977</v>
      </c>
      <c r="H545">
        <v>2430</v>
      </c>
      <c r="I545">
        <v>7350</v>
      </c>
      <c r="J545">
        <v>3</v>
      </c>
      <c r="K545">
        <v>2.5</v>
      </c>
      <c r="M545" s="2" t="str">
        <f>HYPERLINK("http://maps.live.com/default.aspx?v=2&amp;lvl=15&amp;sp=Point.47.590885_-122.166853_2137 130th Pl SE&amp;cp=47.590885~-122.166853","Map")</f>
        <v>Map</v>
      </c>
      <c r="N545" s="2" t="str">
        <f>HYPERLINK("http://i-0.rfimg.us/photo/1/bigphoto/199/27200199_3.jpg","Photo")</f>
        <v>Photo</v>
      </c>
      <c r="AG545">
        <v>47.590885</v>
      </c>
      <c r="AH545">
        <v>-122.166853</v>
      </c>
      <c r="AI545" t="s">
        <v>369</v>
      </c>
      <c r="AJ545">
        <v>98005</v>
      </c>
      <c r="BC545" s="22">
        <v>39396.379537037035</v>
      </c>
      <c r="BI545" s="22">
        <v>39549.294907407406</v>
      </c>
      <c r="BL545">
        <v>13100</v>
      </c>
      <c r="BM545">
        <v>1283489</v>
      </c>
      <c r="BN545" t="s">
        <v>1768</v>
      </c>
      <c r="BO545" s="17">
        <f t="shared" ca="1" si="8"/>
        <v>152.92986886574363</v>
      </c>
      <c r="BP545" t="b">
        <v>0</v>
      </c>
      <c r="BQ545">
        <v>1</v>
      </c>
      <c r="BR545" t="s">
        <v>1842</v>
      </c>
      <c r="BS545" t="s">
        <v>2964</v>
      </c>
      <c r="BT545" t="b">
        <v>0</v>
      </c>
      <c r="BV545" t="s">
        <v>1668</v>
      </c>
      <c r="BW545">
        <v>2137</v>
      </c>
      <c r="BX545" t="s">
        <v>3856</v>
      </c>
      <c r="BY545">
        <v>507560</v>
      </c>
      <c r="BZ545" t="s">
        <v>5142</v>
      </c>
      <c r="CA545">
        <v>1</v>
      </c>
      <c r="CB545" t="b">
        <v>1</v>
      </c>
      <c r="CC545">
        <v>0</v>
      </c>
      <c r="CD545" t="b">
        <v>0</v>
      </c>
      <c r="CE545" t="b">
        <v>0</v>
      </c>
      <c r="CF545" t="b">
        <v>1</v>
      </c>
      <c r="CG545">
        <v>2400793</v>
      </c>
      <c r="CH545" t="s">
        <v>1681</v>
      </c>
      <c r="CI545" s="10">
        <v>655000</v>
      </c>
    </row>
    <row r="546" spans="1:88">
      <c r="A546">
        <v>27200374</v>
      </c>
      <c r="B546" s="15" t="str">
        <f>HYPERLINK("http://www.redfin.com/stingray/do/printable-listing?listing-id=1284977","Active")</f>
        <v>Active</v>
      </c>
      <c r="D546" t="s">
        <v>4542</v>
      </c>
      <c r="E546" t="s">
        <v>4837</v>
      </c>
      <c r="F546">
        <v>679000</v>
      </c>
      <c r="G546">
        <v>1955</v>
      </c>
      <c r="H546">
        <v>2400</v>
      </c>
      <c r="I546">
        <v>7800</v>
      </c>
      <c r="J546">
        <v>4</v>
      </c>
      <c r="K546">
        <v>2.5</v>
      </c>
      <c r="M546" s="2" t="str">
        <f>HYPERLINK("http://maps.live.com/default.aspx?v=2&amp;lvl=15&amp;sp=Point.47.69075_-122.207834_120 18 Pl&amp;cp=47.69075~-122.207834","Map")</f>
        <v>Map</v>
      </c>
      <c r="N546" s="2" t="str">
        <f>HYPERLINK("http://i-0.rfimg.us/photo/1/bigphoto/374/27200374_2.jpg","Photo")</f>
        <v>Photo</v>
      </c>
      <c r="AG546">
        <v>47.690750000000001</v>
      </c>
      <c r="AH546">
        <v>-122.20783400000001</v>
      </c>
      <c r="AI546" t="s">
        <v>1058</v>
      </c>
      <c r="AJ546">
        <v>98033</v>
      </c>
      <c r="AN546">
        <v>599000</v>
      </c>
      <c r="BC546" s="22">
        <v>39397.578750000001</v>
      </c>
      <c r="BI546" s="22">
        <v>39549.294907407406</v>
      </c>
      <c r="BL546">
        <v>13580</v>
      </c>
      <c r="BM546">
        <v>1284977</v>
      </c>
      <c r="BN546" t="s">
        <v>1798</v>
      </c>
      <c r="BO546" s="17">
        <f t="shared" ca="1" si="8"/>
        <v>151.73065590277838</v>
      </c>
      <c r="BP546" t="b">
        <v>0</v>
      </c>
      <c r="BQ546">
        <v>2</v>
      </c>
      <c r="BR546" t="s">
        <v>1842</v>
      </c>
      <c r="BS546">
        <v>18</v>
      </c>
      <c r="BT546" t="b">
        <v>0</v>
      </c>
      <c r="BV546" t="s">
        <v>1668</v>
      </c>
      <c r="BW546">
        <v>120</v>
      </c>
      <c r="BY546">
        <v>463041</v>
      </c>
      <c r="BZ546" t="s">
        <v>1912</v>
      </c>
      <c r="CA546">
        <v>1</v>
      </c>
      <c r="CB546" t="b">
        <v>1</v>
      </c>
      <c r="CC546">
        <v>0</v>
      </c>
      <c r="CD546" t="b">
        <v>0</v>
      </c>
      <c r="CE546" t="b">
        <v>0</v>
      </c>
      <c r="CF546" t="b">
        <v>1</v>
      </c>
      <c r="CG546">
        <v>2735192</v>
      </c>
      <c r="CH546" t="s">
        <v>1681</v>
      </c>
      <c r="CI546" s="10">
        <v>679000</v>
      </c>
      <c r="CJ546" s="7">
        <v>38639</v>
      </c>
    </row>
    <row r="547" spans="1:88">
      <c r="A547">
        <v>27200399</v>
      </c>
      <c r="B547" s="2" t="str">
        <f>HYPERLINK("http://www.redfin.com/stingray/do/printable-listing?listing-id=1292343","Active")</f>
        <v>Active</v>
      </c>
      <c r="D547" t="s">
        <v>5926</v>
      </c>
      <c r="E547" t="s">
        <v>6060</v>
      </c>
      <c r="F547">
        <v>499950</v>
      </c>
      <c r="G547">
        <v>2005</v>
      </c>
      <c r="H547">
        <v>2260</v>
      </c>
      <c r="I547">
        <v>5008</v>
      </c>
      <c r="J547">
        <v>3</v>
      </c>
      <c r="K547">
        <v>2.5</v>
      </c>
      <c r="M547" s="2" t="str">
        <f>HYPERLINK("http://maps.live.com/default.aspx?v=2&amp;lvl=15&amp;sp=Point.47.510504565483_-122.19360408006_1811 NE 21 St&amp;cp=47.510504565483~-122.19360408006","Map")</f>
        <v>Map</v>
      </c>
      <c r="N547" s="2" t="str">
        <f>HYPERLINK("http://i-0.rfimg.us/photo/1/bigphoto/399/27200399_0.jpg","Photo")</f>
        <v>Photo</v>
      </c>
      <c r="AG547">
        <v>47.510504565482996</v>
      </c>
      <c r="AH547">
        <v>-122.19360408006</v>
      </c>
      <c r="AI547" t="s">
        <v>1077</v>
      </c>
      <c r="AJ547">
        <v>98056</v>
      </c>
      <c r="AN547">
        <v>485000</v>
      </c>
      <c r="BC547" s="22">
        <v>39400.883425925924</v>
      </c>
      <c r="BI547" s="7">
        <v>39532</v>
      </c>
      <c r="BL547">
        <v>9999</v>
      </c>
      <c r="BM547">
        <v>1292343</v>
      </c>
      <c r="BN547" t="s">
        <v>6059</v>
      </c>
      <c r="BO547" s="17">
        <f t="shared" ca="1" si="8"/>
        <v>148.42597997685516</v>
      </c>
      <c r="BP547" t="b">
        <v>0</v>
      </c>
      <c r="BQ547">
        <v>1</v>
      </c>
      <c r="BR547" t="s">
        <v>1686</v>
      </c>
      <c r="BS547">
        <v>21</v>
      </c>
      <c r="BT547" t="b">
        <v>0</v>
      </c>
      <c r="BU547" t="s">
        <v>1738</v>
      </c>
      <c r="BV547" t="s">
        <v>1668</v>
      </c>
      <c r="BW547">
        <v>1811</v>
      </c>
      <c r="BY547">
        <v>2078905</v>
      </c>
      <c r="BZ547" t="s">
        <v>1762</v>
      </c>
      <c r="CA547">
        <v>1</v>
      </c>
      <c r="CB547" t="b">
        <v>1</v>
      </c>
      <c r="CC547">
        <v>0</v>
      </c>
      <c r="CD547" t="b">
        <v>0</v>
      </c>
      <c r="CE547" t="b">
        <v>0</v>
      </c>
      <c r="CF547" t="b">
        <v>1</v>
      </c>
      <c r="CG547">
        <v>2689007</v>
      </c>
      <c r="CH547" t="s">
        <v>1681</v>
      </c>
      <c r="CI547" s="10">
        <v>499950</v>
      </c>
      <c r="CJ547" s="7">
        <v>38670</v>
      </c>
    </row>
    <row r="548" spans="1:88">
      <c r="A548">
        <v>27200415</v>
      </c>
      <c r="B548" s="2" t="str">
        <f>HYPERLINK("http://www.redfin.com/stingray/do/printable-listing?listing-id=1288006","Active")</f>
        <v>Active</v>
      </c>
      <c r="D548" t="s">
        <v>3064</v>
      </c>
      <c r="E548" t="s">
        <v>6042</v>
      </c>
      <c r="F548">
        <v>419000</v>
      </c>
      <c r="G548">
        <v>1975</v>
      </c>
      <c r="H548">
        <v>1660</v>
      </c>
      <c r="I548">
        <v>8320</v>
      </c>
      <c r="J548">
        <v>3</v>
      </c>
      <c r="K548">
        <v>2.25</v>
      </c>
      <c r="M548" s="2" t="str">
        <f>HYPERLINK("http://maps.live.com/default.aspx?v=2&amp;lvl=15&amp;sp=Point.47.513303_-122.162599_4208 NE 24th St&amp;cp=47.513303~-122.162599","Map")</f>
        <v>Map</v>
      </c>
      <c r="N548" s="2" t="str">
        <f>HYPERLINK("http://i-0.rfimg.us/photo/1/bigphoto/415/27200415_4.jpg","Photo")</f>
        <v>Photo</v>
      </c>
      <c r="AG548">
        <v>47.513303000000001</v>
      </c>
      <c r="AH548">
        <v>-122.162599</v>
      </c>
      <c r="AI548" t="s">
        <v>1077</v>
      </c>
      <c r="AJ548">
        <v>98059</v>
      </c>
      <c r="AN548">
        <v>195000</v>
      </c>
      <c r="BC548" s="22">
        <v>39399.306319444448</v>
      </c>
      <c r="BI548" s="22">
        <v>39549.294907407406</v>
      </c>
      <c r="BL548">
        <v>8380</v>
      </c>
      <c r="BM548">
        <v>1288006</v>
      </c>
      <c r="BN548" t="s">
        <v>4563</v>
      </c>
      <c r="BO548" s="17">
        <f t="shared" ca="1" si="8"/>
        <v>150.00308645833138</v>
      </c>
      <c r="BP548" t="b">
        <v>0</v>
      </c>
      <c r="BQ548">
        <v>1</v>
      </c>
      <c r="BR548" t="s">
        <v>1686</v>
      </c>
      <c r="BS548" t="s">
        <v>1740</v>
      </c>
      <c r="BT548" t="b">
        <v>0</v>
      </c>
      <c r="BU548" t="s">
        <v>1738</v>
      </c>
      <c r="BV548" t="s">
        <v>1668</v>
      </c>
      <c r="BW548">
        <v>4208</v>
      </c>
      <c r="BY548">
        <v>412019</v>
      </c>
      <c r="BZ548" t="s">
        <v>3487</v>
      </c>
      <c r="CA548">
        <v>1</v>
      </c>
      <c r="CB548" t="b">
        <v>1</v>
      </c>
      <c r="CC548">
        <v>0</v>
      </c>
      <c r="CD548" t="b">
        <v>0</v>
      </c>
      <c r="CE548" t="b">
        <v>0</v>
      </c>
      <c r="CF548" t="b">
        <v>1</v>
      </c>
      <c r="CG548">
        <v>2535429</v>
      </c>
      <c r="CH548" t="s">
        <v>1681</v>
      </c>
      <c r="CI548" s="10">
        <v>419000</v>
      </c>
      <c r="CJ548" s="7">
        <v>36511</v>
      </c>
    </row>
    <row r="549" spans="1:88">
      <c r="A549">
        <v>27200437</v>
      </c>
      <c r="B549" s="2" t="str">
        <f>HYPERLINK("http://www.redfin.com/stingray/do/printable-listing?listing-id=1284860","Active")</f>
        <v>Active</v>
      </c>
      <c r="D549" t="s">
        <v>395</v>
      </c>
      <c r="E549" t="s">
        <v>1657</v>
      </c>
      <c r="F549">
        <v>1100000</v>
      </c>
      <c r="G549">
        <v>1983</v>
      </c>
      <c r="H549">
        <v>4370</v>
      </c>
      <c r="I549">
        <v>12007</v>
      </c>
      <c r="J549">
        <v>6</v>
      </c>
      <c r="K549">
        <v>5.25</v>
      </c>
      <c r="M549" s="2" t="str">
        <f>HYPERLINK("http://maps.live.com/default.aspx?v=2&amp;lvl=15&amp;sp=adr.Undisclosed,98177","Map")</f>
        <v>Map</v>
      </c>
      <c r="N549" s="2" t="str">
        <f>HYPERLINK("http://i-0.rfimg.us/photo/1/bigphoto/437/27200437_1.jpg","Photo")</f>
        <v>Photo</v>
      </c>
      <c r="AI549" t="s">
        <v>395</v>
      </c>
      <c r="AJ549">
        <v>98177</v>
      </c>
      <c r="BC549" s="22">
        <v>39397.463379629633</v>
      </c>
      <c r="BI549" s="7">
        <v>39527</v>
      </c>
      <c r="BL549">
        <v>22000</v>
      </c>
      <c r="BM549">
        <v>1284860</v>
      </c>
      <c r="BN549" t="s">
        <v>1688</v>
      </c>
      <c r="BO549" s="17">
        <f t="shared" ca="1" si="8"/>
        <v>151.84602638888464</v>
      </c>
      <c r="BP549" t="b">
        <v>0</v>
      </c>
      <c r="BQ549">
        <v>1</v>
      </c>
      <c r="BT549" t="b">
        <v>1</v>
      </c>
      <c r="BV549" t="s">
        <v>1668</v>
      </c>
      <c r="BY549">
        <v>0</v>
      </c>
      <c r="BZ549" s="21">
        <v>1.3888888888888889E-3</v>
      </c>
      <c r="CA549">
        <v>1</v>
      </c>
      <c r="CB549" t="b">
        <v>1</v>
      </c>
      <c r="CC549">
        <v>0</v>
      </c>
      <c r="CD549" t="b">
        <v>0</v>
      </c>
      <c r="CE549" t="b">
        <v>0</v>
      </c>
      <c r="CF549" t="b">
        <v>1</v>
      </c>
      <c r="CG549" t="s">
        <v>1870</v>
      </c>
      <c r="CH549" t="s">
        <v>1681</v>
      </c>
      <c r="CI549" s="10">
        <v>1100000</v>
      </c>
    </row>
    <row r="550" spans="1:88">
      <c r="A550">
        <v>27200451</v>
      </c>
      <c r="B550" s="2" t="str">
        <f>HYPERLINK("http://www.redfin.com/stingray/do/printable-listing?listing-id=1284833","Active")</f>
        <v>Active</v>
      </c>
      <c r="D550" t="s">
        <v>395</v>
      </c>
      <c r="E550" t="s">
        <v>1657</v>
      </c>
      <c r="F550">
        <v>825000</v>
      </c>
      <c r="G550">
        <v>1948</v>
      </c>
      <c r="H550">
        <v>2880</v>
      </c>
      <c r="I550">
        <v>14643</v>
      </c>
      <c r="J550">
        <v>5</v>
      </c>
      <c r="K550">
        <v>2.75</v>
      </c>
      <c r="M550" s="2" t="str">
        <f>HYPERLINK("http://maps.live.com/default.aspx?v=2&amp;lvl=15&amp;sp=adr.Undisclosed,98177","Map")</f>
        <v>Map</v>
      </c>
      <c r="N550" s="2" t="str">
        <f>HYPERLINK("http://i-0.rfimg.us/photo/1/bigphoto/451/27200451_1.jpg","Photo")</f>
        <v>Photo</v>
      </c>
      <c r="AI550" t="s">
        <v>395</v>
      </c>
      <c r="AJ550">
        <v>98177</v>
      </c>
      <c r="BC550" s="22">
        <v>39397.452615740738</v>
      </c>
      <c r="BI550" s="7">
        <v>39527</v>
      </c>
      <c r="BL550">
        <v>16500</v>
      </c>
      <c r="BM550">
        <v>1284833</v>
      </c>
      <c r="BN550" t="s">
        <v>1688</v>
      </c>
      <c r="BO550" s="17">
        <f t="shared" ca="1" si="8"/>
        <v>151.85679027777951</v>
      </c>
      <c r="BP550" t="b">
        <v>0</v>
      </c>
      <c r="BQ550">
        <v>1</v>
      </c>
      <c r="BT550" t="b">
        <v>1</v>
      </c>
      <c r="BV550" t="s">
        <v>1668</v>
      </c>
      <c r="BY550">
        <v>0</v>
      </c>
      <c r="BZ550" s="21">
        <v>1.3888888888888889E-3</v>
      </c>
      <c r="CA550">
        <v>1</v>
      </c>
      <c r="CB550" t="b">
        <v>1</v>
      </c>
      <c r="CC550">
        <v>0</v>
      </c>
      <c r="CD550" t="b">
        <v>0</v>
      </c>
      <c r="CE550" t="b">
        <v>0</v>
      </c>
      <c r="CF550" t="b">
        <v>1</v>
      </c>
      <c r="CG550" t="s">
        <v>1870</v>
      </c>
      <c r="CH550" t="s">
        <v>1681</v>
      </c>
      <c r="CI550" s="10">
        <v>825000</v>
      </c>
    </row>
    <row r="551" spans="1:88">
      <c r="A551">
        <v>27200474</v>
      </c>
      <c r="B551" s="2" t="str">
        <f>HYPERLINK("http://www.redfin.com/stingray/do/printable-listing?listing-id=1285021","Active")</f>
        <v>Active</v>
      </c>
      <c r="D551" t="s">
        <v>3959</v>
      </c>
      <c r="E551" t="s">
        <v>3967</v>
      </c>
      <c r="F551">
        <v>399950</v>
      </c>
      <c r="G551">
        <v>2005</v>
      </c>
      <c r="H551">
        <v>1322</v>
      </c>
      <c r="I551">
        <v>1796</v>
      </c>
      <c r="J551">
        <v>3</v>
      </c>
      <c r="K551">
        <v>2.25</v>
      </c>
      <c r="M551" s="2" t="str">
        <f>HYPERLINK("http://maps.live.com/default.aspx?v=2&amp;lvl=15&amp;sp=Point.47.597889_-122.297703_513 Martin Luther King Jr Way S&amp;cp=47.597889~-122.297703","Map")</f>
        <v>Map</v>
      </c>
      <c r="N551" s="2" t="str">
        <f>HYPERLINK("http://i-0.rfimg.us/photo/1/bigphoto/474/27200474_2.jpg","Photo")</f>
        <v>Photo</v>
      </c>
      <c r="AG551">
        <v>47.597889000000002</v>
      </c>
      <c r="AH551">
        <v>-122.297703</v>
      </c>
      <c r="AI551" t="s">
        <v>66</v>
      </c>
      <c r="AJ551">
        <v>98144</v>
      </c>
      <c r="BC551" s="22">
        <v>39397.620474537034</v>
      </c>
      <c r="BI551" s="22">
        <v>39546.925937499997</v>
      </c>
      <c r="BL551">
        <v>7999</v>
      </c>
      <c r="BM551">
        <v>1285021</v>
      </c>
      <c r="BN551" t="s">
        <v>1674</v>
      </c>
      <c r="BO551" s="17">
        <f t="shared" ca="1" si="8"/>
        <v>151.68893136574479</v>
      </c>
      <c r="BP551" t="b">
        <v>0</v>
      </c>
      <c r="BQ551">
        <v>1</v>
      </c>
      <c r="BR551" t="s">
        <v>2463</v>
      </c>
      <c r="BS551" t="s">
        <v>3968</v>
      </c>
      <c r="BT551" t="b">
        <v>0</v>
      </c>
      <c r="BV551" t="s">
        <v>1668</v>
      </c>
      <c r="BW551">
        <v>513</v>
      </c>
      <c r="BX551" t="s">
        <v>1881</v>
      </c>
      <c r="BY551">
        <v>2060000</v>
      </c>
      <c r="BZ551" t="s">
        <v>2995</v>
      </c>
      <c r="CA551">
        <v>1</v>
      </c>
      <c r="CB551" t="b">
        <v>1</v>
      </c>
      <c r="CC551">
        <v>0</v>
      </c>
      <c r="CD551" t="b">
        <v>0</v>
      </c>
      <c r="CE551" t="b">
        <v>0</v>
      </c>
      <c r="CF551" t="b">
        <v>1</v>
      </c>
      <c r="CG551">
        <v>2348567</v>
      </c>
      <c r="CH551" t="s">
        <v>1681</v>
      </c>
      <c r="CI551" s="10">
        <v>399950</v>
      </c>
    </row>
    <row r="552" spans="1:88">
      <c r="A552">
        <v>27200482</v>
      </c>
      <c r="B552" s="2" t="str">
        <f>HYPERLINK("http://www.redfin.com/stingray/do/printable-listing?listing-id=1289686","Active")</f>
        <v>Active</v>
      </c>
      <c r="D552" t="s">
        <v>3066</v>
      </c>
      <c r="E552" t="s">
        <v>4911</v>
      </c>
      <c r="F552">
        <v>731000</v>
      </c>
      <c r="G552">
        <v>2006</v>
      </c>
      <c r="H552">
        <v>3310</v>
      </c>
      <c r="I552">
        <v>7667</v>
      </c>
      <c r="J552">
        <v>5</v>
      </c>
      <c r="K552">
        <v>2.5</v>
      </c>
      <c r="M552" s="2" t="str">
        <f>HYPERLINK("http://maps.live.com/default.aspx?v=2&amp;lvl=15&amp;sp=Point.47.668063_-122.179412_12025 NE 70th St&amp;cp=47.668063~-122.179412","Map")</f>
        <v>Map</v>
      </c>
      <c r="N552" s="2" t="str">
        <f>HYPERLINK("http://i-0.rfimg.us/photo/1/bigphoto/482/27200482_0.jpg","Photo")</f>
        <v>Photo</v>
      </c>
      <c r="AG552">
        <v>47.668062999999997</v>
      </c>
      <c r="AH552">
        <v>-122.179412</v>
      </c>
      <c r="AI552" t="s">
        <v>1058</v>
      </c>
      <c r="AJ552">
        <v>98033</v>
      </c>
      <c r="AN552">
        <v>995000</v>
      </c>
      <c r="BC552" s="22">
        <v>39399.821192129632</v>
      </c>
      <c r="BI552" s="22">
        <v>39549.294907407406</v>
      </c>
      <c r="BL552">
        <v>14620</v>
      </c>
      <c r="BM552">
        <v>1289686</v>
      </c>
      <c r="BN552" t="s">
        <v>4910</v>
      </c>
      <c r="BO552" s="17">
        <f t="shared" ca="1" si="8"/>
        <v>149.48821377314744</v>
      </c>
      <c r="BP552" t="b">
        <v>0</v>
      </c>
      <c r="BQ552">
        <v>1</v>
      </c>
      <c r="BR552" t="s">
        <v>1686</v>
      </c>
      <c r="BS552" t="s">
        <v>1703</v>
      </c>
      <c r="BT552" t="b">
        <v>0</v>
      </c>
      <c r="BU552" t="s">
        <v>1738</v>
      </c>
      <c r="BV552" t="s">
        <v>1668</v>
      </c>
      <c r="BW552">
        <v>12025</v>
      </c>
      <c r="BY552">
        <v>2076137</v>
      </c>
      <c r="BZ552" t="s">
        <v>1813</v>
      </c>
      <c r="CA552">
        <v>1</v>
      </c>
      <c r="CB552" t="b">
        <v>1</v>
      </c>
      <c r="CC552">
        <v>0</v>
      </c>
      <c r="CD552" t="b">
        <v>0</v>
      </c>
      <c r="CE552" t="b">
        <v>0</v>
      </c>
      <c r="CF552" t="b">
        <v>1</v>
      </c>
      <c r="CG552">
        <v>2637778</v>
      </c>
      <c r="CH552" t="s">
        <v>1681</v>
      </c>
      <c r="CI552" s="10">
        <v>731000</v>
      </c>
      <c r="CJ552" s="7">
        <v>39126</v>
      </c>
    </row>
    <row r="553" spans="1:88">
      <c r="A553">
        <v>27200506</v>
      </c>
      <c r="B553" s="2" t="str">
        <f>HYPERLINK("http://www.redfin.com/stingray/do/printable-listing?listing-id=1285922","Active")</f>
        <v>Active</v>
      </c>
      <c r="D553" t="s">
        <v>5198</v>
      </c>
      <c r="E553" t="s">
        <v>5503</v>
      </c>
      <c r="F553" s="19">
        <v>749950</v>
      </c>
      <c r="G553">
        <v>1979</v>
      </c>
      <c r="H553">
        <v>3930</v>
      </c>
      <c r="I553">
        <v>9361</v>
      </c>
      <c r="J553">
        <v>4</v>
      </c>
      <c r="K553">
        <v>2.75</v>
      </c>
      <c r="M553" s="2" t="str">
        <f>HYPERLINK("http://maps.live.com/default.aspx?v=2&amp;lvl=15&amp;sp=Point.47.571817_-122.108186_4065 173rd Pl SE&amp;cp=47.571817~-122.108186","Map")</f>
        <v>Map</v>
      </c>
      <c r="N553" s="2" t="str">
        <f>HYPERLINK("http://i-0.rfimg.us/photo/1/bigphoto/506/27200506_0.jpg","Photo")</f>
        <v>Photo</v>
      </c>
      <c r="AG553">
        <v>47.571817000000003</v>
      </c>
      <c r="AH553">
        <v>-122.108186</v>
      </c>
      <c r="AI553" t="s">
        <v>369</v>
      </c>
      <c r="AJ553">
        <v>98008</v>
      </c>
      <c r="AN553">
        <v>427500</v>
      </c>
      <c r="BC553" s="22">
        <v>39398.497789351852</v>
      </c>
      <c r="BI553" s="22">
        <v>39549.294907407406</v>
      </c>
      <c r="BL553">
        <v>15300</v>
      </c>
      <c r="BM553">
        <v>1285922</v>
      </c>
      <c r="BN553" t="s">
        <v>1823</v>
      </c>
      <c r="BO553" s="17">
        <f t="shared" ca="1" si="8"/>
        <v>150.81161655092728</v>
      </c>
      <c r="BP553" t="b">
        <v>0</v>
      </c>
      <c r="BQ553">
        <v>1</v>
      </c>
      <c r="BR553" t="s">
        <v>1842</v>
      </c>
      <c r="BS553" t="s">
        <v>5220</v>
      </c>
      <c r="BT553" t="b">
        <v>0</v>
      </c>
      <c r="BV553" t="s">
        <v>1668</v>
      </c>
      <c r="BW553">
        <v>4065</v>
      </c>
      <c r="BX553" t="s">
        <v>3856</v>
      </c>
      <c r="BY553">
        <v>428651</v>
      </c>
      <c r="BZ553" t="s">
        <v>1672</v>
      </c>
      <c r="CA553">
        <v>1</v>
      </c>
      <c r="CB553" t="b">
        <v>1</v>
      </c>
      <c r="CC553">
        <v>0</v>
      </c>
      <c r="CD553" t="b">
        <v>0</v>
      </c>
      <c r="CE553" t="b">
        <v>0</v>
      </c>
      <c r="CF553" t="b">
        <v>1</v>
      </c>
      <c r="CG553">
        <v>2906823</v>
      </c>
      <c r="CH553" t="s">
        <v>1681</v>
      </c>
      <c r="CI553" s="10">
        <v>765000</v>
      </c>
      <c r="CJ553" s="7">
        <v>36084</v>
      </c>
    </row>
    <row r="554" spans="1:88">
      <c r="A554">
        <v>27200542</v>
      </c>
      <c r="B554" s="2" t="str">
        <f>HYPERLINK("http://www.redfin.com/stingray/do/printable-listing?listing-id=1289340","Contingent")</f>
        <v>Contingent</v>
      </c>
      <c r="D554" t="s">
        <v>3882</v>
      </c>
      <c r="E554" t="s">
        <v>3898</v>
      </c>
      <c r="F554">
        <v>570000</v>
      </c>
      <c r="G554">
        <v>2007</v>
      </c>
      <c r="H554">
        <v>2643</v>
      </c>
      <c r="I554">
        <v>6876</v>
      </c>
      <c r="J554">
        <v>3</v>
      </c>
      <c r="K554">
        <v>2.5</v>
      </c>
      <c r="M554" s="2" t="str">
        <f>HYPERLINK("http://maps.live.com/default.aspx?v=2&amp;lvl=15&amp;sp=adr.121 Duvall Ave SE (Unable to map),98059","Map")</f>
        <v>Map</v>
      </c>
      <c r="N554" s="2" t="str">
        <f>HYPERLINK("http://i-0.rfimg.us/photo/1/bigphoto/542/27200542_0.jpg","Photo")</f>
        <v>Photo</v>
      </c>
      <c r="AI554" t="s">
        <v>1077</v>
      </c>
      <c r="AJ554">
        <v>98059</v>
      </c>
      <c r="BC554" s="22">
        <v>39399.709467592591</v>
      </c>
      <c r="BI554" s="22">
        <v>39549.294907407406</v>
      </c>
      <c r="BL554">
        <v>11400</v>
      </c>
      <c r="BM554">
        <v>1289340</v>
      </c>
      <c r="BN554" t="s">
        <v>3878</v>
      </c>
      <c r="BO554" s="17">
        <f t="shared" ca="1" si="8"/>
        <v>149.59993831018801</v>
      </c>
      <c r="BP554" t="b">
        <v>0</v>
      </c>
      <c r="BQ554">
        <v>2</v>
      </c>
      <c r="BR554" t="s">
        <v>1667</v>
      </c>
      <c r="BS554" t="s">
        <v>3899</v>
      </c>
      <c r="BT554" t="b">
        <v>0</v>
      </c>
      <c r="BV554" t="s">
        <v>1668</v>
      </c>
      <c r="BW554">
        <v>121</v>
      </c>
      <c r="BX554" t="s">
        <v>3856</v>
      </c>
      <c r="BY554">
        <v>0</v>
      </c>
      <c r="BZ554" t="s">
        <v>1684</v>
      </c>
      <c r="CA554">
        <v>1</v>
      </c>
      <c r="CB554" t="b">
        <v>1</v>
      </c>
      <c r="CC554">
        <v>0</v>
      </c>
      <c r="CD554" t="b">
        <v>0</v>
      </c>
      <c r="CE554" t="b">
        <v>0</v>
      </c>
      <c r="CF554" t="b">
        <v>1</v>
      </c>
      <c r="CG554" t="s">
        <v>1870</v>
      </c>
      <c r="CH554" t="s">
        <v>1681</v>
      </c>
      <c r="CI554" s="10">
        <v>570000</v>
      </c>
    </row>
    <row r="555" spans="1:88">
      <c r="A555">
        <v>27200647</v>
      </c>
      <c r="B555" s="2" t="str">
        <f>HYPERLINK("http://www.redfin.com/stingray/do/printable-listing?listing-id=1285739","Active")</f>
        <v>Active</v>
      </c>
      <c r="D555" t="s">
        <v>369</v>
      </c>
      <c r="E555" t="s">
        <v>5945</v>
      </c>
      <c r="F555">
        <v>950000</v>
      </c>
      <c r="G555">
        <v>1991</v>
      </c>
      <c r="H555">
        <v>3880</v>
      </c>
      <c r="I555">
        <v>44431</v>
      </c>
      <c r="J555">
        <v>4</v>
      </c>
      <c r="K555">
        <v>3.5</v>
      </c>
      <c r="M555" s="2" t="str">
        <f>HYPERLINK("http://maps.live.com/default.aspx?v=2&amp;lvl=15&amp;sp=Point.47.549103_-122.194232_11003 SE 60th St&amp;cp=47.549103~-122.194232","Map")</f>
        <v>Map</v>
      </c>
      <c r="N555" s="2" t="str">
        <f>HYPERLINK("http://i-0.rfimg.us/photo/1/bigphoto/647/27200647_2.jpg","Photo")</f>
        <v>Photo</v>
      </c>
      <c r="AG555">
        <v>47.549103000000002</v>
      </c>
      <c r="AH555">
        <v>-122.194232</v>
      </c>
      <c r="AI555" t="s">
        <v>369</v>
      </c>
      <c r="AJ555">
        <v>98006</v>
      </c>
      <c r="AN555">
        <v>515000</v>
      </c>
      <c r="BC555" s="22">
        <v>39398.443761574075</v>
      </c>
      <c r="BI555" s="22">
        <v>39549.294907407406</v>
      </c>
      <c r="BL555">
        <v>19000</v>
      </c>
      <c r="BM555">
        <v>1285739</v>
      </c>
      <c r="BN555" t="s">
        <v>1688</v>
      </c>
      <c r="BO555" s="17">
        <f t="shared" ca="1" si="8"/>
        <v>150.86564432870364</v>
      </c>
      <c r="BP555" t="b">
        <v>0</v>
      </c>
      <c r="BQ555">
        <v>1</v>
      </c>
      <c r="BR555" t="s">
        <v>1686</v>
      </c>
      <c r="BS555" t="s">
        <v>2417</v>
      </c>
      <c r="BT555" t="b">
        <v>0</v>
      </c>
      <c r="BU555" t="s">
        <v>3856</v>
      </c>
      <c r="BV555" t="s">
        <v>1668</v>
      </c>
      <c r="BW555">
        <v>11003</v>
      </c>
      <c r="BY555">
        <v>418099</v>
      </c>
      <c r="BZ555" t="s">
        <v>3497</v>
      </c>
      <c r="CA555">
        <v>1</v>
      </c>
      <c r="CB555" t="b">
        <v>1</v>
      </c>
      <c r="CC555">
        <v>0</v>
      </c>
      <c r="CD555" t="b">
        <v>0</v>
      </c>
      <c r="CE555" t="b">
        <v>0</v>
      </c>
      <c r="CF555" t="b">
        <v>1</v>
      </c>
      <c r="CG555">
        <v>2360725</v>
      </c>
      <c r="CH555" t="s">
        <v>1681</v>
      </c>
      <c r="CI555" s="10">
        <v>950000</v>
      </c>
      <c r="CJ555" s="7">
        <v>36767</v>
      </c>
    </row>
    <row r="556" spans="1:88">
      <c r="A556">
        <v>27200670</v>
      </c>
      <c r="B556" s="2" t="str">
        <f>HYPERLINK("http://www.redfin.com/stingray/do/printable-listing?listing-id=1285916","Active")</f>
        <v>Active</v>
      </c>
      <c r="D556" t="s">
        <v>5565</v>
      </c>
      <c r="E556" t="s">
        <v>5686</v>
      </c>
      <c r="F556" s="19">
        <v>625000</v>
      </c>
      <c r="G556">
        <v>1964</v>
      </c>
      <c r="H556">
        <v>2510</v>
      </c>
      <c r="I556">
        <v>8450</v>
      </c>
      <c r="J556">
        <v>4</v>
      </c>
      <c r="K556">
        <v>3</v>
      </c>
      <c r="M556" s="2" t="str">
        <f>HYPERLINK("http://maps.live.com/default.aspx?v=2&amp;lvl=15&amp;sp=Point.47.557581_-122.172007_5006 126th Ave SE&amp;cp=47.557581~-122.172007","Map")</f>
        <v>Map</v>
      </c>
      <c r="N556" s="2" t="str">
        <f>HYPERLINK("http://i-0.rfimg.us/photo/1/bigphoto/670/27200670_0.jpg","Photo")</f>
        <v>Photo</v>
      </c>
      <c r="AG556">
        <v>47.557580999999999</v>
      </c>
      <c r="AH556">
        <v>-122.17200699999999</v>
      </c>
      <c r="AI556" t="s">
        <v>369</v>
      </c>
      <c r="AJ556">
        <v>98006</v>
      </c>
      <c r="AN556">
        <v>127500</v>
      </c>
      <c r="BC556" s="22">
        <v>39398.497418981482</v>
      </c>
      <c r="BI556" s="22">
        <v>39549.294907407406</v>
      </c>
      <c r="BL556">
        <v>12900</v>
      </c>
      <c r="BM556">
        <v>1285916</v>
      </c>
      <c r="BN556" t="s">
        <v>1737</v>
      </c>
      <c r="BO556" s="17">
        <f t="shared" ca="1" si="8"/>
        <v>150.81198692129692</v>
      </c>
      <c r="BP556" t="b">
        <v>0</v>
      </c>
      <c r="BQ556">
        <v>1</v>
      </c>
      <c r="BR556" t="s">
        <v>1667</v>
      </c>
      <c r="BS556" t="s">
        <v>4544</v>
      </c>
      <c r="BT556" t="b">
        <v>0</v>
      </c>
      <c r="BV556" t="s">
        <v>1668</v>
      </c>
      <c r="BW556">
        <v>5006</v>
      </c>
      <c r="BX556" t="s">
        <v>3856</v>
      </c>
      <c r="BY556">
        <v>412958</v>
      </c>
      <c r="BZ556" t="s">
        <v>1701</v>
      </c>
      <c r="CA556">
        <v>1</v>
      </c>
      <c r="CB556" t="b">
        <v>1</v>
      </c>
      <c r="CC556">
        <v>0</v>
      </c>
      <c r="CD556" t="b">
        <v>0</v>
      </c>
      <c r="CE556" t="b">
        <v>0</v>
      </c>
      <c r="CF556" t="b">
        <v>1</v>
      </c>
      <c r="CG556">
        <v>2660806</v>
      </c>
      <c r="CH556" t="s">
        <v>1681</v>
      </c>
      <c r="CI556" s="10">
        <v>645000</v>
      </c>
      <c r="CJ556" s="7">
        <v>32582</v>
      </c>
    </row>
    <row r="557" spans="1:88">
      <c r="A557">
        <v>27200695</v>
      </c>
      <c r="B557" s="2" t="str">
        <f>HYPERLINK("http://www.redfin.com/stingray/do/printable-listing?listing-id=1285777","Subject To Inspection")</f>
        <v>Subject To Inspection</v>
      </c>
      <c r="D557" t="s">
        <v>2850</v>
      </c>
      <c r="E557" t="s">
        <v>4604</v>
      </c>
      <c r="F557">
        <v>525000</v>
      </c>
      <c r="G557">
        <v>2000</v>
      </c>
      <c r="H557">
        <v>1830</v>
      </c>
      <c r="I557">
        <v>5375</v>
      </c>
      <c r="J557">
        <v>4</v>
      </c>
      <c r="K557">
        <v>2.5</v>
      </c>
      <c r="M557" s="2" t="str">
        <f>HYPERLINK("http://maps.live.com/default.aspx?v=2&amp;lvl=15&amp;sp=Point.47.707977_-122.223114_12005 89th Pl NE&amp;cp=47.707977~-122.223114","Map")</f>
        <v>Map</v>
      </c>
      <c r="N557" s="2" t="str">
        <f>HYPERLINK("http://i-0.rfimg.us/photo/1/bigphoto/695/27200695_1.jpg","Photo")</f>
        <v>Photo</v>
      </c>
      <c r="AG557">
        <v>47.707977</v>
      </c>
      <c r="AH557">
        <v>-122.223114</v>
      </c>
      <c r="AI557" t="s">
        <v>1058</v>
      </c>
      <c r="AJ557">
        <v>98034</v>
      </c>
      <c r="AN557">
        <v>144920</v>
      </c>
      <c r="BC557" s="22">
        <v>39398.453715277778</v>
      </c>
      <c r="BI557" s="7">
        <v>39532</v>
      </c>
      <c r="BL557">
        <v>10500</v>
      </c>
      <c r="BM557">
        <v>1285777</v>
      </c>
      <c r="BN557" t="s">
        <v>1688</v>
      </c>
      <c r="BO557" s="17">
        <f t="shared" ca="1" si="8"/>
        <v>150.85569062500144</v>
      </c>
      <c r="BP557" t="b">
        <v>0</v>
      </c>
      <c r="BQ557">
        <v>2</v>
      </c>
      <c r="BR557" t="s">
        <v>1842</v>
      </c>
      <c r="BS557" t="s">
        <v>2741</v>
      </c>
      <c r="BT557" t="b">
        <v>0</v>
      </c>
      <c r="BV557" t="s">
        <v>1668</v>
      </c>
      <c r="BW557">
        <v>12005</v>
      </c>
      <c r="BX557" t="s">
        <v>1738</v>
      </c>
      <c r="BY557">
        <v>280562</v>
      </c>
      <c r="BZ557" t="s">
        <v>2750</v>
      </c>
      <c r="CA557">
        <v>1</v>
      </c>
      <c r="CB557" t="b">
        <v>1</v>
      </c>
      <c r="CC557">
        <v>0</v>
      </c>
      <c r="CD557" t="b">
        <v>0</v>
      </c>
      <c r="CE557" t="b">
        <v>0</v>
      </c>
      <c r="CF557" t="b">
        <v>1</v>
      </c>
      <c r="CG557">
        <v>2453817</v>
      </c>
      <c r="CH557" t="s">
        <v>1681</v>
      </c>
      <c r="CI557" s="10">
        <v>525000</v>
      </c>
      <c r="CJ557" s="7">
        <v>37650</v>
      </c>
    </row>
    <row r="558" spans="1:88">
      <c r="A558">
        <v>27200698</v>
      </c>
      <c r="B558" s="2" t="str">
        <f>HYPERLINK("http://www.redfin.com/stingray/do/printable-listing?listing-id=1294628","Active")</f>
        <v>Active</v>
      </c>
      <c r="D558" t="s">
        <v>3249</v>
      </c>
      <c r="E558" t="s">
        <v>3642</v>
      </c>
      <c r="F558">
        <v>649950</v>
      </c>
      <c r="G558">
        <v>2006</v>
      </c>
      <c r="H558">
        <v>1660</v>
      </c>
      <c r="I558">
        <v>1369</v>
      </c>
      <c r="J558">
        <v>2</v>
      </c>
      <c r="K558">
        <v>2.5</v>
      </c>
      <c r="M558" s="2" t="str">
        <f>HYPERLINK("http://maps.live.com/default.aspx?v=2&amp;lvl=15&amp;sp=Point.47.647147_-122.35719_8 Florentia St&amp;cp=47.647147~-122.35719","Map")</f>
        <v>Map</v>
      </c>
      <c r="N558" s="2" t="str">
        <f>HYPERLINK("http://i-0.rfimg.us/photo/1/bigphoto/698/27200698_0.jpg","Photo")</f>
        <v>Photo</v>
      </c>
      <c r="AG558">
        <v>47.647146999999997</v>
      </c>
      <c r="AH558">
        <v>-122.35719</v>
      </c>
      <c r="AI558" t="s">
        <v>66</v>
      </c>
      <c r="AJ558">
        <v>98109</v>
      </c>
      <c r="BC558" s="22">
        <v>39401.705104166664</v>
      </c>
      <c r="BI558" s="22">
        <v>39549.294907407406</v>
      </c>
      <c r="BL558">
        <v>12999</v>
      </c>
      <c r="BM558">
        <v>1294628</v>
      </c>
      <c r="BN558" t="s">
        <v>3641</v>
      </c>
      <c r="BO558" s="17">
        <f t="shared" ca="1" si="8"/>
        <v>147.6043017361153</v>
      </c>
      <c r="BP558" t="b">
        <v>0</v>
      </c>
      <c r="BQ558">
        <v>1</v>
      </c>
      <c r="BR558" t="s">
        <v>1686</v>
      </c>
      <c r="BS558" t="s">
        <v>3255</v>
      </c>
      <c r="BT558" t="b">
        <v>0</v>
      </c>
      <c r="BV558" t="s">
        <v>1668</v>
      </c>
      <c r="BW558">
        <v>8</v>
      </c>
      <c r="BY558">
        <v>12302830</v>
      </c>
      <c r="BZ558" t="s">
        <v>1713</v>
      </c>
      <c r="CA558">
        <v>1</v>
      </c>
      <c r="CB558" t="b">
        <v>1</v>
      </c>
      <c r="CC558">
        <v>0</v>
      </c>
      <c r="CD558" t="b">
        <v>0</v>
      </c>
      <c r="CE558" t="b">
        <v>0</v>
      </c>
      <c r="CF558" t="b">
        <v>1</v>
      </c>
      <c r="CG558">
        <v>15510457</v>
      </c>
      <c r="CH558" t="s">
        <v>1681</v>
      </c>
      <c r="CI558" s="10">
        <v>649950</v>
      </c>
    </row>
    <row r="559" spans="1:88">
      <c r="A559">
        <v>27200818</v>
      </c>
      <c r="B559" s="2" t="str">
        <f>HYPERLINK("http://www.redfin.com/stingray/do/printable-listing?listing-id=1299409","Active")</f>
        <v>Active</v>
      </c>
      <c r="D559" t="s">
        <v>3064</v>
      </c>
      <c r="E559" t="s">
        <v>4865</v>
      </c>
      <c r="F559">
        <v>489000</v>
      </c>
      <c r="G559">
        <v>1978</v>
      </c>
      <c r="H559">
        <v>1370</v>
      </c>
      <c r="I559">
        <v>7200</v>
      </c>
      <c r="J559">
        <v>3</v>
      </c>
      <c r="K559">
        <v>1.75</v>
      </c>
      <c r="M559" s="2" t="str">
        <f>HYPERLINK("http://maps.live.com/default.aspx?v=2&amp;lvl=15&amp;sp=Point.47.682281_-122.187017_11431 NE 90th St&amp;cp=47.682281~-122.187017","Map")</f>
        <v>Map</v>
      </c>
      <c r="N559" s="2" t="str">
        <f>HYPERLINK("http://i-0.rfimg.us/photo/1/bigphoto/818/27200818_J.jpg","Photo")</f>
        <v>Photo</v>
      </c>
      <c r="AG559">
        <v>47.682281000000003</v>
      </c>
      <c r="AH559">
        <v>-122.187017</v>
      </c>
      <c r="AI559" t="s">
        <v>1058</v>
      </c>
      <c r="AJ559">
        <v>98033</v>
      </c>
      <c r="AN559">
        <v>58500</v>
      </c>
      <c r="BC559" s="22">
        <v>39403.620787037034</v>
      </c>
      <c r="BI559" s="22">
        <v>39549.294907407406</v>
      </c>
      <c r="BL559">
        <v>9780</v>
      </c>
      <c r="BM559">
        <v>1299409</v>
      </c>
      <c r="BN559" t="s">
        <v>1768</v>
      </c>
      <c r="BO559" s="17">
        <f t="shared" ca="1" si="8"/>
        <v>145.6886188657445</v>
      </c>
      <c r="BP559" t="b">
        <v>0</v>
      </c>
      <c r="BQ559">
        <v>1</v>
      </c>
      <c r="BR559" t="s">
        <v>1686</v>
      </c>
      <c r="BS559" t="s">
        <v>1761</v>
      </c>
      <c r="BT559" t="b">
        <v>0</v>
      </c>
      <c r="BU559" t="s">
        <v>1738</v>
      </c>
      <c r="BV559" t="s">
        <v>1668</v>
      </c>
      <c r="BW559">
        <v>11431</v>
      </c>
      <c r="BY559">
        <v>463709</v>
      </c>
      <c r="BZ559" t="s">
        <v>4866</v>
      </c>
      <c r="CA559">
        <v>1</v>
      </c>
      <c r="CB559" t="b">
        <v>1</v>
      </c>
      <c r="CC559">
        <v>0</v>
      </c>
      <c r="CD559" t="b">
        <v>0</v>
      </c>
      <c r="CE559" t="b">
        <v>0</v>
      </c>
      <c r="CF559" t="b">
        <v>1</v>
      </c>
      <c r="CG559">
        <v>2578798</v>
      </c>
      <c r="CH559" t="s">
        <v>1681</v>
      </c>
      <c r="CI559" s="10">
        <v>489000</v>
      </c>
      <c r="CJ559" s="7">
        <v>31149</v>
      </c>
    </row>
    <row r="560" spans="1:88">
      <c r="A560">
        <v>27200943</v>
      </c>
      <c r="B560" s="2" t="str">
        <f>HYPERLINK("http://www.redfin.com/stingray/do/printable-listing?listing-id=1289155","Active")</f>
        <v>Active</v>
      </c>
      <c r="D560" t="s">
        <v>226</v>
      </c>
      <c r="E560" t="s">
        <v>3735</v>
      </c>
      <c r="F560">
        <v>574000</v>
      </c>
      <c r="G560">
        <v>1925</v>
      </c>
      <c r="H560">
        <v>1590</v>
      </c>
      <c r="I560">
        <v>3000</v>
      </c>
      <c r="J560">
        <v>3</v>
      </c>
      <c r="K560">
        <v>1.5</v>
      </c>
      <c r="M560" s="2" t="str">
        <f>HYPERLINK("http://maps.live.com/default.aspx?v=2&amp;lvl=15&amp;sp=Point.47.657807_-122.320601_4206 7th Ave NE&amp;cp=47.657807~-122.320601","Map")</f>
        <v>Map</v>
      </c>
      <c r="N560" s="2" t="str">
        <f>HYPERLINK("http://i-0.rfimg.us/photo/1/bigphoto/943/27200943_0.jpg","Photo")</f>
        <v>Photo</v>
      </c>
      <c r="AG560">
        <v>47.657806999999998</v>
      </c>
      <c r="AH560">
        <v>-122.320601</v>
      </c>
      <c r="AI560" t="s">
        <v>66</v>
      </c>
      <c r="AJ560">
        <v>98105</v>
      </c>
      <c r="BC560" s="22">
        <v>39399.668749999997</v>
      </c>
      <c r="BI560" s="22">
        <v>39549.294907407406</v>
      </c>
      <c r="BL560">
        <v>11480</v>
      </c>
      <c r="BM560">
        <v>1289155</v>
      </c>
      <c r="BN560" t="s">
        <v>1783</v>
      </c>
      <c r="BO560" s="17">
        <f t="shared" ca="1" si="8"/>
        <v>149.64065590278187</v>
      </c>
      <c r="BP560" t="b">
        <v>0</v>
      </c>
      <c r="BQ560">
        <v>1</v>
      </c>
      <c r="BR560" t="s">
        <v>1667</v>
      </c>
      <c r="BS560" t="s">
        <v>1859</v>
      </c>
      <c r="BT560" t="b">
        <v>0</v>
      </c>
      <c r="BV560" t="s">
        <v>1668</v>
      </c>
      <c r="BW560">
        <v>4206</v>
      </c>
      <c r="BX560" t="s">
        <v>1738</v>
      </c>
      <c r="BY560">
        <v>311636</v>
      </c>
      <c r="BZ560" t="s">
        <v>1672</v>
      </c>
      <c r="CA560">
        <v>1</v>
      </c>
      <c r="CB560" t="b">
        <v>1</v>
      </c>
      <c r="CC560">
        <v>0</v>
      </c>
      <c r="CD560" t="b">
        <v>0</v>
      </c>
      <c r="CE560" t="b">
        <v>0</v>
      </c>
      <c r="CF560" t="b">
        <v>1</v>
      </c>
      <c r="CG560">
        <v>2843293</v>
      </c>
      <c r="CH560" t="s">
        <v>1681</v>
      </c>
      <c r="CI560" s="10">
        <v>574000</v>
      </c>
    </row>
    <row r="561" spans="1:88">
      <c r="A561">
        <v>27200999</v>
      </c>
      <c r="B561" s="2" t="str">
        <f>HYPERLINK("http://www.redfin.com/stingray/do/printable-listing?listing-id=1286571","Active")</f>
        <v>Active</v>
      </c>
      <c r="D561" t="s">
        <v>4359</v>
      </c>
      <c r="E561" t="s">
        <v>4845</v>
      </c>
      <c r="F561">
        <v>424900</v>
      </c>
      <c r="G561">
        <v>1961</v>
      </c>
      <c r="H561">
        <v>1560</v>
      </c>
      <c r="I561">
        <v>9600</v>
      </c>
      <c r="J561">
        <v>3</v>
      </c>
      <c r="K561">
        <v>1.5</v>
      </c>
      <c r="M561" s="2" t="str">
        <f>HYPERLINK("http://maps.live.com/default.aspx?v=2&amp;lvl=15&amp;sp=Point.47.691758_-122.162981_10213 134th Ave NE&amp;cp=47.691758~-122.162981","Map")</f>
        <v>Map</v>
      </c>
      <c r="N561" s="2" t="str">
        <f>HYPERLINK("http://i-0.rfimg.us/photo/1/bigphoto/999/27200999_1.jpg","Photo")</f>
        <v>Photo</v>
      </c>
      <c r="AG561">
        <v>47.691758</v>
      </c>
      <c r="AH561">
        <v>-122.162981</v>
      </c>
      <c r="AI561" t="s">
        <v>1058</v>
      </c>
      <c r="AJ561">
        <v>98033</v>
      </c>
      <c r="AN561">
        <v>330000</v>
      </c>
      <c r="BC561" s="22">
        <v>39398.687789351854</v>
      </c>
      <c r="BI561" s="22">
        <v>39549.294907407406</v>
      </c>
      <c r="BL561">
        <v>8498</v>
      </c>
      <c r="BM561">
        <v>1286571</v>
      </c>
      <c r="BN561" t="s">
        <v>2372</v>
      </c>
      <c r="BO561" s="17">
        <f t="shared" ca="1" si="8"/>
        <v>150.62161655092495</v>
      </c>
      <c r="BP561" t="b">
        <v>0</v>
      </c>
      <c r="BQ561">
        <v>1</v>
      </c>
      <c r="BR561" t="s">
        <v>1667</v>
      </c>
      <c r="BS561" t="s">
        <v>2855</v>
      </c>
      <c r="BT561" t="b">
        <v>0</v>
      </c>
      <c r="BV561" t="s">
        <v>1668</v>
      </c>
      <c r="BW561">
        <v>10213</v>
      </c>
      <c r="BX561" t="s">
        <v>1738</v>
      </c>
      <c r="BY561">
        <v>513639</v>
      </c>
      <c r="BZ561" t="s">
        <v>4846</v>
      </c>
      <c r="CA561">
        <v>1</v>
      </c>
      <c r="CB561" t="b">
        <v>1</v>
      </c>
      <c r="CC561">
        <v>0</v>
      </c>
      <c r="CD561" t="b">
        <v>0</v>
      </c>
      <c r="CE561" t="b">
        <v>0</v>
      </c>
      <c r="CF561" t="b">
        <v>1</v>
      </c>
      <c r="CG561">
        <v>2968096</v>
      </c>
      <c r="CH561" t="s">
        <v>1681</v>
      </c>
      <c r="CI561" s="10">
        <v>424900</v>
      </c>
      <c r="CJ561" s="7">
        <v>38586</v>
      </c>
    </row>
    <row r="562" spans="1:88">
      <c r="A562">
        <v>27201131</v>
      </c>
      <c r="B562" s="2" t="str">
        <f>HYPERLINK("http://www.redfin.com/stingray/do/printable-listing?listing-id=1287264","Active")</f>
        <v>Active</v>
      </c>
      <c r="D562" s="19" t="s">
        <v>1058</v>
      </c>
      <c r="E562" t="s">
        <v>4893</v>
      </c>
      <c r="F562">
        <v>569000</v>
      </c>
      <c r="G562">
        <v>1914</v>
      </c>
      <c r="H562">
        <v>890</v>
      </c>
      <c r="I562">
        <v>9122</v>
      </c>
      <c r="J562">
        <v>3</v>
      </c>
      <c r="K562">
        <v>1</v>
      </c>
      <c r="M562" s="2" t="str">
        <f>HYPERLINK("http://maps.live.com/default.aspx?v=2&amp;lvl=15&amp;sp=Point.47.676664_-122.186427_116 Slater St&amp;cp=47.676664~-122.186427","Map")</f>
        <v>Map</v>
      </c>
      <c r="N562" s="2" t="str">
        <f>HYPERLINK("http://i-0.rfimg.us/photo/1/bigphoto/131/27201131_1.jpg","Photo")</f>
        <v>Photo</v>
      </c>
      <c r="AG562">
        <v>47.676664000000002</v>
      </c>
      <c r="AH562">
        <v>-122.18642699999999</v>
      </c>
      <c r="AI562" t="s">
        <v>1058</v>
      </c>
      <c r="AJ562">
        <v>98033</v>
      </c>
      <c r="AN562">
        <v>449950</v>
      </c>
      <c r="BC562" s="22">
        <v>39398.963541666664</v>
      </c>
      <c r="BI562" s="22">
        <v>39549.294907407406</v>
      </c>
      <c r="BL562">
        <v>11380</v>
      </c>
      <c r="BM562">
        <v>1287264</v>
      </c>
      <c r="BN562" t="s">
        <v>4392</v>
      </c>
      <c r="BO562" s="17">
        <f t="shared" ca="1" si="8"/>
        <v>150.34586423611472</v>
      </c>
      <c r="BP562" t="b">
        <v>0</v>
      </c>
      <c r="BQ562">
        <v>1</v>
      </c>
      <c r="BR562" t="s">
        <v>1686</v>
      </c>
      <c r="BS562" t="s">
        <v>4800</v>
      </c>
      <c r="BT562" t="b">
        <v>0</v>
      </c>
      <c r="BV562" t="s">
        <v>1668</v>
      </c>
      <c r="BW562">
        <v>116</v>
      </c>
      <c r="BY562">
        <v>461110</v>
      </c>
      <c r="BZ562" t="s">
        <v>1957</v>
      </c>
      <c r="CA562">
        <v>1</v>
      </c>
      <c r="CB562" t="b">
        <v>1</v>
      </c>
      <c r="CC562">
        <v>0</v>
      </c>
      <c r="CD562" t="b">
        <v>0</v>
      </c>
      <c r="CE562" t="b">
        <v>0</v>
      </c>
      <c r="CF562" t="b">
        <v>1</v>
      </c>
      <c r="CG562">
        <v>2505220</v>
      </c>
      <c r="CH562" t="s">
        <v>1681</v>
      </c>
      <c r="CI562" s="10">
        <v>569000</v>
      </c>
      <c r="CJ562" s="7">
        <v>38562</v>
      </c>
    </row>
    <row r="563" spans="1:88">
      <c r="A563">
        <v>27201284</v>
      </c>
      <c r="B563" s="2" t="str">
        <f>HYPERLINK("http://www.redfin.com/stingray/do/printable-listing?listing-id=1288365","Active")</f>
        <v>Active</v>
      </c>
      <c r="D563" t="s">
        <v>4113</v>
      </c>
      <c r="E563" t="s">
        <v>4130</v>
      </c>
      <c r="F563">
        <v>780000</v>
      </c>
      <c r="G563">
        <v>2007</v>
      </c>
      <c r="H563">
        <v>2200</v>
      </c>
      <c r="I563">
        <v>5100</v>
      </c>
      <c r="J563">
        <v>3</v>
      </c>
      <c r="K563">
        <v>2.5</v>
      </c>
      <c r="M563" s="2" t="str">
        <f>HYPERLINK("http://maps.live.com/default.aspx?v=2&amp;lvl=15&amp;sp=Point.47.626328_-122.295363_815 29th Ave E&amp;cp=47.626328~-122.295363","Map")</f>
        <v>Map</v>
      </c>
      <c r="N563" s="2" t="str">
        <f>HYPERLINK("http://i-0.rfimg.us/photo/1/bigphoto/284/27201284_7.jpg","Photo")</f>
        <v>Photo</v>
      </c>
      <c r="AG563">
        <v>47.626328000000001</v>
      </c>
      <c r="AH563">
        <v>-122.29536299999999</v>
      </c>
      <c r="AI563" t="s">
        <v>66</v>
      </c>
      <c r="AJ563">
        <v>98112</v>
      </c>
      <c r="AN563">
        <v>530000</v>
      </c>
      <c r="BC563" s="22">
        <v>39399.475335648145</v>
      </c>
      <c r="BI563" s="22">
        <v>39549.294907407406</v>
      </c>
      <c r="BL563">
        <v>15600</v>
      </c>
      <c r="BM563">
        <v>1288365</v>
      </c>
      <c r="BN563" t="s">
        <v>4129</v>
      </c>
      <c r="BO563" s="17">
        <f t="shared" ca="1" si="8"/>
        <v>149.83407025463384</v>
      </c>
      <c r="BP563" t="b">
        <v>0</v>
      </c>
      <c r="BQ563">
        <v>1</v>
      </c>
      <c r="BR563" t="s">
        <v>1667</v>
      </c>
      <c r="BS563" t="s">
        <v>1772</v>
      </c>
      <c r="BT563" t="b">
        <v>0</v>
      </c>
      <c r="BV563" t="s">
        <v>1668</v>
      </c>
      <c r="BW563">
        <v>815</v>
      </c>
      <c r="BX563" t="s">
        <v>2436</v>
      </c>
      <c r="BY563">
        <v>145759</v>
      </c>
      <c r="BZ563" t="s">
        <v>4131</v>
      </c>
      <c r="CA563">
        <v>1</v>
      </c>
      <c r="CB563" t="b">
        <v>1</v>
      </c>
      <c r="CC563">
        <v>0</v>
      </c>
      <c r="CD563" t="b">
        <v>0</v>
      </c>
      <c r="CE563" t="b">
        <v>0</v>
      </c>
      <c r="CF563" t="b">
        <v>1</v>
      </c>
      <c r="CG563">
        <v>2599479</v>
      </c>
      <c r="CH563" t="s">
        <v>1681</v>
      </c>
      <c r="CI563" s="10">
        <v>780000</v>
      </c>
      <c r="CJ563" s="7">
        <v>38894</v>
      </c>
    </row>
    <row r="564" spans="1:88">
      <c r="A564">
        <v>27201410</v>
      </c>
      <c r="B564" s="2" t="str">
        <f>HYPERLINK("http://www.redfin.com/stingray/do/printable-listing?listing-id=1288715","Active")</f>
        <v>Active</v>
      </c>
      <c r="D564" t="s">
        <v>3885</v>
      </c>
      <c r="E564" t="s">
        <v>5566</v>
      </c>
      <c r="F564">
        <v>789950</v>
      </c>
      <c r="G564">
        <v>2008</v>
      </c>
      <c r="H564">
        <v>3436</v>
      </c>
      <c r="I564">
        <v>0</v>
      </c>
      <c r="J564">
        <v>5</v>
      </c>
      <c r="K564">
        <v>2.5</v>
      </c>
      <c r="M564" s="2" t="str">
        <f>HYPERLINK("http://maps.live.com/default.aspx?v=2&amp;lvl=15&amp;sp=adr.6311 117th Ave SE (Unable to map),98006","Map")</f>
        <v>Map</v>
      </c>
      <c r="N564" s="2" t="str">
        <f>HYPERLINK("http://i-0.rfimg.us/photo/1/bigphoto/410/27201410_0.jpg","Photo")</f>
        <v>Photo</v>
      </c>
      <c r="AI564" t="s">
        <v>369</v>
      </c>
      <c r="AJ564">
        <v>98006</v>
      </c>
      <c r="BC564" s="22">
        <v>39399.561956018515</v>
      </c>
      <c r="BI564" s="22">
        <v>39549.294907407406</v>
      </c>
      <c r="BL564">
        <v>15799</v>
      </c>
      <c r="BM564">
        <v>1288715</v>
      </c>
      <c r="BN564" t="s">
        <v>5540</v>
      </c>
      <c r="BO564" s="17">
        <f t="shared" ca="1" si="8"/>
        <v>149.74744988426392</v>
      </c>
      <c r="BP564" t="b">
        <v>0</v>
      </c>
      <c r="BQ564">
        <v>1</v>
      </c>
      <c r="BR564" t="s">
        <v>1667</v>
      </c>
      <c r="BS564" t="s">
        <v>2743</v>
      </c>
      <c r="BT564" t="b">
        <v>0</v>
      </c>
      <c r="BV564" t="s">
        <v>1668</v>
      </c>
      <c r="BW564">
        <v>6311</v>
      </c>
      <c r="BX564" t="s">
        <v>3856</v>
      </c>
      <c r="BY564">
        <v>0</v>
      </c>
      <c r="BZ564" s="21">
        <v>0</v>
      </c>
      <c r="CA564">
        <v>1</v>
      </c>
      <c r="CB564" t="b">
        <v>1</v>
      </c>
      <c r="CC564">
        <v>0</v>
      </c>
      <c r="CD564" t="b">
        <v>0</v>
      </c>
      <c r="CE564" t="b">
        <v>0</v>
      </c>
      <c r="CF564" t="b">
        <v>1</v>
      </c>
      <c r="CG564" t="s">
        <v>1870</v>
      </c>
      <c r="CH564" t="s">
        <v>1681</v>
      </c>
      <c r="CI564" s="10">
        <v>789950</v>
      </c>
    </row>
    <row r="565" spans="1:88">
      <c r="A565">
        <v>27201493</v>
      </c>
      <c r="B565" s="2" t="str">
        <f>HYPERLINK("http://www.redfin.com/stingray/do/printable-listing?listing-id=1288890","Active")</f>
        <v>Active</v>
      </c>
      <c r="D565" t="s">
        <v>3249</v>
      </c>
      <c r="E565" t="s">
        <v>3656</v>
      </c>
      <c r="F565">
        <v>999900</v>
      </c>
      <c r="G565">
        <v>1902</v>
      </c>
      <c r="H565">
        <v>2270</v>
      </c>
      <c r="I565">
        <v>5000</v>
      </c>
      <c r="J565">
        <v>3</v>
      </c>
      <c r="K565">
        <v>2</v>
      </c>
      <c r="M565" s="2" t="str">
        <f>HYPERLINK("http://maps.live.com/default.aspx?v=2&amp;lvl=15&amp;sp=Point.47.631864_-122.355376_1428 1st Ave N&amp;cp=47.631864~-122.355376","Map")</f>
        <v>Map</v>
      </c>
      <c r="N565" s="2" t="str">
        <f>HYPERLINK("http://i-0.rfimg.us/photo/1/bigphoto/493/27201493_3.jpg","Photo")</f>
        <v>Photo</v>
      </c>
      <c r="AG565">
        <v>47.631864</v>
      </c>
      <c r="AH565">
        <v>-122.35537600000001</v>
      </c>
      <c r="AI565" t="s">
        <v>66</v>
      </c>
      <c r="AJ565">
        <v>98109</v>
      </c>
      <c r="AN565">
        <v>454000</v>
      </c>
      <c r="BC565" s="22">
        <v>39399.611875000002</v>
      </c>
      <c r="BI565" s="22">
        <v>39545.917314814818</v>
      </c>
      <c r="BL565">
        <v>19998</v>
      </c>
      <c r="BM565">
        <v>1288890</v>
      </c>
      <c r="BN565" t="s">
        <v>1766</v>
      </c>
      <c r="BO565" s="17">
        <f t="shared" ca="1" si="8"/>
        <v>149.69753090277663</v>
      </c>
      <c r="BP565" t="b">
        <v>0</v>
      </c>
      <c r="BQ565">
        <v>1</v>
      </c>
      <c r="BR565" t="s">
        <v>1667</v>
      </c>
      <c r="BS565" t="s">
        <v>1822</v>
      </c>
      <c r="BT565" t="b">
        <v>0</v>
      </c>
      <c r="BV565" t="s">
        <v>1668</v>
      </c>
      <c r="BW565">
        <v>1428</v>
      </c>
      <c r="BX565" t="s">
        <v>1712</v>
      </c>
      <c r="BY565">
        <v>132885</v>
      </c>
      <c r="BZ565" t="s">
        <v>3657</v>
      </c>
      <c r="CA565">
        <v>1</v>
      </c>
      <c r="CB565" t="b">
        <v>1</v>
      </c>
      <c r="CC565">
        <v>0</v>
      </c>
      <c r="CD565" t="b">
        <v>0</v>
      </c>
      <c r="CE565" t="b">
        <v>0</v>
      </c>
      <c r="CF565" t="b">
        <v>1</v>
      </c>
      <c r="CG565">
        <v>2974256</v>
      </c>
      <c r="CH565" t="s">
        <v>1681</v>
      </c>
      <c r="CI565" s="10">
        <v>999900</v>
      </c>
      <c r="CJ565" s="7">
        <v>36271</v>
      </c>
    </row>
    <row r="566" spans="1:88">
      <c r="A566">
        <v>27201636</v>
      </c>
      <c r="B566" s="2" t="str">
        <f>HYPERLINK("http://www.redfin.com/stingray/do/printable-listing?listing-id=1289341","Active")</f>
        <v>Active</v>
      </c>
      <c r="D566" t="s">
        <v>5078</v>
      </c>
      <c r="E566" t="s">
        <v>5082</v>
      </c>
      <c r="F566">
        <v>479900</v>
      </c>
      <c r="G566">
        <v>1985</v>
      </c>
      <c r="H566">
        <v>1500</v>
      </c>
      <c r="I566">
        <v>0</v>
      </c>
      <c r="J566">
        <v>2</v>
      </c>
      <c r="K566">
        <v>2.25</v>
      </c>
      <c r="M566" s="2" t="str">
        <f>HYPERLINK("http://maps.live.com/default.aspx?v=2&amp;lvl=15&amp;sp=Point.47.621153_-122.153203_1235 140th Pl NE&amp;cp=47.621153~-122.153203","Map")</f>
        <v>Map</v>
      </c>
      <c r="N566" s="2" t="str">
        <f>HYPERLINK("http://i-0.rfimg.us/photo/1/bigphoto/636/27201636_0.jpg","Photo")</f>
        <v>Photo</v>
      </c>
      <c r="AG566">
        <v>47.621153</v>
      </c>
      <c r="AH566">
        <v>-122.153203</v>
      </c>
      <c r="AI566" t="s">
        <v>369</v>
      </c>
      <c r="AJ566">
        <v>98007</v>
      </c>
      <c r="BC566" s="22">
        <v>39399.709467592591</v>
      </c>
      <c r="BI566" s="22">
        <v>39549.294907407406</v>
      </c>
      <c r="BL566">
        <v>9598</v>
      </c>
      <c r="BM566">
        <v>1289341</v>
      </c>
      <c r="BN566" t="s">
        <v>1768</v>
      </c>
      <c r="BO566" s="17">
        <f t="shared" ca="1" si="8"/>
        <v>149.59993831018801</v>
      </c>
      <c r="BP566" t="b">
        <v>0</v>
      </c>
      <c r="BQ566">
        <v>1</v>
      </c>
      <c r="BR566" t="s">
        <v>1842</v>
      </c>
      <c r="BS566" t="s">
        <v>4434</v>
      </c>
      <c r="BT566" t="b">
        <v>0</v>
      </c>
      <c r="BV566" t="s">
        <v>1668</v>
      </c>
      <c r="BW566">
        <v>1235</v>
      </c>
      <c r="BX566" t="s">
        <v>1738</v>
      </c>
      <c r="BY566">
        <v>12302129</v>
      </c>
      <c r="BZ566" t="s">
        <v>1801</v>
      </c>
      <c r="CA566">
        <v>1</v>
      </c>
      <c r="CB566" t="b">
        <v>1</v>
      </c>
      <c r="CC566">
        <v>0</v>
      </c>
      <c r="CD566" t="b">
        <v>0</v>
      </c>
      <c r="CE566" t="b">
        <v>0</v>
      </c>
      <c r="CF566" t="b">
        <v>1</v>
      </c>
      <c r="CG566">
        <v>15509825</v>
      </c>
      <c r="CH566" t="s">
        <v>1681</v>
      </c>
      <c r="CI566" s="10">
        <v>479900</v>
      </c>
    </row>
    <row r="567" spans="1:88">
      <c r="A567">
        <v>27201733</v>
      </c>
      <c r="B567" s="2" t="str">
        <f>HYPERLINK("http://www.redfin.com/stingray/do/printable-listing?listing-id=1289775","Active")</f>
        <v>Active</v>
      </c>
      <c r="D567" t="s">
        <v>3853</v>
      </c>
      <c r="E567" t="s">
        <v>3850</v>
      </c>
      <c r="F567">
        <v>639950</v>
      </c>
      <c r="G567">
        <v>2007</v>
      </c>
      <c r="H567">
        <v>3363</v>
      </c>
      <c r="I567">
        <v>7187</v>
      </c>
      <c r="J567">
        <v>5</v>
      </c>
      <c r="K567">
        <v>2.5</v>
      </c>
      <c r="M567" s="2" t="str">
        <f>HYPERLINK("http://maps.live.com/default.aspx?v=2&amp;lvl=15&amp;sp=adr.5132 NE 10th St nLot 7 (Unable to map),98059","Map")</f>
        <v>Map</v>
      </c>
      <c r="N567" s="2" t="str">
        <f>HYPERLINK("http://i-0.rfimg.us/photo/1/bigphoto/733/27201733_6.jpg","Photo")</f>
        <v>Photo</v>
      </c>
      <c r="AI567" t="s">
        <v>1077</v>
      </c>
      <c r="AJ567">
        <v>98059</v>
      </c>
      <c r="AM567" t="s">
        <v>3851</v>
      </c>
      <c r="BC567" s="22">
        <v>39399.902719907404</v>
      </c>
      <c r="BI567" s="22">
        <v>39549.294907407406</v>
      </c>
      <c r="BL567">
        <v>12799</v>
      </c>
      <c r="BM567">
        <v>1289775</v>
      </c>
      <c r="BN567" t="s">
        <v>3236</v>
      </c>
      <c r="BO567" s="17">
        <f t="shared" ca="1" si="8"/>
        <v>149.40668599537457</v>
      </c>
      <c r="BP567" t="b">
        <v>0</v>
      </c>
      <c r="BQ567">
        <v>1</v>
      </c>
      <c r="BR567" t="s">
        <v>1686</v>
      </c>
      <c r="BS567" t="s">
        <v>1788</v>
      </c>
      <c r="BT567" t="b">
        <v>0</v>
      </c>
      <c r="BU567" t="s">
        <v>1738</v>
      </c>
      <c r="BV567" t="s">
        <v>1668</v>
      </c>
      <c r="BW567">
        <v>5132</v>
      </c>
      <c r="BY567">
        <v>0</v>
      </c>
      <c r="BZ567" t="s">
        <v>3852</v>
      </c>
      <c r="CA567">
        <v>1</v>
      </c>
      <c r="CB567" t="b">
        <v>1</v>
      </c>
      <c r="CC567">
        <v>0</v>
      </c>
      <c r="CD567" t="b">
        <v>0</v>
      </c>
      <c r="CE567" t="b">
        <v>0</v>
      </c>
      <c r="CF567" t="b">
        <v>1</v>
      </c>
      <c r="CG567" t="s">
        <v>1870</v>
      </c>
      <c r="CH567" t="s">
        <v>1681</v>
      </c>
      <c r="CI567" s="10">
        <v>639950</v>
      </c>
    </row>
    <row r="568" spans="1:88">
      <c r="A568">
        <v>27201788</v>
      </c>
      <c r="B568" s="15" t="str">
        <f>HYPERLINK("http://www.redfin.com/stingray/do/printable-listing?listing-id=1296145","Subject To Inspection")</f>
        <v>Subject To Inspection</v>
      </c>
      <c r="D568" t="s">
        <v>6041</v>
      </c>
      <c r="E568" t="s">
        <v>6044</v>
      </c>
      <c r="F568">
        <v>549900</v>
      </c>
      <c r="G568">
        <v>1997</v>
      </c>
      <c r="H568">
        <v>2515</v>
      </c>
      <c r="I568">
        <v>6970</v>
      </c>
      <c r="J568">
        <v>4</v>
      </c>
      <c r="K568">
        <v>2.5</v>
      </c>
      <c r="M568" s="2" t="str">
        <f>HYPERLINK("http://maps.live.com/default.aspx?v=2&amp;lvl=15&amp;sp=Point.47.512721_-122.17417_2336 Olympia Ave NE&amp;cp=47.512721~-122.17417","Map")</f>
        <v>Map</v>
      </c>
      <c r="N568" s="2" t="str">
        <f>HYPERLINK("http://i-0.rfimg.us/photo/1/bigphoto/788/27201788_3.jpg","Photo")</f>
        <v>Photo</v>
      </c>
      <c r="AG568">
        <v>47.512720999999999</v>
      </c>
      <c r="AH568">
        <v>-122.17417</v>
      </c>
      <c r="AI568" t="s">
        <v>1077</v>
      </c>
      <c r="AJ568">
        <v>98056</v>
      </c>
      <c r="AN568">
        <v>494500</v>
      </c>
      <c r="BC568" s="22">
        <v>39402.422280092593</v>
      </c>
      <c r="BI568" s="22">
        <v>39549.294907407406</v>
      </c>
      <c r="BL568">
        <v>10998</v>
      </c>
      <c r="BM568">
        <v>1296145</v>
      </c>
      <c r="BN568" t="s">
        <v>6043</v>
      </c>
      <c r="BO568" s="17">
        <f t="shared" ca="1" si="8"/>
        <v>146.88712581018626</v>
      </c>
      <c r="BP568" t="b">
        <v>0</v>
      </c>
      <c r="BQ568">
        <v>1</v>
      </c>
      <c r="BR568" t="s">
        <v>1667</v>
      </c>
      <c r="BS568" t="s">
        <v>6045</v>
      </c>
      <c r="BT568" t="b">
        <v>0</v>
      </c>
      <c r="BV568" t="s">
        <v>1668</v>
      </c>
      <c r="BW568">
        <v>2336</v>
      </c>
      <c r="BX568" t="s">
        <v>1738</v>
      </c>
      <c r="BY568">
        <v>411629</v>
      </c>
      <c r="BZ568" t="s">
        <v>4899</v>
      </c>
      <c r="CA568">
        <v>1</v>
      </c>
      <c r="CB568" t="b">
        <v>1</v>
      </c>
      <c r="CC568">
        <v>0</v>
      </c>
      <c r="CD568" t="b">
        <v>0</v>
      </c>
      <c r="CE568" t="b">
        <v>0</v>
      </c>
      <c r="CF568" t="b">
        <v>1</v>
      </c>
      <c r="CG568">
        <v>2381930</v>
      </c>
      <c r="CH568" t="s">
        <v>1681</v>
      </c>
      <c r="CI568" s="10">
        <v>549900</v>
      </c>
      <c r="CJ568" s="7">
        <v>38631</v>
      </c>
    </row>
    <row r="569" spans="1:88">
      <c r="A569">
        <v>27201791</v>
      </c>
      <c r="B569" s="2" t="str">
        <f>HYPERLINK("http://www.redfin.com/stingray/do/printable-listing?listing-id=1290748","Active")</f>
        <v>Active</v>
      </c>
      <c r="D569" t="s">
        <v>5490</v>
      </c>
      <c r="E569" t="s">
        <v>5793</v>
      </c>
      <c r="F569" s="19">
        <v>474950</v>
      </c>
      <c r="G569">
        <v>1998</v>
      </c>
      <c r="H569">
        <v>1879</v>
      </c>
      <c r="I569">
        <v>0</v>
      </c>
      <c r="J569">
        <v>3</v>
      </c>
      <c r="K569">
        <v>2.5</v>
      </c>
      <c r="M569" s="2" t="str">
        <f>HYPERLINK("http://maps.live.com/default.aspx?v=2&amp;lvl=15&amp;sp=Point.47.554673_-122.123517_5399 164th Ave SE&amp;cp=47.554673~-122.123517","Map")</f>
        <v>Map</v>
      </c>
      <c r="N569" s="2" t="str">
        <f>HYPERLINK("http://i-0.rfimg.us/photo/1/bigphoto/791/27201791_3.jpg","Photo")</f>
        <v>Photo</v>
      </c>
      <c r="AG569">
        <v>47.554673000000001</v>
      </c>
      <c r="AH569">
        <v>-122.12351700000001</v>
      </c>
      <c r="AI569" t="s">
        <v>369</v>
      </c>
      <c r="AJ569">
        <v>98006</v>
      </c>
      <c r="BC569" s="22">
        <v>39400.400555555556</v>
      </c>
      <c r="BI569" s="22">
        <v>39549.294907407406</v>
      </c>
      <c r="BL569">
        <v>9960</v>
      </c>
      <c r="BM569">
        <v>1290748</v>
      </c>
      <c r="BN569" t="s">
        <v>1775</v>
      </c>
      <c r="BO569" s="17">
        <f t="shared" ca="1" si="8"/>
        <v>148.90885034722305</v>
      </c>
      <c r="BP569" t="b">
        <v>0</v>
      </c>
      <c r="BQ569">
        <v>1</v>
      </c>
      <c r="BR569" t="s">
        <v>1667</v>
      </c>
      <c r="BS569" t="s">
        <v>5306</v>
      </c>
      <c r="BT569" t="b">
        <v>0</v>
      </c>
      <c r="BV569" t="s">
        <v>1668</v>
      </c>
      <c r="BW569">
        <v>5399</v>
      </c>
      <c r="BX569" t="s">
        <v>3856</v>
      </c>
      <c r="BY569">
        <v>12302366</v>
      </c>
      <c r="BZ569" t="s">
        <v>5794</v>
      </c>
      <c r="CA569">
        <v>1</v>
      </c>
      <c r="CB569" t="b">
        <v>1</v>
      </c>
      <c r="CC569">
        <v>0</v>
      </c>
      <c r="CD569" t="b">
        <v>0</v>
      </c>
      <c r="CE569" t="b">
        <v>0</v>
      </c>
      <c r="CF569" t="b">
        <v>1</v>
      </c>
      <c r="CG569">
        <v>15509994</v>
      </c>
      <c r="CH569" t="s">
        <v>1681</v>
      </c>
      <c r="CI569" s="10">
        <v>498000</v>
      </c>
    </row>
    <row r="570" spans="1:88">
      <c r="A570">
        <v>27201875</v>
      </c>
      <c r="B570" s="2" t="str">
        <f>HYPERLINK("http://www.redfin.com/stingray/do/printable-listing?listing-id=1291070","Active")</f>
        <v>Active</v>
      </c>
      <c r="D570" t="s">
        <v>369</v>
      </c>
      <c r="E570" t="s">
        <v>5947</v>
      </c>
      <c r="F570">
        <v>629000</v>
      </c>
      <c r="G570">
        <v>1981</v>
      </c>
      <c r="H570">
        <v>1950</v>
      </c>
      <c r="I570">
        <v>8001</v>
      </c>
      <c r="J570">
        <v>3</v>
      </c>
      <c r="K570">
        <v>2.25</v>
      </c>
      <c r="M570" s="2" t="str">
        <f>HYPERLINK("http://maps.live.com/default.aspx?v=2&amp;lvl=15&amp;sp=Point.47.548188_-122.153311_14010 SE 61st Pl&amp;cp=47.548188~-122.153311","Map")</f>
        <v>Map</v>
      </c>
      <c r="N570" s="2" t="str">
        <f>HYPERLINK("http://i-0.rfimg.us/photo/1/bigphoto/875/27201875_2.jpg","Photo")</f>
        <v>Photo</v>
      </c>
      <c r="AG570">
        <v>47.548188000000003</v>
      </c>
      <c r="AH570">
        <v>-122.153311</v>
      </c>
      <c r="AI570" t="s">
        <v>369</v>
      </c>
      <c r="AJ570">
        <v>98006</v>
      </c>
      <c r="AN570">
        <v>324500</v>
      </c>
      <c r="BC570" s="22">
        <v>39400.476782407408</v>
      </c>
      <c r="BI570" s="22">
        <v>39549.294907407406</v>
      </c>
      <c r="BL570">
        <v>12580</v>
      </c>
      <c r="BM570">
        <v>1291070</v>
      </c>
      <c r="BN570" t="s">
        <v>1737</v>
      </c>
      <c r="BO570" s="17">
        <f t="shared" ca="1" si="8"/>
        <v>148.83262349537108</v>
      </c>
      <c r="BP570" t="b">
        <v>0</v>
      </c>
      <c r="BQ570">
        <v>1</v>
      </c>
      <c r="BR570" t="s">
        <v>1842</v>
      </c>
      <c r="BS570" t="s">
        <v>2431</v>
      </c>
      <c r="BT570" t="b">
        <v>0</v>
      </c>
      <c r="BU570" t="s">
        <v>3856</v>
      </c>
      <c r="BV570" t="s">
        <v>1668</v>
      </c>
      <c r="BW570">
        <v>14010</v>
      </c>
      <c r="BY570">
        <v>239008</v>
      </c>
      <c r="BZ570" t="s">
        <v>3190</v>
      </c>
      <c r="CA570">
        <v>1</v>
      </c>
      <c r="CB570" t="b">
        <v>1</v>
      </c>
      <c r="CC570">
        <v>0</v>
      </c>
      <c r="CD570" t="b">
        <v>0</v>
      </c>
      <c r="CE570" t="b">
        <v>0</v>
      </c>
      <c r="CF570" t="b">
        <v>1</v>
      </c>
      <c r="CG570">
        <v>2445674</v>
      </c>
      <c r="CH570" t="s">
        <v>1681</v>
      </c>
      <c r="CI570" s="10">
        <v>629000</v>
      </c>
      <c r="CJ570" s="7">
        <v>36829</v>
      </c>
    </row>
    <row r="571" spans="1:88">
      <c r="A571">
        <v>27201882</v>
      </c>
      <c r="B571" s="2" t="str">
        <f>HYPERLINK("http://www.redfin.com/stingray/do/printable-listing?listing-id=1291132","Active")</f>
        <v>Active</v>
      </c>
      <c r="D571" t="s">
        <v>5078</v>
      </c>
      <c r="E571" t="s">
        <v>5079</v>
      </c>
      <c r="F571">
        <v>499900</v>
      </c>
      <c r="G571">
        <v>1985</v>
      </c>
      <c r="H571">
        <v>1500</v>
      </c>
      <c r="I571">
        <v>0</v>
      </c>
      <c r="J571">
        <v>2</v>
      </c>
      <c r="K571">
        <v>2.25</v>
      </c>
      <c r="M571" s="2" t="str">
        <f>HYPERLINK("http://maps.live.com/default.aspx?v=2&amp;lvl=15&amp;sp=Point.47.621202_-122.15322_1245 140th Pl NE&amp;cp=47.621202~-122.15322","Map")</f>
        <v>Map</v>
      </c>
      <c r="N571" s="2" t="str">
        <f>HYPERLINK("http://i-0.rfimg.us/photo/1/bigphoto/882/27201882_0.jpg","Photo")</f>
        <v>Photo</v>
      </c>
      <c r="AG571">
        <v>47.621201999999997</v>
      </c>
      <c r="AH571">
        <v>-122.15322</v>
      </c>
      <c r="AI571" t="s">
        <v>369</v>
      </c>
      <c r="AJ571">
        <v>98007</v>
      </c>
      <c r="AN571">
        <v>4796800</v>
      </c>
      <c r="BC571" s="22">
        <v>39400.486724537041</v>
      </c>
      <c r="BI571" s="22">
        <v>39549.294907407406</v>
      </c>
      <c r="BL571">
        <v>9998</v>
      </c>
      <c r="BM571">
        <v>1291132</v>
      </c>
      <c r="BN571" t="s">
        <v>1768</v>
      </c>
      <c r="BO571" s="17">
        <f t="shared" ca="1" si="8"/>
        <v>148.82268136573839</v>
      </c>
      <c r="BP571" t="b">
        <v>0</v>
      </c>
      <c r="BQ571">
        <v>1</v>
      </c>
      <c r="BR571" t="s">
        <v>1842</v>
      </c>
      <c r="BS571" t="s">
        <v>4434</v>
      </c>
      <c r="BT571" t="b">
        <v>0</v>
      </c>
      <c r="BV571" t="s">
        <v>1668</v>
      </c>
      <c r="BW571">
        <v>1245</v>
      </c>
      <c r="BX571" t="s">
        <v>1738</v>
      </c>
      <c r="BY571">
        <v>500268</v>
      </c>
      <c r="BZ571" t="s">
        <v>1801</v>
      </c>
      <c r="CA571">
        <v>1</v>
      </c>
      <c r="CB571" t="b">
        <v>1</v>
      </c>
      <c r="CC571">
        <v>0</v>
      </c>
      <c r="CD571" t="b">
        <v>0</v>
      </c>
      <c r="CE571" t="b">
        <v>0</v>
      </c>
      <c r="CF571" t="b">
        <v>1</v>
      </c>
      <c r="CG571">
        <v>2968825</v>
      </c>
      <c r="CH571" t="s">
        <v>1681</v>
      </c>
      <c r="CI571" s="10">
        <v>499900</v>
      </c>
      <c r="CJ571" s="7">
        <v>39219</v>
      </c>
    </row>
    <row r="572" spans="1:88">
      <c r="A572">
        <v>27201907</v>
      </c>
      <c r="B572" s="2" t="str">
        <f>HYPERLINK("http://www.redfin.com/stingray/do/printable-listing?listing-id=1291249","Active")</f>
        <v>Active</v>
      </c>
      <c r="D572" t="s">
        <v>3959</v>
      </c>
      <c r="E572" t="s">
        <v>4136</v>
      </c>
      <c r="F572">
        <v>484950</v>
      </c>
      <c r="G572">
        <v>2007</v>
      </c>
      <c r="H572">
        <v>1734</v>
      </c>
      <c r="I572">
        <v>0</v>
      </c>
      <c r="J572">
        <v>3</v>
      </c>
      <c r="K572">
        <v>2.5</v>
      </c>
      <c r="M572" s="2" t="str">
        <f>HYPERLINK("http://maps.live.com/default.aspx?v=2&amp;lvl=15&amp;sp=Point.47.603097_-122.30934_163 18th Ave nB&amp;cp=47.603097~-122.30934","Map")</f>
        <v>Map</v>
      </c>
      <c r="N572" s="2" t="str">
        <f>HYPERLINK("http://i-0.rfimg.us/photo/1/bigphoto/907/27201907_0.jpg","Photo")</f>
        <v>Photo</v>
      </c>
      <c r="AG572">
        <v>47.603096999999998</v>
      </c>
      <c r="AH572">
        <v>-122.30934000000001</v>
      </c>
      <c r="AI572" t="s">
        <v>66</v>
      </c>
      <c r="AJ572">
        <v>98122</v>
      </c>
      <c r="AM572" t="s">
        <v>1699</v>
      </c>
      <c r="BC572" s="22">
        <v>39400.519965277781</v>
      </c>
      <c r="BI572" s="7">
        <v>39539</v>
      </c>
      <c r="BL572">
        <v>9699</v>
      </c>
      <c r="BM572">
        <v>1291249</v>
      </c>
      <c r="BN572" t="s">
        <v>1725</v>
      </c>
      <c r="BO572" s="17">
        <f t="shared" ca="1" si="8"/>
        <v>148.78944062499795</v>
      </c>
      <c r="BP572" t="b">
        <v>0</v>
      </c>
      <c r="BQ572">
        <v>1</v>
      </c>
      <c r="BR572" t="s">
        <v>1667</v>
      </c>
      <c r="BS572" t="s">
        <v>1909</v>
      </c>
      <c r="BT572" t="b">
        <v>0</v>
      </c>
      <c r="BV572" t="s">
        <v>1668</v>
      </c>
      <c r="BW572">
        <v>163</v>
      </c>
      <c r="BY572">
        <v>12302422</v>
      </c>
      <c r="BZ572" t="s">
        <v>1745</v>
      </c>
      <c r="CA572">
        <v>1</v>
      </c>
      <c r="CB572" t="b">
        <v>1</v>
      </c>
      <c r="CC572">
        <v>0</v>
      </c>
      <c r="CD572" t="b">
        <v>0</v>
      </c>
      <c r="CE572" t="b">
        <v>0</v>
      </c>
      <c r="CF572" t="b">
        <v>1</v>
      </c>
      <c r="CG572">
        <v>15510050</v>
      </c>
      <c r="CH572" t="s">
        <v>1681</v>
      </c>
      <c r="CI572" s="10">
        <v>484950</v>
      </c>
    </row>
    <row r="573" spans="1:88">
      <c r="A573">
        <v>27201916</v>
      </c>
      <c r="B573" s="2" t="str">
        <f>HYPERLINK("http://www.redfin.com/stingray/do/printable-listing?listing-id=1291197","Active")</f>
        <v>Active</v>
      </c>
      <c r="D573" t="s">
        <v>5078</v>
      </c>
      <c r="E573" t="s">
        <v>5080</v>
      </c>
      <c r="F573">
        <v>499900</v>
      </c>
      <c r="G573">
        <v>1985</v>
      </c>
      <c r="H573">
        <v>1500</v>
      </c>
      <c r="I573">
        <v>0</v>
      </c>
      <c r="J573">
        <v>2</v>
      </c>
      <c r="K573">
        <v>2.25</v>
      </c>
      <c r="M573" s="2" t="str">
        <f>HYPERLINK("http://maps.live.com/default.aspx?v=2&amp;lvl=15&amp;sp=Point.47.620994_-122.152717_1220 140th Pl NE&amp;cp=47.620994~-122.152717","Map")</f>
        <v>Map</v>
      </c>
      <c r="N573" s="2" t="str">
        <f>HYPERLINK("http://i-0.rfimg.us/photo/1/bigphoto/916/27201916_0.jpg","Photo")</f>
        <v>Photo</v>
      </c>
      <c r="AG573">
        <v>47.620994000000003</v>
      </c>
      <c r="AH573">
        <v>-122.152717</v>
      </c>
      <c r="AI573" t="s">
        <v>369</v>
      </c>
      <c r="AJ573">
        <v>98007</v>
      </c>
      <c r="AN573">
        <v>4796800</v>
      </c>
      <c r="BC573" s="22">
        <v>39400.507314814815</v>
      </c>
      <c r="BI573" s="22">
        <v>39549.294907407406</v>
      </c>
      <c r="BL573">
        <v>9998</v>
      </c>
      <c r="BM573">
        <v>1291197</v>
      </c>
      <c r="BN573" t="s">
        <v>1768</v>
      </c>
      <c r="BO573" s="17">
        <f t="shared" ca="1" si="8"/>
        <v>148.80209108796407</v>
      </c>
      <c r="BP573" t="b">
        <v>0</v>
      </c>
      <c r="BQ573">
        <v>1</v>
      </c>
      <c r="BR573" t="s">
        <v>1842</v>
      </c>
      <c r="BS573" t="s">
        <v>4434</v>
      </c>
      <c r="BT573" t="b">
        <v>0</v>
      </c>
      <c r="BV573" t="s">
        <v>1668</v>
      </c>
      <c r="BW573">
        <v>1220</v>
      </c>
      <c r="BX573" t="s">
        <v>1738</v>
      </c>
      <c r="BY573">
        <v>500587</v>
      </c>
      <c r="BZ573" t="s">
        <v>1801</v>
      </c>
      <c r="CA573">
        <v>1</v>
      </c>
      <c r="CB573" t="b">
        <v>1</v>
      </c>
      <c r="CC573">
        <v>0</v>
      </c>
      <c r="CD573" t="b">
        <v>0</v>
      </c>
      <c r="CE573" t="b">
        <v>0</v>
      </c>
      <c r="CF573" t="b">
        <v>1</v>
      </c>
      <c r="CG573">
        <v>2347522</v>
      </c>
      <c r="CH573" t="s">
        <v>1681</v>
      </c>
      <c r="CI573" s="10">
        <v>499900</v>
      </c>
      <c r="CJ573" s="7">
        <v>39219</v>
      </c>
    </row>
    <row r="574" spans="1:88">
      <c r="A574">
        <v>27201981</v>
      </c>
      <c r="B574" s="2" t="str">
        <f>HYPERLINK("http://www.redfin.com/stingray/do/printable-listing?listing-id=1291669","Active")</f>
        <v>Active</v>
      </c>
      <c r="D574" t="s">
        <v>5565</v>
      </c>
      <c r="E574" t="s">
        <v>5812</v>
      </c>
      <c r="F574">
        <v>539000</v>
      </c>
      <c r="G574">
        <v>1966</v>
      </c>
      <c r="H574">
        <v>1930</v>
      </c>
      <c r="I574">
        <v>8276</v>
      </c>
      <c r="J574">
        <v>3</v>
      </c>
      <c r="K574">
        <v>3</v>
      </c>
      <c r="M574" s="2" t="str">
        <f>HYPERLINK("http://maps.live.com/default.aspx?v=2&amp;lvl=15&amp;sp=Point.47.557325_-122.173236_12515 SE 50th Pl&amp;cp=47.557325~-122.173236","Map")</f>
        <v>Map</v>
      </c>
      <c r="N574" s="2" t="str">
        <f>HYPERLINK("http://i-0.rfimg.us/photo/1/bigphoto/981/27201981_2.jpg","Photo")</f>
        <v>Photo</v>
      </c>
      <c r="AG574">
        <v>47.557324999999999</v>
      </c>
      <c r="AH574">
        <v>-122.173236</v>
      </c>
      <c r="AI574" t="s">
        <v>369</v>
      </c>
      <c r="AJ574">
        <v>98006</v>
      </c>
      <c r="AN574">
        <v>198000</v>
      </c>
      <c r="BC574" s="22">
        <v>39400.621631944443</v>
      </c>
      <c r="BI574" s="22">
        <v>39549.294907407406</v>
      </c>
      <c r="BL574">
        <v>10780</v>
      </c>
      <c r="BM574">
        <v>1291669</v>
      </c>
      <c r="BN574" t="s">
        <v>1674</v>
      </c>
      <c r="BO574" s="17">
        <f t="shared" ca="1" si="8"/>
        <v>148.68777395833604</v>
      </c>
      <c r="BP574" t="b">
        <v>0</v>
      </c>
      <c r="BQ574">
        <v>1</v>
      </c>
      <c r="BR574" t="s">
        <v>1842</v>
      </c>
      <c r="BS574" t="s">
        <v>2638</v>
      </c>
      <c r="BT574" t="b">
        <v>0</v>
      </c>
      <c r="BU574" t="s">
        <v>3856</v>
      </c>
      <c r="BV574" t="s">
        <v>1668</v>
      </c>
      <c r="BW574">
        <v>12515</v>
      </c>
      <c r="BY574">
        <v>414804</v>
      </c>
      <c r="BZ574" t="s">
        <v>5813</v>
      </c>
      <c r="CA574">
        <v>1</v>
      </c>
      <c r="CB574" t="b">
        <v>1</v>
      </c>
      <c r="CC574">
        <v>0</v>
      </c>
      <c r="CD574" t="b">
        <v>0</v>
      </c>
      <c r="CE574" t="b">
        <v>0</v>
      </c>
      <c r="CF574" t="b">
        <v>1</v>
      </c>
      <c r="CG574">
        <v>2607374</v>
      </c>
      <c r="CH574" t="s">
        <v>1681</v>
      </c>
      <c r="CI574" s="10">
        <v>539000</v>
      </c>
      <c r="CJ574" s="7">
        <v>34971</v>
      </c>
    </row>
    <row r="575" spans="1:88">
      <c r="A575">
        <v>27202070</v>
      </c>
      <c r="B575" s="2" t="str">
        <f>HYPERLINK("http://www.redfin.com/stingray/do/printable-listing?listing-id=1293321","Active")</f>
        <v>Active</v>
      </c>
      <c r="D575" t="s">
        <v>919</v>
      </c>
      <c r="E575" t="s">
        <v>444</v>
      </c>
      <c r="F575">
        <v>339950</v>
      </c>
      <c r="G575">
        <v>1947</v>
      </c>
      <c r="H575">
        <v>880</v>
      </c>
      <c r="I575">
        <v>6024</v>
      </c>
      <c r="J575">
        <v>2</v>
      </c>
      <c r="K575">
        <v>1</v>
      </c>
      <c r="M575" s="2" t="str">
        <f>HYPERLINK("http://maps.live.com/default.aspx?v=2&amp;lvl=15&amp;sp=Point.47.704838_-122.335457_1805 N 105th St&amp;cp=47.704838~-122.335457","Map")</f>
        <v>Map</v>
      </c>
      <c r="N575" s="2" t="str">
        <f>HYPERLINK("http://i-0.rfimg.us/photo/1/bigphoto/070/27202070_0.jpg","Photo")</f>
        <v>Photo</v>
      </c>
      <c r="AG575">
        <v>47.704838000000002</v>
      </c>
      <c r="AH575">
        <v>-122.33545700000001</v>
      </c>
      <c r="AI575" t="s">
        <v>66</v>
      </c>
      <c r="AJ575">
        <v>98133</v>
      </c>
      <c r="BC575" s="22">
        <v>39401.531585648147</v>
      </c>
      <c r="BI575" s="22">
        <v>39549.294907407406</v>
      </c>
      <c r="BL575">
        <v>6799</v>
      </c>
      <c r="BM575">
        <v>1293321</v>
      </c>
      <c r="BN575" t="s">
        <v>1768</v>
      </c>
      <c r="BO575" s="17">
        <f t="shared" ca="1" si="8"/>
        <v>147.77782037037105</v>
      </c>
      <c r="BP575" t="b">
        <v>0</v>
      </c>
      <c r="BQ575">
        <v>1</v>
      </c>
      <c r="BR575" t="s">
        <v>1686</v>
      </c>
      <c r="BS575" t="s">
        <v>2705</v>
      </c>
      <c r="BT575" t="b">
        <v>0</v>
      </c>
      <c r="BU575" t="s">
        <v>1712</v>
      </c>
      <c r="BV575" t="s">
        <v>1668</v>
      </c>
      <c r="BW575">
        <v>1805</v>
      </c>
      <c r="BY575">
        <v>105301</v>
      </c>
      <c r="BZ575" t="s">
        <v>1801</v>
      </c>
      <c r="CA575">
        <v>1</v>
      </c>
      <c r="CB575" t="b">
        <v>1</v>
      </c>
      <c r="CC575">
        <v>0</v>
      </c>
      <c r="CD575" t="b">
        <v>0</v>
      </c>
      <c r="CE575" t="b">
        <v>0</v>
      </c>
      <c r="CF575" t="b">
        <v>1</v>
      </c>
      <c r="CG575">
        <v>2557141</v>
      </c>
      <c r="CH575" t="s">
        <v>1681</v>
      </c>
      <c r="CI575" s="10">
        <v>339950</v>
      </c>
    </row>
    <row r="576" spans="1:88">
      <c r="A576">
        <v>27202072</v>
      </c>
      <c r="B576" s="2" t="str">
        <f>HYPERLINK("http://www.redfin.com/stingray/do/printable-listing?listing-id=1291804","Active")</f>
        <v>Active</v>
      </c>
      <c r="D576" t="s">
        <v>5078</v>
      </c>
      <c r="E576" t="s">
        <v>5077</v>
      </c>
      <c r="F576">
        <v>499900</v>
      </c>
      <c r="G576">
        <v>1985</v>
      </c>
      <c r="H576">
        <v>1500</v>
      </c>
      <c r="I576">
        <v>0</v>
      </c>
      <c r="J576">
        <v>2</v>
      </c>
      <c r="K576">
        <v>2.25</v>
      </c>
      <c r="M576" s="2" t="str">
        <f>HYPERLINK("http://maps.live.com/default.aspx?v=2&amp;lvl=15&amp;sp=Point.47.621003_-122.153211_1215 140th Pl NE&amp;cp=47.621003~-122.153211","Map")</f>
        <v>Map</v>
      </c>
      <c r="N576" s="2" t="str">
        <f>HYPERLINK("http://i-0.rfimg.us/photo/1/bigphoto/072/27202072_1.jpg","Photo")</f>
        <v>Photo</v>
      </c>
      <c r="AG576">
        <v>47.621003000000002</v>
      </c>
      <c r="AH576">
        <v>-122.153211</v>
      </c>
      <c r="AI576" t="s">
        <v>369</v>
      </c>
      <c r="AJ576">
        <v>98007</v>
      </c>
      <c r="AN576">
        <v>4796800</v>
      </c>
      <c r="BC576" s="22">
        <v>39400.663553240738</v>
      </c>
      <c r="BI576" s="22">
        <v>39549.294907407406</v>
      </c>
      <c r="BL576">
        <v>9998</v>
      </c>
      <c r="BM576">
        <v>1291804</v>
      </c>
      <c r="BN576" t="s">
        <v>1768</v>
      </c>
      <c r="BO576" s="17">
        <f t="shared" ca="1" si="8"/>
        <v>148.64585266204085</v>
      </c>
      <c r="BP576" t="b">
        <v>0</v>
      </c>
      <c r="BQ576">
        <v>1</v>
      </c>
      <c r="BR576" t="s">
        <v>1842</v>
      </c>
      <c r="BS576" t="s">
        <v>4434</v>
      </c>
      <c r="BT576" t="b">
        <v>0</v>
      </c>
      <c r="BV576" t="s">
        <v>1668</v>
      </c>
      <c r="BW576">
        <v>1215</v>
      </c>
      <c r="BX576" t="s">
        <v>1738</v>
      </c>
      <c r="BY576">
        <v>500467</v>
      </c>
      <c r="BZ576" t="s">
        <v>4351</v>
      </c>
      <c r="CA576">
        <v>1</v>
      </c>
      <c r="CB576" t="b">
        <v>1</v>
      </c>
      <c r="CC576">
        <v>0</v>
      </c>
      <c r="CD576" t="b">
        <v>0</v>
      </c>
      <c r="CE576" t="b">
        <v>0</v>
      </c>
      <c r="CF576" t="b">
        <v>1</v>
      </c>
      <c r="CG576">
        <v>2642989</v>
      </c>
      <c r="CH576" t="s">
        <v>1681</v>
      </c>
      <c r="CI576" s="10">
        <v>499900</v>
      </c>
      <c r="CJ576" s="7">
        <v>39219</v>
      </c>
    </row>
    <row r="577" spans="1:88">
      <c r="A577">
        <v>27202144</v>
      </c>
      <c r="B577" s="2" t="str">
        <f>HYPERLINK("http://www.redfin.com/stingray/do/printable-listing?listing-id=1293289","Active")</f>
        <v>Active</v>
      </c>
      <c r="D577" t="s">
        <v>100</v>
      </c>
      <c r="E577" t="s">
        <v>3319</v>
      </c>
      <c r="F577">
        <v>599950</v>
      </c>
      <c r="G577">
        <v>1999</v>
      </c>
      <c r="H577">
        <v>1259</v>
      </c>
      <c r="I577">
        <v>0</v>
      </c>
      <c r="J577">
        <v>2</v>
      </c>
      <c r="K577">
        <v>2.5</v>
      </c>
      <c r="M577" s="2" t="str">
        <f>HYPERLINK("http://maps.live.com/default.aspx?v=2&amp;lvl=15&amp;sp=Point.47.653434_-122.351095_3824 Evanston Ave N&amp;cp=47.653434~-122.351095","Map")</f>
        <v>Map</v>
      </c>
      <c r="N577" s="2" t="str">
        <f>HYPERLINK("http://i-0.rfimg.us/photo/1/bigphoto/144/27202144_1.jpg","Photo")</f>
        <v>Photo</v>
      </c>
      <c r="AG577">
        <v>47.653433999999997</v>
      </c>
      <c r="AH577">
        <v>-122.351095</v>
      </c>
      <c r="AI577" t="s">
        <v>66</v>
      </c>
      <c r="AJ577">
        <v>98103</v>
      </c>
      <c r="BC577" s="22">
        <v>39401.529907407406</v>
      </c>
      <c r="BI577" s="22">
        <v>39549.294907407406</v>
      </c>
      <c r="BL577">
        <v>11999</v>
      </c>
      <c r="BM577">
        <v>1293289</v>
      </c>
      <c r="BN577" t="s">
        <v>1700</v>
      </c>
      <c r="BO577" s="17">
        <f t="shared" ca="1" si="8"/>
        <v>147.77949849537254</v>
      </c>
      <c r="BP577" t="b">
        <v>0</v>
      </c>
      <c r="BQ577">
        <v>1</v>
      </c>
      <c r="BR577" t="s">
        <v>1667</v>
      </c>
      <c r="BS577" t="s">
        <v>2487</v>
      </c>
      <c r="BT577" t="b">
        <v>0</v>
      </c>
      <c r="BV577" t="s">
        <v>1668</v>
      </c>
      <c r="BW577">
        <v>3824</v>
      </c>
      <c r="BX577" t="s">
        <v>1712</v>
      </c>
      <c r="BY577">
        <v>2095244</v>
      </c>
      <c r="BZ577" t="s">
        <v>1836</v>
      </c>
      <c r="CA577">
        <v>1</v>
      </c>
      <c r="CB577" t="b">
        <v>1</v>
      </c>
      <c r="CC577">
        <v>0</v>
      </c>
      <c r="CD577" t="b">
        <v>0</v>
      </c>
      <c r="CE577" t="b">
        <v>0</v>
      </c>
      <c r="CF577" t="b">
        <v>1</v>
      </c>
      <c r="CG577">
        <v>2953275</v>
      </c>
      <c r="CH577" t="s">
        <v>1681</v>
      </c>
      <c r="CI577" s="10">
        <v>599950</v>
      </c>
    </row>
    <row r="578" spans="1:88">
      <c r="A578">
        <v>27202153</v>
      </c>
      <c r="B578" s="15" t="str">
        <f>HYPERLINK("http://www.redfin.com/stingray/do/printable-listing?listing-id=1296847","Subject To Inspection")</f>
        <v>Subject To Inspection</v>
      </c>
      <c r="D578" t="s">
        <v>5113</v>
      </c>
      <c r="E578" t="s">
        <v>5111</v>
      </c>
      <c r="F578">
        <v>625000</v>
      </c>
      <c r="G578">
        <v>1968</v>
      </c>
      <c r="H578">
        <v>2260</v>
      </c>
      <c r="I578">
        <v>6750</v>
      </c>
      <c r="J578">
        <v>4</v>
      </c>
      <c r="K578">
        <v>3.25</v>
      </c>
      <c r="M578" s="2" t="str">
        <f>HYPERLINK("http://maps.live.com/default.aspx?v=2&amp;lvl=15&amp;sp=Point.47.629643_-122.097213_2122 182nd Ave NE&amp;cp=47.629643~-122.097213","Map")</f>
        <v>Map</v>
      </c>
      <c r="N578" s="2" t="str">
        <f>HYPERLINK("http://i-0.rfimg.us/photo/1/bigphoto/153/27202153_0.jpg","Photo")</f>
        <v>Photo</v>
      </c>
      <c r="AG578">
        <v>47.629643000000002</v>
      </c>
      <c r="AH578">
        <v>-122.097213</v>
      </c>
      <c r="AI578" t="s">
        <v>4363</v>
      </c>
      <c r="AJ578">
        <v>98052</v>
      </c>
      <c r="AN578">
        <v>600000</v>
      </c>
      <c r="BC578" s="22">
        <v>39402.562048611115</v>
      </c>
      <c r="BI578" s="7">
        <v>39543</v>
      </c>
      <c r="BL578">
        <v>12500</v>
      </c>
      <c r="BM578">
        <v>1296847</v>
      </c>
      <c r="BN578" t="s">
        <v>4442</v>
      </c>
      <c r="BO578" s="17">
        <f t="shared" ref="BO578:BO641" ca="1" si="9">NOW()-BC578</f>
        <v>146.74735729166423</v>
      </c>
      <c r="BP578" t="b">
        <v>0</v>
      </c>
      <c r="BQ578">
        <v>1</v>
      </c>
      <c r="BR578" t="s">
        <v>1667</v>
      </c>
      <c r="BS578" t="s">
        <v>5112</v>
      </c>
      <c r="BT578" t="b">
        <v>0</v>
      </c>
      <c r="BV578" t="s">
        <v>1668</v>
      </c>
      <c r="BW578">
        <v>2122</v>
      </c>
      <c r="BX578" t="s">
        <v>1738</v>
      </c>
      <c r="BY578">
        <v>503058</v>
      </c>
      <c r="BZ578" t="s">
        <v>1747</v>
      </c>
      <c r="CA578">
        <v>1</v>
      </c>
      <c r="CB578" t="b">
        <v>1</v>
      </c>
      <c r="CC578">
        <v>0</v>
      </c>
      <c r="CD578" t="b">
        <v>0</v>
      </c>
      <c r="CE578" t="b">
        <v>0</v>
      </c>
      <c r="CF578" t="b">
        <v>1</v>
      </c>
      <c r="CG578">
        <v>2703052</v>
      </c>
      <c r="CH578" t="s">
        <v>1681</v>
      </c>
      <c r="CI578" s="10">
        <v>625000</v>
      </c>
      <c r="CJ578" s="7">
        <v>38919</v>
      </c>
    </row>
    <row r="579" spans="1:88">
      <c r="A579">
        <v>27202175</v>
      </c>
      <c r="B579" s="2" t="str">
        <f>HYPERLINK("http://www.redfin.com/stingray/do/printable-listing?listing-id=1292166","Active")</f>
        <v>Active</v>
      </c>
      <c r="D579" t="s">
        <v>6538</v>
      </c>
      <c r="E579" t="s">
        <v>6535</v>
      </c>
      <c r="F579">
        <v>379950</v>
      </c>
      <c r="G579">
        <v>1955</v>
      </c>
      <c r="H579">
        <v>2070</v>
      </c>
      <c r="I579">
        <v>7981</v>
      </c>
      <c r="J579">
        <v>3</v>
      </c>
      <c r="K579">
        <v>2</v>
      </c>
      <c r="M579" s="2" t="str">
        <f>HYPERLINK("http://maps.live.com/default.aspx?v=2&amp;lvl=15&amp;sp=adr.14218 4th Ave S nST (Unable to map),98168","Map")</f>
        <v>Map</v>
      </c>
      <c r="N579" s="2" t="str">
        <f>HYPERLINK("http://i-0.rfimg.us/photo/1/bigphoto/175/27202175_0.jpg","Photo")</f>
        <v>Photo</v>
      </c>
      <c r="AI579" t="s">
        <v>6537</v>
      </c>
      <c r="AJ579">
        <v>98168</v>
      </c>
      <c r="AM579" t="s">
        <v>6536</v>
      </c>
      <c r="BC579" s="22">
        <v>39400.767314814817</v>
      </c>
      <c r="BI579" s="22">
        <v>39549.294907407406</v>
      </c>
      <c r="BL579">
        <v>7599</v>
      </c>
      <c r="BM579">
        <v>1292166</v>
      </c>
      <c r="BN579" t="s">
        <v>1862</v>
      </c>
      <c r="BO579" s="17">
        <f t="shared" ca="1" si="9"/>
        <v>148.54209108796204</v>
      </c>
      <c r="BP579" t="b">
        <v>0</v>
      </c>
      <c r="BQ579">
        <v>1</v>
      </c>
      <c r="BR579" t="s">
        <v>1667</v>
      </c>
      <c r="BS579" t="s">
        <v>1724</v>
      </c>
      <c r="BT579" t="b">
        <v>0</v>
      </c>
      <c r="BV579" t="s">
        <v>1668</v>
      </c>
      <c r="BW579">
        <v>14218</v>
      </c>
      <c r="BX579" t="s">
        <v>1881</v>
      </c>
      <c r="BY579">
        <v>0</v>
      </c>
      <c r="BZ579" t="s">
        <v>1813</v>
      </c>
      <c r="CA579">
        <v>1</v>
      </c>
      <c r="CB579" t="b">
        <v>1</v>
      </c>
      <c r="CC579">
        <v>0</v>
      </c>
      <c r="CD579" t="b">
        <v>0</v>
      </c>
      <c r="CE579" t="b">
        <v>0</v>
      </c>
      <c r="CF579" t="b">
        <v>1</v>
      </c>
      <c r="CG579" t="s">
        <v>1870</v>
      </c>
      <c r="CH579" t="s">
        <v>1681</v>
      </c>
      <c r="CI579" s="10">
        <v>379950</v>
      </c>
    </row>
    <row r="580" spans="1:88">
      <c r="A580">
        <v>27202179</v>
      </c>
      <c r="B580" s="2" t="str">
        <f>HYPERLINK("http://www.redfin.com/stingray/do/printable-listing?listing-id=1299705","Active")</f>
        <v>Active</v>
      </c>
      <c r="D580" t="s">
        <v>55</v>
      </c>
      <c r="E580" t="s">
        <v>1537</v>
      </c>
      <c r="F580">
        <v>499950</v>
      </c>
      <c r="G580">
        <v>2007</v>
      </c>
      <c r="H580">
        <v>1840</v>
      </c>
      <c r="I580">
        <v>4340</v>
      </c>
      <c r="J580">
        <v>4</v>
      </c>
      <c r="K580">
        <v>2.5</v>
      </c>
      <c r="M580" s="2" t="str">
        <f>HYPERLINK("http://maps.live.com/default.aspx?v=2&amp;lvl=15&amp;sp=Point.47.70536_-122.346426_10505 Whitman Ave N&amp;cp=47.70536~-122.346426","Map")</f>
        <v>Map</v>
      </c>
      <c r="N580" s="2" t="str">
        <f>HYPERLINK("http://i-0.rfimg.us/photo/1/bigphoto/179/27202179_3.jpg","Photo")</f>
        <v>Photo</v>
      </c>
      <c r="AG580">
        <v>47.705359999999999</v>
      </c>
      <c r="AH580">
        <v>-122.34642599999999</v>
      </c>
      <c r="AI580" t="s">
        <v>66</v>
      </c>
      <c r="AJ580">
        <v>98133</v>
      </c>
      <c r="AN580">
        <v>239000</v>
      </c>
      <c r="BC580" s="22">
        <v>39403.869687500002</v>
      </c>
      <c r="BI580" s="22">
        <v>39549.294907407406</v>
      </c>
      <c r="BL580">
        <v>9999</v>
      </c>
      <c r="BM580">
        <v>1299705</v>
      </c>
      <c r="BN580" t="s">
        <v>2444</v>
      </c>
      <c r="BO580" s="17">
        <f t="shared" ca="1" si="9"/>
        <v>145.43971851851529</v>
      </c>
      <c r="BP580" t="b">
        <v>0</v>
      </c>
      <c r="BQ580">
        <v>1</v>
      </c>
      <c r="BR580" t="s">
        <v>1667</v>
      </c>
      <c r="BS580" t="s">
        <v>2811</v>
      </c>
      <c r="BT580" t="b">
        <v>0</v>
      </c>
      <c r="BV580" t="s">
        <v>1668</v>
      </c>
      <c r="BW580">
        <v>10505</v>
      </c>
      <c r="BX580" t="s">
        <v>1712</v>
      </c>
      <c r="BY580">
        <v>99779</v>
      </c>
      <c r="BZ580" t="s">
        <v>2812</v>
      </c>
      <c r="CA580">
        <v>1</v>
      </c>
      <c r="CB580" t="b">
        <v>1</v>
      </c>
      <c r="CC580">
        <v>0</v>
      </c>
      <c r="CD580" t="b">
        <v>0</v>
      </c>
      <c r="CE580" t="b">
        <v>0</v>
      </c>
      <c r="CF580" t="b">
        <v>1</v>
      </c>
      <c r="CG580">
        <v>2491520</v>
      </c>
      <c r="CH580" t="s">
        <v>1681</v>
      </c>
      <c r="CI580" s="10">
        <v>499950</v>
      </c>
      <c r="CJ580" s="7">
        <v>37958</v>
      </c>
    </row>
    <row r="581" spans="1:88">
      <c r="A581">
        <v>27202265</v>
      </c>
      <c r="B581" s="2" t="str">
        <f>HYPERLINK("http://www.redfin.com/stingray/do/printable-listing?listing-id=1294592","Active")</f>
        <v>Active</v>
      </c>
      <c r="D581" t="s">
        <v>3249</v>
      </c>
      <c r="E581" t="s">
        <v>3521</v>
      </c>
      <c r="F581" s="19">
        <v>485000</v>
      </c>
      <c r="G581">
        <v>1948</v>
      </c>
      <c r="H581">
        <v>2120</v>
      </c>
      <c r="I581">
        <v>4875</v>
      </c>
      <c r="J581">
        <v>2</v>
      </c>
      <c r="K581">
        <v>1</v>
      </c>
      <c r="M581" s="2" t="str">
        <f>HYPERLINK("http://maps.live.com/default.aspx?v=2&amp;lvl=15&amp;sp=Point.47.648234_-122.373328_3052 13th Ave W&amp;cp=47.648234~-122.373328","Map")</f>
        <v>Map</v>
      </c>
      <c r="N581" s="2" t="str">
        <f>HYPERLINK("http://i-0.rfimg.us/photo/1/bigphoto/265/27202265_2.jpg","Photo")</f>
        <v>Photo</v>
      </c>
      <c r="AG581">
        <v>47.648234000000002</v>
      </c>
      <c r="AH581">
        <v>-122.373328</v>
      </c>
      <c r="AI581" t="s">
        <v>66</v>
      </c>
      <c r="AJ581">
        <v>98119</v>
      </c>
      <c r="BC581" s="22">
        <v>39401.690081018518</v>
      </c>
      <c r="BI581" s="22">
        <v>39549.294907407406</v>
      </c>
      <c r="BL581">
        <v>9980</v>
      </c>
      <c r="BM581">
        <v>1294592</v>
      </c>
      <c r="BN581" t="s">
        <v>1680</v>
      </c>
      <c r="BO581" s="17">
        <f t="shared" ca="1" si="9"/>
        <v>147.619324884261</v>
      </c>
      <c r="BP581" t="b">
        <v>0</v>
      </c>
      <c r="BQ581">
        <v>1</v>
      </c>
      <c r="BR581" t="s">
        <v>1667</v>
      </c>
      <c r="BS581" t="s">
        <v>1809</v>
      </c>
      <c r="BT581" t="b">
        <v>0</v>
      </c>
      <c r="BV581" t="s">
        <v>1668</v>
      </c>
      <c r="BW581">
        <v>3052</v>
      </c>
      <c r="BX581" t="s">
        <v>2423</v>
      </c>
      <c r="BY581">
        <v>130388</v>
      </c>
      <c r="BZ581" t="s">
        <v>3522</v>
      </c>
      <c r="CA581">
        <v>1</v>
      </c>
      <c r="CB581" t="b">
        <v>1</v>
      </c>
      <c r="CC581">
        <v>0</v>
      </c>
      <c r="CD581" t="b">
        <v>0</v>
      </c>
      <c r="CE581" t="b">
        <v>0</v>
      </c>
      <c r="CF581" t="b">
        <v>1</v>
      </c>
      <c r="CG581">
        <v>2570675</v>
      </c>
      <c r="CH581" t="s">
        <v>1681</v>
      </c>
      <c r="CI581" s="10">
        <v>499000</v>
      </c>
    </row>
    <row r="582" spans="1:88">
      <c r="A582">
        <v>27202307</v>
      </c>
      <c r="B582" s="2" t="str">
        <f>HYPERLINK("http://www.redfin.com/stingray/do/printable-listing?listing-id=1293319","Active")</f>
        <v>Active</v>
      </c>
      <c r="D582" t="s">
        <v>3885</v>
      </c>
      <c r="E582" t="s">
        <v>5923</v>
      </c>
      <c r="F582">
        <v>729950</v>
      </c>
      <c r="G582">
        <v>1961</v>
      </c>
      <c r="H582">
        <v>3300</v>
      </c>
      <c r="I582">
        <v>9300</v>
      </c>
      <c r="J582">
        <v>4</v>
      </c>
      <c r="K582">
        <v>2.75</v>
      </c>
      <c r="M582" s="2" t="str">
        <f>HYPERLINK("http://maps.live.com/default.aspx?v=2&amp;lvl=15&amp;sp=Point.47.543787_-122.19262_6604 Lake Washington Blvd SE&amp;cp=47.543787~-122.19262","Map")</f>
        <v>Map</v>
      </c>
      <c r="N582" s="2" t="str">
        <f>HYPERLINK("http://i-0.rfimg.us/photo/1/bigphoto/307/27202307_4.jpg","Photo")</f>
        <v>Photo</v>
      </c>
      <c r="AG582">
        <v>47.543787000000002</v>
      </c>
      <c r="AH582">
        <v>-122.19262000000001</v>
      </c>
      <c r="AI582" t="s">
        <v>3885</v>
      </c>
      <c r="AJ582">
        <v>98056</v>
      </c>
      <c r="AN582">
        <v>610000</v>
      </c>
      <c r="BC582" s="22">
        <v>39401.5315162037</v>
      </c>
      <c r="BI582" s="22">
        <v>39549.294907407406</v>
      </c>
      <c r="BL582">
        <v>14599</v>
      </c>
      <c r="BM582">
        <v>1293319</v>
      </c>
      <c r="BN582" t="s">
        <v>2735</v>
      </c>
      <c r="BO582" s="17">
        <f t="shared" ca="1" si="9"/>
        <v>147.77788969907851</v>
      </c>
      <c r="BP582" t="b">
        <v>0</v>
      </c>
      <c r="BQ582">
        <v>1</v>
      </c>
      <c r="BR582" t="s">
        <v>3141</v>
      </c>
      <c r="BS582" t="s">
        <v>4293</v>
      </c>
      <c r="BT582" t="b">
        <v>0</v>
      </c>
      <c r="BV582" t="s">
        <v>1668</v>
      </c>
      <c r="BW582">
        <v>6604</v>
      </c>
      <c r="BX582" t="s">
        <v>3856</v>
      </c>
      <c r="BY582">
        <v>417806</v>
      </c>
      <c r="BZ582" t="s">
        <v>5924</v>
      </c>
      <c r="CA582">
        <v>1</v>
      </c>
      <c r="CB582" t="b">
        <v>1</v>
      </c>
      <c r="CC582">
        <v>0</v>
      </c>
      <c r="CD582" t="b">
        <v>0</v>
      </c>
      <c r="CE582" t="b">
        <v>0</v>
      </c>
      <c r="CF582" t="b">
        <v>1</v>
      </c>
      <c r="CG582">
        <v>2380133</v>
      </c>
      <c r="CH582" t="s">
        <v>1681</v>
      </c>
      <c r="CI582" s="10">
        <v>729950</v>
      </c>
      <c r="CJ582" s="7">
        <v>39360</v>
      </c>
    </row>
    <row r="583" spans="1:88">
      <c r="A583">
        <v>27202487</v>
      </c>
      <c r="B583" s="2" t="str">
        <f>HYPERLINK("http://www.redfin.com/stingray/do/printable-listing?listing-id=1293642","Active")</f>
        <v>Active</v>
      </c>
      <c r="D583" t="s">
        <v>3959</v>
      </c>
      <c r="E583" t="s">
        <v>4152</v>
      </c>
      <c r="F583">
        <v>780000</v>
      </c>
      <c r="G583">
        <v>1906</v>
      </c>
      <c r="H583">
        <v>4354</v>
      </c>
      <c r="I583">
        <v>0</v>
      </c>
      <c r="J583">
        <v>7</v>
      </c>
      <c r="K583">
        <v>4.25</v>
      </c>
      <c r="M583" s="2" t="str">
        <f>HYPERLINK("http://maps.live.com/default.aspx?v=2&amp;lvl=15&amp;sp=Point.47.605783_-122.310403_349 17th Ave&amp;cp=47.605783~-122.310403","Map")</f>
        <v>Map</v>
      </c>
      <c r="N583" s="2" t="str">
        <f>HYPERLINK("http://i-0.rfimg.us/photo/1/bigphoto/487/27202487_0.jpg","Photo")</f>
        <v>Photo</v>
      </c>
      <c r="AG583">
        <v>47.605783000000002</v>
      </c>
      <c r="AH583">
        <v>-122.31040299999999</v>
      </c>
      <c r="AI583" t="s">
        <v>66</v>
      </c>
      <c r="AJ583">
        <v>98122</v>
      </c>
      <c r="AN583">
        <v>300000</v>
      </c>
      <c r="BC583" s="22">
        <v>39401.552152777775</v>
      </c>
      <c r="BI583" s="22">
        <v>39549.294907407406</v>
      </c>
      <c r="BL583">
        <v>15600</v>
      </c>
      <c r="BM583">
        <v>1293642</v>
      </c>
      <c r="BN583" t="s">
        <v>1737</v>
      </c>
      <c r="BO583" s="17">
        <f t="shared" ca="1" si="9"/>
        <v>147.75725312500435</v>
      </c>
      <c r="BP583" t="b">
        <v>0</v>
      </c>
      <c r="BQ583">
        <v>1</v>
      </c>
      <c r="BR583" t="s">
        <v>1667</v>
      </c>
      <c r="BS583" t="s">
        <v>1683</v>
      </c>
      <c r="BT583" t="b">
        <v>0</v>
      </c>
      <c r="BV583" t="s">
        <v>1668</v>
      </c>
      <c r="BW583">
        <v>349</v>
      </c>
      <c r="BY583">
        <v>2065935</v>
      </c>
      <c r="BZ583" t="s">
        <v>1741</v>
      </c>
      <c r="CA583">
        <v>1</v>
      </c>
      <c r="CB583" t="b">
        <v>1</v>
      </c>
      <c r="CC583">
        <v>0</v>
      </c>
      <c r="CD583" t="b">
        <v>0</v>
      </c>
      <c r="CE583" t="b">
        <v>0</v>
      </c>
      <c r="CF583" t="b">
        <v>1</v>
      </c>
      <c r="CG583">
        <v>2453288</v>
      </c>
      <c r="CH583" t="s">
        <v>1681</v>
      </c>
      <c r="CI583" s="10">
        <v>780000</v>
      </c>
      <c r="CJ583" s="7">
        <v>38008</v>
      </c>
    </row>
    <row r="584" spans="1:88">
      <c r="A584">
        <v>27202493</v>
      </c>
      <c r="B584" s="2" t="str">
        <f>HYPERLINK("http://www.redfin.com/stingray/do/printable-listing?listing-id=1293638","Active")</f>
        <v>Active</v>
      </c>
      <c r="D584" t="s">
        <v>3885</v>
      </c>
      <c r="E584" t="s">
        <v>6051</v>
      </c>
      <c r="F584">
        <v>379900</v>
      </c>
      <c r="G584">
        <v>1969</v>
      </c>
      <c r="H584">
        <v>2130</v>
      </c>
      <c r="I584">
        <v>11761</v>
      </c>
      <c r="J584">
        <v>4</v>
      </c>
      <c r="K584">
        <v>2.5</v>
      </c>
      <c r="M584" s="2" t="str">
        <f>HYPERLINK("http://maps.live.com/default.aspx?v=2&amp;lvl=15&amp;sp=Point.47.511931_-122.159653_4437 NE 23rd Ct&amp;cp=47.511931~-122.159653","Map")</f>
        <v>Map</v>
      </c>
      <c r="N584" s="2" t="str">
        <f>HYPERLINK("http://i-0.rfimg.us/photo/1/bigphoto/493/27202493_0.jpg","Photo")</f>
        <v>Photo</v>
      </c>
      <c r="AG584">
        <v>47.511930999999997</v>
      </c>
      <c r="AH584">
        <v>-122.15965300000001</v>
      </c>
      <c r="AI584" t="s">
        <v>1077</v>
      </c>
      <c r="AJ584">
        <v>98059</v>
      </c>
      <c r="BC584" s="22">
        <v>39401.551979166667</v>
      </c>
      <c r="BI584" s="22">
        <v>39545.917314814818</v>
      </c>
      <c r="BL584">
        <v>7598</v>
      </c>
      <c r="BM584">
        <v>1293638</v>
      </c>
      <c r="BN584" t="s">
        <v>2590</v>
      </c>
      <c r="BO584" s="17">
        <f t="shared" ca="1" si="9"/>
        <v>147.75742673611239</v>
      </c>
      <c r="BP584" t="b">
        <v>0</v>
      </c>
      <c r="BQ584">
        <v>1</v>
      </c>
      <c r="BR584" t="s">
        <v>3768</v>
      </c>
      <c r="BS584" t="s">
        <v>1839</v>
      </c>
      <c r="BT584" t="b">
        <v>0</v>
      </c>
      <c r="BU584" t="s">
        <v>1738</v>
      </c>
      <c r="BV584" t="s">
        <v>1668</v>
      </c>
      <c r="BW584">
        <v>4437</v>
      </c>
      <c r="BY584">
        <v>412354</v>
      </c>
      <c r="BZ584" t="s">
        <v>1670</v>
      </c>
      <c r="CA584">
        <v>1</v>
      </c>
      <c r="CB584" t="b">
        <v>1</v>
      </c>
      <c r="CC584">
        <v>0</v>
      </c>
      <c r="CD584" t="b">
        <v>0</v>
      </c>
      <c r="CE584" t="b">
        <v>0</v>
      </c>
      <c r="CF584" t="b">
        <v>1</v>
      </c>
      <c r="CG584">
        <v>2934983</v>
      </c>
      <c r="CH584" t="s">
        <v>1681</v>
      </c>
      <c r="CI584" s="10">
        <v>379900</v>
      </c>
    </row>
    <row r="585" spans="1:88">
      <c r="A585">
        <v>27202777</v>
      </c>
      <c r="B585" s="2" t="str">
        <f>HYPERLINK("http://www.redfin.com/stingray/do/printable-listing?listing-id=1294838","Active")</f>
        <v>Active</v>
      </c>
      <c r="D585" t="s">
        <v>60</v>
      </c>
      <c r="E585" t="s">
        <v>2521</v>
      </c>
      <c r="F585">
        <v>535000</v>
      </c>
      <c r="G585">
        <v>1924</v>
      </c>
      <c r="H585">
        <v>2360</v>
      </c>
      <c r="I585">
        <v>4080</v>
      </c>
      <c r="J585">
        <v>5</v>
      </c>
      <c r="K585">
        <v>1.75</v>
      </c>
      <c r="M585" s="2" t="str">
        <f>HYPERLINK("http://maps.live.com/default.aspx?v=2&amp;lvl=15&amp;sp=Point.47.684982_-122.343626_1114 N 77th St&amp;cp=47.684982~-122.343626","Map")</f>
        <v>Map</v>
      </c>
      <c r="N585" s="2" t="str">
        <f>HYPERLINK("http://i-0.rfimg.us/photo/1/bigphoto/777/27202777_1.jpg","Photo")</f>
        <v>Photo</v>
      </c>
      <c r="AG585">
        <v>47.684981999999998</v>
      </c>
      <c r="AH585">
        <v>-122.343626</v>
      </c>
      <c r="AI585" t="s">
        <v>66</v>
      </c>
      <c r="AJ585">
        <v>98103</v>
      </c>
      <c r="AN585">
        <v>357000</v>
      </c>
      <c r="BC585" s="22">
        <v>39401.766365740739</v>
      </c>
      <c r="BI585" s="22">
        <v>39549.294907407406</v>
      </c>
      <c r="BL585">
        <v>10700</v>
      </c>
      <c r="BM585">
        <v>1294838</v>
      </c>
      <c r="BN585" t="s">
        <v>1688</v>
      </c>
      <c r="BO585" s="17">
        <f t="shared" ca="1" si="9"/>
        <v>147.54304027777835</v>
      </c>
      <c r="BP585" t="b">
        <v>0</v>
      </c>
      <c r="BQ585">
        <v>1</v>
      </c>
      <c r="BR585" t="s">
        <v>1686</v>
      </c>
      <c r="BS585" t="s">
        <v>1714</v>
      </c>
      <c r="BT585" t="b">
        <v>0</v>
      </c>
      <c r="BU585" t="s">
        <v>1712</v>
      </c>
      <c r="BV585" t="s">
        <v>1668</v>
      </c>
      <c r="BW585">
        <v>1114</v>
      </c>
      <c r="BY585">
        <v>307280</v>
      </c>
      <c r="BZ585" t="s">
        <v>2522</v>
      </c>
      <c r="CA585">
        <v>1</v>
      </c>
      <c r="CB585" t="b">
        <v>1</v>
      </c>
      <c r="CC585">
        <v>0</v>
      </c>
      <c r="CD585" t="b">
        <v>0</v>
      </c>
      <c r="CE585" t="b">
        <v>0</v>
      </c>
      <c r="CF585" t="b">
        <v>1</v>
      </c>
      <c r="CG585">
        <v>2447506</v>
      </c>
      <c r="CH585" t="s">
        <v>1681</v>
      </c>
      <c r="CI585" s="10">
        <v>535000</v>
      </c>
      <c r="CJ585" s="7">
        <v>38331</v>
      </c>
    </row>
    <row r="586" spans="1:88">
      <c r="A586">
        <v>27203041</v>
      </c>
      <c r="B586" s="2" t="str">
        <f>HYPERLINK("http://www.redfin.com/stingray/do/printable-listing?listing-id=1299997","Active")</f>
        <v>Active</v>
      </c>
      <c r="D586" t="s">
        <v>3721</v>
      </c>
      <c r="E586" t="s">
        <v>3887</v>
      </c>
      <c r="F586">
        <v>15500000</v>
      </c>
      <c r="G586">
        <v>1978</v>
      </c>
      <c r="H586">
        <v>7470</v>
      </c>
      <c r="I586">
        <v>31168</v>
      </c>
      <c r="J586">
        <v>5</v>
      </c>
      <c r="K586">
        <v>5</v>
      </c>
      <c r="M586" s="2" t="str">
        <f>HYPERLINK("http://maps.live.com/default.aspx?v=2&amp;lvl=15&amp;sp=adr.0 42nd Ave E nxxxx (Unable to map),98112","Map")</f>
        <v>Map</v>
      </c>
      <c r="N586" s="2" t="str">
        <f>HYPERLINK("http://i-0.rfimg.us/photo/1/bigphoto/041/27203041_3.jpg","Photo")</f>
        <v>Photo</v>
      </c>
      <c r="AI586" t="s">
        <v>66</v>
      </c>
      <c r="AJ586">
        <v>98112</v>
      </c>
      <c r="AM586" t="s">
        <v>3888</v>
      </c>
      <c r="BC586" s="22">
        <v>39404.369004629632</v>
      </c>
      <c r="BI586" s="7">
        <v>39539</v>
      </c>
      <c r="BL586">
        <v>310000</v>
      </c>
      <c r="BM586">
        <v>1299997</v>
      </c>
      <c r="BN586" t="s">
        <v>1674</v>
      </c>
      <c r="BO586" s="17">
        <f t="shared" ca="1" si="9"/>
        <v>144.94040127314656</v>
      </c>
      <c r="BP586" t="b">
        <v>0</v>
      </c>
      <c r="BQ586">
        <v>1</v>
      </c>
      <c r="BR586" t="s">
        <v>1667</v>
      </c>
      <c r="BS586" t="s">
        <v>3371</v>
      </c>
      <c r="BT586" t="b">
        <v>0</v>
      </c>
      <c r="BV586" t="s">
        <v>1668</v>
      </c>
      <c r="BW586">
        <v>0</v>
      </c>
      <c r="BX586" t="s">
        <v>2436</v>
      </c>
      <c r="BY586">
        <v>0</v>
      </c>
      <c r="BZ586" t="s">
        <v>3889</v>
      </c>
      <c r="CA586">
        <v>1</v>
      </c>
      <c r="CB586" t="b">
        <v>1</v>
      </c>
      <c r="CC586">
        <v>0</v>
      </c>
      <c r="CD586" t="b">
        <v>0</v>
      </c>
      <c r="CE586" t="b">
        <v>0</v>
      </c>
      <c r="CF586" t="b">
        <v>1</v>
      </c>
      <c r="CG586" t="s">
        <v>1870</v>
      </c>
      <c r="CH586" t="s">
        <v>1681</v>
      </c>
      <c r="CI586" s="10">
        <v>15500000</v>
      </c>
    </row>
    <row r="587" spans="1:88">
      <c r="A587">
        <v>27203137</v>
      </c>
      <c r="B587" s="2" t="str">
        <f>HYPERLINK("http://www.redfin.com/stingray/do/printable-listing?listing-id=1297062","Active")</f>
        <v>Active</v>
      </c>
      <c r="D587" t="s">
        <v>6198</v>
      </c>
      <c r="E587" t="s">
        <v>6208</v>
      </c>
      <c r="F587">
        <v>475000</v>
      </c>
      <c r="G587">
        <v>2008</v>
      </c>
      <c r="H587">
        <v>2625</v>
      </c>
      <c r="I587">
        <v>6759</v>
      </c>
      <c r="J587">
        <v>5</v>
      </c>
      <c r="K587">
        <v>2.5</v>
      </c>
      <c r="M587" s="2" t="str">
        <f>HYPERLINK("http://maps.live.com/default.aspx?v=2&amp;lvl=15&amp;sp=adr.156 Talbot Rd S nX1 (Unable to map),98055","Map")</f>
        <v>Map</v>
      </c>
      <c r="N587" s="2" t="str">
        <f>HYPERLINK("http://i-0.rfimg.us/photo/1/bigphoto/137/27203137_1.jpg","Photo")</f>
        <v>Photo</v>
      </c>
      <c r="AI587" t="s">
        <v>1077</v>
      </c>
      <c r="AJ587">
        <v>98055</v>
      </c>
      <c r="AM587" t="s">
        <v>6209</v>
      </c>
      <c r="BC587" s="22">
        <v>39402.611435185187</v>
      </c>
      <c r="BI587" s="7">
        <v>39542</v>
      </c>
      <c r="BL587">
        <v>9500</v>
      </c>
      <c r="BM587">
        <v>1297062</v>
      </c>
      <c r="BN587" t="s">
        <v>3092</v>
      </c>
      <c r="BO587" s="17">
        <f t="shared" ca="1" si="9"/>
        <v>146.6979707175924</v>
      </c>
      <c r="BP587" t="b">
        <v>0</v>
      </c>
      <c r="BQ587">
        <v>1</v>
      </c>
      <c r="BR587" t="s">
        <v>1949</v>
      </c>
      <c r="BS587" t="s">
        <v>6201</v>
      </c>
      <c r="BT587" t="b">
        <v>0</v>
      </c>
      <c r="BV587" t="s">
        <v>1668</v>
      </c>
      <c r="BW587">
        <v>156</v>
      </c>
      <c r="BX587" t="s">
        <v>1881</v>
      </c>
      <c r="BY587">
        <v>0</v>
      </c>
      <c r="BZ587" t="s">
        <v>4347</v>
      </c>
      <c r="CA587">
        <v>1</v>
      </c>
      <c r="CB587" t="b">
        <v>1</v>
      </c>
      <c r="CC587">
        <v>0</v>
      </c>
      <c r="CD587" t="b">
        <v>0</v>
      </c>
      <c r="CE587" t="b">
        <v>0</v>
      </c>
      <c r="CF587" t="b">
        <v>1</v>
      </c>
      <c r="CG587" t="s">
        <v>1870</v>
      </c>
      <c r="CH587" t="s">
        <v>1681</v>
      </c>
      <c r="CI587" s="10">
        <v>475000</v>
      </c>
    </row>
    <row r="588" spans="1:88">
      <c r="A588">
        <v>27203216</v>
      </c>
      <c r="B588" s="2" t="str">
        <f>HYPERLINK("http://www.redfin.com/stingray/do/printable-listing?listing-id=1297178","Active")</f>
        <v>Active</v>
      </c>
      <c r="D588" t="s">
        <v>63</v>
      </c>
      <c r="E588" t="s">
        <v>326</v>
      </c>
      <c r="F588">
        <v>349500</v>
      </c>
      <c r="G588">
        <v>1912</v>
      </c>
      <c r="H588">
        <v>840</v>
      </c>
      <c r="I588">
        <v>4800</v>
      </c>
      <c r="J588">
        <v>2</v>
      </c>
      <c r="K588">
        <v>1</v>
      </c>
      <c r="M588" s="2" t="str">
        <f>HYPERLINK("http://maps.live.com/default.aspx?v=2&amp;lvl=15&amp;sp=Point.47.687152_-122.361787_324 NW 80th&amp;cp=47.687152~-122.361787","Map")</f>
        <v>Map</v>
      </c>
      <c r="N588" s="2" t="str">
        <f>HYPERLINK("http://i-0.rfimg.us/photo/1/bigphoto/216/27203216_1.jpg","Photo")</f>
        <v>Photo</v>
      </c>
      <c r="AG588">
        <v>47.687151999999998</v>
      </c>
      <c r="AH588">
        <v>-122.36178700000001</v>
      </c>
      <c r="AI588" t="s">
        <v>66</v>
      </c>
      <c r="AJ588">
        <v>98117</v>
      </c>
      <c r="AN588">
        <v>45000</v>
      </c>
      <c r="BC588" s="22">
        <v>39402.651550925926</v>
      </c>
      <c r="BI588" s="22">
        <v>39549.294907407406</v>
      </c>
      <c r="BL588">
        <v>6990</v>
      </c>
      <c r="BM588">
        <v>1297178</v>
      </c>
      <c r="BN588" t="s">
        <v>1688</v>
      </c>
      <c r="BO588" s="17">
        <f t="shared" ca="1" si="9"/>
        <v>146.65785509259149</v>
      </c>
      <c r="BP588" t="b">
        <v>0</v>
      </c>
      <c r="BQ588">
        <v>1</v>
      </c>
      <c r="BS588" t="s">
        <v>1711</v>
      </c>
      <c r="BT588" t="b">
        <v>0</v>
      </c>
      <c r="BU588" t="s">
        <v>1669</v>
      </c>
      <c r="BV588" t="s">
        <v>1668</v>
      </c>
      <c r="BW588">
        <v>324</v>
      </c>
      <c r="BY588">
        <v>498046</v>
      </c>
      <c r="BZ588" t="s">
        <v>1756</v>
      </c>
      <c r="CA588">
        <v>1</v>
      </c>
      <c r="CB588" t="b">
        <v>1</v>
      </c>
      <c r="CC588">
        <v>0</v>
      </c>
      <c r="CD588" t="b">
        <v>0</v>
      </c>
      <c r="CE588" t="b">
        <v>0</v>
      </c>
      <c r="CF588" t="b">
        <v>1</v>
      </c>
      <c r="CG588">
        <v>2374930</v>
      </c>
      <c r="CH588" t="s">
        <v>1681</v>
      </c>
      <c r="CI588" s="10">
        <v>349500</v>
      </c>
      <c r="CJ588" s="7">
        <v>31509</v>
      </c>
    </row>
    <row r="589" spans="1:88">
      <c r="A589">
        <v>27203277</v>
      </c>
      <c r="B589" s="2" t="str">
        <f>HYPERLINK("http://www.redfin.com/stingray/do/printable-listing?listing-id=1297417","Active")</f>
        <v>Active</v>
      </c>
      <c r="D589" t="s">
        <v>5014</v>
      </c>
      <c r="E589" t="s">
        <v>5024</v>
      </c>
      <c r="F589">
        <v>900000</v>
      </c>
      <c r="G589">
        <v>1954</v>
      </c>
      <c r="H589">
        <v>0</v>
      </c>
      <c r="I589">
        <v>19469</v>
      </c>
      <c r="J589">
        <v>3</v>
      </c>
      <c r="K589">
        <v>1.75</v>
      </c>
      <c r="M589" s="2" t="str">
        <f>HYPERLINK("http://maps.live.com/default.aspx?v=2&amp;lvl=15&amp;sp=Point.47.625221_-122.209135_1618 98th Ave NE&amp;cp=47.625221~-122.209135","Map")</f>
        <v>Map</v>
      </c>
      <c r="N589" s="2" t="str">
        <f>HYPERLINK("http://i-0.rfimg.us/photo/1/bigphoto/277/27203277_0.jpg","Photo")</f>
        <v>Photo</v>
      </c>
      <c r="AG589">
        <v>47.625221000000003</v>
      </c>
      <c r="AH589">
        <v>-122.209135</v>
      </c>
      <c r="AI589" t="s">
        <v>369</v>
      </c>
      <c r="AJ589">
        <v>98004</v>
      </c>
      <c r="AN589">
        <v>187000</v>
      </c>
      <c r="BC589" s="22">
        <v>39402.687025462961</v>
      </c>
      <c r="BI589" s="22">
        <v>39549.294907407406</v>
      </c>
      <c r="BL589">
        <v>18000</v>
      </c>
      <c r="BM589">
        <v>1297417</v>
      </c>
      <c r="BN589" t="s">
        <v>1829</v>
      </c>
      <c r="BO589" s="17">
        <f t="shared" ca="1" si="9"/>
        <v>146.62238043981779</v>
      </c>
      <c r="BP589" t="b">
        <v>0</v>
      </c>
      <c r="BQ589">
        <v>1</v>
      </c>
      <c r="BR589" t="s">
        <v>1667</v>
      </c>
      <c r="BS589" t="s">
        <v>3007</v>
      </c>
      <c r="BT589" t="b">
        <v>0</v>
      </c>
      <c r="BV589" t="s">
        <v>1668</v>
      </c>
      <c r="BW589">
        <v>1618</v>
      </c>
      <c r="BX589" t="s">
        <v>1738</v>
      </c>
      <c r="BY589">
        <v>506315</v>
      </c>
      <c r="BZ589" t="s">
        <v>5025</v>
      </c>
      <c r="CA589">
        <v>1</v>
      </c>
      <c r="CB589" t="b">
        <v>1</v>
      </c>
      <c r="CC589">
        <v>0</v>
      </c>
      <c r="CD589" t="b">
        <v>0</v>
      </c>
      <c r="CE589" t="b">
        <v>0</v>
      </c>
      <c r="CF589" t="b">
        <v>1</v>
      </c>
      <c r="CG589">
        <v>2961959</v>
      </c>
      <c r="CH589" t="s">
        <v>1681</v>
      </c>
      <c r="CI589" s="10">
        <v>900000</v>
      </c>
      <c r="CJ589" s="7">
        <v>37559</v>
      </c>
    </row>
    <row r="590" spans="1:88">
      <c r="A590">
        <v>27203318</v>
      </c>
      <c r="B590" s="2" t="str">
        <f>HYPERLINK("http://www.redfin.com/stingray/do/printable-listing?listing-id=1297550","Active")</f>
        <v>Active</v>
      </c>
      <c r="D590" t="s">
        <v>6198</v>
      </c>
      <c r="E590" t="s">
        <v>6210</v>
      </c>
      <c r="F590">
        <v>445000</v>
      </c>
      <c r="G590">
        <v>2008</v>
      </c>
      <c r="H590">
        <v>2302</v>
      </c>
      <c r="I590">
        <v>5500</v>
      </c>
      <c r="J590">
        <v>4</v>
      </c>
      <c r="K590">
        <v>2.5</v>
      </c>
      <c r="M590" s="2" t="str">
        <f>HYPERLINK("http://maps.live.com/default.aspx?v=2&amp;lvl=15&amp;sp=adr.156 Talbot Rd S nX2 (Unable to map),98055","Map")</f>
        <v>Map</v>
      </c>
      <c r="N590" s="2" t="str">
        <f>HYPERLINK("http://i-0.rfimg.us/photo/1/bigphoto/318/27203318_0.jpg","Photo")</f>
        <v>Photo</v>
      </c>
      <c r="AI590" t="s">
        <v>1077</v>
      </c>
      <c r="AJ590">
        <v>98055</v>
      </c>
      <c r="AM590" t="s">
        <v>6211</v>
      </c>
      <c r="BC590" s="22">
        <v>39402.71025462963</v>
      </c>
      <c r="BI590" s="7">
        <v>39542</v>
      </c>
      <c r="BL590">
        <v>8900</v>
      </c>
      <c r="BM590">
        <v>1297550</v>
      </c>
      <c r="BN590" t="s">
        <v>3092</v>
      </c>
      <c r="BO590" s="17">
        <f t="shared" ca="1" si="9"/>
        <v>146.59915127314889</v>
      </c>
      <c r="BP590" t="b">
        <v>0</v>
      </c>
      <c r="BQ590">
        <v>1</v>
      </c>
      <c r="BR590" t="s">
        <v>1949</v>
      </c>
      <c r="BS590" t="s">
        <v>6201</v>
      </c>
      <c r="BT590" t="b">
        <v>0</v>
      </c>
      <c r="BV590" t="s">
        <v>1668</v>
      </c>
      <c r="BW590">
        <v>156</v>
      </c>
      <c r="BX590" t="s">
        <v>1881</v>
      </c>
      <c r="BY590">
        <v>0</v>
      </c>
      <c r="BZ590" t="s">
        <v>1743</v>
      </c>
      <c r="CA590">
        <v>1</v>
      </c>
      <c r="CB590" t="b">
        <v>1</v>
      </c>
      <c r="CC590">
        <v>0</v>
      </c>
      <c r="CD590" t="b">
        <v>0</v>
      </c>
      <c r="CE590" t="b">
        <v>0</v>
      </c>
      <c r="CF590" t="b">
        <v>1</v>
      </c>
      <c r="CG590" t="s">
        <v>1870</v>
      </c>
      <c r="CH590" t="s">
        <v>1681</v>
      </c>
      <c r="CI590" s="10">
        <v>445000</v>
      </c>
    </row>
    <row r="591" spans="1:88">
      <c r="A591">
        <v>27203377</v>
      </c>
      <c r="B591" s="2" t="str">
        <f>HYPERLINK("http://www.redfin.com/stingray/do/printable-listing?listing-id=1297657","Active")</f>
        <v>Active</v>
      </c>
      <c r="D591" t="s">
        <v>6198</v>
      </c>
      <c r="E591" t="s">
        <v>6212</v>
      </c>
      <c r="F591">
        <v>425000</v>
      </c>
      <c r="G591">
        <v>2008</v>
      </c>
      <c r="H591">
        <v>2008</v>
      </c>
      <c r="I591">
        <v>7260</v>
      </c>
      <c r="J591">
        <v>4</v>
      </c>
      <c r="K591">
        <v>2.5</v>
      </c>
      <c r="M591" s="2" t="str">
        <f>HYPERLINK("http://maps.live.com/default.aspx?v=2&amp;lvl=15&amp;sp=adr.156 Talbot Rd S nX4 (Unable to map),98055","Map")</f>
        <v>Map</v>
      </c>
      <c r="N591" s="2" t="str">
        <f>HYPERLINK("http://i-0.rfimg.us/photo/1/bigphoto/377/27203377_2.jpg","Photo")</f>
        <v>Photo</v>
      </c>
      <c r="AI591" t="s">
        <v>1077</v>
      </c>
      <c r="AJ591">
        <v>98055</v>
      </c>
      <c r="AM591" t="s">
        <v>6213</v>
      </c>
      <c r="BC591" s="22">
        <v>39402.749502314815</v>
      </c>
      <c r="BI591" s="7">
        <v>39542</v>
      </c>
      <c r="BL591">
        <v>8500</v>
      </c>
      <c r="BM591">
        <v>1297657</v>
      </c>
      <c r="BN591" t="s">
        <v>3092</v>
      </c>
      <c r="BO591" s="17">
        <f t="shared" ca="1" si="9"/>
        <v>146.55990358796407</v>
      </c>
      <c r="BP591" t="b">
        <v>0</v>
      </c>
      <c r="BQ591">
        <v>1</v>
      </c>
      <c r="BR591" t="s">
        <v>1949</v>
      </c>
      <c r="BS591" t="s">
        <v>6201</v>
      </c>
      <c r="BT591" t="b">
        <v>0</v>
      </c>
      <c r="BV591" t="s">
        <v>1668</v>
      </c>
      <c r="BW591">
        <v>156</v>
      </c>
      <c r="BX591" t="s">
        <v>1881</v>
      </c>
      <c r="BY591">
        <v>0</v>
      </c>
      <c r="BZ591" t="s">
        <v>6214</v>
      </c>
      <c r="CA591">
        <v>1</v>
      </c>
      <c r="CB591" t="b">
        <v>1</v>
      </c>
      <c r="CC591">
        <v>0</v>
      </c>
      <c r="CD591" t="b">
        <v>0</v>
      </c>
      <c r="CE591" t="b">
        <v>0</v>
      </c>
      <c r="CF591" t="b">
        <v>1</v>
      </c>
      <c r="CG591" t="s">
        <v>1870</v>
      </c>
      <c r="CH591" t="s">
        <v>1681</v>
      </c>
      <c r="CI591" s="10">
        <v>425000</v>
      </c>
    </row>
    <row r="592" spans="1:88">
      <c r="A592">
        <v>27203394</v>
      </c>
      <c r="B592" s="2" t="str">
        <f>HYPERLINK("http://www.redfin.com/stingray/do/printable-listing?listing-id=1297763","Active")</f>
        <v>Active</v>
      </c>
      <c r="D592" t="s">
        <v>6198</v>
      </c>
      <c r="E592" t="s">
        <v>6244</v>
      </c>
      <c r="F592">
        <v>440000</v>
      </c>
      <c r="G592">
        <v>2008</v>
      </c>
      <c r="H592">
        <v>1900</v>
      </c>
      <c r="I592">
        <v>6370</v>
      </c>
      <c r="J592">
        <v>4</v>
      </c>
      <c r="K592">
        <v>2.5</v>
      </c>
      <c r="M592" s="2" t="str">
        <f>HYPERLINK("http://maps.live.com/default.aspx?v=2&amp;lvl=15&amp;sp=adr.156 Talbot Rd S nX5 (Unable to map),98055","Map")</f>
        <v>Map</v>
      </c>
      <c r="N592" s="2" t="str">
        <f>HYPERLINK("http://i-0.rfimg.us/photo/1/bigphoto/394/27203394_2.jpg","Photo")</f>
        <v>Photo</v>
      </c>
      <c r="AI592" t="s">
        <v>1077</v>
      </c>
      <c r="AJ592">
        <v>98055</v>
      </c>
      <c r="AM592" t="s">
        <v>6245</v>
      </c>
      <c r="BC592" s="22">
        <v>39402.769513888888</v>
      </c>
      <c r="BI592" s="7">
        <v>39542</v>
      </c>
      <c r="BL592">
        <v>8800</v>
      </c>
      <c r="BM592">
        <v>1297763</v>
      </c>
      <c r="BN592" t="s">
        <v>3092</v>
      </c>
      <c r="BO592" s="17">
        <f t="shared" ca="1" si="9"/>
        <v>146.53989201389049</v>
      </c>
      <c r="BP592" t="b">
        <v>0</v>
      </c>
      <c r="BQ592">
        <v>1</v>
      </c>
      <c r="BR592" t="s">
        <v>1949</v>
      </c>
      <c r="BS592" t="s">
        <v>6201</v>
      </c>
      <c r="BT592" t="b">
        <v>0</v>
      </c>
      <c r="BV592" t="s">
        <v>1668</v>
      </c>
      <c r="BW592">
        <v>156</v>
      </c>
      <c r="BX592" t="s">
        <v>1881</v>
      </c>
      <c r="BY592">
        <v>0</v>
      </c>
      <c r="BZ592" t="s">
        <v>2956</v>
      </c>
      <c r="CA592">
        <v>1</v>
      </c>
      <c r="CB592" t="b">
        <v>1</v>
      </c>
      <c r="CC592">
        <v>0</v>
      </c>
      <c r="CD592" t="b">
        <v>0</v>
      </c>
      <c r="CE592" t="b">
        <v>0</v>
      </c>
      <c r="CF592" t="b">
        <v>1</v>
      </c>
      <c r="CG592" t="s">
        <v>1870</v>
      </c>
      <c r="CH592" t="s">
        <v>1681</v>
      </c>
      <c r="CI592" s="10">
        <v>440000</v>
      </c>
    </row>
    <row r="593" spans="1:88">
      <c r="A593">
        <v>27203441</v>
      </c>
      <c r="B593" s="2" t="str">
        <f>HYPERLINK("http://www.redfin.com/stingray/do/printable-listing?listing-id=1297965","Active")</f>
        <v>Active</v>
      </c>
      <c r="D593" t="s">
        <v>6198</v>
      </c>
      <c r="E593" t="s">
        <v>6199</v>
      </c>
      <c r="F593">
        <v>529950</v>
      </c>
      <c r="G593">
        <v>2008</v>
      </c>
      <c r="H593">
        <v>3200</v>
      </c>
      <c r="I593">
        <v>11430</v>
      </c>
      <c r="J593">
        <v>4</v>
      </c>
      <c r="K593">
        <v>2.5</v>
      </c>
      <c r="M593" s="2" t="str">
        <f>HYPERLINK("http://maps.live.com/default.aspx?v=2&amp;lvl=15&amp;sp=adr.156 Talbot Rd S nX7 (Unable to map),98055","Map")</f>
        <v>Map</v>
      </c>
      <c r="N593" s="2" t="str">
        <f>HYPERLINK("http://i-0.rfimg.us/photo/1/bigphoto/441/27203441_2.jpg","Photo")</f>
        <v>Photo</v>
      </c>
      <c r="AI593" t="s">
        <v>1077</v>
      </c>
      <c r="AJ593">
        <v>98055</v>
      </c>
      <c r="AM593" t="s">
        <v>6200</v>
      </c>
      <c r="BC593" s="22">
        <v>39402.881932870368</v>
      </c>
      <c r="BI593" s="7">
        <v>39542</v>
      </c>
      <c r="BL593">
        <v>10599</v>
      </c>
      <c r="BM593">
        <v>1297965</v>
      </c>
      <c r="BN593" t="s">
        <v>3092</v>
      </c>
      <c r="BO593" s="17">
        <f t="shared" ca="1" si="9"/>
        <v>146.42747303241049</v>
      </c>
      <c r="BP593" t="b">
        <v>0</v>
      </c>
      <c r="BQ593">
        <v>1</v>
      </c>
      <c r="BR593" t="s">
        <v>1949</v>
      </c>
      <c r="BS593" t="s">
        <v>6201</v>
      </c>
      <c r="BT593" t="b">
        <v>0</v>
      </c>
      <c r="BV593" t="s">
        <v>1668</v>
      </c>
      <c r="BW593">
        <v>156</v>
      </c>
      <c r="BX593" t="s">
        <v>1881</v>
      </c>
      <c r="BY593">
        <v>0</v>
      </c>
      <c r="BZ593" t="s">
        <v>6202</v>
      </c>
      <c r="CA593">
        <v>1</v>
      </c>
      <c r="CB593" t="b">
        <v>1</v>
      </c>
      <c r="CC593">
        <v>0</v>
      </c>
      <c r="CD593" t="b">
        <v>0</v>
      </c>
      <c r="CE593" t="b">
        <v>0</v>
      </c>
      <c r="CF593" t="b">
        <v>1</v>
      </c>
      <c r="CG593" t="s">
        <v>1870</v>
      </c>
      <c r="CH593" t="s">
        <v>1681</v>
      </c>
      <c r="CI593" s="10">
        <v>529950</v>
      </c>
    </row>
    <row r="594" spans="1:88">
      <c r="A594">
        <v>27203454</v>
      </c>
      <c r="B594" s="2" t="str">
        <f>HYPERLINK("http://www.redfin.com/stingray/do/printable-listing?listing-id=1300752","Active")</f>
        <v>Active</v>
      </c>
      <c r="D594" t="s">
        <v>2552</v>
      </c>
      <c r="E594" t="s">
        <v>3538</v>
      </c>
      <c r="F594">
        <v>2500000</v>
      </c>
      <c r="G594">
        <v>2007</v>
      </c>
      <c r="H594">
        <v>0</v>
      </c>
      <c r="I594">
        <v>5000</v>
      </c>
      <c r="J594">
        <v>4</v>
      </c>
      <c r="K594">
        <v>4.25</v>
      </c>
      <c r="M594" s="2" t="str">
        <f>HYPERLINK("http://maps.live.com/default.aspx?v=2&amp;lvl=15&amp;sp=Point.47.633278_-122.394481_2902 W Eaton St&amp;cp=47.633278~-122.394481","Map")</f>
        <v>Map</v>
      </c>
      <c r="N594" s="2" t="str">
        <f>HYPERLINK("http://i-0.rfimg.us/photo/1/bigphoto/454/27203454_3.jpg","Photo")</f>
        <v>Photo</v>
      </c>
      <c r="AG594">
        <v>47.633277999999997</v>
      </c>
      <c r="AH594">
        <v>-122.394481</v>
      </c>
      <c r="AI594" t="s">
        <v>66</v>
      </c>
      <c r="AJ594">
        <v>98199</v>
      </c>
      <c r="AN594">
        <v>280000</v>
      </c>
      <c r="BC594" s="22">
        <v>39405.088020833333</v>
      </c>
      <c r="BI594" s="22">
        <v>39549.294907407406</v>
      </c>
      <c r="BL594">
        <v>50000</v>
      </c>
      <c r="BM594">
        <v>1300752</v>
      </c>
      <c r="BN594" t="s">
        <v>1766</v>
      </c>
      <c r="BO594" s="17">
        <f t="shared" ca="1" si="9"/>
        <v>144.22138506944611</v>
      </c>
      <c r="BP594" t="b">
        <v>0</v>
      </c>
      <c r="BQ594">
        <v>1</v>
      </c>
      <c r="BR594" t="s">
        <v>1686</v>
      </c>
      <c r="BS594" t="s">
        <v>3539</v>
      </c>
      <c r="BT594" t="b">
        <v>0</v>
      </c>
      <c r="BU594" t="s">
        <v>2423</v>
      </c>
      <c r="BV594" t="s">
        <v>1668</v>
      </c>
      <c r="BW594">
        <v>2902</v>
      </c>
      <c r="BY594">
        <v>125958</v>
      </c>
      <c r="BZ594" t="s">
        <v>3318</v>
      </c>
      <c r="CA594">
        <v>1</v>
      </c>
      <c r="CB594" t="b">
        <v>1</v>
      </c>
      <c r="CC594">
        <v>0</v>
      </c>
      <c r="CD594" t="b">
        <v>0</v>
      </c>
      <c r="CE594" t="b">
        <v>0</v>
      </c>
      <c r="CF594" t="b">
        <v>1</v>
      </c>
      <c r="CG594">
        <v>2800922</v>
      </c>
      <c r="CH594" t="s">
        <v>1681</v>
      </c>
      <c r="CI594" s="10">
        <v>2500000</v>
      </c>
      <c r="CJ594" s="7">
        <v>37482</v>
      </c>
    </row>
    <row r="595" spans="1:88">
      <c r="A595">
        <v>27203607</v>
      </c>
      <c r="B595" s="2" t="str">
        <f>HYPERLINK("http://www.redfin.com/stingray/do/printable-listing?listing-id=1299655","Active")</f>
        <v>Active</v>
      </c>
      <c r="D595" t="s">
        <v>2848</v>
      </c>
      <c r="E595" t="s">
        <v>2979</v>
      </c>
      <c r="F595">
        <v>1249950</v>
      </c>
      <c r="G595">
        <v>2006</v>
      </c>
      <c r="H595">
        <v>3160</v>
      </c>
      <c r="I595">
        <v>11326</v>
      </c>
      <c r="J595">
        <v>5</v>
      </c>
      <c r="K595">
        <v>4</v>
      </c>
      <c r="M595" s="2" t="str">
        <f>HYPERLINK("http://maps.live.com/default.aspx?v=2&amp;lvl=15&amp;sp=Point.47.715677_-122.253233_6447 NE 129th Pl&amp;cp=47.715677~-122.253233","Map")</f>
        <v>Map</v>
      </c>
      <c r="N595" s="2" t="str">
        <f>HYPERLINK("http://i-0.rfimg.us/photo/1/bigphoto/607/27203607_4.jpg","Photo")</f>
        <v>Photo</v>
      </c>
      <c r="AG595">
        <v>47.715676999999999</v>
      </c>
      <c r="AH595">
        <v>-122.25323299999999</v>
      </c>
      <c r="AI595" t="s">
        <v>1058</v>
      </c>
      <c r="AJ595">
        <v>98034</v>
      </c>
      <c r="BC595" s="22">
        <v>39403.807118055556</v>
      </c>
      <c r="BI595" s="22">
        <v>39549.294907407406</v>
      </c>
      <c r="BL595">
        <v>24999</v>
      </c>
      <c r="BM595">
        <v>1299655</v>
      </c>
      <c r="BN595" t="s">
        <v>1798</v>
      </c>
      <c r="BO595" s="17">
        <f t="shared" ca="1" si="9"/>
        <v>145.50228784722276</v>
      </c>
      <c r="BP595" t="b">
        <v>0</v>
      </c>
      <c r="BQ595">
        <v>1</v>
      </c>
      <c r="BR595" t="s">
        <v>1842</v>
      </c>
      <c r="BS595" t="s">
        <v>2980</v>
      </c>
      <c r="BT595" t="b">
        <v>0</v>
      </c>
      <c r="BU595" t="s">
        <v>1738</v>
      </c>
      <c r="BV595" t="s">
        <v>1668</v>
      </c>
      <c r="BW595">
        <v>6447</v>
      </c>
      <c r="BY595">
        <v>11894670</v>
      </c>
      <c r="BZ595" t="s">
        <v>2981</v>
      </c>
      <c r="CA595">
        <v>1</v>
      </c>
      <c r="CB595" t="b">
        <v>1</v>
      </c>
      <c r="CC595">
        <v>0</v>
      </c>
      <c r="CD595" t="b">
        <v>0</v>
      </c>
      <c r="CE595" t="b">
        <v>0</v>
      </c>
      <c r="CF595" t="b">
        <v>1</v>
      </c>
      <c r="CG595">
        <v>15148895</v>
      </c>
      <c r="CH595" t="s">
        <v>1681</v>
      </c>
      <c r="CI595" s="10">
        <v>1249950</v>
      </c>
    </row>
    <row r="596" spans="1:88">
      <c r="A596">
        <v>27203613</v>
      </c>
      <c r="B596" s="2" t="str">
        <f>HYPERLINK("http://www.redfin.com/stingray/do/printable-listing?listing-id=1299585","Active")</f>
        <v>Active</v>
      </c>
      <c r="D596" t="s">
        <v>3089</v>
      </c>
      <c r="E596" t="s">
        <v>3807</v>
      </c>
      <c r="F596">
        <v>1495000</v>
      </c>
      <c r="G596">
        <v>1941</v>
      </c>
      <c r="H596">
        <v>3240</v>
      </c>
      <c r="I596">
        <v>5300</v>
      </c>
      <c r="J596">
        <v>4</v>
      </c>
      <c r="K596">
        <v>3</v>
      </c>
      <c r="M596" s="2" t="str">
        <f>HYPERLINK("http://maps.live.com/default.aspx?v=2&amp;lvl=15&amp;sp=Point.47.657518_-122.279062_3871 46th Ave NE&amp;cp=47.657518~-122.279062","Map")</f>
        <v>Map</v>
      </c>
      <c r="N596" s="2" t="str">
        <f>HYPERLINK("http://i-0.rfimg.us/photo/1/bigphoto/613/27203613_2.jpg","Photo")</f>
        <v>Photo</v>
      </c>
      <c r="AG596">
        <v>47.657518000000003</v>
      </c>
      <c r="AH596">
        <v>-122.279062</v>
      </c>
      <c r="AI596" t="s">
        <v>66</v>
      </c>
      <c r="AJ596">
        <v>98105</v>
      </c>
      <c r="BC596" s="22">
        <v>39403.776365740741</v>
      </c>
      <c r="BI596" s="22">
        <v>39549.294907407406</v>
      </c>
      <c r="BL596">
        <v>29900</v>
      </c>
      <c r="BM596">
        <v>1299585</v>
      </c>
      <c r="BN596" t="s">
        <v>1710</v>
      </c>
      <c r="BO596" s="17">
        <f t="shared" ca="1" si="9"/>
        <v>145.53304016203765</v>
      </c>
      <c r="BP596" t="b">
        <v>0</v>
      </c>
      <c r="BQ596">
        <v>1</v>
      </c>
      <c r="BR596" t="s">
        <v>1667</v>
      </c>
      <c r="BS596" t="s">
        <v>2471</v>
      </c>
      <c r="BT596" t="b">
        <v>0</v>
      </c>
      <c r="BV596" t="s">
        <v>1668</v>
      </c>
      <c r="BW596">
        <v>3871</v>
      </c>
      <c r="BX596" t="s">
        <v>1738</v>
      </c>
      <c r="BY596">
        <v>122734</v>
      </c>
      <c r="BZ596" t="s">
        <v>1730</v>
      </c>
      <c r="CA596">
        <v>1</v>
      </c>
      <c r="CB596" t="b">
        <v>1</v>
      </c>
      <c r="CC596">
        <v>0</v>
      </c>
      <c r="CD596" t="b">
        <v>0</v>
      </c>
      <c r="CE596" t="b">
        <v>0</v>
      </c>
      <c r="CF596" t="b">
        <v>1</v>
      </c>
      <c r="CG596">
        <v>2587187</v>
      </c>
      <c r="CH596" t="s">
        <v>1681</v>
      </c>
      <c r="CI596" s="10">
        <v>1495000</v>
      </c>
    </row>
    <row r="597" spans="1:88">
      <c r="A597">
        <v>27203636</v>
      </c>
      <c r="B597" s="15" t="str">
        <f>HYPERLINK("http://www.redfin.com/stingray/do/printable-listing?listing-id=1299911","Subject To Inspection")</f>
        <v>Subject To Inspection</v>
      </c>
      <c r="D597" t="s">
        <v>60</v>
      </c>
      <c r="E597" t="s">
        <v>549</v>
      </c>
      <c r="F597">
        <v>362000</v>
      </c>
      <c r="G597">
        <v>1921</v>
      </c>
      <c r="H597">
        <v>0</v>
      </c>
      <c r="I597">
        <v>4203</v>
      </c>
      <c r="J597">
        <v>3</v>
      </c>
      <c r="K597">
        <v>1</v>
      </c>
      <c r="M597" s="2" t="str">
        <f>HYPERLINK("http://maps.live.com/default.aspx?v=2&amp;lvl=15&amp;sp=Point.47.694033_-122.339516_8855 Ashworth Ave N&amp;cp=47.694033~-122.339516","Map")</f>
        <v>Map</v>
      </c>
      <c r="N597" s="2" t="str">
        <f>HYPERLINK("http://i-0.rfimg.us/photo/1/bigphoto/636/27203636_0.jpg","Photo")</f>
        <v>Photo</v>
      </c>
      <c r="AG597">
        <v>47.694032999999997</v>
      </c>
      <c r="AH597">
        <v>-122.339516</v>
      </c>
      <c r="AI597" t="s">
        <v>66</v>
      </c>
      <c r="AJ597">
        <v>98103</v>
      </c>
      <c r="AN597">
        <v>115000</v>
      </c>
      <c r="BC597" s="22">
        <v>39404.087939814817</v>
      </c>
      <c r="BI597" s="22">
        <v>39545.917314814818</v>
      </c>
      <c r="BL597">
        <v>7240</v>
      </c>
      <c r="BM597">
        <v>1299911</v>
      </c>
      <c r="BN597" t="s">
        <v>1673</v>
      </c>
      <c r="BO597" s="17">
        <f t="shared" ca="1" si="9"/>
        <v>145.2214662037004</v>
      </c>
      <c r="BP597" t="b">
        <v>0</v>
      </c>
      <c r="BQ597">
        <v>1</v>
      </c>
      <c r="BR597" t="s">
        <v>1667</v>
      </c>
      <c r="BS597" t="s">
        <v>1825</v>
      </c>
      <c r="BT597" t="b">
        <v>0</v>
      </c>
      <c r="BV597" t="s">
        <v>1668</v>
      </c>
      <c r="BW597">
        <v>8855</v>
      </c>
      <c r="BX597" t="s">
        <v>1712</v>
      </c>
      <c r="BY597">
        <v>105044</v>
      </c>
      <c r="BZ597" t="s">
        <v>1676</v>
      </c>
      <c r="CA597">
        <v>1</v>
      </c>
      <c r="CB597" t="b">
        <v>1</v>
      </c>
      <c r="CC597">
        <v>0</v>
      </c>
      <c r="CD597" t="b">
        <v>0</v>
      </c>
      <c r="CE597" t="b">
        <v>0</v>
      </c>
      <c r="CF597" t="b">
        <v>1</v>
      </c>
      <c r="CG597">
        <v>2812603</v>
      </c>
      <c r="CH597" t="s">
        <v>1681</v>
      </c>
      <c r="CI597" s="10">
        <v>362000</v>
      </c>
      <c r="CJ597" s="7">
        <v>35415</v>
      </c>
    </row>
    <row r="598" spans="1:88">
      <c r="A598">
        <v>27203665</v>
      </c>
      <c r="B598" s="2" t="str">
        <f>HYPERLINK("http://www.redfin.com/stingray/do/printable-listing?listing-id=1300219","Active")</f>
        <v>Active</v>
      </c>
      <c r="D598" t="s">
        <v>5926</v>
      </c>
      <c r="E598" t="s">
        <v>6169</v>
      </c>
      <c r="F598">
        <v>359900</v>
      </c>
      <c r="G598">
        <v>2001</v>
      </c>
      <c r="H598">
        <v>1550</v>
      </c>
      <c r="I598">
        <v>3000</v>
      </c>
      <c r="J598">
        <v>3</v>
      </c>
      <c r="K598">
        <v>2.5</v>
      </c>
      <c r="M598" s="2" t="str">
        <f>HYPERLINK("http://maps.live.com/default.aspx?v=2&amp;lvl=15&amp;sp=Point.47.503832_-122.186067_2428 NE 13th St&amp;cp=47.503832~-122.186067","Map")</f>
        <v>Map</v>
      </c>
      <c r="N598" s="2" t="str">
        <f>HYPERLINK("http://i-0.rfimg.us/photo/1/bigphoto/665/27203665_0.jpg","Photo")</f>
        <v>Photo</v>
      </c>
      <c r="AG598">
        <v>47.503832000000003</v>
      </c>
      <c r="AH598">
        <v>-122.18606699999999</v>
      </c>
      <c r="AI598" t="s">
        <v>1077</v>
      </c>
      <c r="AJ598">
        <v>98056</v>
      </c>
      <c r="AN598">
        <v>216950</v>
      </c>
      <c r="BC598" s="22">
        <v>39404.494016203702</v>
      </c>
      <c r="BI598" s="22">
        <v>39549.294907407406</v>
      </c>
      <c r="BL598">
        <v>7198</v>
      </c>
      <c r="BM598">
        <v>1300219</v>
      </c>
      <c r="BN598" t="s">
        <v>3023</v>
      </c>
      <c r="BO598" s="17">
        <f t="shared" ca="1" si="9"/>
        <v>144.81538969907706</v>
      </c>
      <c r="BP598" t="b">
        <v>0</v>
      </c>
      <c r="BQ598">
        <v>1</v>
      </c>
      <c r="BR598" t="s">
        <v>1686</v>
      </c>
      <c r="BS598" t="s">
        <v>1809</v>
      </c>
      <c r="BT598" t="b">
        <v>0</v>
      </c>
      <c r="BU598" t="s">
        <v>1738</v>
      </c>
      <c r="BV598" t="s">
        <v>1668</v>
      </c>
      <c r="BW598">
        <v>2428</v>
      </c>
      <c r="BY598">
        <v>410238</v>
      </c>
      <c r="BZ598" s="21">
        <v>0</v>
      </c>
      <c r="CA598">
        <v>1</v>
      </c>
      <c r="CB598" t="b">
        <v>1</v>
      </c>
      <c r="CC598">
        <v>0</v>
      </c>
      <c r="CD598" t="b">
        <v>0</v>
      </c>
      <c r="CE598" t="b">
        <v>0</v>
      </c>
      <c r="CF598" t="b">
        <v>1</v>
      </c>
      <c r="CG598">
        <v>2683172</v>
      </c>
      <c r="CH598" t="s">
        <v>1681</v>
      </c>
      <c r="CI598" s="10">
        <v>359900</v>
      </c>
      <c r="CJ598" s="7">
        <v>37239</v>
      </c>
    </row>
    <row r="599" spans="1:88">
      <c r="A599">
        <v>27203690</v>
      </c>
      <c r="B599" s="2" t="str">
        <f>HYPERLINK("http://www.redfin.com/stingray/do/printable-listing?listing-id=1300333","Active")</f>
        <v>Active</v>
      </c>
      <c r="D599" t="s">
        <v>3379</v>
      </c>
      <c r="E599" t="s">
        <v>3376</v>
      </c>
      <c r="F599">
        <v>569950</v>
      </c>
      <c r="G599">
        <v>1953</v>
      </c>
      <c r="H599">
        <v>1800</v>
      </c>
      <c r="I599">
        <v>4008</v>
      </c>
      <c r="J599">
        <v>3</v>
      </c>
      <c r="K599">
        <v>2.5</v>
      </c>
      <c r="M599" s="2" t="str">
        <f>HYPERLINK("http://maps.live.com/default.aspx?v=2&amp;lvl=15&amp;sp=Point.47.636782_-122.387844_2339 W Newton St&amp;cp=47.636782~-122.387844","Map")</f>
        <v>Map</v>
      </c>
      <c r="N599" s="2" t="str">
        <f>HYPERLINK("http://i-0.rfimg.us/photo/1/bigphoto/690/27203690_4.jpg","Photo")</f>
        <v>Photo</v>
      </c>
      <c r="AG599">
        <v>47.636781999999997</v>
      </c>
      <c r="AH599">
        <v>-122.387844</v>
      </c>
      <c r="AI599" t="s">
        <v>66</v>
      </c>
      <c r="AJ599">
        <v>98199</v>
      </c>
      <c r="AN599">
        <v>530000</v>
      </c>
      <c r="BC599" s="22">
        <v>39404.598923611113</v>
      </c>
      <c r="BI599" s="22">
        <v>39549.294907407406</v>
      </c>
      <c r="BL599">
        <v>11399</v>
      </c>
      <c r="BM599">
        <v>1300333</v>
      </c>
      <c r="BN599" t="s">
        <v>2628</v>
      </c>
      <c r="BO599" s="17">
        <f t="shared" ca="1" si="9"/>
        <v>144.71048229166627</v>
      </c>
      <c r="BP599" t="b">
        <v>0</v>
      </c>
      <c r="BQ599">
        <v>1</v>
      </c>
      <c r="BR599" t="s">
        <v>1686</v>
      </c>
      <c r="BS599" t="s">
        <v>3377</v>
      </c>
      <c r="BT599" t="b">
        <v>0</v>
      </c>
      <c r="BU599" t="s">
        <v>2423</v>
      </c>
      <c r="BV599" t="s">
        <v>1668</v>
      </c>
      <c r="BW599">
        <v>2339</v>
      </c>
      <c r="BY599">
        <v>123684</v>
      </c>
      <c r="BZ599" t="s">
        <v>3378</v>
      </c>
      <c r="CA599">
        <v>1</v>
      </c>
      <c r="CB599" t="b">
        <v>1</v>
      </c>
      <c r="CC599">
        <v>0</v>
      </c>
      <c r="CD599" t="b">
        <v>0</v>
      </c>
      <c r="CE599" t="b">
        <v>0</v>
      </c>
      <c r="CF599" t="b">
        <v>1</v>
      </c>
      <c r="CG599">
        <v>2770645</v>
      </c>
      <c r="CH599" t="s">
        <v>1681</v>
      </c>
      <c r="CI599" s="10">
        <v>569950</v>
      </c>
      <c r="CJ599" s="7">
        <v>39143</v>
      </c>
    </row>
    <row r="600" spans="1:88">
      <c r="A600">
        <v>27203694</v>
      </c>
      <c r="B600" s="2" t="str">
        <f>HYPERLINK("http://www.redfin.com/stingray/do/printable-listing?listing-id=1300337","Active")</f>
        <v>Active</v>
      </c>
      <c r="D600" t="s">
        <v>100</v>
      </c>
      <c r="E600" t="s">
        <v>2629</v>
      </c>
      <c r="F600">
        <v>599950</v>
      </c>
      <c r="G600">
        <v>2005</v>
      </c>
      <c r="H600">
        <v>1998</v>
      </c>
      <c r="I600">
        <v>2448</v>
      </c>
      <c r="J600">
        <v>3</v>
      </c>
      <c r="K600">
        <v>2.5</v>
      </c>
      <c r="M600" s="2" t="str">
        <f>HYPERLINK("http://maps.live.com/default.aspx?v=2&amp;lvl=15&amp;sp=Point.47.66158_-122.348395_4510 Linden Ave N&amp;cp=47.66158~-122.348395","Map")</f>
        <v>Map</v>
      </c>
      <c r="N600" s="2" t="str">
        <f>HYPERLINK("http://i-0.rfimg.us/photo/1/bigphoto/694/27203694_1.jpg","Photo")</f>
        <v>Photo</v>
      </c>
      <c r="AG600">
        <v>47.661580000000001</v>
      </c>
      <c r="AH600">
        <v>-122.348395</v>
      </c>
      <c r="AI600" t="s">
        <v>66</v>
      </c>
      <c r="AJ600">
        <v>98103</v>
      </c>
      <c r="AN600">
        <v>159500</v>
      </c>
      <c r="BC600" s="22">
        <v>39404.609432870369</v>
      </c>
      <c r="BI600" s="22">
        <v>39549.294907407406</v>
      </c>
      <c r="BL600">
        <v>11999</v>
      </c>
      <c r="BM600">
        <v>1300337</v>
      </c>
      <c r="BN600" t="s">
        <v>2628</v>
      </c>
      <c r="BO600" s="17">
        <f t="shared" ca="1" si="9"/>
        <v>144.69997314814827</v>
      </c>
      <c r="BP600" t="b">
        <v>0</v>
      </c>
      <c r="BQ600">
        <v>1</v>
      </c>
      <c r="BR600" t="s">
        <v>1667</v>
      </c>
      <c r="BS600" t="s">
        <v>2439</v>
      </c>
      <c r="BT600" t="b">
        <v>0</v>
      </c>
      <c r="BV600" t="s">
        <v>1668</v>
      </c>
      <c r="BW600">
        <v>4510</v>
      </c>
      <c r="BX600" t="s">
        <v>1712</v>
      </c>
      <c r="BY600">
        <v>2063514</v>
      </c>
      <c r="BZ600" t="s">
        <v>1797</v>
      </c>
      <c r="CA600">
        <v>1</v>
      </c>
      <c r="CB600" t="b">
        <v>1</v>
      </c>
      <c r="CC600">
        <v>0</v>
      </c>
      <c r="CD600" t="b">
        <v>0</v>
      </c>
      <c r="CE600" t="b">
        <v>0</v>
      </c>
      <c r="CF600" t="b">
        <v>1</v>
      </c>
      <c r="CG600">
        <v>2428434</v>
      </c>
      <c r="CH600" t="s">
        <v>1681</v>
      </c>
      <c r="CI600" s="10">
        <v>599950</v>
      </c>
      <c r="CJ600" s="7">
        <v>38215</v>
      </c>
    </row>
    <row r="601" spans="1:88">
      <c r="A601">
        <v>27203696</v>
      </c>
      <c r="B601" s="2" t="str">
        <f>HYPERLINK("http://www.redfin.com/stingray/do/printable-listing?listing-id=1300338","Active")</f>
        <v>Active</v>
      </c>
      <c r="D601" t="s">
        <v>100</v>
      </c>
      <c r="E601" t="s">
        <v>2630</v>
      </c>
      <c r="F601">
        <v>599900</v>
      </c>
      <c r="G601">
        <v>2005</v>
      </c>
      <c r="H601">
        <v>1998</v>
      </c>
      <c r="I601">
        <v>2448</v>
      </c>
      <c r="J601">
        <v>3</v>
      </c>
      <c r="K601">
        <v>2.5</v>
      </c>
      <c r="M601" s="2" t="str">
        <f>HYPERLINK("http://maps.live.com/default.aspx?v=2&amp;lvl=15&amp;sp=Point.47.661606_-122.348395_4516 Linden Ave N&amp;cp=47.661606~-122.348395","Map")</f>
        <v>Map</v>
      </c>
      <c r="N601" s="2" t="str">
        <f>HYPERLINK("http://i-0.rfimg.us/photo/1/bigphoto/696/27203696_1.jpg","Photo")</f>
        <v>Photo</v>
      </c>
      <c r="AG601">
        <v>47.661605999999999</v>
      </c>
      <c r="AH601">
        <v>-122.348395</v>
      </c>
      <c r="AI601" t="s">
        <v>66</v>
      </c>
      <c r="AJ601">
        <v>98103</v>
      </c>
      <c r="BC601" s="22">
        <v>39404.609432870369</v>
      </c>
      <c r="BI601" s="22">
        <v>39549.294907407406</v>
      </c>
      <c r="BL601">
        <v>11998</v>
      </c>
      <c r="BM601">
        <v>1300338</v>
      </c>
      <c r="BN601" t="s">
        <v>2628</v>
      </c>
      <c r="BO601" s="17">
        <f t="shared" ca="1" si="9"/>
        <v>144.69997314814827</v>
      </c>
      <c r="BP601" t="b">
        <v>0</v>
      </c>
      <c r="BQ601">
        <v>1</v>
      </c>
      <c r="BR601" t="s">
        <v>1667</v>
      </c>
      <c r="BS601" t="s">
        <v>2439</v>
      </c>
      <c r="BT601" t="b">
        <v>0</v>
      </c>
      <c r="BV601" t="s">
        <v>1668</v>
      </c>
      <c r="BW601">
        <v>4516</v>
      </c>
      <c r="BX601" t="s">
        <v>1712</v>
      </c>
      <c r="BY601">
        <v>2066203</v>
      </c>
      <c r="BZ601" t="s">
        <v>1797</v>
      </c>
      <c r="CA601">
        <v>1</v>
      </c>
      <c r="CB601" t="b">
        <v>1</v>
      </c>
      <c r="CC601">
        <v>0</v>
      </c>
      <c r="CD601" t="b">
        <v>0</v>
      </c>
      <c r="CE601" t="b">
        <v>0</v>
      </c>
      <c r="CF601" t="b">
        <v>1</v>
      </c>
      <c r="CG601">
        <v>2457916</v>
      </c>
      <c r="CH601" t="s">
        <v>1681</v>
      </c>
      <c r="CI601" s="10">
        <v>599900</v>
      </c>
    </row>
    <row r="602" spans="1:88">
      <c r="A602">
        <v>27203698</v>
      </c>
      <c r="B602" s="2" t="str">
        <f>HYPERLINK("http://www.redfin.com/stingray/do/printable-listing?listing-id=1300346","Active")</f>
        <v>Active</v>
      </c>
      <c r="D602" t="s">
        <v>3924</v>
      </c>
      <c r="E602" t="s">
        <v>4275</v>
      </c>
      <c r="F602" s="19">
        <v>459950</v>
      </c>
      <c r="G602">
        <v>2000</v>
      </c>
      <c r="H602">
        <v>1760</v>
      </c>
      <c r="I602">
        <v>0</v>
      </c>
      <c r="J602">
        <v>3</v>
      </c>
      <c r="K602">
        <v>3.5</v>
      </c>
      <c r="M602" s="2" t="str">
        <f>HYPERLINK("http://maps.live.com/default.aspx?v=2&amp;lvl=15&amp;sp=Point.47.622659_-122.298001_2618 E Madison St&amp;cp=47.622659~-122.298001","Map")</f>
        <v>Map</v>
      </c>
      <c r="N602" s="2" t="str">
        <f>HYPERLINK("http://i-0.rfimg.us/photo/1/bigphoto/698/27203698_0.jpg","Photo")</f>
        <v>Photo</v>
      </c>
      <c r="AG602">
        <v>47.622658999999999</v>
      </c>
      <c r="AH602">
        <v>-122.298001</v>
      </c>
      <c r="AI602" t="s">
        <v>66</v>
      </c>
      <c r="AJ602">
        <v>98112</v>
      </c>
      <c r="AN602">
        <v>357500</v>
      </c>
      <c r="BC602" s="22">
        <v>39404.619351851848</v>
      </c>
      <c r="BI602" s="22">
        <v>39549.294907407406</v>
      </c>
      <c r="BL602">
        <v>9599</v>
      </c>
      <c r="BM602">
        <v>1300346</v>
      </c>
      <c r="BN602" t="s">
        <v>1715</v>
      </c>
      <c r="BO602" s="17">
        <f t="shared" ca="1" si="9"/>
        <v>144.69005405093048</v>
      </c>
      <c r="BP602" t="b">
        <v>0</v>
      </c>
      <c r="BQ602">
        <v>1</v>
      </c>
      <c r="BR602" t="s">
        <v>1686</v>
      </c>
      <c r="BS602" t="s">
        <v>4238</v>
      </c>
      <c r="BT602" t="b">
        <v>0</v>
      </c>
      <c r="BU602" t="s">
        <v>2436</v>
      </c>
      <c r="BV602" t="s">
        <v>1668</v>
      </c>
      <c r="BW602">
        <v>2618</v>
      </c>
      <c r="BY602">
        <v>148144</v>
      </c>
      <c r="BZ602" t="s">
        <v>1672</v>
      </c>
      <c r="CA602">
        <v>1</v>
      </c>
      <c r="CB602" t="b">
        <v>1</v>
      </c>
      <c r="CC602">
        <v>0</v>
      </c>
      <c r="CD602" t="b">
        <v>0</v>
      </c>
      <c r="CE602" t="b">
        <v>0</v>
      </c>
      <c r="CF602" t="b">
        <v>1</v>
      </c>
      <c r="CG602">
        <v>2585320</v>
      </c>
      <c r="CH602" t="s">
        <v>1681</v>
      </c>
      <c r="CI602" s="10">
        <v>479950</v>
      </c>
      <c r="CJ602" s="7">
        <v>37811</v>
      </c>
    </row>
    <row r="603" spans="1:88">
      <c r="A603">
        <v>27203711</v>
      </c>
      <c r="B603" s="2" t="str">
        <f>HYPERLINK("http://www.redfin.com/stingray/do/printable-listing?listing-id=1301039","Active")</f>
        <v>Active</v>
      </c>
      <c r="D603" t="s">
        <v>5119</v>
      </c>
      <c r="E603" t="s">
        <v>5372</v>
      </c>
      <c r="F603">
        <v>595000</v>
      </c>
      <c r="G603">
        <v>1996</v>
      </c>
      <c r="H603">
        <v>2020</v>
      </c>
      <c r="I603">
        <v>2847</v>
      </c>
      <c r="J603">
        <v>4</v>
      </c>
      <c r="K603">
        <v>3</v>
      </c>
      <c r="M603" s="2" t="str">
        <f>HYPERLINK("http://maps.live.com/default.aspx?v=2&amp;lvl=15&amp;sp=Point.47.5852_-122.174602_2761 124th Ave SE&amp;cp=47.5852~-122.174602","Map")</f>
        <v>Map</v>
      </c>
      <c r="N603" s="2" t="str">
        <f>HYPERLINK("http://i-0.rfimg.us/photo/1/bigphoto/711/27203711_1.jpg","Photo")</f>
        <v>Photo</v>
      </c>
      <c r="AG603">
        <v>47.5852</v>
      </c>
      <c r="AH603">
        <v>-122.17460199999999</v>
      </c>
      <c r="AI603" t="s">
        <v>369</v>
      </c>
      <c r="AJ603">
        <v>98005</v>
      </c>
      <c r="AN603">
        <v>365000</v>
      </c>
      <c r="BC603" s="22">
        <v>39405.421458333331</v>
      </c>
      <c r="BI603" s="22">
        <v>39549.294907407406</v>
      </c>
      <c r="BL603">
        <v>11900</v>
      </c>
      <c r="BM603">
        <v>1301039</v>
      </c>
      <c r="BN603" t="s">
        <v>1674</v>
      </c>
      <c r="BO603" s="17">
        <f t="shared" ca="1" si="9"/>
        <v>143.88794756944844</v>
      </c>
      <c r="BP603" t="b">
        <v>0</v>
      </c>
      <c r="BQ603">
        <v>1</v>
      </c>
      <c r="BR603" t="s">
        <v>1667</v>
      </c>
      <c r="BS603" t="s">
        <v>4507</v>
      </c>
      <c r="BT603" t="b">
        <v>0</v>
      </c>
      <c r="BV603" t="s">
        <v>1668</v>
      </c>
      <c r="BW603">
        <v>2761</v>
      </c>
      <c r="BX603" t="s">
        <v>3856</v>
      </c>
      <c r="BY603">
        <v>507359</v>
      </c>
      <c r="BZ603" t="s">
        <v>5373</v>
      </c>
      <c r="CA603">
        <v>1</v>
      </c>
      <c r="CB603" t="b">
        <v>1</v>
      </c>
      <c r="CC603">
        <v>0</v>
      </c>
      <c r="CD603" t="b">
        <v>0</v>
      </c>
      <c r="CE603" t="b">
        <v>0</v>
      </c>
      <c r="CF603" t="b">
        <v>1</v>
      </c>
      <c r="CG603">
        <v>2670828</v>
      </c>
      <c r="CH603" t="s">
        <v>1681</v>
      </c>
      <c r="CI603" s="10">
        <v>595000</v>
      </c>
      <c r="CJ603" s="7">
        <v>37750</v>
      </c>
    </row>
    <row r="604" spans="1:88">
      <c r="A604">
        <v>27203896</v>
      </c>
      <c r="B604" s="2" t="str">
        <f>HYPERLINK("http://www.redfin.com/stingray/do/printable-listing?listing-id=1307968","Active")</f>
        <v>Active</v>
      </c>
      <c r="D604" t="s">
        <v>1058</v>
      </c>
      <c r="E604" t="s">
        <v>4802</v>
      </c>
      <c r="F604" s="19">
        <v>439000</v>
      </c>
      <c r="G604">
        <v>1940</v>
      </c>
      <c r="H604">
        <v>730</v>
      </c>
      <c r="I604">
        <v>3223</v>
      </c>
      <c r="J604">
        <v>2</v>
      </c>
      <c r="K604">
        <v>1</v>
      </c>
      <c r="M604" s="2" t="str">
        <f>HYPERLINK("http://maps.live.com/default.aspx?v=2&amp;lvl=15&amp;sp=Point.47.673554_-122.202442_213 State St&amp;cp=47.673554~-122.202442","Map")</f>
        <v>Map</v>
      </c>
      <c r="N604" s="2" t="str">
        <f>HYPERLINK("http://i-0.rfimg.us/photo/1/bigphoto/896/27203896_0.jpg","Photo")</f>
        <v>Photo</v>
      </c>
      <c r="AG604">
        <v>47.673554000000003</v>
      </c>
      <c r="AH604">
        <v>-122.202442</v>
      </c>
      <c r="AI604" t="s">
        <v>1058</v>
      </c>
      <c r="AJ604">
        <v>98033</v>
      </c>
      <c r="BC604" s="22">
        <v>39409.56759259259</v>
      </c>
      <c r="BI604" s="22">
        <v>39549.294907407406</v>
      </c>
      <c r="BL604">
        <v>9198</v>
      </c>
      <c r="BM604">
        <v>1307968</v>
      </c>
      <c r="BN604" t="s">
        <v>1798</v>
      </c>
      <c r="BO604" s="17">
        <f t="shared" ca="1" si="9"/>
        <v>139.74181331018917</v>
      </c>
      <c r="BP604" t="b">
        <v>0</v>
      </c>
      <c r="BQ604">
        <v>1</v>
      </c>
      <c r="BR604" t="s">
        <v>1686</v>
      </c>
      <c r="BS604" t="s">
        <v>1036</v>
      </c>
      <c r="BT604" t="b">
        <v>0</v>
      </c>
      <c r="BV604" t="s">
        <v>1668</v>
      </c>
      <c r="BW604">
        <v>213</v>
      </c>
      <c r="BY604">
        <v>462545</v>
      </c>
      <c r="BZ604" s="21">
        <v>0</v>
      </c>
      <c r="CA604">
        <v>1</v>
      </c>
      <c r="CB604" t="b">
        <v>1</v>
      </c>
      <c r="CC604">
        <v>0</v>
      </c>
      <c r="CD604" t="b">
        <v>0</v>
      </c>
      <c r="CE604" t="b">
        <v>0</v>
      </c>
      <c r="CF604" t="b">
        <v>1</v>
      </c>
      <c r="CG604">
        <v>2614446</v>
      </c>
      <c r="CH604" t="s">
        <v>1681</v>
      </c>
      <c r="CI604" s="10">
        <v>459900</v>
      </c>
    </row>
    <row r="605" spans="1:88">
      <c r="A605">
        <v>27204083</v>
      </c>
      <c r="B605" s="2" t="str">
        <f>HYPERLINK("http://www.redfin.com/stingray/do/printable-listing?listing-id=1303319","Active")</f>
        <v>Active</v>
      </c>
      <c r="D605" t="s">
        <v>5490</v>
      </c>
      <c r="E605" t="s">
        <v>5879</v>
      </c>
      <c r="F605">
        <v>850000</v>
      </c>
      <c r="G605">
        <v>1983</v>
      </c>
      <c r="H605">
        <v>3040</v>
      </c>
      <c r="I605">
        <v>13874</v>
      </c>
      <c r="J605">
        <v>4</v>
      </c>
      <c r="K605">
        <v>2.5</v>
      </c>
      <c r="M605" s="2" t="str">
        <f>HYPERLINK("http://maps.live.com/default.aspx?v=2&amp;lvl=15&amp;sp=Point.47.56441_-122.11262_4526 169 Pl SE&amp;cp=47.56441~-122.11262","Map")</f>
        <v>Map</v>
      </c>
      <c r="N605" s="2" t="str">
        <f>HYPERLINK("http://i-0.rfimg.us/photo/1/bigphoto/083/27204083_0.jpg","Photo")</f>
        <v>Photo</v>
      </c>
      <c r="AG605">
        <v>47.564410000000002</v>
      </c>
      <c r="AH605">
        <v>-122.11262000000001</v>
      </c>
      <c r="AI605" t="s">
        <v>369</v>
      </c>
      <c r="AJ605">
        <v>98006</v>
      </c>
      <c r="AN605">
        <v>541000</v>
      </c>
      <c r="BC605" s="22">
        <v>39406.390231481484</v>
      </c>
      <c r="BI605" s="22">
        <v>39549.294907407406</v>
      </c>
      <c r="BL605">
        <v>17000</v>
      </c>
      <c r="BM605">
        <v>1303319</v>
      </c>
      <c r="BN605" t="s">
        <v>1688</v>
      </c>
      <c r="BO605" s="17">
        <f t="shared" ca="1" si="9"/>
        <v>142.91917442129488</v>
      </c>
      <c r="BP605" t="b">
        <v>0</v>
      </c>
      <c r="BQ605">
        <v>1</v>
      </c>
      <c r="BR605" t="s">
        <v>1842</v>
      </c>
      <c r="BS605">
        <v>169</v>
      </c>
      <c r="BT605" t="b">
        <v>0</v>
      </c>
      <c r="BV605" t="s">
        <v>1668</v>
      </c>
      <c r="BW605">
        <v>4526</v>
      </c>
      <c r="BX605" t="s">
        <v>3856</v>
      </c>
      <c r="BY605">
        <v>236647</v>
      </c>
      <c r="BZ605" t="s">
        <v>1672</v>
      </c>
      <c r="CA605">
        <v>1</v>
      </c>
      <c r="CB605" t="b">
        <v>1</v>
      </c>
      <c r="CC605">
        <v>0</v>
      </c>
      <c r="CD605" t="b">
        <v>0</v>
      </c>
      <c r="CE605" t="b">
        <v>0</v>
      </c>
      <c r="CF605" t="b">
        <v>1</v>
      </c>
      <c r="CG605">
        <v>2423857</v>
      </c>
      <c r="CH605" t="s">
        <v>1681</v>
      </c>
      <c r="CI605" s="10">
        <v>850000</v>
      </c>
      <c r="CJ605" s="7">
        <v>36636</v>
      </c>
    </row>
    <row r="606" spans="1:88">
      <c r="A606">
        <v>27204160</v>
      </c>
      <c r="B606" s="2" t="str">
        <f>HYPERLINK("http://www.redfin.com/stingray/do/printable-listing?listing-id=1303255","Subject To Inspection")</f>
        <v>Subject To Inspection</v>
      </c>
      <c r="D606" t="s">
        <v>1058</v>
      </c>
      <c r="E606" t="s">
        <v>4452</v>
      </c>
      <c r="F606">
        <v>769990</v>
      </c>
      <c r="G606">
        <v>2008</v>
      </c>
      <c r="H606">
        <v>1952</v>
      </c>
      <c r="I606">
        <v>0</v>
      </c>
      <c r="J606">
        <v>3</v>
      </c>
      <c r="K606">
        <v>3.25</v>
      </c>
      <c r="M606" s="2" t="str">
        <f>HYPERLINK("http://maps.live.com/default.aspx?v=2&amp;lvl=15&amp;sp=Point.47.703097_-122.208291_11418 99th Pl NE&amp;cp=47.703097~-122.208291","Map")</f>
        <v>Map</v>
      </c>
      <c r="N606" s="2" t="str">
        <f>HYPERLINK("http://i-0.rfimg.us/photo/1/bigphoto/160/27204160_3.jpg","Photo")</f>
        <v>Photo</v>
      </c>
      <c r="AG606">
        <v>47.703097</v>
      </c>
      <c r="AH606">
        <v>-122.208291</v>
      </c>
      <c r="AI606" t="s">
        <v>1058</v>
      </c>
      <c r="AJ606">
        <v>98033</v>
      </c>
      <c r="BC606" s="22">
        <v>39406.348379629628</v>
      </c>
      <c r="BI606" s="22">
        <v>39549.294907407406</v>
      </c>
      <c r="BL606">
        <v>15400</v>
      </c>
      <c r="BM606">
        <v>1303255</v>
      </c>
      <c r="BN606" t="s">
        <v>1768</v>
      </c>
      <c r="BO606" s="17">
        <f t="shared" ca="1" si="9"/>
        <v>142.96102627315122</v>
      </c>
      <c r="BP606" t="b">
        <v>0</v>
      </c>
      <c r="BQ606">
        <v>2</v>
      </c>
      <c r="BR606" t="s">
        <v>1842</v>
      </c>
      <c r="BS606" t="s">
        <v>4451</v>
      </c>
      <c r="BT606" t="b">
        <v>0</v>
      </c>
      <c r="BV606" t="s">
        <v>1668</v>
      </c>
      <c r="BW606">
        <v>11418</v>
      </c>
      <c r="BX606" t="s">
        <v>1738</v>
      </c>
      <c r="BY606">
        <v>12412294</v>
      </c>
      <c r="BZ606" t="s">
        <v>2889</v>
      </c>
      <c r="CA606">
        <v>1</v>
      </c>
      <c r="CB606" t="b">
        <v>1</v>
      </c>
      <c r="CC606">
        <v>0</v>
      </c>
      <c r="CD606" t="b">
        <v>0</v>
      </c>
      <c r="CE606" t="b">
        <v>0</v>
      </c>
      <c r="CF606" t="b">
        <v>1</v>
      </c>
      <c r="CG606">
        <v>15616042</v>
      </c>
      <c r="CH606" t="s">
        <v>1681</v>
      </c>
      <c r="CI606" s="10">
        <v>769990</v>
      </c>
    </row>
    <row r="607" spans="1:88">
      <c r="A607">
        <v>27204183</v>
      </c>
      <c r="B607" s="2" t="str">
        <f>HYPERLINK("http://www.redfin.com/stingray/do/printable-listing?listing-id=1302090","Active")</f>
        <v>Active</v>
      </c>
      <c r="D607" t="s">
        <v>109</v>
      </c>
      <c r="E607" t="s">
        <v>2618</v>
      </c>
      <c r="F607">
        <v>575000</v>
      </c>
      <c r="G607">
        <v>2005</v>
      </c>
      <c r="H607">
        <v>1480</v>
      </c>
      <c r="I607">
        <v>0</v>
      </c>
      <c r="J607">
        <v>3</v>
      </c>
      <c r="K607">
        <v>3.5</v>
      </c>
      <c r="M607" s="2" t="str">
        <f>HYPERLINK("http://maps.live.com/default.aspx?v=2&amp;lvl=15&amp;sp=Point.47.662373_-122.338413_1616 N 46th St nB&amp;cp=47.662373~-122.338413","Map")</f>
        <v>Map</v>
      </c>
      <c r="N607" s="2" t="str">
        <f>HYPERLINK("http://i-0.rfimg.us/photo/1/bigphoto/183/27204183_0.jpg","Photo")</f>
        <v>Photo</v>
      </c>
      <c r="AG607">
        <v>47.662373000000002</v>
      </c>
      <c r="AH607">
        <v>-122.338413</v>
      </c>
      <c r="AI607" t="s">
        <v>66</v>
      </c>
      <c r="AJ607">
        <v>98103</v>
      </c>
      <c r="AM607" t="s">
        <v>1699</v>
      </c>
      <c r="AN607">
        <v>424312</v>
      </c>
      <c r="BC607" s="22">
        <v>39405.709293981483</v>
      </c>
      <c r="BI607" s="22">
        <v>39549.294907407406</v>
      </c>
      <c r="BL607">
        <v>11500</v>
      </c>
      <c r="BM607">
        <v>1302090</v>
      </c>
      <c r="BN607" t="s">
        <v>2617</v>
      </c>
      <c r="BO607" s="17">
        <f t="shared" ca="1" si="9"/>
        <v>143.60011203703471</v>
      </c>
      <c r="BP607" t="b">
        <v>0</v>
      </c>
      <c r="BQ607">
        <v>1</v>
      </c>
      <c r="BR607" t="s">
        <v>1686</v>
      </c>
      <c r="BS607" t="s">
        <v>2471</v>
      </c>
      <c r="BT607" t="b">
        <v>0</v>
      </c>
      <c r="BU607" t="s">
        <v>1712</v>
      </c>
      <c r="BV607" t="s">
        <v>1668</v>
      </c>
      <c r="BW607">
        <v>1616</v>
      </c>
      <c r="BY607">
        <v>2075957</v>
      </c>
      <c r="BZ607" t="s">
        <v>1676</v>
      </c>
      <c r="CA607">
        <v>1</v>
      </c>
      <c r="CB607" t="b">
        <v>1</v>
      </c>
      <c r="CC607">
        <v>0</v>
      </c>
      <c r="CD607" t="b">
        <v>0</v>
      </c>
      <c r="CE607" t="b">
        <v>0</v>
      </c>
      <c r="CF607" t="b">
        <v>1</v>
      </c>
      <c r="CG607">
        <v>2633349</v>
      </c>
      <c r="CH607" t="s">
        <v>1681</v>
      </c>
      <c r="CI607" s="10">
        <v>575000</v>
      </c>
      <c r="CJ607" s="7">
        <v>38597</v>
      </c>
    </row>
    <row r="608" spans="1:88">
      <c r="A608">
        <v>27204298</v>
      </c>
      <c r="B608" s="2" t="str">
        <f>HYPERLINK("http://www.redfin.com/stingray/do/printable-listing?listing-id=1311405","Active")</f>
        <v>Active</v>
      </c>
      <c r="D608" t="s">
        <v>192</v>
      </c>
      <c r="E608" t="s">
        <v>3233</v>
      </c>
      <c r="F608">
        <v>510000</v>
      </c>
      <c r="G608">
        <v>1924</v>
      </c>
      <c r="H608">
        <v>2040</v>
      </c>
      <c r="I608">
        <v>4275</v>
      </c>
      <c r="J608">
        <v>3</v>
      </c>
      <c r="K608">
        <v>1.75</v>
      </c>
      <c r="M608" s="2" t="str">
        <f>HYPERLINK("http://maps.live.com/default.aspx?v=2&amp;lvl=15&amp;sp=Point.47.688057_-122.312513_8047 15 Ave NE&amp;cp=47.688057~-122.312513","Map")</f>
        <v>Map</v>
      </c>
      <c r="N608" s="2" t="str">
        <f>HYPERLINK("http://i-0.rfimg.us/photo/1/bigphoto/298/27204298_0.jpg","Photo")</f>
        <v>Photo</v>
      </c>
      <c r="AG608">
        <v>47.688057000000001</v>
      </c>
      <c r="AH608">
        <v>-122.312513</v>
      </c>
      <c r="AI608" t="s">
        <v>66</v>
      </c>
      <c r="AJ608">
        <v>98115</v>
      </c>
      <c r="AN608">
        <v>380000</v>
      </c>
      <c r="BC608" s="22">
        <v>39412.821006944447</v>
      </c>
      <c r="BI608" s="22">
        <v>39549.294907407406</v>
      </c>
      <c r="BL608">
        <v>10200</v>
      </c>
      <c r="BM608">
        <v>1311405</v>
      </c>
      <c r="BN608" t="s">
        <v>3034</v>
      </c>
      <c r="BO608" s="17">
        <f t="shared" ca="1" si="9"/>
        <v>136.48839895833225</v>
      </c>
      <c r="BP608" t="b">
        <v>0</v>
      </c>
      <c r="BQ608">
        <v>1</v>
      </c>
      <c r="BR608" t="s">
        <v>1667</v>
      </c>
      <c r="BS608">
        <v>15</v>
      </c>
      <c r="BT608" t="b">
        <v>0</v>
      </c>
      <c r="BV608" t="s">
        <v>1668</v>
      </c>
      <c r="BW608">
        <v>8047</v>
      </c>
      <c r="BX608" t="s">
        <v>1738</v>
      </c>
      <c r="BY608">
        <v>108174</v>
      </c>
      <c r="BZ608" t="s">
        <v>1676</v>
      </c>
      <c r="CA608">
        <v>1</v>
      </c>
      <c r="CB608" t="b">
        <v>1</v>
      </c>
      <c r="CC608">
        <v>0</v>
      </c>
      <c r="CD608" t="b">
        <v>0</v>
      </c>
      <c r="CE608" t="b">
        <v>0</v>
      </c>
      <c r="CF608" t="b">
        <v>1</v>
      </c>
      <c r="CG608">
        <v>2512884</v>
      </c>
      <c r="CH608" t="s">
        <v>1681</v>
      </c>
      <c r="CI608" s="10">
        <v>510000</v>
      </c>
      <c r="CJ608" s="7">
        <v>38834</v>
      </c>
    </row>
    <row r="609" spans="1:90">
      <c r="A609">
        <v>27204410</v>
      </c>
      <c r="B609" s="15" t="str">
        <f>HYPERLINK("http://www.redfin.com/stingray/do/printable-listing?listing-id=1303526","Subject To Inspection")</f>
        <v>Subject To Inspection</v>
      </c>
      <c r="D609" t="s">
        <v>5291</v>
      </c>
      <c r="E609" t="s">
        <v>5288</v>
      </c>
      <c r="F609">
        <v>595000</v>
      </c>
      <c r="G609">
        <v>1968</v>
      </c>
      <c r="H609">
        <v>3410</v>
      </c>
      <c r="I609">
        <v>11108</v>
      </c>
      <c r="J609">
        <v>5</v>
      </c>
      <c r="K609">
        <v>2.75</v>
      </c>
      <c r="M609" s="2" t="str">
        <f>HYPERLINK("http://maps.live.com/default.aspx?v=2&amp;lvl=15&amp;sp=Point.47.568211_-122.128651_4322 158th Pl SE&amp;cp=47.568211~-122.128651","Map")</f>
        <v>Map</v>
      </c>
      <c r="N609" s="2" t="str">
        <f>HYPERLINK("http://i-0.rfimg.us/photo/1/bigphoto/410/27204410_4.jpg","Photo")</f>
        <v>Photo</v>
      </c>
      <c r="AG609">
        <v>47.568210999999998</v>
      </c>
      <c r="AH609">
        <v>-122.128651</v>
      </c>
      <c r="AI609" t="s">
        <v>369</v>
      </c>
      <c r="AJ609">
        <v>98006</v>
      </c>
      <c r="BC609" s="22">
        <v>39406.470335648148</v>
      </c>
      <c r="BI609" s="22">
        <v>39549.294907407406</v>
      </c>
      <c r="BL609">
        <v>11900</v>
      </c>
      <c r="BM609">
        <v>1303526</v>
      </c>
      <c r="BN609" t="s">
        <v>3236</v>
      </c>
      <c r="BO609" s="17">
        <f t="shared" ca="1" si="9"/>
        <v>142.83907025463122</v>
      </c>
      <c r="BP609" t="b">
        <v>0</v>
      </c>
      <c r="BQ609">
        <v>1</v>
      </c>
      <c r="BR609" t="s">
        <v>1842</v>
      </c>
      <c r="BS609" t="s">
        <v>5289</v>
      </c>
      <c r="BT609" t="b">
        <v>0</v>
      </c>
      <c r="BV609" t="s">
        <v>1668</v>
      </c>
      <c r="BW609">
        <v>4322</v>
      </c>
      <c r="BX609" t="s">
        <v>3856</v>
      </c>
      <c r="BY609">
        <v>239030</v>
      </c>
      <c r="BZ609" t="s">
        <v>5290</v>
      </c>
      <c r="CA609">
        <v>1</v>
      </c>
      <c r="CB609" t="b">
        <v>1</v>
      </c>
      <c r="CC609">
        <v>0</v>
      </c>
      <c r="CD609" t="b">
        <v>0</v>
      </c>
      <c r="CE609" t="b">
        <v>0</v>
      </c>
      <c r="CF609" t="b">
        <v>1</v>
      </c>
      <c r="CG609">
        <v>2436026</v>
      </c>
      <c r="CH609" t="s">
        <v>1681</v>
      </c>
      <c r="CI609" s="10">
        <v>595000</v>
      </c>
      <c r="CL609" t="s">
        <v>2204</v>
      </c>
    </row>
    <row r="610" spans="1:90">
      <c r="A610">
        <v>27204501</v>
      </c>
      <c r="B610" s="15" t="str">
        <f>HYPERLINK("http://www.redfin.com/stingray/do/printable-listing?listing-id=1303997","Subject To Inspection")</f>
        <v>Subject To Inspection</v>
      </c>
      <c r="D610" t="s">
        <v>3961</v>
      </c>
      <c r="E610" t="s">
        <v>4269</v>
      </c>
      <c r="F610">
        <v>399950</v>
      </c>
      <c r="G610">
        <v>2007</v>
      </c>
      <c r="H610">
        <v>1550</v>
      </c>
      <c r="I610">
        <v>0</v>
      </c>
      <c r="J610">
        <v>3</v>
      </c>
      <c r="K610">
        <v>3</v>
      </c>
      <c r="M610" s="2" t="str">
        <f>HYPERLINK("http://maps.live.com/default.aspx?v=2&amp;lvl=15&amp;sp=Point.47.601394_-122.297091_2717 Yesler Way&amp;cp=47.601394~-122.297091","Map")</f>
        <v>Map</v>
      </c>
      <c r="N610" s="2" t="str">
        <f>HYPERLINK("http://i-0.rfimg.us/photo/1/bigphoto/501/27204501_0.jpg","Photo")</f>
        <v>Photo</v>
      </c>
      <c r="AG610">
        <v>47.601393999999999</v>
      </c>
      <c r="AH610">
        <v>-122.29709099999999</v>
      </c>
      <c r="AI610" t="s">
        <v>66</v>
      </c>
      <c r="AJ610">
        <v>98112</v>
      </c>
      <c r="AN610">
        <v>400000</v>
      </c>
      <c r="BC610" s="22">
        <v>39406.649884259263</v>
      </c>
      <c r="BI610" s="22">
        <v>39549.294907407406</v>
      </c>
      <c r="BL610">
        <v>7999</v>
      </c>
      <c r="BM610">
        <v>1303997</v>
      </c>
      <c r="BN610" t="s">
        <v>1688</v>
      </c>
      <c r="BO610" s="17">
        <f t="shared" ca="1" si="9"/>
        <v>142.6595216435162</v>
      </c>
      <c r="BP610" t="b">
        <v>0</v>
      </c>
      <c r="BQ610">
        <v>1</v>
      </c>
      <c r="BR610" t="s">
        <v>2463</v>
      </c>
      <c r="BS610" t="s">
        <v>3983</v>
      </c>
      <c r="BT610" t="b">
        <v>0</v>
      </c>
      <c r="BV610" t="s">
        <v>1668</v>
      </c>
      <c r="BW610">
        <v>2717</v>
      </c>
      <c r="BY610">
        <v>142470</v>
      </c>
      <c r="BZ610" t="s">
        <v>1741</v>
      </c>
      <c r="CA610">
        <v>1</v>
      </c>
      <c r="CB610" t="b">
        <v>1</v>
      </c>
      <c r="CC610">
        <v>0</v>
      </c>
      <c r="CD610" t="b">
        <v>0</v>
      </c>
      <c r="CE610" t="b">
        <v>0</v>
      </c>
      <c r="CF610" t="b">
        <v>1</v>
      </c>
      <c r="CG610">
        <v>2733044</v>
      </c>
      <c r="CH610" t="s">
        <v>1681</v>
      </c>
      <c r="CI610" s="10">
        <v>399950</v>
      </c>
      <c r="CJ610" s="7">
        <v>38420</v>
      </c>
    </row>
    <row r="611" spans="1:90">
      <c r="A611">
        <v>27204556</v>
      </c>
      <c r="B611" s="2" t="str">
        <f>HYPERLINK("http://www.redfin.com/stingray/do/printable-listing?listing-id=1304157","Active")</f>
        <v>Active</v>
      </c>
      <c r="D611" t="s">
        <v>3961</v>
      </c>
      <c r="E611" t="s">
        <v>4269</v>
      </c>
      <c r="F611">
        <v>374950</v>
      </c>
      <c r="G611">
        <v>2007</v>
      </c>
      <c r="H611">
        <v>1350</v>
      </c>
      <c r="I611">
        <v>5000</v>
      </c>
      <c r="J611">
        <v>3</v>
      </c>
      <c r="K611">
        <v>3</v>
      </c>
      <c r="M611" s="2" t="str">
        <f>HYPERLINK("http://maps.live.com/default.aspx?v=2&amp;lvl=15&amp;sp=Point.47.601394_-122.297091_2717 Yesler Way&amp;cp=47.601394~-122.297091","Map")</f>
        <v>Map</v>
      </c>
      <c r="N611" s="2" t="str">
        <f>HYPERLINK("http://i-0.rfimg.us/photo/1/bigphoto/556/27204556_0.jpg","Photo")</f>
        <v>Photo</v>
      </c>
      <c r="AG611">
        <v>47.601393999999999</v>
      </c>
      <c r="AH611">
        <v>-122.29709099999999</v>
      </c>
      <c r="AI611" t="s">
        <v>66</v>
      </c>
      <c r="AJ611">
        <v>98112</v>
      </c>
      <c r="AN611">
        <v>400000</v>
      </c>
      <c r="BC611" s="22">
        <v>39406.67769675926</v>
      </c>
      <c r="BI611" s="22">
        <v>39549.294907407406</v>
      </c>
      <c r="BL611">
        <v>7499</v>
      </c>
      <c r="BM611">
        <v>1304157</v>
      </c>
      <c r="BN611" t="s">
        <v>1688</v>
      </c>
      <c r="BO611" s="17">
        <f t="shared" ca="1" si="9"/>
        <v>142.6317091435194</v>
      </c>
      <c r="BP611" t="b">
        <v>0</v>
      </c>
      <c r="BQ611">
        <v>1</v>
      </c>
      <c r="BR611" t="s">
        <v>2463</v>
      </c>
      <c r="BS611" t="s">
        <v>3983</v>
      </c>
      <c r="BT611" t="b">
        <v>0</v>
      </c>
      <c r="BV611" t="s">
        <v>1668</v>
      </c>
      <c r="BW611">
        <v>2717</v>
      </c>
      <c r="BY611">
        <v>142470</v>
      </c>
      <c r="BZ611" t="s">
        <v>1670</v>
      </c>
      <c r="CA611">
        <v>1</v>
      </c>
      <c r="CB611" t="b">
        <v>1</v>
      </c>
      <c r="CC611">
        <v>0</v>
      </c>
      <c r="CD611" t="b">
        <v>0</v>
      </c>
      <c r="CE611" t="b">
        <v>0</v>
      </c>
      <c r="CF611" t="b">
        <v>1</v>
      </c>
      <c r="CG611">
        <v>2733044</v>
      </c>
      <c r="CH611" t="s">
        <v>1681</v>
      </c>
      <c r="CI611" s="10">
        <v>374950</v>
      </c>
      <c r="CJ611" s="7">
        <v>38420</v>
      </c>
    </row>
    <row r="612" spans="1:90">
      <c r="A612">
        <v>27204669</v>
      </c>
      <c r="B612" s="2" t="str">
        <f>HYPERLINK("http://www.redfin.com/stingray/do/printable-listing?listing-id=1304321","Active")</f>
        <v>Active</v>
      </c>
      <c r="D612" t="s">
        <v>100</v>
      </c>
      <c r="E612" t="s">
        <v>438</v>
      </c>
      <c r="F612">
        <v>319950</v>
      </c>
      <c r="G612">
        <v>1909</v>
      </c>
      <c r="H612">
        <v>820</v>
      </c>
      <c r="I612">
        <v>2500</v>
      </c>
      <c r="J612">
        <v>2</v>
      </c>
      <c r="K612">
        <v>1</v>
      </c>
      <c r="M612" s="2" t="str">
        <f>HYPERLINK("http://maps.live.com/default.aspx?v=2&amp;lvl=15&amp;sp=Point.47.66153_-122.354368_326 N 45th St&amp;cp=47.66153~-122.354368","Map")</f>
        <v>Map</v>
      </c>
      <c r="N612" s="2" t="str">
        <f>HYPERLINK("http://i-0.rfimg.us/photo/1/bigphoto/669/27204669_0.jpg","Photo")</f>
        <v>Photo</v>
      </c>
      <c r="AG612">
        <v>47.661529999999999</v>
      </c>
      <c r="AH612">
        <v>-122.35436799999999</v>
      </c>
      <c r="AI612" t="s">
        <v>66</v>
      </c>
      <c r="AJ612">
        <v>98103</v>
      </c>
      <c r="AN612">
        <v>60000</v>
      </c>
      <c r="BC612" s="22">
        <v>39406.716574074075</v>
      </c>
      <c r="BI612" s="7">
        <v>39539</v>
      </c>
      <c r="BL612">
        <v>6399</v>
      </c>
      <c r="BM612">
        <v>1304321</v>
      </c>
      <c r="BN612" t="s">
        <v>2666</v>
      </c>
      <c r="BO612" s="17">
        <f t="shared" ca="1" si="9"/>
        <v>142.59283194444288</v>
      </c>
      <c r="BP612" t="b">
        <v>0</v>
      </c>
      <c r="BQ612">
        <v>1</v>
      </c>
      <c r="BR612" t="s">
        <v>1686</v>
      </c>
      <c r="BS612" t="s">
        <v>2667</v>
      </c>
      <c r="BT612" t="b">
        <v>0</v>
      </c>
      <c r="BU612" t="s">
        <v>1712</v>
      </c>
      <c r="BV612" t="s">
        <v>1668</v>
      </c>
      <c r="BW612">
        <v>326</v>
      </c>
      <c r="BY612">
        <v>303190</v>
      </c>
      <c r="BZ612" s="21">
        <v>0</v>
      </c>
      <c r="CA612">
        <v>1</v>
      </c>
      <c r="CB612" t="b">
        <v>1</v>
      </c>
      <c r="CC612">
        <v>0</v>
      </c>
      <c r="CD612" t="b">
        <v>0</v>
      </c>
      <c r="CE612" t="b">
        <v>0</v>
      </c>
      <c r="CF612" t="b">
        <v>1</v>
      </c>
      <c r="CG612">
        <v>2991268</v>
      </c>
      <c r="CH612" t="s">
        <v>1681</v>
      </c>
      <c r="CI612" s="10">
        <v>319950</v>
      </c>
      <c r="CJ612" s="7">
        <v>34215</v>
      </c>
    </row>
    <row r="613" spans="1:90">
      <c r="A613">
        <v>27204724</v>
      </c>
      <c r="B613" s="2" t="str">
        <f>HYPERLINK("http://www.redfin.com/stingray/do/printable-listing?listing-id=1304451","Subject To Inspection")</f>
        <v>Subject To Inspection</v>
      </c>
      <c r="D613" t="s">
        <v>3071</v>
      </c>
      <c r="E613" t="s">
        <v>4481</v>
      </c>
      <c r="F613">
        <v>470000</v>
      </c>
      <c r="G613">
        <v>2001</v>
      </c>
      <c r="H613">
        <v>2290</v>
      </c>
      <c r="I613">
        <v>6361</v>
      </c>
      <c r="J613">
        <v>4</v>
      </c>
      <c r="K613">
        <v>2.5</v>
      </c>
      <c r="M613" s="2" t="str">
        <f>HYPERLINK("http://maps.live.com/default.aspx?v=2&amp;lvl=15&amp;sp=Point.47.7146_-122.229256_8403 NE 127th Ct&amp;cp=47.7146~-122.229256","Map")</f>
        <v>Map</v>
      </c>
      <c r="N613" s="2" t="str">
        <f>HYPERLINK("http://i-0.rfimg.us/photo/1/bigphoto/724/27204724_0.jpg","Photo")</f>
        <v>Photo</v>
      </c>
      <c r="AG613">
        <v>47.714599999999997</v>
      </c>
      <c r="AH613">
        <v>-122.22925600000001</v>
      </c>
      <c r="AI613" t="s">
        <v>1058</v>
      </c>
      <c r="AJ613">
        <v>98034</v>
      </c>
      <c r="AN613">
        <v>490000</v>
      </c>
      <c r="BC613" s="22">
        <v>39406.779745370368</v>
      </c>
      <c r="BI613" s="7">
        <v>39536</v>
      </c>
      <c r="BL613">
        <v>9400</v>
      </c>
      <c r="BM613">
        <v>1304451</v>
      </c>
      <c r="BN613" t="s">
        <v>1776</v>
      </c>
      <c r="BO613" s="17">
        <f t="shared" ca="1" si="9"/>
        <v>142.52966053241107</v>
      </c>
      <c r="BP613" t="b">
        <v>0</v>
      </c>
      <c r="BQ613">
        <v>2</v>
      </c>
      <c r="BR613" t="s">
        <v>3768</v>
      </c>
      <c r="BS613" t="s">
        <v>2698</v>
      </c>
      <c r="BT613" t="b">
        <v>0</v>
      </c>
      <c r="BU613" t="s">
        <v>1738</v>
      </c>
      <c r="BV613" t="s">
        <v>1668</v>
      </c>
      <c r="BW613">
        <v>8403</v>
      </c>
      <c r="BY613">
        <v>277360</v>
      </c>
      <c r="BZ613" t="s">
        <v>1670</v>
      </c>
      <c r="CA613">
        <v>1</v>
      </c>
      <c r="CB613" t="b">
        <v>1</v>
      </c>
      <c r="CC613">
        <v>0</v>
      </c>
      <c r="CD613" t="b">
        <v>0</v>
      </c>
      <c r="CE613" t="b">
        <v>0</v>
      </c>
      <c r="CF613" t="b">
        <v>1</v>
      </c>
      <c r="CG613">
        <v>268291</v>
      </c>
      <c r="CH613" t="s">
        <v>1681</v>
      </c>
      <c r="CI613" s="10">
        <v>470000</v>
      </c>
      <c r="CJ613" s="7">
        <v>38384</v>
      </c>
    </row>
    <row r="614" spans="1:90">
      <c r="A614">
        <v>27205053</v>
      </c>
      <c r="B614" s="2" t="str">
        <f>HYPERLINK("http://www.redfin.com/stingray/do/printable-listing?listing-id=1314888","Active")</f>
        <v>Active</v>
      </c>
      <c r="D614" t="s">
        <v>4948</v>
      </c>
      <c r="E614" t="s">
        <v>4982</v>
      </c>
      <c r="F614">
        <v>1035000</v>
      </c>
      <c r="G614">
        <v>1980</v>
      </c>
      <c r="H614">
        <v>2850</v>
      </c>
      <c r="I614">
        <v>12240</v>
      </c>
      <c r="J614">
        <v>4</v>
      </c>
      <c r="K614">
        <v>2.5</v>
      </c>
      <c r="M614" s="2" t="str">
        <f>HYPERLINK("http://maps.live.com/default.aspx?v=2&amp;lvl=15&amp;sp=Point.47.64411_-122.193317_3798 110th Pl NE&amp;cp=47.64411~-122.193317","Map")</f>
        <v>Map</v>
      </c>
      <c r="N614" s="2" t="str">
        <f>HYPERLINK("http://i-0.rfimg.us/photo/1/bigphoto/053/27205053_3.jpg","Photo")</f>
        <v>Photo</v>
      </c>
      <c r="AG614">
        <v>47.644109999999998</v>
      </c>
      <c r="AH614">
        <v>-122.19331699999999</v>
      </c>
      <c r="AI614" t="s">
        <v>369</v>
      </c>
      <c r="AJ614">
        <v>98004</v>
      </c>
      <c r="AN614">
        <v>280000</v>
      </c>
      <c r="BC614" s="22">
        <v>39414.539039351854</v>
      </c>
      <c r="BI614" s="22">
        <v>39549.294907407406</v>
      </c>
      <c r="BL614">
        <v>20700</v>
      </c>
      <c r="BM614">
        <v>1314888</v>
      </c>
      <c r="BN614" t="s">
        <v>2136</v>
      </c>
      <c r="BO614" s="17">
        <f t="shared" ca="1" si="9"/>
        <v>134.77036655092525</v>
      </c>
      <c r="BP614" t="b">
        <v>0</v>
      </c>
      <c r="BQ614">
        <v>1</v>
      </c>
      <c r="BR614" t="s">
        <v>1842</v>
      </c>
      <c r="BS614" t="s">
        <v>4369</v>
      </c>
      <c r="BT614" t="b">
        <v>0</v>
      </c>
      <c r="BV614" t="s">
        <v>1668</v>
      </c>
      <c r="BW614">
        <v>3798</v>
      </c>
      <c r="BX614" t="s">
        <v>1738</v>
      </c>
      <c r="BY614">
        <v>459725</v>
      </c>
      <c r="BZ614" t="s">
        <v>2561</v>
      </c>
      <c r="CA614">
        <v>1</v>
      </c>
      <c r="CB614" t="b">
        <v>1</v>
      </c>
      <c r="CC614">
        <v>0</v>
      </c>
      <c r="CD614" t="b">
        <v>0</v>
      </c>
      <c r="CE614" t="b">
        <v>0</v>
      </c>
      <c r="CF614" t="b">
        <v>1</v>
      </c>
      <c r="CG614">
        <v>2912296</v>
      </c>
      <c r="CH614" t="s">
        <v>1681</v>
      </c>
      <c r="CI614" s="10">
        <v>1035000</v>
      </c>
      <c r="CJ614" s="7">
        <v>34661</v>
      </c>
    </row>
    <row r="615" spans="1:90">
      <c r="A615">
        <v>27205279</v>
      </c>
      <c r="B615" s="2" t="str">
        <f>HYPERLINK("http://www.redfin.com/stingray/do/printable-listing?listing-id=1307947","Active")</f>
        <v>Active</v>
      </c>
      <c r="D615" t="s">
        <v>983</v>
      </c>
      <c r="E615" t="s">
        <v>2994</v>
      </c>
      <c r="F615" s="19">
        <v>825000</v>
      </c>
      <c r="G615">
        <v>2007</v>
      </c>
      <c r="H615">
        <v>3060</v>
      </c>
      <c r="I615">
        <v>5954</v>
      </c>
      <c r="J615">
        <v>4</v>
      </c>
      <c r="K615">
        <v>2.5</v>
      </c>
      <c r="M615" s="2" t="str">
        <f>HYPERLINK("http://maps.live.com/default.aspx?v=2&amp;lvl=15&amp;sp=Point.47.704807_-122.27777_4602 NE 105th St&amp;cp=47.704807~-122.27777","Map")</f>
        <v>Map</v>
      </c>
      <c r="N615" s="2" t="str">
        <f>HYPERLINK("http://i-0.rfimg.us/photo/1/bigphoto/279/27205279_2.jpg","Photo")</f>
        <v>Photo</v>
      </c>
      <c r="AG615">
        <v>47.704807000000002</v>
      </c>
      <c r="AH615">
        <v>-122.27777</v>
      </c>
      <c r="AI615" t="s">
        <v>66</v>
      </c>
      <c r="AJ615">
        <v>98125</v>
      </c>
      <c r="AN615">
        <v>160000</v>
      </c>
      <c r="BC615" s="22">
        <v>39409.546909722223</v>
      </c>
      <c r="BI615" s="22">
        <v>39549.294907407406</v>
      </c>
      <c r="BL615">
        <v>16999</v>
      </c>
      <c r="BM615">
        <v>1307947</v>
      </c>
      <c r="BN615" t="s">
        <v>1710</v>
      </c>
      <c r="BO615" s="17">
        <f t="shared" ca="1" si="9"/>
        <v>139.7624961805559</v>
      </c>
      <c r="BP615" t="b">
        <v>0</v>
      </c>
      <c r="BQ615">
        <v>1</v>
      </c>
      <c r="BR615" t="s">
        <v>1686</v>
      </c>
      <c r="BS615" t="s">
        <v>2705</v>
      </c>
      <c r="BT615" t="b">
        <v>0</v>
      </c>
      <c r="BU615" t="s">
        <v>1738</v>
      </c>
      <c r="BV615" t="s">
        <v>1668</v>
      </c>
      <c r="BW615">
        <v>4602</v>
      </c>
      <c r="BY615">
        <v>319464</v>
      </c>
      <c r="BZ615" t="s">
        <v>2995</v>
      </c>
      <c r="CA615">
        <v>1</v>
      </c>
      <c r="CB615" t="b">
        <v>1</v>
      </c>
      <c r="CC615">
        <v>0</v>
      </c>
      <c r="CD615" t="b">
        <v>0</v>
      </c>
      <c r="CE615" t="b">
        <v>0</v>
      </c>
      <c r="CF615" t="b">
        <v>1</v>
      </c>
      <c r="CG615">
        <v>2829058</v>
      </c>
      <c r="CH615" t="s">
        <v>1681</v>
      </c>
      <c r="CI615" s="10">
        <v>849950</v>
      </c>
      <c r="CJ615" s="7">
        <v>35503</v>
      </c>
    </row>
    <row r="616" spans="1:90">
      <c r="A616">
        <v>27205302</v>
      </c>
      <c r="B616" s="2" t="str">
        <f>HYPERLINK("http://www.redfin.com/stingray/do/printable-listing?listing-id=1308007","Active")</f>
        <v>Active</v>
      </c>
      <c r="D616" t="s">
        <v>1058</v>
      </c>
      <c r="E616" t="s">
        <v>4576</v>
      </c>
      <c r="F616">
        <v>374950</v>
      </c>
      <c r="G616">
        <v>1983</v>
      </c>
      <c r="H616">
        <v>1390</v>
      </c>
      <c r="I616">
        <v>5009</v>
      </c>
      <c r="J616">
        <v>3</v>
      </c>
      <c r="K616">
        <v>2.25</v>
      </c>
      <c r="M616" s="2" t="str">
        <f>HYPERLINK("http://maps.live.com/default.aspx?v=2&amp;lvl=15&amp;sp=Point.47.72385_-122.159393_13718 135th Ave NE&amp;cp=47.72385~-122.159393","Map")</f>
        <v>Map</v>
      </c>
      <c r="N616" s="2" t="str">
        <f>HYPERLINK("http://i-0.rfimg.us/photo/1/bigphoto/302/27205302_4.jpg","Photo")</f>
        <v>Photo</v>
      </c>
      <c r="AG616">
        <v>47.723849999999999</v>
      </c>
      <c r="AH616">
        <v>-122.15939299999999</v>
      </c>
      <c r="AI616" t="s">
        <v>1058</v>
      </c>
      <c r="AJ616">
        <v>98034</v>
      </c>
      <c r="AN616">
        <v>226000</v>
      </c>
      <c r="BC616" s="22">
        <v>39409.588460648149</v>
      </c>
      <c r="BI616" s="22">
        <v>39549.294907407406</v>
      </c>
      <c r="BL616">
        <v>7499</v>
      </c>
      <c r="BM616">
        <v>1308007</v>
      </c>
      <c r="BN616" t="s">
        <v>4529</v>
      </c>
      <c r="BO616" s="17">
        <f t="shared" ca="1" si="9"/>
        <v>139.72094525463035</v>
      </c>
      <c r="BP616" t="b">
        <v>0</v>
      </c>
      <c r="BQ616">
        <v>1</v>
      </c>
      <c r="BR616" t="s">
        <v>1667</v>
      </c>
      <c r="BS616" t="s">
        <v>3909</v>
      </c>
      <c r="BT616" t="b">
        <v>0</v>
      </c>
      <c r="BV616" t="s">
        <v>1668</v>
      </c>
      <c r="BW616">
        <v>13718</v>
      </c>
      <c r="BX616" t="s">
        <v>1738</v>
      </c>
      <c r="BY616">
        <v>512947</v>
      </c>
      <c r="BZ616" t="s">
        <v>4577</v>
      </c>
      <c r="CA616">
        <v>1</v>
      </c>
      <c r="CB616" t="b">
        <v>1</v>
      </c>
      <c r="CC616">
        <v>0</v>
      </c>
      <c r="CD616" t="b">
        <v>0</v>
      </c>
      <c r="CE616" t="b">
        <v>0</v>
      </c>
      <c r="CF616" t="b">
        <v>1</v>
      </c>
      <c r="CG616">
        <v>2524044</v>
      </c>
      <c r="CH616" t="s">
        <v>1681</v>
      </c>
      <c r="CI616" s="10">
        <v>374950</v>
      </c>
      <c r="CJ616" s="7">
        <v>37484</v>
      </c>
    </row>
    <row r="617" spans="1:90">
      <c r="A617">
        <v>27205317</v>
      </c>
      <c r="B617" s="15" t="str">
        <f>HYPERLINK("http://www.redfin.com/stingray/do/printable-listing?listing-id=1308031","Subject To Inspection")</f>
        <v>Subject To Inspection</v>
      </c>
      <c r="D617" t="s">
        <v>2850</v>
      </c>
      <c r="E617" t="s">
        <v>4486</v>
      </c>
      <c r="F617">
        <v>409850</v>
      </c>
      <c r="G617">
        <v>1980</v>
      </c>
      <c r="H617">
        <v>1510</v>
      </c>
      <c r="I617">
        <v>9190</v>
      </c>
      <c r="J617">
        <v>4</v>
      </c>
      <c r="K617">
        <v>2.25</v>
      </c>
      <c r="M617" s="2" t="str">
        <f>HYPERLINK("http://maps.live.com/default.aspx?v=2&amp;lvl=15&amp;sp=Point.47.71612_-122.210728_12834 97th Pl NE&amp;cp=47.71612~-122.210728","Map")</f>
        <v>Map</v>
      </c>
      <c r="N617" s="2" t="str">
        <f>HYPERLINK("http://i-0.rfimg.us/photo/1/bigphoto/317/27205317_6.jpg","Photo")</f>
        <v>Photo</v>
      </c>
      <c r="AG617">
        <v>47.716119999999997</v>
      </c>
      <c r="AH617">
        <v>-122.210728</v>
      </c>
      <c r="AI617" t="s">
        <v>1058</v>
      </c>
      <c r="AJ617">
        <v>98034</v>
      </c>
      <c r="BC617" s="22">
        <v>39409.608969907407</v>
      </c>
      <c r="BI617" s="7">
        <v>39542</v>
      </c>
      <c r="BL617">
        <v>8197</v>
      </c>
      <c r="BM617">
        <v>1308031</v>
      </c>
      <c r="BN617" t="s">
        <v>1680</v>
      </c>
      <c r="BO617" s="17">
        <f t="shared" ca="1" si="9"/>
        <v>139.70043599537166</v>
      </c>
      <c r="BP617" t="b">
        <v>0</v>
      </c>
      <c r="BQ617">
        <v>1</v>
      </c>
      <c r="BR617" t="s">
        <v>1842</v>
      </c>
      <c r="BS617" t="s">
        <v>1840</v>
      </c>
      <c r="BT617" t="b">
        <v>0</v>
      </c>
      <c r="BV617" t="s">
        <v>1668</v>
      </c>
      <c r="BW617">
        <v>12834</v>
      </c>
      <c r="BX617" t="s">
        <v>1738</v>
      </c>
      <c r="BY617">
        <v>277610</v>
      </c>
      <c r="BZ617" t="s">
        <v>4487</v>
      </c>
      <c r="CA617">
        <v>1</v>
      </c>
      <c r="CB617" t="b">
        <v>1</v>
      </c>
      <c r="CC617">
        <v>0</v>
      </c>
      <c r="CD617" t="b">
        <v>0</v>
      </c>
      <c r="CE617" t="b">
        <v>0</v>
      </c>
      <c r="CF617" t="b">
        <v>1</v>
      </c>
      <c r="CG617">
        <v>2622065</v>
      </c>
      <c r="CH617" t="s">
        <v>1681</v>
      </c>
      <c r="CI617" s="10">
        <v>409850</v>
      </c>
    </row>
    <row r="618" spans="1:90">
      <c r="A618">
        <v>27205347</v>
      </c>
      <c r="B618" s="2" t="str">
        <f>HYPERLINK("http://www.redfin.com/stingray/do/printable-listing?listing-id=1308940","Active")</f>
        <v>Active</v>
      </c>
      <c r="D618" t="s">
        <v>2850</v>
      </c>
      <c r="E618" t="s">
        <v>4473</v>
      </c>
      <c r="F618" s="19">
        <v>529950</v>
      </c>
      <c r="G618">
        <v>1980</v>
      </c>
      <c r="H618">
        <v>1930</v>
      </c>
      <c r="I618">
        <v>8260</v>
      </c>
      <c r="J618">
        <v>4</v>
      </c>
      <c r="K618">
        <v>2.5</v>
      </c>
      <c r="M618" s="2" t="str">
        <f>HYPERLINK("http://maps.live.com/default.aspx?v=2&amp;lvl=15&amp;sp=Point.47.726361_-122.206717_10020 NE 140th St&amp;cp=47.726361~-122.206717","Map")</f>
        <v>Map</v>
      </c>
      <c r="N618" s="2" t="str">
        <f>HYPERLINK("http://i-0.rfimg.us/photo/1/bigphoto/347/27205347_0.jpg","Photo")</f>
        <v>Photo</v>
      </c>
      <c r="AG618">
        <v>47.726360999999997</v>
      </c>
      <c r="AH618">
        <v>-122.206717</v>
      </c>
      <c r="AI618" t="s">
        <v>4474</v>
      </c>
      <c r="AJ618">
        <v>98011</v>
      </c>
      <c r="AN618">
        <v>360600</v>
      </c>
      <c r="BC618" s="22">
        <v>39410.681793981479</v>
      </c>
      <c r="BI618" s="22">
        <v>39549.294907407406</v>
      </c>
      <c r="BL618">
        <v>11300</v>
      </c>
      <c r="BM618">
        <v>1308940</v>
      </c>
      <c r="BN618" t="s">
        <v>4472</v>
      </c>
      <c r="BO618" s="17">
        <f t="shared" ca="1" si="9"/>
        <v>138.62761192129983</v>
      </c>
      <c r="BP618" t="b">
        <v>0</v>
      </c>
      <c r="BQ618">
        <v>1</v>
      </c>
      <c r="BR618" t="s">
        <v>1686</v>
      </c>
      <c r="BS618" t="s">
        <v>4434</v>
      </c>
      <c r="BT618" t="b">
        <v>0</v>
      </c>
      <c r="BU618" t="s">
        <v>1738</v>
      </c>
      <c r="BV618" t="s">
        <v>1668</v>
      </c>
      <c r="BW618">
        <v>10020</v>
      </c>
      <c r="BY618">
        <v>458437</v>
      </c>
      <c r="BZ618" t="s">
        <v>1672</v>
      </c>
      <c r="CA618">
        <v>1</v>
      </c>
      <c r="CB618" t="b">
        <v>1</v>
      </c>
      <c r="CC618">
        <v>0</v>
      </c>
      <c r="CD618" t="b">
        <v>0</v>
      </c>
      <c r="CE618" t="b">
        <v>0</v>
      </c>
      <c r="CF618" t="b">
        <v>1</v>
      </c>
      <c r="CG618">
        <v>2448149</v>
      </c>
      <c r="CH618" t="s">
        <v>1681</v>
      </c>
      <c r="CI618" s="10">
        <v>565000</v>
      </c>
      <c r="CJ618" s="7">
        <v>39367</v>
      </c>
    </row>
    <row r="619" spans="1:90">
      <c r="A619">
        <v>27205404</v>
      </c>
      <c r="B619" s="2" t="str">
        <f>HYPERLINK("http://www.redfin.com/stingray/do/printable-listing?listing-id=1310195","Active")</f>
        <v>Active</v>
      </c>
      <c r="D619" t="s">
        <v>5139</v>
      </c>
      <c r="E619" t="s">
        <v>5700</v>
      </c>
      <c r="F619">
        <v>947000</v>
      </c>
      <c r="G619">
        <v>1966</v>
      </c>
      <c r="H619">
        <v>3160</v>
      </c>
      <c r="I619">
        <v>10454</v>
      </c>
      <c r="J619">
        <v>5</v>
      </c>
      <c r="K619">
        <v>2.5</v>
      </c>
      <c r="M619" s="2" t="str">
        <f>HYPERLINK("http://maps.live.com/default.aspx?v=2&amp;lvl=15&amp;sp=Point.47.536003_-122.217202_7410 92nd Pl SE&amp;cp=47.536003~-122.217202","Map")</f>
        <v>Map</v>
      </c>
      <c r="N619" s="2" t="str">
        <f>HYPERLINK("http://i-0.rfimg.us/photo/1/bigphoto/404/27205404_G.jpg","Photo")</f>
        <v>Photo</v>
      </c>
      <c r="AG619">
        <v>47.536003000000001</v>
      </c>
      <c r="AH619">
        <v>-122.217202</v>
      </c>
      <c r="AI619" t="s">
        <v>5139</v>
      </c>
      <c r="AJ619">
        <v>98040</v>
      </c>
      <c r="AN619">
        <v>300000</v>
      </c>
      <c r="BC619" s="22">
        <v>39412.432291666664</v>
      </c>
      <c r="BI619" s="7">
        <v>39538</v>
      </c>
      <c r="BL619">
        <v>18940</v>
      </c>
      <c r="BM619">
        <v>1310195</v>
      </c>
      <c r="BN619" t="s">
        <v>1776</v>
      </c>
      <c r="BO619" s="17">
        <f t="shared" ca="1" si="9"/>
        <v>136.87711423611472</v>
      </c>
      <c r="BP619" t="b">
        <v>0</v>
      </c>
      <c r="BQ619">
        <v>1</v>
      </c>
      <c r="BR619" t="s">
        <v>1842</v>
      </c>
      <c r="BS619" t="s">
        <v>2726</v>
      </c>
      <c r="BT619" t="b">
        <v>0</v>
      </c>
      <c r="BV619" t="s">
        <v>1668</v>
      </c>
      <c r="BW619">
        <v>7410</v>
      </c>
      <c r="BX619" t="s">
        <v>3856</v>
      </c>
      <c r="BY619">
        <v>256256</v>
      </c>
      <c r="BZ619" t="s">
        <v>5701</v>
      </c>
      <c r="CA619">
        <v>1</v>
      </c>
      <c r="CB619" t="b">
        <v>1</v>
      </c>
      <c r="CC619">
        <v>0</v>
      </c>
      <c r="CD619" t="b">
        <v>0</v>
      </c>
      <c r="CE619" t="b">
        <v>0</v>
      </c>
      <c r="CF619" t="b">
        <v>1</v>
      </c>
      <c r="CG619">
        <v>2434302</v>
      </c>
      <c r="CH619" t="s">
        <v>1681</v>
      </c>
      <c r="CI619" s="10">
        <v>947000</v>
      </c>
      <c r="CJ619" s="7">
        <v>33477</v>
      </c>
    </row>
    <row r="620" spans="1:90">
      <c r="A620">
        <v>27205447</v>
      </c>
      <c r="B620" s="2" t="str">
        <f>HYPERLINK("http://www.redfin.com/stingray/do/printable-listing?listing-id=1309391","Subject To Inspection")</f>
        <v>Subject To Inspection</v>
      </c>
      <c r="D620" t="s">
        <v>3714</v>
      </c>
      <c r="E620" t="s">
        <v>3711</v>
      </c>
      <c r="F620">
        <v>2195000</v>
      </c>
      <c r="G620">
        <v>1926</v>
      </c>
      <c r="H620">
        <v>4360</v>
      </c>
      <c r="I620">
        <v>8125</v>
      </c>
      <c r="J620">
        <v>3</v>
      </c>
      <c r="K620">
        <v>3.75</v>
      </c>
      <c r="M620" s="2" t="str">
        <f>HYPERLINK("http://maps.live.com/default.aspx?v=2&amp;lvl=15&amp;sp=Point.47.630876_-122.289766_1233 Shenandoah Dr E&amp;cp=47.630876~-122.289766","Map")</f>
        <v>Map</v>
      </c>
      <c r="N620" s="2" t="str">
        <f>HYPERLINK("http://i-0.rfimg.us/photo/1/bigphoto/447/27205447_3.jpg","Photo")</f>
        <v>Photo</v>
      </c>
      <c r="AG620">
        <v>47.630876000000001</v>
      </c>
      <c r="AH620">
        <v>-122.289766</v>
      </c>
      <c r="AI620" t="s">
        <v>66</v>
      </c>
      <c r="AJ620">
        <v>98112</v>
      </c>
      <c r="AN620">
        <v>1250000</v>
      </c>
      <c r="BC620" s="22">
        <v>39411.431631944448</v>
      </c>
      <c r="BI620" s="7">
        <v>39540</v>
      </c>
      <c r="BL620">
        <v>43900</v>
      </c>
      <c r="BM620">
        <v>1309391</v>
      </c>
      <c r="BN620" t="s">
        <v>1710</v>
      </c>
      <c r="BO620" s="17">
        <f t="shared" ca="1" si="9"/>
        <v>137.87777395833109</v>
      </c>
      <c r="BP620" t="b">
        <v>0</v>
      </c>
      <c r="BQ620">
        <v>2</v>
      </c>
      <c r="BR620" t="s">
        <v>1816</v>
      </c>
      <c r="BS620" t="s">
        <v>3712</v>
      </c>
      <c r="BT620" t="b">
        <v>0</v>
      </c>
      <c r="BV620" t="s">
        <v>1668</v>
      </c>
      <c r="BW620">
        <v>1233</v>
      </c>
      <c r="BX620" t="s">
        <v>2436</v>
      </c>
      <c r="BY620">
        <v>138712</v>
      </c>
      <c r="BZ620" t="s">
        <v>3713</v>
      </c>
      <c r="CA620">
        <v>1</v>
      </c>
      <c r="CB620" t="b">
        <v>1</v>
      </c>
      <c r="CC620">
        <v>0</v>
      </c>
      <c r="CD620" t="b">
        <v>0</v>
      </c>
      <c r="CE620" t="b">
        <v>0</v>
      </c>
      <c r="CF620" t="b">
        <v>1</v>
      </c>
      <c r="CG620">
        <v>2727456</v>
      </c>
      <c r="CH620" t="s">
        <v>1681</v>
      </c>
      <c r="CI620" s="10">
        <v>2195000</v>
      </c>
      <c r="CJ620" s="7">
        <v>35915</v>
      </c>
    </row>
    <row r="621" spans="1:90">
      <c r="A621">
        <v>27205585</v>
      </c>
      <c r="B621" s="15" t="str">
        <f>HYPERLINK("http://www.redfin.com/stingray/do/printable-listing?listing-id=1309495","Subject To Inspection")</f>
        <v>Subject To Inspection</v>
      </c>
      <c r="D621" t="s">
        <v>1141</v>
      </c>
      <c r="E621" t="s">
        <v>2445</v>
      </c>
      <c r="F621">
        <v>439500</v>
      </c>
      <c r="G621">
        <v>1995</v>
      </c>
      <c r="H621">
        <v>1720</v>
      </c>
      <c r="I621">
        <v>0</v>
      </c>
      <c r="J621">
        <v>3</v>
      </c>
      <c r="K621">
        <v>3.5</v>
      </c>
      <c r="M621" s="2" t="str">
        <f>HYPERLINK("http://maps.live.com/default.aspx?v=2&amp;lvl=15&amp;sp=Point.47.664437_-122.353731_408 N 49th St nA&amp;cp=47.664437~-122.353731","Map")</f>
        <v>Map</v>
      </c>
      <c r="N621" s="2" t="str">
        <f>HYPERLINK("http://i-0.rfimg.us/photo/1/bigphoto/585/27205585_0.jpg","Photo")</f>
        <v>Photo</v>
      </c>
      <c r="AG621">
        <v>47.664437</v>
      </c>
      <c r="AH621">
        <v>-122.353731</v>
      </c>
      <c r="AI621" t="s">
        <v>66</v>
      </c>
      <c r="AJ621">
        <v>98103</v>
      </c>
      <c r="AM621" t="s">
        <v>1722</v>
      </c>
      <c r="BC621" s="22">
        <v>39411.536157407405</v>
      </c>
      <c r="BI621" s="22">
        <v>39549.294907407406</v>
      </c>
      <c r="BL621">
        <v>8790</v>
      </c>
      <c r="BM621">
        <v>1309495</v>
      </c>
      <c r="BN621" t="s">
        <v>1678</v>
      </c>
      <c r="BO621" s="17">
        <f t="shared" ca="1" si="9"/>
        <v>137.77324861111265</v>
      </c>
      <c r="BP621" t="b">
        <v>0</v>
      </c>
      <c r="BQ621">
        <v>1</v>
      </c>
      <c r="BR621" t="s">
        <v>1686</v>
      </c>
      <c r="BS621" t="s">
        <v>2446</v>
      </c>
      <c r="BT621" t="b">
        <v>0</v>
      </c>
      <c r="BU621" t="s">
        <v>1712</v>
      </c>
      <c r="BV621" t="s">
        <v>1668</v>
      </c>
      <c r="BW621">
        <v>408</v>
      </c>
      <c r="BY621">
        <v>12309980</v>
      </c>
      <c r="BZ621" t="s">
        <v>1672</v>
      </c>
      <c r="CA621">
        <v>1</v>
      </c>
      <c r="CB621" t="b">
        <v>1</v>
      </c>
      <c r="CC621">
        <v>0</v>
      </c>
      <c r="CD621" t="b">
        <v>0</v>
      </c>
      <c r="CE621" t="b">
        <v>0</v>
      </c>
      <c r="CF621" t="b">
        <v>1</v>
      </c>
      <c r="CG621">
        <v>15516562</v>
      </c>
      <c r="CH621" t="s">
        <v>1681</v>
      </c>
      <c r="CI621" s="10">
        <v>439500</v>
      </c>
    </row>
    <row r="622" spans="1:90">
      <c r="A622">
        <v>27205694</v>
      </c>
      <c r="B622" s="2" t="str">
        <f>HYPERLINK("http://www.redfin.com/stingray/do/printable-listing?listing-id=1309970","Active")</f>
        <v>Active</v>
      </c>
      <c r="D622" t="s">
        <v>5539</v>
      </c>
      <c r="E622" t="s">
        <v>5598</v>
      </c>
      <c r="F622">
        <v>1199000</v>
      </c>
      <c r="G622">
        <v>1986</v>
      </c>
      <c r="H622">
        <v>3560</v>
      </c>
      <c r="I622">
        <v>10319</v>
      </c>
      <c r="J622">
        <v>4</v>
      </c>
      <c r="K622">
        <v>2.5</v>
      </c>
      <c r="M622" s="2" t="str">
        <f>HYPERLINK("http://maps.live.com/default.aspx?v=2&amp;lvl=15&amp;sp=Point.47.552881_-122.133152_15511 SE 55th Pl&amp;cp=47.552881~-122.133152","Map")</f>
        <v>Map</v>
      </c>
      <c r="N622" s="2" t="str">
        <f>HYPERLINK("http://i-0.rfimg.us/photo/1/bigphoto/694/27205694_V.jpg","Photo")</f>
        <v>Photo</v>
      </c>
      <c r="AG622">
        <v>47.552880999999999</v>
      </c>
      <c r="AH622">
        <v>-122.133152</v>
      </c>
      <c r="AI622" t="s">
        <v>369</v>
      </c>
      <c r="AJ622">
        <v>98006</v>
      </c>
      <c r="AN622">
        <v>290000</v>
      </c>
      <c r="BC622" s="22">
        <v>39412.327152777776</v>
      </c>
      <c r="BI622" s="22">
        <v>39549.294907407406</v>
      </c>
      <c r="BL622">
        <v>23980</v>
      </c>
      <c r="BM622">
        <v>1309970</v>
      </c>
      <c r="BN622" t="s">
        <v>1674</v>
      </c>
      <c r="BO622" s="17">
        <f t="shared" ca="1" si="9"/>
        <v>136.9822531250029</v>
      </c>
      <c r="BP622" t="b">
        <v>0</v>
      </c>
      <c r="BQ622">
        <v>1</v>
      </c>
      <c r="BR622" t="s">
        <v>1842</v>
      </c>
      <c r="BS622" t="s">
        <v>2514</v>
      </c>
      <c r="BT622" t="b">
        <v>0</v>
      </c>
      <c r="BU622" t="s">
        <v>3856</v>
      </c>
      <c r="BV622" t="s">
        <v>1668</v>
      </c>
      <c r="BW622">
        <v>15511</v>
      </c>
      <c r="BY622">
        <v>240225</v>
      </c>
      <c r="BZ622" t="s">
        <v>5599</v>
      </c>
      <c r="CA622">
        <v>1</v>
      </c>
      <c r="CB622" t="b">
        <v>1</v>
      </c>
      <c r="CC622">
        <v>0</v>
      </c>
      <c r="CD622" t="b">
        <v>0</v>
      </c>
      <c r="CE622" t="b">
        <v>0</v>
      </c>
      <c r="CF622" t="b">
        <v>1</v>
      </c>
      <c r="CG622">
        <v>2723046</v>
      </c>
      <c r="CH622" t="s">
        <v>1681</v>
      </c>
      <c r="CI622" s="10">
        <v>1199000</v>
      </c>
      <c r="CJ622" s="7">
        <v>31877</v>
      </c>
    </row>
    <row r="623" spans="1:90">
      <c r="A623">
        <v>27205740</v>
      </c>
      <c r="B623" s="2" t="str">
        <f>HYPERLINK("http://www.redfin.com/stingray/do/printable-listing?listing-id=1310121","Active")</f>
        <v>Active</v>
      </c>
      <c r="D623" t="s">
        <v>4777</v>
      </c>
      <c r="E623" t="s">
        <v>4951</v>
      </c>
      <c r="F623">
        <v>1174950</v>
      </c>
      <c r="G623">
        <v>2007</v>
      </c>
      <c r="H623">
        <v>3452</v>
      </c>
      <c r="I623">
        <v>8100</v>
      </c>
      <c r="J623">
        <v>4</v>
      </c>
      <c r="K623">
        <v>3.5</v>
      </c>
      <c r="M623" s="2" t="str">
        <f>HYPERLINK("http://maps.live.com/default.aspx?v=2&amp;lvl=15&amp;sp=Point.47.651874_-122.196675_4611 108th Ave NE&amp;cp=47.651874~-122.196675","Map")</f>
        <v>Map</v>
      </c>
      <c r="N623" s="2" t="str">
        <f>HYPERLINK("http://i-0.rfimg.us/photo/1/bigphoto/740/27205740_0.jpg","Photo")</f>
        <v>Photo</v>
      </c>
      <c r="AG623">
        <v>47.651873999999999</v>
      </c>
      <c r="AH623">
        <v>-122.196675</v>
      </c>
      <c r="AI623" t="s">
        <v>1058</v>
      </c>
      <c r="AJ623">
        <v>98033</v>
      </c>
      <c r="AN623">
        <v>360000</v>
      </c>
      <c r="BC623" s="22">
        <v>39412.410891203705</v>
      </c>
      <c r="BI623" s="22">
        <v>39549.294907407406</v>
      </c>
      <c r="BL623">
        <v>23499</v>
      </c>
      <c r="BM623">
        <v>1310121</v>
      </c>
      <c r="BN623" t="s">
        <v>2136</v>
      </c>
      <c r="BO623" s="17">
        <f t="shared" ca="1" si="9"/>
        <v>136.89851469907444</v>
      </c>
      <c r="BP623" t="b">
        <v>0</v>
      </c>
      <c r="BQ623">
        <v>1</v>
      </c>
      <c r="BR623" t="s">
        <v>1667</v>
      </c>
      <c r="BS623" t="s">
        <v>4355</v>
      </c>
      <c r="BT623" t="b">
        <v>0</v>
      </c>
      <c r="BV623" t="s">
        <v>1668</v>
      </c>
      <c r="BW623">
        <v>4611</v>
      </c>
      <c r="BX623" t="s">
        <v>1738</v>
      </c>
      <c r="BY623">
        <v>460628</v>
      </c>
      <c r="BZ623" t="s">
        <v>1672</v>
      </c>
      <c r="CA623">
        <v>1</v>
      </c>
      <c r="CB623" t="b">
        <v>1</v>
      </c>
      <c r="CC623">
        <v>0</v>
      </c>
      <c r="CD623" t="b">
        <v>0</v>
      </c>
      <c r="CE623" t="b">
        <v>0</v>
      </c>
      <c r="CF623" t="b">
        <v>1</v>
      </c>
      <c r="CG623">
        <v>2682782</v>
      </c>
      <c r="CH623" t="s">
        <v>1681</v>
      </c>
      <c r="CI623" s="10">
        <v>1174950</v>
      </c>
      <c r="CJ623" s="7">
        <v>38516</v>
      </c>
    </row>
    <row r="624" spans="1:90">
      <c r="A624">
        <v>27205743</v>
      </c>
      <c r="B624" s="15" t="str">
        <f>HYPERLINK("http://www.redfin.com/stingray/do/printable-listing?listing-id=1310155","Subject To Inspection")</f>
        <v>Subject To Inspection</v>
      </c>
      <c r="D624" t="s">
        <v>1058</v>
      </c>
      <c r="E624" t="s">
        <v>4499</v>
      </c>
      <c r="F624">
        <v>649950</v>
      </c>
      <c r="G624">
        <v>2001</v>
      </c>
      <c r="H624">
        <v>2696</v>
      </c>
      <c r="I624">
        <v>0</v>
      </c>
      <c r="J624">
        <v>3</v>
      </c>
      <c r="K624">
        <v>3</v>
      </c>
      <c r="M624" s="2" t="str">
        <f>HYPERLINK("http://maps.live.com/default.aspx?v=2&amp;lvl=15&amp;sp=Point.47.707766_-122.222559_11919 89th Pl NE&amp;cp=47.707766~-122.222559","Map")</f>
        <v>Map</v>
      </c>
      <c r="N624" s="2" t="str">
        <f>HYPERLINK("http://i-0.rfimg.us/photo/1/bigphoto/743/27205743_1.jpg","Photo")</f>
        <v>Photo</v>
      </c>
      <c r="AG624">
        <v>47.707765999999999</v>
      </c>
      <c r="AH624">
        <v>-122.222559</v>
      </c>
      <c r="AI624" t="s">
        <v>1058</v>
      </c>
      <c r="AJ624">
        <v>98034</v>
      </c>
      <c r="AN624">
        <v>719000</v>
      </c>
      <c r="BC624" s="22">
        <v>39412.421597222223</v>
      </c>
      <c r="BI624" s="22">
        <v>39549.294907407406</v>
      </c>
      <c r="BL624">
        <v>12999</v>
      </c>
      <c r="BM624">
        <v>1310155</v>
      </c>
      <c r="BN624" t="s">
        <v>1674</v>
      </c>
      <c r="BO624" s="17">
        <f t="shared" ca="1" si="9"/>
        <v>136.88780868055619</v>
      </c>
      <c r="BP624" t="b">
        <v>0</v>
      </c>
      <c r="BQ624">
        <v>1</v>
      </c>
      <c r="BR624" t="s">
        <v>1842</v>
      </c>
      <c r="BS624" t="s">
        <v>2741</v>
      </c>
      <c r="BT624" t="b">
        <v>0</v>
      </c>
      <c r="BV624" t="s">
        <v>1668</v>
      </c>
      <c r="BW624">
        <v>11919</v>
      </c>
      <c r="BX624" t="s">
        <v>1738</v>
      </c>
      <c r="BY624">
        <v>280722</v>
      </c>
      <c r="BZ624" t="s">
        <v>4500</v>
      </c>
      <c r="CA624">
        <v>1</v>
      </c>
      <c r="CB624" t="b">
        <v>1</v>
      </c>
      <c r="CC624">
        <v>0</v>
      </c>
      <c r="CD624" t="b">
        <v>0</v>
      </c>
      <c r="CE624" t="b">
        <v>0</v>
      </c>
      <c r="CF624" t="b">
        <v>1</v>
      </c>
      <c r="CG624">
        <v>2384720</v>
      </c>
      <c r="CH624" t="s">
        <v>1681</v>
      </c>
      <c r="CI624" s="10">
        <v>649950</v>
      </c>
      <c r="CJ624" s="7">
        <v>38975</v>
      </c>
    </row>
    <row r="625" spans="1:88">
      <c r="A625">
        <v>27205793</v>
      </c>
      <c r="B625" s="2" t="str">
        <f>HYPERLINK("http://www.redfin.com/stingray/do/printable-listing?listing-id=1311087","Active")</f>
        <v>Active</v>
      </c>
      <c r="D625" t="s">
        <v>3089</v>
      </c>
      <c r="E625" t="s">
        <v>3210</v>
      </c>
      <c r="F625">
        <v>585000</v>
      </c>
      <c r="G625">
        <v>1918</v>
      </c>
      <c r="H625">
        <v>1727</v>
      </c>
      <c r="I625">
        <v>4900</v>
      </c>
      <c r="J625">
        <v>2</v>
      </c>
      <c r="K625">
        <v>2.5</v>
      </c>
      <c r="M625" s="2" t="str">
        <f>HYPERLINK("http://maps.live.com/default.aspx?v=2&amp;lvl=15&amp;sp=Point.47.663376_-122.27502_4707 49th Ave NE&amp;cp=47.663376~-122.27502","Map")</f>
        <v>Map</v>
      </c>
      <c r="N625" s="2" t="str">
        <f>HYPERLINK("http://i-0.rfimg.us/photo/1/bigphoto/793/27205793_2.jpg","Photo")</f>
        <v>Photo</v>
      </c>
      <c r="AG625">
        <v>47.663376</v>
      </c>
      <c r="AH625">
        <v>-122.27502</v>
      </c>
      <c r="AI625" t="s">
        <v>66</v>
      </c>
      <c r="AJ625">
        <v>98105</v>
      </c>
      <c r="AN625">
        <v>225000</v>
      </c>
      <c r="BC625" s="22">
        <v>39412.689768518518</v>
      </c>
      <c r="BI625" s="22">
        <v>39549.294907407406</v>
      </c>
      <c r="BL625">
        <v>11700</v>
      </c>
      <c r="BM625">
        <v>1311087</v>
      </c>
      <c r="BN625" t="s">
        <v>1710</v>
      </c>
      <c r="BO625" s="17">
        <f t="shared" ca="1" si="9"/>
        <v>136.6196373842613</v>
      </c>
      <c r="BP625" t="b">
        <v>0</v>
      </c>
      <c r="BQ625">
        <v>1</v>
      </c>
      <c r="BR625" t="s">
        <v>1667</v>
      </c>
      <c r="BS625" t="s">
        <v>2446</v>
      </c>
      <c r="BT625" t="b">
        <v>0</v>
      </c>
      <c r="BV625" t="s">
        <v>1668</v>
      </c>
      <c r="BW625">
        <v>4707</v>
      </c>
      <c r="BX625" t="s">
        <v>1738</v>
      </c>
      <c r="BY625">
        <v>121951</v>
      </c>
      <c r="BZ625" t="s">
        <v>2577</v>
      </c>
      <c r="CA625">
        <v>1</v>
      </c>
      <c r="CB625" t="b">
        <v>1</v>
      </c>
      <c r="CC625">
        <v>0</v>
      </c>
      <c r="CD625" t="b">
        <v>0</v>
      </c>
      <c r="CE625" t="b">
        <v>0</v>
      </c>
      <c r="CF625" t="b">
        <v>1</v>
      </c>
      <c r="CG625">
        <v>2424783</v>
      </c>
      <c r="CH625" t="s">
        <v>1681</v>
      </c>
      <c r="CI625" s="10">
        <v>585000</v>
      </c>
      <c r="CJ625" s="7">
        <v>35881</v>
      </c>
    </row>
    <row r="626" spans="1:88">
      <c r="A626">
        <v>27205858</v>
      </c>
      <c r="B626" s="2" t="str">
        <f>HYPERLINK("http://www.redfin.com/stingray/do/printable-listing?listing-id=1313197","Active")</f>
        <v>Active</v>
      </c>
      <c r="D626" t="s">
        <v>226</v>
      </c>
      <c r="E626" t="s">
        <v>3184</v>
      </c>
      <c r="F626" s="19">
        <v>1350000</v>
      </c>
      <c r="G626">
        <v>1909</v>
      </c>
      <c r="H626">
        <v>2530</v>
      </c>
      <c r="I626">
        <v>20736</v>
      </c>
      <c r="J626">
        <v>4</v>
      </c>
      <c r="K626">
        <v>1.5</v>
      </c>
      <c r="M626" s="2" t="str">
        <f>HYPERLINK("http://maps.live.com/default.aspx?v=2&amp;lvl=15&amp;sp=Point.47.669265_-122.308224_1729 NE 56th St&amp;cp=47.669265~-122.308224","Map")</f>
        <v>Map</v>
      </c>
      <c r="N626" s="2" t="str">
        <f>HYPERLINK("http://i-0.rfimg.us/photo/1/bigphoto/858/27205858_3.jpg","Photo")</f>
        <v>Photo</v>
      </c>
      <c r="AG626">
        <v>47.669265000000003</v>
      </c>
      <c r="AH626">
        <v>-122.308224</v>
      </c>
      <c r="AI626" t="s">
        <v>66</v>
      </c>
      <c r="AJ626">
        <v>98105</v>
      </c>
      <c r="BC626" s="22">
        <v>39413.676620370374</v>
      </c>
      <c r="BI626" s="22">
        <v>39549.294907407406</v>
      </c>
      <c r="BL626">
        <v>29000</v>
      </c>
      <c r="BM626">
        <v>1313197</v>
      </c>
      <c r="BN626" t="s">
        <v>1829</v>
      </c>
      <c r="BO626" s="17">
        <f t="shared" ca="1" si="9"/>
        <v>135.63278553240525</v>
      </c>
      <c r="BP626" t="b">
        <v>0</v>
      </c>
      <c r="BQ626">
        <v>1</v>
      </c>
      <c r="BR626" t="s">
        <v>1686</v>
      </c>
      <c r="BS626" t="s">
        <v>2467</v>
      </c>
      <c r="BT626" t="b">
        <v>0</v>
      </c>
      <c r="BU626" t="s">
        <v>1738</v>
      </c>
      <c r="BV626" t="s">
        <v>1668</v>
      </c>
      <c r="BW626">
        <v>1729</v>
      </c>
      <c r="BY626">
        <v>307855</v>
      </c>
      <c r="BZ626" t="s">
        <v>3185</v>
      </c>
      <c r="CA626">
        <v>1</v>
      </c>
      <c r="CB626" t="b">
        <v>1</v>
      </c>
      <c r="CC626">
        <v>0</v>
      </c>
      <c r="CD626" t="b">
        <v>0</v>
      </c>
      <c r="CE626" t="b">
        <v>0</v>
      </c>
      <c r="CF626" t="b">
        <v>1</v>
      </c>
      <c r="CG626">
        <v>2784019</v>
      </c>
      <c r="CH626" t="s">
        <v>1681</v>
      </c>
      <c r="CI626" s="10">
        <v>1450000</v>
      </c>
    </row>
    <row r="627" spans="1:88">
      <c r="A627">
        <v>27205904</v>
      </c>
      <c r="B627" s="15" t="str">
        <f>HYPERLINK("http://www.redfin.com/stingray/do/printable-listing?listing-id=1310842","Subject To Inspection")</f>
        <v>Subject To Inspection</v>
      </c>
      <c r="D627" t="s">
        <v>60</v>
      </c>
      <c r="E627" t="s">
        <v>2409</v>
      </c>
      <c r="F627">
        <v>625000</v>
      </c>
      <c r="G627">
        <v>1913</v>
      </c>
      <c r="H627">
        <v>2110</v>
      </c>
      <c r="I627">
        <v>3000</v>
      </c>
      <c r="J627">
        <v>4</v>
      </c>
      <c r="K627">
        <v>1.75</v>
      </c>
      <c r="M627" s="2" t="str">
        <f>HYPERLINK("http://maps.live.com/default.aspx?v=2&amp;lvl=15&amp;sp=Point.47.670259_-122.336305_5564 Canfield Pl N&amp;cp=47.670259~-122.336305","Map")</f>
        <v>Map</v>
      </c>
      <c r="N627" s="2" t="str">
        <f>HYPERLINK("http://i-0.rfimg.us/photo/1/bigphoto/904/27205904_2.jpg","Photo")</f>
        <v>Photo</v>
      </c>
      <c r="AG627">
        <v>47.670259000000001</v>
      </c>
      <c r="AH627">
        <v>-122.336305</v>
      </c>
      <c r="AI627" t="s">
        <v>66</v>
      </c>
      <c r="AJ627">
        <v>98103</v>
      </c>
      <c r="AN627">
        <v>425000</v>
      </c>
      <c r="BC627" s="22">
        <v>39412.622465277775</v>
      </c>
      <c r="BI627" s="7">
        <v>39541</v>
      </c>
      <c r="BL627">
        <v>12500</v>
      </c>
      <c r="BM627">
        <v>1310842</v>
      </c>
      <c r="BN627" t="s">
        <v>1674</v>
      </c>
      <c r="BO627" s="17">
        <f t="shared" ca="1" si="9"/>
        <v>136.68694074074301</v>
      </c>
      <c r="BP627" t="b">
        <v>0</v>
      </c>
      <c r="BQ627">
        <v>1</v>
      </c>
      <c r="BR627" t="s">
        <v>1842</v>
      </c>
      <c r="BS627" t="s">
        <v>2410</v>
      </c>
      <c r="BT627" t="b">
        <v>0</v>
      </c>
      <c r="BV627" t="s">
        <v>1668</v>
      </c>
      <c r="BW627">
        <v>5564</v>
      </c>
      <c r="BX627" t="s">
        <v>1712</v>
      </c>
      <c r="BY627">
        <v>304810</v>
      </c>
      <c r="BZ627" t="s">
        <v>2411</v>
      </c>
      <c r="CA627">
        <v>1</v>
      </c>
      <c r="CB627" t="b">
        <v>1</v>
      </c>
      <c r="CC627">
        <v>0</v>
      </c>
      <c r="CD627" t="b">
        <v>0</v>
      </c>
      <c r="CE627" t="b">
        <v>0</v>
      </c>
      <c r="CF627" t="b">
        <v>1</v>
      </c>
      <c r="CG627">
        <v>2870291</v>
      </c>
      <c r="CH627" t="s">
        <v>1681</v>
      </c>
      <c r="CI627" s="10">
        <v>625000</v>
      </c>
      <c r="CJ627" s="7">
        <v>37706</v>
      </c>
    </row>
    <row r="628" spans="1:88">
      <c r="A628">
        <v>27205932</v>
      </c>
      <c r="B628" s="2" t="str">
        <f>HYPERLINK("http://www.redfin.com/stingray/do/printable-listing?listing-id=1310920","Active")</f>
        <v>Active</v>
      </c>
      <c r="D628" t="s">
        <v>5198</v>
      </c>
      <c r="E628" t="s">
        <v>5463</v>
      </c>
      <c r="F628">
        <v>619000</v>
      </c>
      <c r="G628">
        <v>1983</v>
      </c>
      <c r="H628">
        <v>2140</v>
      </c>
      <c r="I628">
        <v>9675</v>
      </c>
      <c r="J628">
        <v>3</v>
      </c>
      <c r="K628">
        <v>2.75</v>
      </c>
      <c r="M628" s="2" t="str">
        <f>HYPERLINK("http://maps.live.com/default.aspx?v=2&amp;lvl=15&amp;sp=Point.47.584516_-122.111742_2829 W Lake Sammamish Pkwy SE&amp;cp=47.584516~-122.111742","Map")</f>
        <v>Map</v>
      </c>
      <c r="N628" s="2" t="str">
        <f>HYPERLINK("http://i-0.rfimg.us/photo/1/bigphoto/932/27205932_1.jpg","Photo")</f>
        <v>Photo</v>
      </c>
      <c r="AG628">
        <v>47.584516000000001</v>
      </c>
      <c r="AH628">
        <v>-122.11174200000001</v>
      </c>
      <c r="AI628" t="s">
        <v>369</v>
      </c>
      <c r="AJ628">
        <v>98008</v>
      </c>
      <c r="AN628">
        <v>207000</v>
      </c>
      <c r="BC628" s="22">
        <v>39412.646481481483</v>
      </c>
      <c r="BI628" s="22">
        <v>39549.294907407406</v>
      </c>
      <c r="BL628">
        <v>12380</v>
      </c>
      <c r="BM628">
        <v>1310920</v>
      </c>
      <c r="BN628" t="s">
        <v>1688</v>
      </c>
      <c r="BO628" s="17">
        <f t="shared" ca="1" si="9"/>
        <v>136.66292442129634</v>
      </c>
      <c r="BP628" t="b">
        <v>0</v>
      </c>
      <c r="BQ628">
        <v>1</v>
      </c>
      <c r="BR628" t="s">
        <v>5197</v>
      </c>
      <c r="BS628" t="s">
        <v>5261</v>
      </c>
      <c r="BT628" t="b">
        <v>0</v>
      </c>
      <c r="BU628" t="s">
        <v>2423</v>
      </c>
      <c r="BV628" t="s">
        <v>1668</v>
      </c>
      <c r="BW628">
        <v>2829</v>
      </c>
      <c r="BX628" t="s">
        <v>3856</v>
      </c>
      <c r="BY628">
        <v>428186</v>
      </c>
      <c r="BZ628" t="s">
        <v>1704</v>
      </c>
      <c r="CA628">
        <v>1</v>
      </c>
      <c r="CB628" t="b">
        <v>1</v>
      </c>
      <c r="CC628">
        <v>0</v>
      </c>
      <c r="CD628" t="b">
        <v>0</v>
      </c>
      <c r="CE628" t="b">
        <v>0</v>
      </c>
      <c r="CF628" t="b">
        <v>1</v>
      </c>
      <c r="CG628">
        <v>2860263</v>
      </c>
      <c r="CH628" t="s">
        <v>1681</v>
      </c>
      <c r="CI628" s="10">
        <v>619000</v>
      </c>
      <c r="CJ628" s="7">
        <v>33746</v>
      </c>
    </row>
    <row r="629" spans="1:88">
      <c r="A629">
        <v>27205995</v>
      </c>
      <c r="B629" s="2" t="str">
        <f>HYPERLINK("http://www.redfin.com/stingray/do/printable-listing?listing-id=1311466","Active")</f>
        <v>Active</v>
      </c>
      <c r="D629" t="s">
        <v>4401</v>
      </c>
      <c r="E629" t="s">
        <v>4413</v>
      </c>
      <c r="F629" s="19">
        <v>416950</v>
      </c>
      <c r="G629">
        <v>1969</v>
      </c>
      <c r="H629">
        <v>1990</v>
      </c>
      <c r="I629">
        <v>7350</v>
      </c>
      <c r="J629">
        <v>4</v>
      </c>
      <c r="K629">
        <v>2.5</v>
      </c>
      <c r="M629" s="2" t="str">
        <f>HYPERLINK("http://maps.live.com/default.aspx?v=2&amp;lvl=15&amp;sp=Point.47.724782_-122.17855_13820 121st Ave NE&amp;cp=47.724782~-122.17855","Map")</f>
        <v>Map</v>
      </c>
      <c r="N629" s="2" t="str">
        <f>HYPERLINK("http://i-0.rfimg.us/photo/1/bigphoto/995/27205995_3.jpg","Photo")</f>
        <v>Photo</v>
      </c>
      <c r="AG629">
        <v>47.724781999999998</v>
      </c>
      <c r="AH629">
        <v>-122.17855</v>
      </c>
      <c r="AI629" t="s">
        <v>1058</v>
      </c>
      <c r="AJ629">
        <v>98034</v>
      </c>
      <c r="AN629">
        <v>158000</v>
      </c>
      <c r="BC629" s="22">
        <v>39412.881990740738</v>
      </c>
      <c r="BI629" s="22">
        <v>39549.294907407406</v>
      </c>
      <c r="BL629">
        <v>8519</v>
      </c>
      <c r="BM629">
        <v>1311466</v>
      </c>
      <c r="BN629" t="s">
        <v>1725</v>
      </c>
      <c r="BO629" s="17">
        <f t="shared" ca="1" si="9"/>
        <v>136.42741516204114</v>
      </c>
      <c r="BP629" t="b">
        <v>0</v>
      </c>
      <c r="BQ629">
        <v>1</v>
      </c>
      <c r="BR629" t="s">
        <v>1667</v>
      </c>
      <c r="BS629" t="s">
        <v>4414</v>
      </c>
      <c r="BT629" t="b">
        <v>0</v>
      </c>
      <c r="BV629" t="s">
        <v>1668</v>
      </c>
      <c r="BW629">
        <v>13820</v>
      </c>
      <c r="BX629" t="s">
        <v>1738</v>
      </c>
      <c r="BY629">
        <v>452663</v>
      </c>
      <c r="BZ629" t="s">
        <v>1752</v>
      </c>
      <c r="CA629">
        <v>1</v>
      </c>
      <c r="CB629" t="b">
        <v>1</v>
      </c>
      <c r="CC629">
        <v>0</v>
      </c>
      <c r="CD629" t="b">
        <v>0</v>
      </c>
      <c r="CE629" t="b">
        <v>0</v>
      </c>
      <c r="CF629" t="b">
        <v>1</v>
      </c>
      <c r="CG629">
        <v>2879629</v>
      </c>
      <c r="CH629" t="s">
        <v>1681</v>
      </c>
      <c r="CI629" s="10">
        <v>425950</v>
      </c>
      <c r="CJ629" s="7">
        <v>33550</v>
      </c>
    </row>
    <row r="630" spans="1:88">
      <c r="A630">
        <v>27206081</v>
      </c>
      <c r="B630" s="2" t="str">
        <f>HYPERLINK("http://www.redfin.com/stingray/do/printable-listing?listing-id=1311268","Active")</f>
        <v>Active</v>
      </c>
      <c r="D630" t="s">
        <v>1058</v>
      </c>
      <c r="E630" t="s">
        <v>4543</v>
      </c>
      <c r="F630">
        <v>439000</v>
      </c>
      <c r="G630">
        <v>1976</v>
      </c>
      <c r="H630">
        <v>1690</v>
      </c>
      <c r="I630">
        <v>7500</v>
      </c>
      <c r="J630">
        <v>3</v>
      </c>
      <c r="K630">
        <v>1.75</v>
      </c>
      <c r="M630" s="2" t="str">
        <f>HYPERLINK("http://maps.live.com/default.aspx?v=2&amp;lvl=15&amp;sp=Point.47.696808_-122.173923_10711 126th Ave NE&amp;cp=47.696808~-122.173923","Map")</f>
        <v>Map</v>
      </c>
      <c r="N630" s="2" t="str">
        <f>HYPERLINK("http://i-0.rfimg.us/photo/1/bigphoto/081/27206081_0.jpg","Photo")</f>
        <v>Photo</v>
      </c>
      <c r="AG630">
        <v>47.696807999999997</v>
      </c>
      <c r="AH630">
        <v>-122.173923</v>
      </c>
      <c r="AI630" t="s">
        <v>1058</v>
      </c>
      <c r="AJ630">
        <v>98033</v>
      </c>
      <c r="AN630">
        <v>265000</v>
      </c>
      <c r="BC630" s="22">
        <v>39412.760983796295</v>
      </c>
      <c r="BI630" s="7">
        <v>39535</v>
      </c>
      <c r="BL630">
        <v>8780</v>
      </c>
      <c r="BM630">
        <v>1311268</v>
      </c>
      <c r="BN630" t="s">
        <v>1674</v>
      </c>
      <c r="BO630" s="17">
        <f t="shared" ca="1" si="9"/>
        <v>136.54842210648349</v>
      </c>
      <c r="BP630" t="b">
        <v>0</v>
      </c>
      <c r="BQ630">
        <v>1</v>
      </c>
      <c r="BR630" t="s">
        <v>1667</v>
      </c>
      <c r="BS630" t="s">
        <v>4544</v>
      </c>
      <c r="BT630" t="b">
        <v>0</v>
      </c>
      <c r="BV630" t="s">
        <v>1668</v>
      </c>
      <c r="BW630">
        <v>10711</v>
      </c>
      <c r="BX630" t="s">
        <v>1738</v>
      </c>
      <c r="BY630">
        <v>512689</v>
      </c>
      <c r="BZ630" t="s">
        <v>1676</v>
      </c>
      <c r="CA630">
        <v>1</v>
      </c>
      <c r="CB630" t="b">
        <v>1</v>
      </c>
      <c r="CC630">
        <v>0</v>
      </c>
      <c r="CD630" t="b">
        <v>0</v>
      </c>
      <c r="CE630" t="b">
        <v>0</v>
      </c>
      <c r="CF630" t="b">
        <v>1</v>
      </c>
      <c r="CG630">
        <v>2901574</v>
      </c>
      <c r="CH630" t="s">
        <v>1681</v>
      </c>
      <c r="CI630" s="10">
        <v>439000</v>
      </c>
      <c r="CJ630" s="7">
        <v>37771</v>
      </c>
    </row>
    <row r="631" spans="1:88">
      <c r="A631">
        <v>27206144</v>
      </c>
      <c r="B631" s="2" t="str">
        <f>HYPERLINK("http://www.redfin.com/stingray/do/printable-listing?listing-id=1311276","Active")</f>
        <v>Active</v>
      </c>
      <c r="D631" t="s">
        <v>5261</v>
      </c>
      <c r="E631" t="s">
        <v>5356</v>
      </c>
      <c r="F631">
        <v>718800</v>
      </c>
      <c r="G631">
        <v>1961</v>
      </c>
      <c r="H631">
        <v>2820</v>
      </c>
      <c r="I631">
        <v>16117</v>
      </c>
      <c r="J631">
        <v>3</v>
      </c>
      <c r="K631">
        <v>2</v>
      </c>
      <c r="M631" s="2" t="str">
        <f>HYPERLINK("http://maps.live.com/default.aspx?v=2&amp;lvl=15&amp;sp=Point.47.582807_-122.081469_19314 SE 24th Way&amp;cp=47.582807~-122.081469","Map")</f>
        <v>Map</v>
      </c>
      <c r="N631" s="2" t="str">
        <f>HYPERLINK("http://i-0.rfimg.us/photo/1/bigphoto/144/27206144_6.jpg","Photo")</f>
        <v>Photo</v>
      </c>
      <c r="AG631">
        <v>47.582807000000003</v>
      </c>
      <c r="AH631">
        <v>-122.081469</v>
      </c>
      <c r="AI631" t="s">
        <v>5273</v>
      </c>
      <c r="AJ631">
        <v>98075</v>
      </c>
      <c r="AN631">
        <v>608000</v>
      </c>
      <c r="BC631" s="22">
        <v>39412.761134259257</v>
      </c>
      <c r="BI631" s="22">
        <v>39549.294907407406</v>
      </c>
      <c r="BL631">
        <v>14376</v>
      </c>
      <c r="BM631">
        <v>1311276</v>
      </c>
      <c r="BN631" t="s">
        <v>2419</v>
      </c>
      <c r="BO631" s="17">
        <f t="shared" ca="1" si="9"/>
        <v>136.54827164352173</v>
      </c>
      <c r="BP631" t="b">
        <v>0</v>
      </c>
      <c r="BQ631">
        <v>1</v>
      </c>
      <c r="BR631" t="s">
        <v>2463</v>
      </c>
      <c r="BS631" t="s">
        <v>1740</v>
      </c>
      <c r="BT631" t="b">
        <v>0</v>
      </c>
      <c r="BU631" t="s">
        <v>3856</v>
      </c>
      <c r="BV631" t="s">
        <v>1668</v>
      </c>
      <c r="BW631">
        <v>19314</v>
      </c>
      <c r="BY631">
        <v>267440</v>
      </c>
      <c r="BZ631" t="s">
        <v>5357</v>
      </c>
      <c r="CA631">
        <v>1</v>
      </c>
      <c r="CB631" t="b">
        <v>1</v>
      </c>
      <c r="CC631">
        <v>0</v>
      </c>
      <c r="CD631" t="b">
        <v>0</v>
      </c>
      <c r="CE631" t="b">
        <v>0</v>
      </c>
      <c r="CF631" t="b">
        <v>1</v>
      </c>
      <c r="CG631">
        <v>2349385</v>
      </c>
      <c r="CH631" t="s">
        <v>1681</v>
      </c>
      <c r="CI631" s="10">
        <v>718800</v>
      </c>
      <c r="CJ631" s="7">
        <v>38609</v>
      </c>
    </row>
    <row r="632" spans="1:88">
      <c r="A632">
        <v>27206245</v>
      </c>
      <c r="B632" s="2" t="str">
        <f>HYPERLINK("http://www.redfin.com/stingray/do/printable-listing?listing-id=1312350","Active")</f>
        <v>Active</v>
      </c>
      <c r="D632" t="s">
        <v>5263</v>
      </c>
      <c r="E632" t="s">
        <v>5316</v>
      </c>
      <c r="F632">
        <v>1050000</v>
      </c>
      <c r="G632">
        <v>1983</v>
      </c>
      <c r="H632">
        <v>3621</v>
      </c>
      <c r="I632">
        <v>16500</v>
      </c>
      <c r="J632">
        <v>4</v>
      </c>
      <c r="K632">
        <v>2.75</v>
      </c>
      <c r="M632" s="2" t="str">
        <f>HYPERLINK("http://maps.live.com/default.aspx?v=2&amp;lvl=15&amp;sp=Point.47.579273_-122.119922_16435 SE 34th St&amp;cp=47.579273~-122.119922","Map")</f>
        <v>Map</v>
      </c>
      <c r="N632" s="2" t="str">
        <f>HYPERLINK("http://i-0.rfimg.us/photo/1/bigphoto/245/27206245_0.jpg","Photo")</f>
        <v>Photo</v>
      </c>
      <c r="AG632">
        <v>47.579273000000001</v>
      </c>
      <c r="AH632">
        <v>-122.119922</v>
      </c>
      <c r="AI632" t="s">
        <v>369</v>
      </c>
      <c r="AJ632">
        <v>98008</v>
      </c>
      <c r="BC632" s="22">
        <v>39413.421782407408</v>
      </c>
      <c r="BI632" s="22">
        <v>39549.294907407406</v>
      </c>
      <c r="BL632">
        <v>21000</v>
      </c>
      <c r="BM632">
        <v>1312350</v>
      </c>
      <c r="BN632" t="s">
        <v>1783</v>
      </c>
      <c r="BO632" s="17">
        <f t="shared" ca="1" si="9"/>
        <v>135.88762349537137</v>
      </c>
      <c r="BP632" t="b">
        <v>0</v>
      </c>
      <c r="BQ632">
        <v>1</v>
      </c>
      <c r="BR632" t="s">
        <v>1686</v>
      </c>
      <c r="BS632" t="s">
        <v>2912</v>
      </c>
      <c r="BT632" t="b">
        <v>0</v>
      </c>
      <c r="BU632" t="s">
        <v>3856</v>
      </c>
      <c r="BV632" t="s">
        <v>1668</v>
      </c>
      <c r="BW632">
        <v>16435</v>
      </c>
      <c r="BY632">
        <v>429662</v>
      </c>
      <c r="BZ632" t="s">
        <v>1713</v>
      </c>
      <c r="CA632">
        <v>1</v>
      </c>
      <c r="CB632" t="b">
        <v>1</v>
      </c>
      <c r="CC632">
        <v>0</v>
      </c>
      <c r="CD632" t="b">
        <v>0</v>
      </c>
      <c r="CE632" t="b">
        <v>0</v>
      </c>
      <c r="CF632" t="b">
        <v>1</v>
      </c>
      <c r="CG632">
        <v>2377569</v>
      </c>
      <c r="CH632" t="s">
        <v>1681</v>
      </c>
      <c r="CI632" s="10">
        <v>1050000</v>
      </c>
    </row>
    <row r="633" spans="1:88">
      <c r="A633">
        <v>27206274</v>
      </c>
      <c r="B633" s="2" t="str">
        <f>HYPERLINK("http://www.redfin.com/stingray/do/printable-listing?listing-id=1313199","Active")</f>
        <v>Active</v>
      </c>
      <c r="D633" t="s">
        <v>3721</v>
      </c>
      <c r="E633" t="s">
        <v>3791</v>
      </c>
      <c r="F633">
        <v>1499000</v>
      </c>
      <c r="G633">
        <v>1922</v>
      </c>
      <c r="H633">
        <v>0</v>
      </c>
      <c r="I633">
        <v>3800</v>
      </c>
      <c r="J633">
        <v>3</v>
      </c>
      <c r="K633">
        <v>2.5</v>
      </c>
      <c r="M633" s="2" t="str">
        <f>HYPERLINK("http://maps.live.com/default.aspx?v=2&amp;lvl=15&amp;sp=Point.47.629904_-122.279638_4100 E Highland Dr&amp;cp=47.629904~-122.279638","Map")</f>
        <v>Map</v>
      </c>
      <c r="N633" s="2" t="str">
        <f>HYPERLINK("http://i-0.rfimg.us/photo/1/bigphoto/274/27206274_1.jpg","Photo")</f>
        <v>Photo</v>
      </c>
      <c r="AG633">
        <v>47.629904000000003</v>
      </c>
      <c r="AH633">
        <v>-122.27963800000001</v>
      </c>
      <c r="AI633" t="s">
        <v>66</v>
      </c>
      <c r="AJ633">
        <v>98112</v>
      </c>
      <c r="AN633">
        <v>1242500</v>
      </c>
      <c r="BC633" s="22">
        <v>39413.676689814813</v>
      </c>
      <c r="BI633" s="22">
        <v>39549.294907407406</v>
      </c>
      <c r="BL633">
        <v>29980</v>
      </c>
      <c r="BM633">
        <v>1313199</v>
      </c>
      <c r="BN633" t="s">
        <v>2556</v>
      </c>
      <c r="BO633" s="17">
        <f t="shared" ca="1" si="9"/>
        <v>135.6327160879664</v>
      </c>
      <c r="BP633" t="b">
        <v>0</v>
      </c>
      <c r="BQ633">
        <v>1</v>
      </c>
      <c r="BR633" t="s">
        <v>1816</v>
      </c>
      <c r="BS633" t="s">
        <v>3651</v>
      </c>
      <c r="BT633" t="b">
        <v>0</v>
      </c>
      <c r="BU633" t="s">
        <v>2436</v>
      </c>
      <c r="BV633" t="s">
        <v>1668</v>
      </c>
      <c r="BW633">
        <v>4100</v>
      </c>
      <c r="BY633">
        <v>139604</v>
      </c>
      <c r="BZ633" t="s">
        <v>1957</v>
      </c>
      <c r="CA633">
        <v>1</v>
      </c>
      <c r="CB633" t="b">
        <v>1</v>
      </c>
      <c r="CC633">
        <v>0</v>
      </c>
      <c r="CD633" t="b">
        <v>0</v>
      </c>
      <c r="CE633" t="b">
        <v>0</v>
      </c>
      <c r="CF633" t="b">
        <v>1</v>
      </c>
      <c r="CG633">
        <v>2848193</v>
      </c>
      <c r="CH633" t="s">
        <v>1681</v>
      </c>
      <c r="CI633" s="10">
        <v>1499000</v>
      </c>
      <c r="CJ633" s="7">
        <v>38471</v>
      </c>
    </row>
    <row r="634" spans="1:88">
      <c r="A634">
        <v>27206305</v>
      </c>
      <c r="B634" s="2" t="str">
        <f>HYPERLINK("http://www.redfin.com/stingray/do/printable-listing?listing-id=1312430","Active")</f>
        <v>Active</v>
      </c>
      <c r="D634" t="s">
        <v>2552</v>
      </c>
      <c r="E634" t="s">
        <v>3483</v>
      </c>
      <c r="F634" s="19">
        <v>459500</v>
      </c>
      <c r="G634">
        <v>1947</v>
      </c>
      <c r="H634">
        <v>1800</v>
      </c>
      <c r="I634">
        <v>7080</v>
      </c>
      <c r="J634">
        <v>3</v>
      </c>
      <c r="K634">
        <v>2</v>
      </c>
      <c r="M634" s="2" t="str">
        <f>HYPERLINK("http://maps.live.com/default.aspx?v=2&amp;lvl=15&amp;sp=Point.47.658004_-122.393496_2812 W Elmore St&amp;cp=47.658004~-122.393496","Map")</f>
        <v>Map</v>
      </c>
      <c r="N634" s="2" t="str">
        <f>HYPERLINK("http://i-0.rfimg.us/photo/1/bigphoto/305/27206305_6.jpg","Photo")</f>
        <v>Photo</v>
      </c>
      <c r="AG634">
        <v>47.658003999999998</v>
      </c>
      <c r="AH634">
        <v>-122.393496</v>
      </c>
      <c r="AI634" t="s">
        <v>66</v>
      </c>
      <c r="AJ634">
        <v>98199</v>
      </c>
      <c r="AN634">
        <v>300000</v>
      </c>
      <c r="BC634" s="22">
        <v>39413.453969907408</v>
      </c>
      <c r="BI634" s="22">
        <v>39549.294907407406</v>
      </c>
      <c r="BL634">
        <v>9580</v>
      </c>
      <c r="BM634">
        <v>1312430</v>
      </c>
      <c r="BN634" t="s">
        <v>1823</v>
      </c>
      <c r="BO634" s="17">
        <f t="shared" ca="1" si="9"/>
        <v>135.8554359953705</v>
      </c>
      <c r="BP634" t="b">
        <v>0</v>
      </c>
      <c r="BQ634">
        <v>1</v>
      </c>
      <c r="BR634" t="s">
        <v>1686</v>
      </c>
      <c r="BS634" t="s">
        <v>3484</v>
      </c>
      <c r="BT634" t="b">
        <v>0</v>
      </c>
      <c r="BU634" t="s">
        <v>2423</v>
      </c>
      <c r="BV634" t="s">
        <v>1668</v>
      </c>
      <c r="BW634">
        <v>2812</v>
      </c>
      <c r="BY634">
        <v>124293</v>
      </c>
      <c r="BZ634" t="s">
        <v>3485</v>
      </c>
      <c r="CA634">
        <v>1</v>
      </c>
      <c r="CB634" t="b">
        <v>1</v>
      </c>
      <c r="CC634">
        <v>0</v>
      </c>
      <c r="CD634" t="b">
        <v>0</v>
      </c>
      <c r="CE634" t="b">
        <v>0</v>
      </c>
      <c r="CF634" t="b">
        <v>1</v>
      </c>
      <c r="CG634">
        <v>2915260</v>
      </c>
      <c r="CH634" t="s">
        <v>1681</v>
      </c>
      <c r="CI634" s="10">
        <v>479000</v>
      </c>
      <c r="CJ634" s="7">
        <v>37812</v>
      </c>
    </row>
    <row r="635" spans="1:88">
      <c r="A635">
        <v>27206335</v>
      </c>
      <c r="B635" s="2" t="str">
        <f>HYPERLINK("http://www.redfin.com/stingray/do/printable-listing?listing-id=1312503","Active")</f>
        <v>Active</v>
      </c>
      <c r="D635" t="s">
        <v>4777</v>
      </c>
      <c r="E635" t="s">
        <v>4803</v>
      </c>
      <c r="F635">
        <v>779950</v>
      </c>
      <c r="G635">
        <v>1983</v>
      </c>
      <c r="H635">
        <v>2258</v>
      </c>
      <c r="I635">
        <v>8612</v>
      </c>
      <c r="J635">
        <v>3</v>
      </c>
      <c r="K635">
        <v>1.75</v>
      </c>
      <c r="M635" s="2" t="str">
        <f>HYPERLINK("http://maps.live.com/default.aspx?v=2&amp;lvl=15&amp;sp=Point.47.670471_-122.193991_619 8th St S&amp;cp=47.670471~-122.193991","Map")</f>
        <v>Map</v>
      </c>
      <c r="N635" s="2" t="str">
        <f>HYPERLINK("http://i-0.rfimg.us/photo/1/bigphoto/335/27206335_2.jpg","Photo")</f>
        <v>Photo</v>
      </c>
      <c r="AG635">
        <v>47.670470999999999</v>
      </c>
      <c r="AH635">
        <v>-122.193991</v>
      </c>
      <c r="AI635" t="s">
        <v>1058</v>
      </c>
      <c r="AJ635">
        <v>98033</v>
      </c>
      <c r="AN635">
        <v>495000</v>
      </c>
      <c r="BC635" s="22">
        <v>39413.485914351855</v>
      </c>
      <c r="BI635" s="7">
        <v>39540</v>
      </c>
      <c r="BL635">
        <v>15599</v>
      </c>
      <c r="BM635">
        <v>1312503</v>
      </c>
      <c r="BN635" t="s">
        <v>1737</v>
      </c>
      <c r="BO635" s="17">
        <f t="shared" ca="1" si="9"/>
        <v>135.82349155092379</v>
      </c>
      <c r="BP635" t="b">
        <v>0</v>
      </c>
      <c r="BQ635">
        <v>1</v>
      </c>
      <c r="BR635" t="s">
        <v>1686</v>
      </c>
      <c r="BS635" t="s">
        <v>1723</v>
      </c>
      <c r="BT635" t="b">
        <v>0</v>
      </c>
      <c r="BV635" t="s">
        <v>1668</v>
      </c>
      <c r="BW635">
        <v>619</v>
      </c>
      <c r="BX635" t="s">
        <v>1881</v>
      </c>
      <c r="BY635">
        <v>464258</v>
      </c>
      <c r="BZ635" t="s">
        <v>3832</v>
      </c>
      <c r="CA635">
        <v>1</v>
      </c>
      <c r="CB635" t="b">
        <v>1</v>
      </c>
      <c r="CC635">
        <v>0</v>
      </c>
      <c r="CD635" t="b">
        <v>0</v>
      </c>
      <c r="CE635" t="b">
        <v>0</v>
      </c>
      <c r="CF635" t="b">
        <v>1</v>
      </c>
      <c r="CG635">
        <v>2564531</v>
      </c>
      <c r="CH635" t="s">
        <v>1681</v>
      </c>
      <c r="CI635" s="10">
        <v>779950</v>
      </c>
      <c r="CJ635" s="7">
        <v>38204</v>
      </c>
    </row>
    <row r="636" spans="1:88">
      <c r="A636">
        <v>27206338</v>
      </c>
      <c r="B636" s="2" t="str">
        <f>HYPERLINK("http://www.redfin.com/stingray/do/printable-listing?listing-id=1312506","Active")</f>
        <v>Active</v>
      </c>
      <c r="D636" t="s">
        <v>99</v>
      </c>
      <c r="E636" t="s">
        <v>2103</v>
      </c>
      <c r="F636">
        <v>319950</v>
      </c>
      <c r="G636">
        <v>2007</v>
      </c>
      <c r="H636">
        <v>0</v>
      </c>
      <c r="I636">
        <v>0</v>
      </c>
      <c r="J636">
        <v>3</v>
      </c>
      <c r="K636">
        <v>1.5</v>
      </c>
      <c r="M636" s="2" t="str">
        <f>HYPERLINK("http://maps.live.com/default.aspx?v=2&amp;lvl=15&amp;sp=Point.47.69836_-122.366435_9517 8th Ave NW nB&amp;cp=47.69836~-122.366435","Map")</f>
        <v>Map</v>
      </c>
      <c r="N636" s="2" t="str">
        <f>HYPERLINK("http://i-0.rfimg.us/photo/1/bigphoto/338/27206338_0.jpg","Photo")</f>
        <v>Photo</v>
      </c>
      <c r="AG636">
        <v>47.698360000000001</v>
      </c>
      <c r="AH636">
        <v>-122.366435</v>
      </c>
      <c r="AI636" t="s">
        <v>66</v>
      </c>
      <c r="AJ636">
        <v>98117</v>
      </c>
      <c r="AM636" t="s">
        <v>1699</v>
      </c>
      <c r="BC636" s="22">
        <v>39413.486006944448</v>
      </c>
      <c r="BI636" s="7">
        <v>39513</v>
      </c>
      <c r="BL636">
        <v>6399</v>
      </c>
      <c r="BM636">
        <v>1312506</v>
      </c>
      <c r="BN636" t="s">
        <v>1720</v>
      </c>
      <c r="BO636" s="17">
        <f t="shared" ca="1" si="9"/>
        <v>135.82339907407004</v>
      </c>
      <c r="BP636" t="b">
        <v>0</v>
      </c>
      <c r="BQ636">
        <v>1</v>
      </c>
      <c r="BR636" t="s">
        <v>1667</v>
      </c>
      <c r="BS636" t="s">
        <v>1723</v>
      </c>
      <c r="BT636" t="b">
        <v>0</v>
      </c>
      <c r="BV636" t="s">
        <v>1668</v>
      </c>
      <c r="BW636">
        <v>9517</v>
      </c>
      <c r="BX636" t="s">
        <v>1669</v>
      </c>
      <c r="BY636">
        <v>12310303</v>
      </c>
      <c r="BZ636" t="s">
        <v>1701</v>
      </c>
      <c r="CA636">
        <v>1</v>
      </c>
      <c r="CB636" t="b">
        <v>1</v>
      </c>
      <c r="CC636">
        <v>0</v>
      </c>
      <c r="CD636" t="b">
        <v>0</v>
      </c>
      <c r="CE636" t="b">
        <v>0</v>
      </c>
      <c r="CF636" t="b">
        <v>1</v>
      </c>
      <c r="CG636">
        <v>15516885</v>
      </c>
      <c r="CH636" t="s">
        <v>1681</v>
      </c>
      <c r="CI636" s="10">
        <v>319950</v>
      </c>
    </row>
    <row r="637" spans="1:88">
      <c r="A637">
        <v>27206380</v>
      </c>
      <c r="B637" s="2" t="str">
        <f>HYPERLINK("http://www.redfin.com/stingray/do/printable-listing?listing-id=1312853","Active")</f>
        <v>Active</v>
      </c>
      <c r="D637" t="s">
        <v>3959</v>
      </c>
      <c r="E637" t="s">
        <v>4140</v>
      </c>
      <c r="F637" s="19">
        <v>289000</v>
      </c>
      <c r="G637">
        <v>1980</v>
      </c>
      <c r="H637">
        <v>1137</v>
      </c>
      <c r="I637">
        <v>0</v>
      </c>
      <c r="J637">
        <v>2</v>
      </c>
      <c r="K637">
        <v>1.75</v>
      </c>
      <c r="M637" s="2" t="str">
        <f>HYPERLINK("http://maps.live.com/default.aspx?v=2&amp;lvl=15&amp;sp=Point.47.601563_-122.306086_2001 E Yesler Way&amp;cp=47.601563~-122.306086","Map")</f>
        <v>Map</v>
      </c>
      <c r="N637" s="2" t="str">
        <f>HYPERLINK("http://i-0.rfimg.us/photo/1/bigphoto/380/27206380_0.jpg","Photo")</f>
        <v>Photo</v>
      </c>
      <c r="AG637">
        <v>47.601562999999999</v>
      </c>
      <c r="AH637">
        <v>-122.30608599999999</v>
      </c>
      <c r="AI637" t="s">
        <v>66</v>
      </c>
      <c r="AJ637">
        <v>98122</v>
      </c>
      <c r="BC637" s="22">
        <v>39413.579606481479</v>
      </c>
      <c r="BI637" s="22">
        <v>39549.294907407406</v>
      </c>
      <c r="BL637">
        <v>6240</v>
      </c>
      <c r="BM637">
        <v>1312853</v>
      </c>
      <c r="BN637" t="s">
        <v>2829</v>
      </c>
      <c r="BO637" s="17">
        <f t="shared" ca="1" si="9"/>
        <v>135.72979942130041</v>
      </c>
      <c r="BP637" t="b">
        <v>0</v>
      </c>
      <c r="BQ637">
        <v>1</v>
      </c>
      <c r="BR637" t="s">
        <v>2463</v>
      </c>
      <c r="BS637" t="s">
        <v>3983</v>
      </c>
      <c r="BT637" t="b">
        <v>0</v>
      </c>
      <c r="BU637" t="s">
        <v>2436</v>
      </c>
      <c r="BV637" t="s">
        <v>1668</v>
      </c>
      <c r="BW637">
        <v>2001</v>
      </c>
      <c r="BY637">
        <v>2094340</v>
      </c>
      <c r="BZ637" t="s">
        <v>1670</v>
      </c>
      <c r="CA637">
        <v>1</v>
      </c>
      <c r="CB637" t="b">
        <v>1</v>
      </c>
      <c r="CC637">
        <v>0</v>
      </c>
      <c r="CD637" t="b">
        <v>0</v>
      </c>
      <c r="CE637" t="b">
        <v>0</v>
      </c>
      <c r="CF637" t="b">
        <v>1</v>
      </c>
      <c r="CG637">
        <v>2949225</v>
      </c>
      <c r="CH637" t="s">
        <v>1681</v>
      </c>
      <c r="CI637" s="10">
        <v>312000</v>
      </c>
    </row>
    <row r="638" spans="1:88">
      <c r="A638">
        <v>27206470</v>
      </c>
      <c r="B638" s="2" t="str">
        <f>HYPERLINK("http://www.redfin.com/stingray/do/printable-listing?listing-id=1312973","Active")</f>
        <v>Active</v>
      </c>
      <c r="D638" t="s">
        <v>2850</v>
      </c>
      <c r="E638" t="s">
        <v>4445</v>
      </c>
      <c r="F638">
        <v>795000</v>
      </c>
      <c r="G638">
        <v>1977</v>
      </c>
      <c r="H638">
        <v>2720</v>
      </c>
      <c r="I638">
        <v>9720</v>
      </c>
      <c r="J638">
        <v>4</v>
      </c>
      <c r="K638">
        <v>2.75</v>
      </c>
      <c r="M638" s="2" t="str">
        <f>HYPERLINK("http://maps.live.com/default.aspx?v=2&amp;lvl=15&amp;sp=Point.47.703433_-122.232997_8131 NE 115th Way&amp;cp=47.703433~-122.232997","Map")</f>
        <v>Map</v>
      </c>
      <c r="N638" s="2" t="str">
        <f>HYPERLINK("http://i-0.rfimg.us/photo/1/bigphoto/470/27206470_A.jpg","Photo")</f>
        <v>Photo</v>
      </c>
      <c r="AG638">
        <v>47.703432999999997</v>
      </c>
      <c r="AH638">
        <v>-122.232997</v>
      </c>
      <c r="AI638" t="s">
        <v>1058</v>
      </c>
      <c r="AJ638">
        <v>98034</v>
      </c>
      <c r="AN638">
        <v>249500</v>
      </c>
      <c r="BC638" s="22">
        <v>39413.621111111112</v>
      </c>
      <c r="BI638" s="22">
        <v>39549.294907407406</v>
      </c>
      <c r="BL638">
        <v>15900</v>
      </c>
      <c r="BM638">
        <v>1312973</v>
      </c>
      <c r="BN638" t="s">
        <v>1735</v>
      </c>
      <c r="BO638" s="17">
        <f t="shared" ca="1" si="9"/>
        <v>135.68829479166743</v>
      </c>
      <c r="BP638" t="b">
        <v>0</v>
      </c>
      <c r="BQ638">
        <v>1</v>
      </c>
      <c r="BR638" t="s">
        <v>2463</v>
      </c>
      <c r="BS638" t="s">
        <v>4439</v>
      </c>
      <c r="BT638" t="b">
        <v>0</v>
      </c>
      <c r="BU638" t="s">
        <v>1738</v>
      </c>
      <c r="BV638" t="s">
        <v>1668</v>
      </c>
      <c r="BW638">
        <v>8131</v>
      </c>
      <c r="BY638">
        <v>280969</v>
      </c>
      <c r="BZ638" t="s">
        <v>6787</v>
      </c>
      <c r="CA638">
        <v>1</v>
      </c>
      <c r="CB638" t="b">
        <v>1</v>
      </c>
      <c r="CC638">
        <v>0</v>
      </c>
      <c r="CD638" t="b">
        <v>0</v>
      </c>
      <c r="CE638" t="b">
        <v>0</v>
      </c>
      <c r="CF638" t="b">
        <v>1</v>
      </c>
      <c r="CG638">
        <v>2409837</v>
      </c>
      <c r="CH638" t="s">
        <v>1681</v>
      </c>
      <c r="CI638" s="10">
        <v>795000</v>
      </c>
      <c r="CJ638" s="7">
        <v>33928</v>
      </c>
    </row>
    <row r="639" spans="1:88">
      <c r="A639">
        <v>27206512</v>
      </c>
      <c r="B639" s="2" t="str">
        <f>HYPERLINK("http://www.redfin.com/stingray/do/printable-listing?listing-id=1314749","Active")</f>
        <v>Active</v>
      </c>
      <c r="D639" t="s">
        <v>5121</v>
      </c>
      <c r="E639" t="s">
        <v>5188</v>
      </c>
      <c r="F639">
        <v>849950</v>
      </c>
      <c r="G639">
        <v>1952</v>
      </c>
      <c r="H639">
        <v>1930</v>
      </c>
      <c r="I639">
        <v>9569</v>
      </c>
      <c r="J639">
        <v>5</v>
      </c>
      <c r="K639">
        <v>1.75</v>
      </c>
      <c r="M639" s="2" t="str">
        <f>HYPERLINK("http://maps.live.com/default.aspx?v=2&amp;lvl=15&amp;sp=Point.47.592759_-122.20026_10416 SE 20th St&amp;cp=47.592759~-122.20026","Map")</f>
        <v>Map</v>
      </c>
      <c r="N639" s="2" t="str">
        <f>HYPERLINK("http://i-0.rfimg.us/photo/1/bigphoto/512/27206512_1.jpg","Photo")</f>
        <v>Photo</v>
      </c>
      <c r="AG639">
        <v>47.592759000000001</v>
      </c>
      <c r="AH639">
        <v>-122.20026</v>
      </c>
      <c r="AI639" t="s">
        <v>369</v>
      </c>
      <c r="AJ639">
        <v>98004</v>
      </c>
      <c r="AN639">
        <v>183000</v>
      </c>
      <c r="BC639" s="22">
        <v>39414.496493055558</v>
      </c>
      <c r="BI639" s="7">
        <v>39538</v>
      </c>
      <c r="BL639">
        <v>16999</v>
      </c>
      <c r="BM639">
        <v>1314749</v>
      </c>
      <c r="BN639" t="s">
        <v>1917</v>
      </c>
      <c r="BO639" s="17">
        <f t="shared" ca="1" si="9"/>
        <v>134.81291284722101</v>
      </c>
      <c r="BP639" t="b">
        <v>0</v>
      </c>
      <c r="BQ639">
        <v>1</v>
      </c>
      <c r="BR639" t="s">
        <v>1686</v>
      </c>
      <c r="BS639" t="s">
        <v>1844</v>
      </c>
      <c r="BT639" t="b">
        <v>0</v>
      </c>
      <c r="BU639" t="s">
        <v>3856</v>
      </c>
      <c r="BV639" t="s">
        <v>1668</v>
      </c>
      <c r="BW639">
        <v>10416</v>
      </c>
      <c r="BY639">
        <v>510418</v>
      </c>
      <c r="BZ639" t="s">
        <v>1679</v>
      </c>
      <c r="CA639">
        <v>1</v>
      </c>
      <c r="CB639" t="b">
        <v>1</v>
      </c>
      <c r="CC639">
        <v>0</v>
      </c>
      <c r="CD639" t="b">
        <v>0</v>
      </c>
      <c r="CE639" t="b">
        <v>0</v>
      </c>
      <c r="CF639" t="b">
        <v>1</v>
      </c>
      <c r="CG639">
        <v>2782697</v>
      </c>
      <c r="CH639" t="s">
        <v>1681</v>
      </c>
      <c r="CI639" s="10">
        <v>849950</v>
      </c>
      <c r="CJ639" s="7">
        <v>35145</v>
      </c>
    </row>
    <row r="640" spans="1:88">
      <c r="A640">
        <v>27206526</v>
      </c>
      <c r="B640" s="2" t="str">
        <f>HYPERLINK("http://www.redfin.com/stingray/do/printable-listing?listing-id=1313115","Active")</f>
        <v>Active</v>
      </c>
      <c r="D640" t="s">
        <v>5137</v>
      </c>
      <c r="E640" t="s">
        <v>5167</v>
      </c>
      <c r="F640">
        <v>385000</v>
      </c>
      <c r="G640">
        <v>1955</v>
      </c>
      <c r="H640">
        <v>1020</v>
      </c>
      <c r="I640">
        <v>8596</v>
      </c>
      <c r="J640">
        <v>3</v>
      </c>
      <c r="K640">
        <v>1</v>
      </c>
      <c r="M640" s="2" t="str">
        <f>HYPERLINK("http://maps.live.com/default.aspx?v=2&amp;lvl=15&amp;sp=Point.47.572859_-122.178235_12040 SE 42nd St&amp;cp=47.572859~-122.178235","Map")</f>
        <v>Map</v>
      </c>
      <c r="N640" s="2" t="str">
        <f>HYPERLINK("http://i-0.rfimg.us/photo/1/bigphoto/526/27206526_0.jpg","Photo")</f>
        <v>Photo</v>
      </c>
      <c r="AG640">
        <v>47.572859000000001</v>
      </c>
      <c r="AH640">
        <v>-122.178235</v>
      </c>
      <c r="AI640" t="s">
        <v>369</v>
      </c>
      <c r="AJ640">
        <v>98006</v>
      </c>
      <c r="AN640">
        <v>241300</v>
      </c>
      <c r="BC640" s="22">
        <v>39413.652326388888</v>
      </c>
      <c r="BI640" s="22">
        <v>39549.294907407406</v>
      </c>
      <c r="BL640">
        <v>7700</v>
      </c>
      <c r="BM640">
        <v>1313115</v>
      </c>
      <c r="BN640" t="s">
        <v>4337</v>
      </c>
      <c r="BO640" s="17">
        <f t="shared" ca="1" si="9"/>
        <v>135.65707951389049</v>
      </c>
      <c r="BP640" t="b">
        <v>0</v>
      </c>
      <c r="BQ640">
        <v>1</v>
      </c>
      <c r="BR640" t="s">
        <v>1686</v>
      </c>
      <c r="BS640" t="s">
        <v>3371</v>
      </c>
      <c r="BT640" t="b">
        <v>0</v>
      </c>
      <c r="BU640" t="s">
        <v>3856</v>
      </c>
      <c r="BV640" t="s">
        <v>1668</v>
      </c>
      <c r="BW640">
        <v>12040</v>
      </c>
      <c r="BY640">
        <v>234682</v>
      </c>
      <c r="BZ640" t="s">
        <v>1701</v>
      </c>
      <c r="CA640">
        <v>1</v>
      </c>
      <c r="CB640" t="b">
        <v>1</v>
      </c>
      <c r="CC640">
        <v>0</v>
      </c>
      <c r="CD640" t="b">
        <v>0</v>
      </c>
      <c r="CE640" t="b">
        <v>0</v>
      </c>
      <c r="CF640" t="b">
        <v>1</v>
      </c>
      <c r="CG640">
        <v>2902881</v>
      </c>
      <c r="CH640" t="s">
        <v>1681</v>
      </c>
      <c r="CI640" s="10">
        <v>385000</v>
      </c>
      <c r="CJ640" s="7">
        <v>38289</v>
      </c>
    </row>
    <row r="641" spans="1:88">
      <c r="A641">
        <v>27206575</v>
      </c>
      <c r="B641" s="2" t="str">
        <f>HYPERLINK("http://www.redfin.com/stingray/do/printable-listing?listing-id=1315980","Active")</f>
        <v>Active</v>
      </c>
      <c r="D641" t="s">
        <v>70</v>
      </c>
      <c r="E641" t="s">
        <v>2675</v>
      </c>
      <c r="F641">
        <v>875000</v>
      </c>
      <c r="G641">
        <v>1967</v>
      </c>
      <c r="H641">
        <v>3600</v>
      </c>
      <c r="I641">
        <v>10454</v>
      </c>
      <c r="J641">
        <v>9</v>
      </c>
      <c r="K641">
        <v>3.5</v>
      </c>
      <c r="M641" s="2" t="str">
        <f>HYPERLINK("http://maps.live.com/default.aspx?v=2&amp;lvl=15&amp;sp=Point.47.714677_-122.356533_11714 Palatine Ave N&amp;cp=47.714677~-122.356533","Map")</f>
        <v>Map</v>
      </c>
      <c r="N641" s="2" t="str">
        <f>HYPERLINK("http://i-0.rfimg.us/photo/1/bigphoto/575/27206575_1.jpg","Photo")</f>
        <v>Photo</v>
      </c>
      <c r="AG641">
        <v>47.714677000000002</v>
      </c>
      <c r="AH641">
        <v>-122.356533</v>
      </c>
      <c r="AI641" t="s">
        <v>66</v>
      </c>
      <c r="AJ641">
        <v>98133</v>
      </c>
      <c r="AN641">
        <v>689000</v>
      </c>
      <c r="BC641" s="22">
        <v>39414.89329861111</v>
      </c>
      <c r="BI641" s="22">
        <v>39549.294907407406</v>
      </c>
      <c r="BL641">
        <v>17500</v>
      </c>
      <c r="BM641">
        <v>1315980</v>
      </c>
      <c r="BN641" t="s">
        <v>1737</v>
      </c>
      <c r="BO641" s="17">
        <f t="shared" ca="1" si="9"/>
        <v>134.41610740740725</v>
      </c>
      <c r="BP641" t="b">
        <v>0</v>
      </c>
      <c r="BQ641">
        <v>1</v>
      </c>
      <c r="BR641" t="s">
        <v>1667</v>
      </c>
      <c r="BS641" t="s">
        <v>2605</v>
      </c>
      <c r="BT641" t="b">
        <v>0</v>
      </c>
      <c r="BV641" t="s">
        <v>1668</v>
      </c>
      <c r="BW641">
        <v>11714</v>
      </c>
      <c r="BX641" t="s">
        <v>1712</v>
      </c>
      <c r="BY641">
        <v>96875</v>
      </c>
      <c r="BZ641" t="s">
        <v>1742</v>
      </c>
      <c r="CA641">
        <v>1</v>
      </c>
      <c r="CB641" t="b">
        <v>1</v>
      </c>
      <c r="CC641">
        <v>0</v>
      </c>
      <c r="CD641" t="b">
        <v>0</v>
      </c>
      <c r="CE641" t="b">
        <v>0</v>
      </c>
      <c r="CF641" t="b">
        <v>1</v>
      </c>
      <c r="CG641">
        <v>2731592</v>
      </c>
      <c r="CH641" t="s">
        <v>1681</v>
      </c>
      <c r="CI641" s="10">
        <v>875000</v>
      </c>
      <c r="CJ641" s="7">
        <v>38573</v>
      </c>
    </row>
    <row r="642" spans="1:88">
      <c r="A642">
        <v>27206666</v>
      </c>
      <c r="B642" s="2" t="str">
        <f>HYPERLINK("http://www.redfin.com/stingray/do/printable-listing?listing-id=1313924","Active")</f>
        <v>Active</v>
      </c>
      <c r="D642" t="s">
        <v>99</v>
      </c>
      <c r="E642" t="s">
        <v>337</v>
      </c>
      <c r="F642">
        <v>354950</v>
      </c>
      <c r="G642">
        <v>1971</v>
      </c>
      <c r="H642">
        <v>975</v>
      </c>
      <c r="I642">
        <v>4000</v>
      </c>
      <c r="J642">
        <v>3</v>
      </c>
      <c r="K642">
        <v>1.5</v>
      </c>
      <c r="M642" s="2" t="str">
        <f>HYPERLINK("http://maps.live.com/default.aspx?v=2&amp;lvl=15&amp;sp=Point.47.69256_-122.379262_8701 17th Ave NW&amp;cp=47.69256~-122.379262","Map")</f>
        <v>Map</v>
      </c>
      <c r="N642" s="2" t="str">
        <f>HYPERLINK("http://i-0.rfimg.us/photo/1/bigphoto/666/27206666_1.jpg","Photo")</f>
        <v>Photo</v>
      </c>
      <c r="AG642">
        <v>47.69256</v>
      </c>
      <c r="AH642">
        <v>-122.379262</v>
      </c>
      <c r="AI642" t="s">
        <v>66</v>
      </c>
      <c r="AJ642">
        <v>98117</v>
      </c>
      <c r="AN642">
        <v>165000</v>
      </c>
      <c r="BC642" s="22">
        <v>39414.087881944448</v>
      </c>
      <c r="BI642" s="22">
        <v>39545.917314814818</v>
      </c>
      <c r="BL642">
        <v>7099</v>
      </c>
      <c r="BM642">
        <v>1313924</v>
      </c>
      <c r="BN642" t="s">
        <v>1688</v>
      </c>
      <c r="BO642" s="17">
        <f t="shared" ref="BO642:BO705" ca="1" si="10">NOW()-BC642</f>
        <v>135.22152407406975</v>
      </c>
      <c r="BP642" t="b">
        <v>0</v>
      </c>
      <c r="BQ642">
        <v>1</v>
      </c>
      <c r="BR642" t="s">
        <v>1667</v>
      </c>
      <c r="BS642" t="s">
        <v>1683</v>
      </c>
      <c r="BT642" t="b">
        <v>0</v>
      </c>
      <c r="BV642" t="s">
        <v>1668</v>
      </c>
      <c r="BW642">
        <v>8701</v>
      </c>
      <c r="BX642" t="s">
        <v>1669</v>
      </c>
      <c r="BY642">
        <v>100466</v>
      </c>
      <c r="BZ642" t="s">
        <v>1689</v>
      </c>
      <c r="CA642">
        <v>1</v>
      </c>
      <c r="CB642" t="b">
        <v>1</v>
      </c>
      <c r="CC642">
        <v>0</v>
      </c>
      <c r="CD642" t="b">
        <v>0</v>
      </c>
      <c r="CE642" t="b">
        <v>0</v>
      </c>
      <c r="CF642" t="b">
        <v>1</v>
      </c>
      <c r="CG642">
        <v>2517617</v>
      </c>
      <c r="CH642" t="s">
        <v>1681</v>
      </c>
      <c r="CI642" s="10">
        <v>354950</v>
      </c>
      <c r="CJ642" s="7">
        <v>36053</v>
      </c>
    </row>
    <row r="643" spans="1:88">
      <c r="A643">
        <v>27206789</v>
      </c>
      <c r="B643" s="2" t="str">
        <f>HYPERLINK("http://www.redfin.com/stingray/do/printable-listing?listing-id=1315556","Active")</f>
        <v>Active</v>
      </c>
      <c r="D643" t="s">
        <v>3721</v>
      </c>
      <c r="E643" t="s">
        <v>4213</v>
      </c>
      <c r="F643">
        <v>1845000</v>
      </c>
      <c r="G643">
        <v>1936</v>
      </c>
      <c r="H643">
        <v>0</v>
      </c>
      <c r="I643">
        <v>8489</v>
      </c>
      <c r="J643">
        <v>3</v>
      </c>
      <c r="K643">
        <v>3</v>
      </c>
      <c r="M643" s="2" t="str">
        <f>HYPERLINK("http://maps.live.com/default.aspx?v=2&amp;lvl=15&amp;sp=Point.47.624453_-122.284769_503 McGilvra Blvd E&amp;cp=47.624453~-122.284769","Map")</f>
        <v>Map</v>
      </c>
      <c r="N643" s="2" t="str">
        <f>HYPERLINK("http://i-0.rfimg.us/photo/1/bigphoto/789/27206789_0.jpg","Photo")</f>
        <v>Photo</v>
      </c>
      <c r="AG643">
        <v>47.624453000000003</v>
      </c>
      <c r="AH643">
        <v>-122.284769</v>
      </c>
      <c r="AI643" t="s">
        <v>66</v>
      </c>
      <c r="AJ643">
        <v>98112</v>
      </c>
      <c r="AN643">
        <v>650000</v>
      </c>
      <c r="BC643" s="22">
        <v>39414.68440972222</v>
      </c>
      <c r="BI643" s="22">
        <v>39549.294907407406</v>
      </c>
      <c r="BL643">
        <v>36900</v>
      </c>
      <c r="BM643">
        <v>1315556</v>
      </c>
      <c r="BN643" t="s">
        <v>3253</v>
      </c>
      <c r="BO643" s="17">
        <f t="shared" ca="1" si="10"/>
        <v>134.62499618055881</v>
      </c>
      <c r="BP643" t="b">
        <v>0</v>
      </c>
      <c r="BQ643">
        <v>1</v>
      </c>
      <c r="BR643" t="s">
        <v>3141</v>
      </c>
      <c r="BS643" t="s">
        <v>3684</v>
      </c>
      <c r="BT643" t="b">
        <v>0</v>
      </c>
      <c r="BV643" t="s">
        <v>1668</v>
      </c>
      <c r="BW643">
        <v>503</v>
      </c>
      <c r="BX643" t="s">
        <v>2436</v>
      </c>
      <c r="BY643">
        <v>139068</v>
      </c>
      <c r="BZ643" t="s">
        <v>1676</v>
      </c>
      <c r="CA643">
        <v>1</v>
      </c>
      <c r="CB643" t="b">
        <v>1</v>
      </c>
      <c r="CC643">
        <v>0</v>
      </c>
      <c r="CD643" t="b">
        <v>0</v>
      </c>
      <c r="CE643" t="b">
        <v>0</v>
      </c>
      <c r="CF643" t="b">
        <v>1</v>
      </c>
      <c r="CG643">
        <v>2486384</v>
      </c>
      <c r="CH643" t="s">
        <v>1681</v>
      </c>
      <c r="CI643" s="10">
        <v>1845000</v>
      </c>
      <c r="CJ643" s="7">
        <v>36315</v>
      </c>
    </row>
    <row r="644" spans="1:88">
      <c r="A644">
        <v>27206827</v>
      </c>
      <c r="B644" s="2" t="str">
        <f>HYPERLINK("http://www.redfin.com/stingray/do/printable-listing?listing-id=1314724","Active")</f>
        <v>Active</v>
      </c>
      <c r="D644" t="s">
        <v>66</v>
      </c>
      <c r="E644" t="s">
        <v>2773</v>
      </c>
      <c r="F644">
        <v>579990</v>
      </c>
      <c r="G644">
        <v>1951</v>
      </c>
      <c r="H644">
        <v>2400</v>
      </c>
      <c r="I644">
        <v>11040</v>
      </c>
      <c r="J644">
        <v>3</v>
      </c>
      <c r="K644">
        <v>2</v>
      </c>
      <c r="M644" s="2" t="str">
        <f>HYPERLINK("http://maps.live.com/default.aspx?v=2&amp;lvl=15&amp;sp=Point.47.722119_-122.357286_12725 Palatine Ave N&amp;cp=47.722119~-122.357286","Map")</f>
        <v>Map</v>
      </c>
      <c r="N644" s="2" t="str">
        <f>HYPERLINK("http://i-0.rfimg.us/photo/1/bigphoto/827/27206827_9.jpg","Photo")</f>
        <v>Photo</v>
      </c>
      <c r="AG644">
        <v>47.722118999999999</v>
      </c>
      <c r="AH644">
        <v>-122.357286</v>
      </c>
      <c r="AI644" t="s">
        <v>66</v>
      </c>
      <c r="AJ644">
        <v>98133</v>
      </c>
      <c r="BC644" s="22">
        <v>39414.486111111109</v>
      </c>
      <c r="BI644" s="22">
        <v>39549.294907407406</v>
      </c>
      <c r="BL644">
        <v>11600</v>
      </c>
      <c r="BM644">
        <v>1314724</v>
      </c>
      <c r="BN644" t="s">
        <v>1776</v>
      </c>
      <c r="BO644" s="17">
        <f t="shared" ca="1" si="10"/>
        <v>134.82329490740813</v>
      </c>
      <c r="BP644" t="b">
        <v>0</v>
      </c>
      <c r="BQ644">
        <v>1</v>
      </c>
      <c r="BR644" t="s">
        <v>1667</v>
      </c>
      <c r="BS644" t="s">
        <v>2605</v>
      </c>
      <c r="BT644" t="b">
        <v>0</v>
      </c>
      <c r="BV644" t="s">
        <v>1668</v>
      </c>
      <c r="BW644">
        <v>12725</v>
      </c>
      <c r="BX644" t="s">
        <v>1712</v>
      </c>
      <c r="BY644">
        <v>97001</v>
      </c>
      <c r="BZ644" t="s">
        <v>2774</v>
      </c>
      <c r="CA644">
        <v>1</v>
      </c>
      <c r="CB644" t="b">
        <v>1</v>
      </c>
      <c r="CC644">
        <v>0</v>
      </c>
      <c r="CD644" t="b">
        <v>0</v>
      </c>
      <c r="CE644" t="b">
        <v>0</v>
      </c>
      <c r="CF644" t="b">
        <v>1</v>
      </c>
      <c r="CG644">
        <v>2647157</v>
      </c>
      <c r="CH644" t="s">
        <v>1681</v>
      </c>
      <c r="CI644" s="10">
        <v>579990</v>
      </c>
    </row>
    <row r="645" spans="1:88">
      <c r="A645">
        <v>27206994</v>
      </c>
      <c r="B645" s="2" t="str">
        <f>HYPERLINK("http://www.redfin.com/stingray/do/printable-listing?listing-id=1320819","Active")</f>
        <v>Active</v>
      </c>
      <c r="D645" t="s">
        <v>5119</v>
      </c>
      <c r="E645" t="s">
        <v>5378</v>
      </c>
      <c r="F645">
        <v>574950</v>
      </c>
      <c r="G645">
        <v>1996</v>
      </c>
      <c r="H645">
        <v>1970</v>
      </c>
      <c r="I645">
        <v>2882</v>
      </c>
      <c r="J645">
        <v>4</v>
      </c>
      <c r="K645">
        <v>2.5</v>
      </c>
      <c r="M645" s="2" t="str">
        <f>HYPERLINK("http://maps.live.com/default.aspx?v=2&amp;lvl=15&amp;sp=Point.47.585336_-122.176281_2743 124th Ave SE&amp;cp=47.585336~-122.176281","Map")</f>
        <v>Map</v>
      </c>
      <c r="N645" s="2" t="str">
        <f>HYPERLINK("http://i-0.rfimg.us/photo/1/bigphoto/994/27206994_0.jpg","Photo")</f>
        <v>Photo</v>
      </c>
      <c r="AG645">
        <v>47.585335999999998</v>
      </c>
      <c r="AH645">
        <v>-122.176281</v>
      </c>
      <c r="AI645" t="s">
        <v>369</v>
      </c>
      <c r="AJ645">
        <v>98005</v>
      </c>
      <c r="AN645">
        <v>406000</v>
      </c>
      <c r="BC645" s="22">
        <v>39416.684895833336</v>
      </c>
      <c r="BI645" s="22">
        <v>39549.294907407406</v>
      </c>
      <c r="BL645">
        <v>11499</v>
      </c>
      <c r="BM645">
        <v>1320819</v>
      </c>
      <c r="BN645" t="s">
        <v>1737</v>
      </c>
      <c r="BO645" s="17">
        <f t="shared" ca="1" si="10"/>
        <v>132.6245100694432</v>
      </c>
      <c r="BP645" t="b">
        <v>0</v>
      </c>
      <c r="BQ645">
        <v>1</v>
      </c>
      <c r="BR645" t="s">
        <v>1667</v>
      </c>
      <c r="BS645" t="s">
        <v>4507</v>
      </c>
      <c r="BT645" t="b">
        <v>0</v>
      </c>
      <c r="BV645" t="s">
        <v>1668</v>
      </c>
      <c r="BW645">
        <v>2743</v>
      </c>
      <c r="BX645" t="s">
        <v>3856</v>
      </c>
      <c r="BY645">
        <v>509001</v>
      </c>
      <c r="BZ645" t="s">
        <v>1745</v>
      </c>
      <c r="CA645">
        <v>1</v>
      </c>
      <c r="CB645" t="b">
        <v>1</v>
      </c>
      <c r="CC645">
        <v>0</v>
      </c>
      <c r="CD645" t="b">
        <v>0</v>
      </c>
      <c r="CE645" t="b">
        <v>0</v>
      </c>
      <c r="CF645" t="b">
        <v>1</v>
      </c>
      <c r="CG645">
        <v>2366729</v>
      </c>
      <c r="CH645" t="s">
        <v>1681</v>
      </c>
      <c r="CI645" s="10">
        <v>574950</v>
      </c>
      <c r="CJ645" s="7">
        <v>38348</v>
      </c>
    </row>
    <row r="646" spans="1:88">
      <c r="A646">
        <v>27207013</v>
      </c>
      <c r="B646" s="2" t="str">
        <f>HYPERLINK("http://www.redfin.com/stingray/do/printable-listing?listing-id=1315554","Active")</f>
        <v>Active</v>
      </c>
      <c r="D646" t="s">
        <v>4777</v>
      </c>
      <c r="E646" t="s">
        <v>4977</v>
      </c>
      <c r="F646">
        <v>450000</v>
      </c>
      <c r="G646">
        <v>1953</v>
      </c>
      <c r="H646">
        <v>1220</v>
      </c>
      <c r="I646">
        <v>8500</v>
      </c>
      <c r="J646">
        <v>2</v>
      </c>
      <c r="K646">
        <v>1</v>
      </c>
      <c r="M646" s="2" t="str">
        <f>HYPERLINK("http://maps.live.com/default.aspx?v=2&amp;lvl=15&amp;sp=Point.47.655273_-122.189563_11225 NE 53rd St&amp;cp=47.655273~-122.189563","Map")</f>
        <v>Map</v>
      </c>
      <c r="N646" s="2" t="str">
        <f>HYPERLINK("http://i-0.rfimg.us/photo/1/bigphoto/013/27207013_0.jpg","Photo")</f>
        <v>Photo</v>
      </c>
      <c r="AG646">
        <v>47.655273000000001</v>
      </c>
      <c r="AH646">
        <v>-122.18956300000001</v>
      </c>
      <c r="AI646" t="s">
        <v>1058</v>
      </c>
      <c r="AJ646">
        <v>98033</v>
      </c>
      <c r="BC646" s="22">
        <v>39414.684293981481</v>
      </c>
      <c r="BI646" s="22">
        <v>39549.294907407406</v>
      </c>
      <c r="BL646">
        <v>9000</v>
      </c>
      <c r="BM646">
        <v>1315554</v>
      </c>
      <c r="BN646" t="s">
        <v>2203</v>
      </c>
      <c r="BO646" s="17">
        <f t="shared" ca="1" si="10"/>
        <v>134.6251119212975</v>
      </c>
      <c r="BP646" t="b">
        <v>0</v>
      </c>
      <c r="BQ646">
        <v>1</v>
      </c>
      <c r="BR646" t="s">
        <v>1686</v>
      </c>
      <c r="BS646" t="s">
        <v>2581</v>
      </c>
      <c r="BT646" t="b">
        <v>0</v>
      </c>
      <c r="BU646" t="s">
        <v>1738</v>
      </c>
      <c r="BV646" t="s">
        <v>1668</v>
      </c>
      <c r="BW646">
        <v>11225</v>
      </c>
      <c r="BY646">
        <v>459894</v>
      </c>
      <c r="BZ646" t="s">
        <v>1696</v>
      </c>
      <c r="CA646">
        <v>1</v>
      </c>
      <c r="CB646" t="b">
        <v>1</v>
      </c>
      <c r="CC646">
        <v>0</v>
      </c>
      <c r="CD646" t="b">
        <v>0</v>
      </c>
      <c r="CE646" t="b">
        <v>0</v>
      </c>
      <c r="CF646" t="b">
        <v>1</v>
      </c>
      <c r="CG646">
        <v>2563478</v>
      </c>
      <c r="CH646" t="s">
        <v>1681</v>
      </c>
      <c r="CI646" s="10">
        <v>450000</v>
      </c>
    </row>
    <row r="647" spans="1:88">
      <c r="A647">
        <v>27207062</v>
      </c>
      <c r="B647" s="2" t="str">
        <f>HYPERLINK("http://www.redfin.com/stingray/do/printable-listing?listing-id=1315635","Active")</f>
        <v>Active</v>
      </c>
      <c r="D647" t="s">
        <v>5490</v>
      </c>
      <c r="E647" t="s">
        <v>5587</v>
      </c>
      <c r="F647">
        <v>1148800</v>
      </c>
      <c r="G647">
        <v>2007</v>
      </c>
      <c r="H647">
        <v>4280</v>
      </c>
      <c r="I647">
        <v>10227</v>
      </c>
      <c r="J647">
        <v>4</v>
      </c>
      <c r="K647">
        <v>3.5</v>
      </c>
      <c r="M647" s="2" t="str">
        <f>HYPERLINK("http://maps.live.com/default.aspx?v=2&amp;lvl=15&amp;sp=Point.47.547149_-122.115802_6185 168 Pl SE&amp;cp=47.547149~-122.115802","Map")</f>
        <v>Map</v>
      </c>
      <c r="N647" s="2" t="str">
        <f>HYPERLINK("http://i-0.rfimg.us/photo/1/bigphoto/062/27207062_4.jpg","Photo")</f>
        <v>Photo</v>
      </c>
      <c r="AG647">
        <v>47.547148999999997</v>
      </c>
      <c r="AH647">
        <v>-122.115802</v>
      </c>
      <c r="AI647" t="s">
        <v>369</v>
      </c>
      <c r="AJ647">
        <v>98006</v>
      </c>
      <c r="AN647">
        <v>3500000</v>
      </c>
      <c r="BC647" s="22">
        <v>39414.705208333333</v>
      </c>
      <c r="BI647" s="22">
        <v>39549.294907407406</v>
      </c>
      <c r="BL647">
        <v>22976</v>
      </c>
      <c r="BM647">
        <v>1315635</v>
      </c>
      <c r="BN647" t="s">
        <v>3329</v>
      </c>
      <c r="BO647" s="17">
        <f t="shared" ca="1" si="10"/>
        <v>134.60419756944611</v>
      </c>
      <c r="BP647" t="b">
        <v>0</v>
      </c>
      <c r="BQ647">
        <v>1</v>
      </c>
      <c r="BR647" t="s">
        <v>1842</v>
      </c>
      <c r="BS647">
        <v>168</v>
      </c>
      <c r="BT647" t="b">
        <v>0</v>
      </c>
      <c r="BV647" t="s">
        <v>1668</v>
      </c>
      <c r="BW647">
        <v>6185</v>
      </c>
      <c r="BX647" t="s">
        <v>3856</v>
      </c>
      <c r="BY647">
        <v>8186754</v>
      </c>
      <c r="BZ647" t="s">
        <v>5588</v>
      </c>
      <c r="CA647">
        <v>1</v>
      </c>
      <c r="CB647" t="b">
        <v>1</v>
      </c>
      <c r="CC647">
        <v>0</v>
      </c>
      <c r="CD647" t="b">
        <v>0</v>
      </c>
      <c r="CE647" t="b">
        <v>0</v>
      </c>
      <c r="CF647" t="b">
        <v>1</v>
      </c>
      <c r="CG647">
        <v>2669871</v>
      </c>
      <c r="CH647" t="s">
        <v>1681</v>
      </c>
      <c r="CI647" s="10">
        <v>1148800</v>
      </c>
      <c r="CJ647" s="7">
        <v>38503</v>
      </c>
    </row>
    <row r="648" spans="1:88">
      <c r="A648">
        <v>27207091</v>
      </c>
      <c r="B648" s="2" t="str">
        <f>HYPERLINK("http://www.redfin.com/stingray/do/printable-listing?listing-id=1317989","Active")</f>
        <v>Active</v>
      </c>
      <c r="D648" t="s">
        <v>2850</v>
      </c>
      <c r="E648" t="s">
        <v>4506</v>
      </c>
      <c r="F648">
        <v>549999</v>
      </c>
      <c r="G648">
        <v>2001</v>
      </c>
      <c r="H648">
        <v>2500</v>
      </c>
      <c r="I648">
        <v>5259</v>
      </c>
      <c r="J648">
        <v>4</v>
      </c>
      <c r="K648">
        <v>2.5</v>
      </c>
      <c r="M648" s="2" t="str">
        <f>HYPERLINK("http://maps.live.com/default.aspx?v=2&amp;lvl=15&amp;sp=Point.47.711728_-122.229292_8404 NE 124th St&amp;cp=47.711728~-122.229292","Map")</f>
        <v>Map</v>
      </c>
      <c r="N648" s="2" t="str">
        <f>HYPERLINK("http://i-0.rfimg.us/photo/1/bigphoto/091/27207091_1.jpg","Photo")</f>
        <v>Photo</v>
      </c>
      <c r="AG648">
        <v>47.711728000000001</v>
      </c>
      <c r="AH648">
        <v>-122.229292</v>
      </c>
      <c r="AI648" t="s">
        <v>1058</v>
      </c>
      <c r="AJ648">
        <v>98034</v>
      </c>
      <c r="AN648">
        <v>351400</v>
      </c>
      <c r="BC648" s="22">
        <v>39415.631030092591</v>
      </c>
      <c r="BI648" s="7">
        <v>39533</v>
      </c>
      <c r="BL648">
        <v>11000</v>
      </c>
      <c r="BM648">
        <v>1317989</v>
      </c>
      <c r="BN648" t="s">
        <v>1775</v>
      </c>
      <c r="BO648" s="17">
        <f t="shared" ca="1" si="10"/>
        <v>133.6783758101883</v>
      </c>
      <c r="BP648" t="b">
        <v>0</v>
      </c>
      <c r="BQ648">
        <v>1</v>
      </c>
      <c r="BR648" t="s">
        <v>1686</v>
      </c>
      <c r="BS648" t="s">
        <v>4507</v>
      </c>
      <c r="BT648" t="b">
        <v>0</v>
      </c>
      <c r="BU648" t="s">
        <v>1738</v>
      </c>
      <c r="BV648" t="s">
        <v>1668</v>
      </c>
      <c r="BW648">
        <v>8404</v>
      </c>
      <c r="BY648">
        <v>277324</v>
      </c>
      <c r="BZ648" t="s">
        <v>1679</v>
      </c>
      <c r="CA648">
        <v>1</v>
      </c>
      <c r="CB648" t="b">
        <v>1</v>
      </c>
      <c r="CC648">
        <v>0</v>
      </c>
      <c r="CD648" t="b">
        <v>0</v>
      </c>
      <c r="CE648" t="b">
        <v>0</v>
      </c>
      <c r="CF648" t="b">
        <v>1</v>
      </c>
      <c r="CG648">
        <v>2430150</v>
      </c>
      <c r="CH648" t="s">
        <v>1681</v>
      </c>
      <c r="CI648" s="10">
        <v>549999</v>
      </c>
      <c r="CJ648" s="7">
        <v>37069</v>
      </c>
    </row>
    <row r="649" spans="1:88">
      <c r="A649">
        <v>27207268</v>
      </c>
      <c r="B649" s="2" t="str">
        <f>HYPERLINK("http://www.redfin.com/stingray/do/printable-listing?listing-id=1317558","Active")</f>
        <v>Active</v>
      </c>
      <c r="D649" t="s">
        <v>3066</v>
      </c>
      <c r="E649" t="s">
        <v>4810</v>
      </c>
      <c r="F649">
        <v>480000</v>
      </c>
      <c r="G649">
        <v>1953</v>
      </c>
      <c r="H649">
        <v>1500</v>
      </c>
      <c r="I649">
        <v>9381</v>
      </c>
      <c r="J649">
        <v>3</v>
      </c>
      <c r="K649">
        <v>1</v>
      </c>
      <c r="M649" s="2" t="str">
        <f>HYPERLINK("http://maps.live.com/default.aspx?v=2&amp;lvl=15&amp;sp=Point.47.672882_-122.171608_7544 126th Ave NE&amp;cp=47.672882~-122.171608","Map")</f>
        <v>Map</v>
      </c>
      <c r="N649" s="2" t="str">
        <f>HYPERLINK("http://i-0.rfimg.us/photo/1/bigphoto/268/27207268_1.jpg","Photo")</f>
        <v>Photo</v>
      </c>
      <c r="AG649">
        <v>47.672882000000001</v>
      </c>
      <c r="AH649">
        <v>-122.17160800000001</v>
      </c>
      <c r="AI649" t="s">
        <v>1058</v>
      </c>
      <c r="AJ649">
        <v>98033</v>
      </c>
      <c r="AN649">
        <v>360000</v>
      </c>
      <c r="BC649" s="22">
        <v>39415.485925925925</v>
      </c>
      <c r="BI649" s="22">
        <v>39549.294907407406</v>
      </c>
      <c r="BL649">
        <v>9600</v>
      </c>
      <c r="BM649">
        <v>1317558</v>
      </c>
      <c r="BN649" t="s">
        <v>2512</v>
      </c>
      <c r="BO649" s="17">
        <f t="shared" ca="1" si="10"/>
        <v>133.82347997685429</v>
      </c>
      <c r="BP649" t="b">
        <v>0</v>
      </c>
      <c r="BQ649">
        <v>1</v>
      </c>
      <c r="BR649" t="s">
        <v>1667</v>
      </c>
      <c r="BS649" t="s">
        <v>4544</v>
      </c>
      <c r="BT649" t="b">
        <v>0</v>
      </c>
      <c r="BV649" t="s">
        <v>1668</v>
      </c>
      <c r="BW649">
        <v>7544</v>
      </c>
      <c r="BX649" t="s">
        <v>1738</v>
      </c>
      <c r="BY649">
        <v>515896</v>
      </c>
      <c r="BZ649" t="s">
        <v>1911</v>
      </c>
      <c r="CA649">
        <v>1</v>
      </c>
      <c r="CB649" t="b">
        <v>1</v>
      </c>
      <c r="CC649">
        <v>0</v>
      </c>
      <c r="CD649" t="b">
        <v>0</v>
      </c>
      <c r="CE649" t="b">
        <v>0</v>
      </c>
      <c r="CF649" t="b">
        <v>1</v>
      </c>
      <c r="CG649">
        <v>2549635</v>
      </c>
      <c r="CH649" t="s">
        <v>1681</v>
      </c>
      <c r="CI649" s="10">
        <v>480000</v>
      </c>
      <c r="CJ649" s="7">
        <v>38628</v>
      </c>
    </row>
    <row r="650" spans="1:88">
      <c r="A650">
        <v>27207271</v>
      </c>
      <c r="B650" s="2" t="str">
        <f>HYPERLINK("http://www.redfin.com/stingray/do/printable-listing?listing-id=1321512","Active")</f>
        <v>Active</v>
      </c>
      <c r="D650" t="s">
        <v>63</v>
      </c>
      <c r="E650" t="s">
        <v>1190</v>
      </c>
      <c r="F650">
        <v>559950</v>
      </c>
      <c r="G650">
        <v>1925</v>
      </c>
      <c r="H650">
        <v>2870</v>
      </c>
      <c r="I650">
        <v>4158</v>
      </c>
      <c r="J650">
        <v>3</v>
      </c>
      <c r="K650">
        <v>1.75</v>
      </c>
      <c r="M650" s="2" t="str">
        <f>HYPERLINK("http://maps.live.com/default.aspx?v=2&amp;lvl=15&amp;sp=Point.47.675769_-122.367292_827 NW 65th St&amp;cp=47.675769~-122.367292","Map")</f>
        <v>Map</v>
      </c>
      <c r="N650" s="2" t="str">
        <f>HYPERLINK("http://i-0.rfimg.us/photo/1/bigphoto/271/27207271_D.jpg","Photo")</f>
        <v>Photo</v>
      </c>
      <c r="AG650">
        <v>47.675769000000003</v>
      </c>
      <c r="AH650">
        <v>-122.36729200000001</v>
      </c>
      <c r="AI650" t="s">
        <v>66</v>
      </c>
      <c r="AJ650">
        <v>98117</v>
      </c>
      <c r="AN650">
        <v>409500</v>
      </c>
      <c r="BC650" s="22">
        <v>39417.088321759256</v>
      </c>
      <c r="BI650" s="22">
        <v>39549.294907407406</v>
      </c>
      <c r="BL650">
        <v>11199</v>
      </c>
      <c r="BM650">
        <v>1321512</v>
      </c>
      <c r="BN650" t="s">
        <v>1688</v>
      </c>
      <c r="BO650" s="17">
        <f t="shared" ca="1" si="10"/>
        <v>132.22108425926126</v>
      </c>
      <c r="BP650" t="b">
        <v>0</v>
      </c>
      <c r="BQ650">
        <v>1</v>
      </c>
      <c r="BR650" t="s">
        <v>1686</v>
      </c>
      <c r="BS650" t="s">
        <v>1708</v>
      </c>
      <c r="BT650" t="b">
        <v>0</v>
      </c>
      <c r="BU650" t="s">
        <v>1669</v>
      </c>
      <c r="BV650" t="s">
        <v>1668</v>
      </c>
      <c r="BW650">
        <v>827</v>
      </c>
      <c r="BY650">
        <v>493854</v>
      </c>
      <c r="BZ650" t="s">
        <v>1944</v>
      </c>
      <c r="CA650">
        <v>1</v>
      </c>
      <c r="CB650" t="b">
        <v>1</v>
      </c>
      <c r="CC650">
        <v>0</v>
      </c>
      <c r="CD650" t="b">
        <v>0</v>
      </c>
      <c r="CE650" t="b">
        <v>0</v>
      </c>
      <c r="CF650" t="b">
        <v>1</v>
      </c>
      <c r="CG650">
        <v>2976544</v>
      </c>
      <c r="CH650" t="s">
        <v>1681</v>
      </c>
      <c r="CI650" s="10">
        <v>559950</v>
      </c>
      <c r="CJ650" s="7">
        <v>37937</v>
      </c>
    </row>
    <row r="651" spans="1:88">
      <c r="A651">
        <v>27207415</v>
      </c>
      <c r="B651" s="2" t="str">
        <f>HYPERLINK("http://www.redfin.com/stingray/do/printable-listing?listing-id=1325099","Active")</f>
        <v>Active</v>
      </c>
      <c r="D651" t="s">
        <v>3064</v>
      </c>
      <c r="E651" t="s">
        <v>4873</v>
      </c>
      <c r="F651">
        <v>949000</v>
      </c>
      <c r="G651">
        <v>2006</v>
      </c>
      <c r="H651">
        <v>3334</v>
      </c>
      <c r="I651">
        <v>0</v>
      </c>
      <c r="J651">
        <v>4</v>
      </c>
      <c r="K651">
        <v>2.75</v>
      </c>
      <c r="M651" s="2" t="str">
        <f>HYPERLINK("http://maps.live.com/default.aspx?v=2&amp;lvl=15&amp;sp=Point.47.681106_-122.187218_11420 NE 87th St&amp;cp=47.681106~-122.187218","Map")</f>
        <v>Map</v>
      </c>
      <c r="N651" s="2" t="str">
        <f>HYPERLINK("http://i-0.rfimg.us/photo/1/bigphoto/415/27207415_5.jpg","Photo")</f>
        <v>Photo</v>
      </c>
      <c r="AG651">
        <v>47.681106</v>
      </c>
      <c r="AH651">
        <v>-122.187218</v>
      </c>
      <c r="AI651" t="s">
        <v>1058</v>
      </c>
      <c r="AJ651">
        <v>98033</v>
      </c>
      <c r="AN651">
        <v>939950</v>
      </c>
      <c r="BC651" s="22">
        <v>39419.62059027778</v>
      </c>
      <c r="BI651" s="22">
        <v>39549.294907407406</v>
      </c>
      <c r="BL651">
        <v>18980</v>
      </c>
      <c r="BM651">
        <v>1325099</v>
      </c>
      <c r="BN651" t="s">
        <v>1768</v>
      </c>
      <c r="BO651" s="17">
        <f t="shared" ca="1" si="10"/>
        <v>129.68881562499882</v>
      </c>
      <c r="BP651" t="b">
        <v>0</v>
      </c>
      <c r="BQ651">
        <v>1</v>
      </c>
      <c r="BR651" t="s">
        <v>1686</v>
      </c>
      <c r="BS651" t="s">
        <v>1856</v>
      </c>
      <c r="BT651" t="b">
        <v>0</v>
      </c>
      <c r="BU651" t="s">
        <v>1738</v>
      </c>
      <c r="BV651" t="s">
        <v>1668</v>
      </c>
      <c r="BW651">
        <v>11420</v>
      </c>
      <c r="BY651">
        <v>2096642</v>
      </c>
      <c r="BZ651" t="s">
        <v>4874</v>
      </c>
      <c r="CA651">
        <v>1</v>
      </c>
      <c r="CB651" t="b">
        <v>1</v>
      </c>
      <c r="CC651">
        <v>0</v>
      </c>
      <c r="CD651" t="b">
        <v>0</v>
      </c>
      <c r="CE651" t="b">
        <v>0</v>
      </c>
      <c r="CF651" t="b">
        <v>1</v>
      </c>
      <c r="CG651">
        <v>2964647</v>
      </c>
      <c r="CH651" t="s">
        <v>1681</v>
      </c>
      <c r="CI651" s="10">
        <v>949000</v>
      </c>
      <c r="CJ651" s="7">
        <v>38895</v>
      </c>
    </row>
    <row r="652" spans="1:88">
      <c r="A652">
        <v>27207494</v>
      </c>
      <c r="B652" s="2" t="str">
        <f>HYPERLINK("http://www.redfin.com/stingray/do/printable-listing?listing-id=1318498","Active")</f>
        <v>Active</v>
      </c>
      <c r="D652" t="s">
        <v>4974</v>
      </c>
      <c r="E652" t="s">
        <v>5009</v>
      </c>
      <c r="F652">
        <v>850000</v>
      </c>
      <c r="G652">
        <v>1967</v>
      </c>
      <c r="H652">
        <v>2370</v>
      </c>
      <c r="I652">
        <v>22804</v>
      </c>
      <c r="J652">
        <v>4</v>
      </c>
      <c r="K652">
        <v>2.25</v>
      </c>
      <c r="M652" s="2" t="str">
        <f>HYPERLINK("http://maps.live.com/default.aspx?v=2&amp;lvl=15&amp;sp=Point.47.640326_-122.202697_3141 103rd Ave NE&amp;cp=47.640326~-122.202697","Map")</f>
        <v>Map</v>
      </c>
      <c r="N652" s="2" t="str">
        <f>HYPERLINK("http://i-0.rfimg.us/photo/1/bigphoto/494/27207494_0.jpg","Photo")</f>
        <v>Photo</v>
      </c>
      <c r="AG652">
        <v>47.640326000000002</v>
      </c>
      <c r="AH652">
        <v>-122.202697</v>
      </c>
      <c r="AI652" t="s">
        <v>369</v>
      </c>
      <c r="AJ652">
        <v>98004</v>
      </c>
      <c r="AN652">
        <v>225000</v>
      </c>
      <c r="BC652" s="22">
        <v>39415.745972222219</v>
      </c>
      <c r="BI652" s="22">
        <v>39549.294907407406</v>
      </c>
      <c r="BL652">
        <v>17000</v>
      </c>
      <c r="BM652">
        <v>1318498</v>
      </c>
      <c r="BN652" t="s">
        <v>5008</v>
      </c>
      <c r="BO652" s="17">
        <f t="shared" ca="1" si="10"/>
        <v>133.56343368055968</v>
      </c>
      <c r="BP652" t="b">
        <v>0</v>
      </c>
      <c r="BQ652">
        <v>1</v>
      </c>
      <c r="BR652" t="s">
        <v>1667</v>
      </c>
      <c r="BS652" t="s">
        <v>2691</v>
      </c>
      <c r="BT652" t="b">
        <v>0</v>
      </c>
      <c r="BV652" t="s">
        <v>1668</v>
      </c>
      <c r="BW652">
        <v>3141</v>
      </c>
      <c r="BX652" t="s">
        <v>1738</v>
      </c>
      <c r="BY652">
        <v>252039</v>
      </c>
      <c r="BZ652" t="s">
        <v>1801</v>
      </c>
      <c r="CA652">
        <v>1</v>
      </c>
      <c r="CB652" t="b">
        <v>1</v>
      </c>
      <c r="CC652">
        <v>0</v>
      </c>
      <c r="CD652" t="b">
        <v>0</v>
      </c>
      <c r="CE652" t="b">
        <v>0</v>
      </c>
      <c r="CF652" t="b">
        <v>1</v>
      </c>
      <c r="CG652">
        <v>2958539</v>
      </c>
      <c r="CH652" t="s">
        <v>1681</v>
      </c>
      <c r="CI652" s="10">
        <v>850000</v>
      </c>
      <c r="CJ652" s="7">
        <v>33358</v>
      </c>
    </row>
    <row r="653" spans="1:88">
      <c r="A653">
        <v>27207565</v>
      </c>
      <c r="B653" s="2" t="str">
        <f>HYPERLINK("http://www.redfin.com/stingray/do/printable-listing?listing-id=1323446","Active")</f>
        <v>Active</v>
      </c>
      <c r="D653" t="s">
        <v>63</v>
      </c>
      <c r="E653" t="s">
        <v>1922</v>
      </c>
      <c r="F653">
        <v>849950</v>
      </c>
      <c r="G653">
        <v>1968</v>
      </c>
      <c r="H653">
        <v>1351</v>
      </c>
      <c r="I653">
        <v>0</v>
      </c>
      <c r="J653">
        <v>2</v>
      </c>
      <c r="K653">
        <v>1.75</v>
      </c>
      <c r="M653" s="2" t="str">
        <f>HYPERLINK("http://maps.live.com/default.aspx?v=2&amp;lvl=15&amp;sp=Point.47.675835_-122.406575_6533 Seaview Ave NW n412A&amp;cp=47.675835~-122.406575","Map")</f>
        <v>Map</v>
      </c>
      <c r="N653" s="2" t="str">
        <f>HYPERLINK("http://i-0.rfimg.us/photo/1/bigphoto/565/27207565_0.jpg","Photo")</f>
        <v>Photo</v>
      </c>
      <c r="AG653">
        <v>47.675834999999999</v>
      </c>
      <c r="AH653">
        <v>-122.406575</v>
      </c>
      <c r="AI653" t="s">
        <v>66</v>
      </c>
      <c r="AJ653">
        <v>98177</v>
      </c>
      <c r="AM653" t="s">
        <v>1923</v>
      </c>
      <c r="AN653">
        <v>619000</v>
      </c>
      <c r="BC653" s="22">
        <v>39418.473553240743</v>
      </c>
      <c r="BI653" s="7">
        <v>39536</v>
      </c>
      <c r="BL653">
        <v>16999</v>
      </c>
      <c r="BM653">
        <v>1323446</v>
      </c>
      <c r="BN653" t="s">
        <v>1921</v>
      </c>
      <c r="BO653" s="17">
        <f t="shared" ca="1" si="10"/>
        <v>130.83585277777456</v>
      </c>
      <c r="BP653" t="b">
        <v>0</v>
      </c>
      <c r="BQ653">
        <v>1</v>
      </c>
      <c r="BR653" t="s">
        <v>1667</v>
      </c>
      <c r="BS653" t="s">
        <v>1727</v>
      </c>
      <c r="BT653" t="b">
        <v>0</v>
      </c>
      <c r="BV653" t="s">
        <v>1668</v>
      </c>
      <c r="BW653">
        <v>6533</v>
      </c>
      <c r="BX653" t="s">
        <v>1669</v>
      </c>
      <c r="BY653">
        <v>57516</v>
      </c>
      <c r="BZ653" t="s">
        <v>1743</v>
      </c>
      <c r="CA653">
        <v>1</v>
      </c>
      <c r="CB653" t="b">
        <v>1</v>
      </c>
      <c r="CC653">
        <v>0</v>
      </c>
      <c r="CD653" t="b">
        <v>0</v>
      </c>
      <c r="CE653" t="b">
        <v>0</v>
      </c>
      <c r="CF653" t="b">
        <v>1</v>
      </c>
      <c r="CG653">
        <v>2580535</v>
      </c>
      <c r="CH653" t="s">
        <v>1666</v>
      </c>
      <c r="CI653" s="10">
        <v>849950</v>
      </c>
      <c r="CJ653" s="7">
        <v>39232</v>
      </c>
    </row>
    <row r="654" spans="1:88">
      <c r="A654">
        <v>27207781</v>
      </c>
      <c r="B654" s="2" t="str">
        <f>HYPERLINK("http://www.redfin.com/stingray/do/printable-listing?listing-id=1320033","Active")</f>
        <v>Active</v>
      </c>
      <c r="D654" t="s">
        <v>5455</v>
      </c>
      <c r="E654" t="s">
        <v>5454</v>
      </c>
      <c r="F654">
        <v>549000</v>
      </c>
      <c r="G654">
        <v>1977</v>
      </c>
      <c r="H654">
        <v>2000</v>
      </c>
      <c r="I654">
        <v>12632</v>
      </c>
      <c r="J654">
        <v>3</v>
      </c>
      <c r="K654">
        <v>2</v>
      </c>
      <c r="M654" s="2" t="str">
        <f>HYPERLINK("http://maps.live.com/default.aspx?v=2&amp;lvl=15&amp;sp=Point.47.625282_-122.10813_1731 173rd Ave NE&amp;cp=47.625282~-122.10813","Map")</f>
        <v>Map</v>
      </c>
      <c r="N654" s="2" t="str">
        <f>HYPERLINK("http://i-0.rfimg.us/photo/1/bigphoto/781/27207781_1.jpg","Photo")</f>
        <v>Photo</v>
      </c>
      <c r="AG654">
        <v>47.625281999999999</v>
      </c>
      <c r="AH654">
        <v>-122.10813</v>
      </c>
      <c r="AI654" t="s">
        <v>369</v>
      </c>
      <c r="AJ654">
        <v>98008</v>
      </c>
      <c r="AN654">
        <v>74000</v>
      </c>
      <c r="BC654" s="22">
        <v>39416.464606481481</v>
      </c>
      <c r="BI654" s="22">
        <v>39549.294907407406</v>
      </c>
      <c r="BL654">
        <v>10980</v>
      </c>
      <c r="BM654">
        <v>1320033</v>
      </c>
      <c r="BN654" t="s">
        <v>5453</v>
      </c>
      <c r="BO654" s="17">
        <f t="shared" ca="1" si="10"/>
        <v>132.84479942129838</v>
      </c>
      <c r="BP654" t="b">
        <v>0</v>
      </c>
      <c r="BQ654">
        <v>1</v>
      </c>
      <c r="BR654" t="s">
        <v>1667</v>
      </c>
      <c r="BS654" t="s">
        <v>5220</v>
      </c>
      <c r="BT654" t="b">
        <v>0</v>
      </c>
      <c r="BV654" t="s">
        <v>1668</v>
      </c>
      <c r="BW654">
        <v>1731</v>
      </c>
      <c r="BX654" t="s">
        <v>1738</v>
      </c>
      <c r="BY654">
        <v>504826</v>
      </c>
      <c r="BZ654" t="s">
        <v>1957</v>
      </c>
      <c r="CA654">
        <v>1</v>
      </c>
      <c r="CB654" t="b">
        <v>1</v>
      </c>
      <c r="CC654">
        <v>0</v>
      </c>
      <c r="CD654" t="b">
        <v>0</v>
      </c>
      <c r="CE654" t="b">
        <v>0</v>
      </c>
      <c r="CF654" t="b">
        <v>1</v>
      </c>
      <c r="CG654">
        <v>2407123</v>
      </c>
      <c r="CH654" t="s">
        <v>1681</v>
      </c>
      <c r="CI654" s="10">
        <v>549000</v>
      </c>
      <c r="CJ654" s="7">
        <v>31666</v>
      </c>
    </row>
    <row r="655" spans="1:88">
      <c r="A655">
        <v>27207837</v>
      </c>
      <c r="B655" s="2" t="str">
        <f>HYPERLINK("http://www.redfin.com/stingray/do/printable-listing?listing-id=1320845","Active")</f>
        <v>Active</v>
      </c>
      <c r="D655" t="s">
        <v>3959</v>
      </c>
      <c r="E655" t="s">
        <v>4281</v>
      </c>
      <c r="F655">
        <v>430000</v>
      </c>
      <c r="G655">
        <v>1909</v>
      </c>
      <c r="H655">
        <v>960</v>
      </c>
      <c r="I655">
        <v>4800</v>
      </c>
      <c r="J655">
        <v>2</v>
      </c>
      <c r="K655">
        <v>1</v>
      </c>
      <c r="M655" s="2" t="str">
        <f>HYPERLINK("http://maps.live.com/default.aspx?v=2&amp;lvl=15&amp;sp=Point.47.610603_-122.299229_919 26th Ave&amp;cp=47.610603~-122.299229","Map")</f>
        <v>Map</v>
      </c>
      <c r="N655" s="2" t="str">
        <f>HYPERLINK("http://i-0.rfimg.us/photo/1/bigphoto/837/27207837_2.jpg","Photo")</f>
        <v>Photo</v>
      </c>
      <c r="AG655">
        <v>47.610602999999998</v>
      </c>
      <c r="AH655">
        <v>-122.299229</v>
      </c>
      <c r="AI655" t="s">
        <v>66</v>
      </c>
      <c r="AJ655">
        <v>98122</v>
      </c>
      <c r="AN655">
        <v>341000</v>
      </c>
      <c r="BC655" s="22">
        <v>39416.688750000001</v>
      </c>
      <c r="BI655" s="22">
        <v>39549.294907407406</v>
      </c>
      <c r="BL655">
        <v>8600</v>
      </c>
      <c r="BM655">
        <v>1320845</v>
      </c>
      <c r="BN655" t="s">
        <v>1680</v>
      </c>
      <c r="BO655" s="17">
        <f t="shared" ca="1" si="10"/>
        <v>132.6206559027778</v>
      </c>
      <c r="BP655" t="b">
        <v>0</v>
      </c>
      <c r="BQ655">
        <v>1</v>
      </c>
      <c r="BR655" t="s">
        <v>1667</v>
      </c>
      <c r="BS655" t="s">
        <v>1769</v>
      </c>
      <c r="BT655" t="b">
        <v>0</v>
      </c>
      <c r="BV655" t="s">
        <v>1668</v>
      </c>
      <c r="BW655">
        <v>919</v>
      </c>
      <c r="BY655">
        <v>146072</v>
      </c>
      <c r="BZ655" t="s">
        <v>3585</v>
      </c>
      <c r="CA655">
        <v>1</v>
      </c>
      <c r="CB655" t="b">
        <v>1</v>
      </c>
      <c r="CC655">
        <v>0</v>
      </c>
      <c r="CD655" t="b">
        <v>0</v>
      </c>
      <c r="CE655" t="b">
        <v>0</v>
      </c>
      <c r="CF655" t="b">
        <v>1</v>
      </c>
      <c r="CG655">
        <v>2486886</v>
      </c>
      <c r="CH655" t="s">
        <v>1681</v>
      </c>
      <c r="CI655" s="10">
        <v>430000</v>
      </c>
      <c r="CJ655" s="7">
        <v>38595</v>
      </c>
    </row>
    <row r="656" spans="1:88">
      <c r="A656">
        <v>27207964</v>
      </c>
      <c r="B656" s="2" t="str">
        <f>HYPERLINK("http://www.redfin.com/stingray/do/printable-listing?listing-id=1320510","Active")</f>
        <v>Active</v>
      </c>
      <c r="D656" t="s">
        <v>3966</v>
      </c>
      <c r="E656" t="s">
        <v>4267</v>
      </c>
      <c r="F656">
        <v>619000</v>
      </c>
      <c r="G656">
        <v>1905</v>
      </c>
      <c r="H656">
        <v>1880</v>
      </c>
      <c r="I656">
        <v>3000</v>
      </c>
      <c r="J656">
        <v>2</v>
      </c>
      <c r="K656">
        <v>1.5</v>
      </c>
      <c r="M656" s="2" t="str">
        <f>HYPERLINK("http://maps.live.com/default.aspx?v=2&amp;lvl=15&amp;sp=Point.47.608561_-122.289736_719 34th Ave&amp;cp=47.608561~-122.289736","Map")</f>
        <v>Map</v>
      </c>
      <c r="N656" s="2" t="str">
        <f>HYPERLINK("http://i-0.rfimg.us/photo/1/bigphoto/964/27207964_2.jpg","Photo")</f>
        <v>Photo</v>
      </c>
      <c r="AG656">
        <v>47.608561000000002</v>
      </c>
      <c r="AH656">
        <v>-122.289736</v>
      </c>
      <c r="AI656" t="s">
        <v>66</v>
      </c>
      <c r="AJ656">
        <v>98122</v>
      </c>
      <c r="AN656">
        <v>575000</v>
      </c>
      <c r="BC656" s="22">
        <v>39416.600162037037</v>
      </c>
      <c r="BI656" s="22">
        <v>39549.294907407406</v>
      </c>
      <c r="BL656">
        <v>12380</v>
      </c>
      <c r="BM656">
        <v>1320510</v>
      </c>
      <c r="BN656" t="s">
        <v>1688</v>
      </c>
      <c r="BO656" s="17">
        <f t="shared" ca="1" si="10"/>
        <v>132.70924386574188</v>
      </c>
      <c r="BP656" t="b">
        <v>0</v>
      </c>
      <c r="BQ656">
        <v>1</v>
      </c>
      <c r="BR656" t="s">
        <v>1667</v>
      </c>
      <c r="BS656" t="s">
        <v>2912</v>
      </c>
      <c r="BT656" t="b">
        <v>0</v>
      </c>
      <c r="BV656" t="s">
        <v>1668</v>
      </c>
      <c r="BW656">
        <v>719</v>
      </c>
      <c r="BY656">
        <v>145836</v>
      </c>
      <c r="BZ656" t="s">
        <v>4268</v>
      </c>
      <c r="CA656">
        <v>1</v>
      </c>
      <c r="CB656" t="b">
        <v>1</v>
      </c>
      <c r="CC656">
        <v>0</v>
      </c>
      <c r="CD656" t="b">
        <v>0</v>
      </c>
      <c r="CE656" t="b">
        <v>0</v>
      </c>
      <c r="CF656" t="b">
        <v>1</v>
      </c>
      <c r="CG656">
        <v>2773937</v>
      </c>
      <c r="CH656" t="s">
        <v>1681</v>
      </c>
      <c r="CI656" s="10">
        <v>619000</v>
      </c>
      <c r="CJ656" s="7">
        <v>39265</v>
      </c>
    </row>
    <row r="657" spans="1:88">
      <c r="A657">
        <v>27208024</v>
      </c>
      <c r="B657" s="2" t="str">
        <f>HYPERLINK("http://www.redfin.com/stingray/do/printable-listing?listing-id=1320704","Active")</f>
        <v>Active</v>
      </c>
      <c r="D657" t="s">
        <v>4596</v>
      </c>
      <c r="E657" t="s">
        <v>4614</v>
      </c>
      <c r="F657">
        <v>688800</v>
      </c>
      <c r="G657">
        <v>2007</v>
      </c>
      <c r="H657">
        <v>2625</v>
      </c>
      <c r="I657">
        <v>7051</v>
      </c>
      <c r="J657">
        <v>3</v>
      </c>
      <c r="K657">
        <v>2.5</v>
      </c>
      <c r="M657" s="2" t="str">
        <f>HYPERLINK("http://maps.live.com/default.aspx?v=2&amp;lvl=15&amp;sp=adr.16650 NE 86th Ct (Unable to map),98052","Map")</f>
        <v>Map</v>
      </c>
      <c r="N657" s="2" t="str">
        <f>HYPERLINK("http://i-0.rfimg.us/photo/1/bigphoto/024/27208024_3.jpg","Photo")</f>
        <v>Photo</v>
      </c>
      <c r="AI657" t="s">
        <v>4363</v>
      </c>
      <c r="AJ657">
        <v>98052</v>
      </c>
      <c r="BC657" s="22">
        <v>39416.663368055553</v>
      </c>
      <c r="BI657" s="22">
        <v>39549.294907407406</v>
      </c>
      <c r="BL657">
        <v>13776</v>
      </c>
      <c r="BM657">
        <v>1320704</v>
      </c>
      <c r="BN657" t="s">
        <v>1798</v>
      </c>
      <c r="BO657" s="17">
        <f t="shared" ca="1" si="10"/>
        <v>132.64603784722567</v>
      </c>
      <c r="BP657" t="b">
        <v>0</v>
      </c>
      <c r="BQ657">
        <v>1</v>
      </c>
      <c r="BR657" t="s">
        <v>3768</v>
      </c>
      <c r="BS657" t="s">
        <v>2866</v>
      </c>
      <c r="BT657" t="b">
        <v>0</v>
      </c>
      <c r="BU657" t="s">
        <v>1738</v>
      </c>
      <c r="BV657" t="s">
        <v>1668</v>
      </c>
      <c r="BW657">
        <v>16650</v>
      </c>
      <c r="BY657">
        <v>0</v>
      </c>
      <c r="BZ657" t="s">
        <v>4615</v>
      </c>
      <c r="CA657">
        <v>1</v>
      </c>
      <c r="CB657" t="b">
        <v>1</v>
      </c>
      <c r="CC657">
        <v>0</v>
      </c>
      <c r="CD657" t="b">
        <v>0</v>
      </c>
      <c r="CE657" t="b">
        <v>0</v>
      </c>
      <c r="CF657" t="b">
        <v>1</v>
      </c>
      <c r="CG657" t="s">
        <v>1870</v>
      </c>
      <c r="CH657" t="s">
        <v>1681</v>
      </c>
      <c r="CI657" s="10">
        <v>688800</v>
      </c>
    </row>
    <row r="658" spans="1:88">
      <c r="A658">
        <v>27208033</v>
      </c>
      <c r="B658" s="2" t="str">
        <f>HYPERLINK("http://www.redfin.com/stingray/do/printable-listing?listing-id=1320742","Active")</f>
        <v>Active</v>
      </c>
      <c r="D658" t="s">
        <v>109</v>
      </c>
      <c r="E658" t="s">
        <v>3658</v>
      </c>
      <c r="F658">
        <v>957000</v>
      </c>
      <c r="G658">
        <v>1918</v>
      </c>
      <c r="H658">
        <v>2150</v>
      </c>
      <c r="I658">
        <v>6600</v>
      </c>
      <c r="J658">
        <v>4</v>
      </c>
      <c r="K658">
        <v>1</v>
      </c>
      <c r="M658" s="2" t="str">
        <f>HYPERLINK("http://maps.live.com/default.aspx?v=2&amp;lvl=15&amp;sp=Point.47.650081_-122.341034_3530 Interlake Ave N&amp;cp=47.650081~-122.341034","Map")</f>
        <v>Map</v>
      </c>
      <c r="N658" s="2" t="str">
        <f>HYPERLINK("http://i-0.rfimg.us/photo/1/bigphoto/033/27208033_4.jpg","Photo")</f>
        <v>Photo</v>
      </c>
      <c r="AG658">
        <v>47.650081</v>
      </c>
      <c r="AH658">
        <v>-122.34103399999999</v>
      </c>
      <c r="AI658" t="s">
        <v>66</v>
      </c>
      <c r="AJ658">
        <v>98103</v>
      </c>
      <c r="BC658" s="22">
        <v>39416.667430555557</v>
      </c>
      <c r="BI658" s="22">
        <v>39549.294907407406</v>
      </c>
      <c r="BL658">
        <v>19140</v>
      </c>
      <c r="BM658">
        <v>1320742</v>
      </c>
      <c r="BN658" t="s">
        <v>1674</v>
      </c>
      <c r="BO658" s="17">
        <f t="shared" ca="1" si="10"/>
        <v>132.64197534722189</v>
      </c>
      <c r="BP658" t="b">
        <v>0</v>
      </c>
      <c r="BQ658">
        <v>1</v>
      </c>
      <c r="BR658" t="s">
        <v>1667</v>
      </c>
      <c r="BS658" t="s">
        <v>2378</v>
      </c>
      <c r="BT658" t="b">
        <v>0</v>
      </c>
      <c r="BV658" t="s">
        <v>1668</v>
      </c>
      <c r="BW658">
        <v>3530</v>
      </c>
      <c r="BX658" t="s">
        <v>1712</v>
      </c>
      <c r="BY658">
        <v>119313</v>
      </c>
      <c r="BZ658" t="s">
        <v>3659</v>
      </c>
      <c r="CA658">
        <v>1</v>
      </c>
      <c r="CB658" t="b">
        <v>1</v>
      </c>
      <c r="CC658">
        <v>0</v>
      </c>
      <c r="CD658" t="b">
        <v>0</v>
      </c>
      <c r="CE658" t="b">
        <v>0</v>
      </c>
      <c r="CF658" t="b">
        <v>1</v>
      </c>
      <c r="CG658">
        <v>2359867</v>
      </c>
      <c r="CH658" t="s">
        <v>1681</v>
      </c>
      <c r="CI658" s="10">
        <v>957000</v>
      </c>
    </row>
    <row r="659" spans="1:88">
      <c r="A659">
        <v>27208050</v>
      </c>
      <c r="B659" s="2" t="str">
        <f>HYPERLINK("http://www.redfin.com/stingray/do/printable-listing?listing-id=1320743","Active")</f>
        <v>Active</v>
      </c>
      <c r="D659" t="s">
        <v>4596</v>
      </c>
      <c r="E659" t="s">
        <v>4612</v>
      </c>
      <c r="F659">
        <v>745900</v>
      </c>
      <c r="G659">
        <v>2007</v>
      </c>
      <c r="H659">
        <v>3491</v>
      </c>
      <c r="I659">
        <v>5767</v>
      </c>
      <c r="J659">
        <v>4</v>
      </c>
      <c r="K659">
        <v>3.5</v>
      </c>
      <c r="M659" s="2" t="str">
        <f>HYPERLINK("http://maps.live.com/default.aspx?v=2&amp;lvl=15&amp;sp=adr.16656 NE 86th Ct (Unable to map),98052","Map")</f>
        <v>Map</v>
      </c>
      <c r="N659" s="2" t="str">
        <f>HYPERLINK("http://i-0.rfimg.us/photo/1/bigphoto/050/27208050_2.jpg","Photo")</f>
        <v>Photo</v>
      </c>
      <c r="AI659" t="s">
        <v>4363</v>
      </c>
      <c r="AJ659">
        <v>98052</v>
      </c>
      <c r="BC659" s="22">
        <v>39416.667442129627</v>
      </c>
      <c r="BI659" s="22">
        <v>39549.294907407406</v>
      </c>
      <c r="BL659">
        <v>14918</v>
      </c>
      <c r="BM659">
        <v>1320743</v>
      </c>
      <c r="BN659" t="s">
        <v>1798</v>
      </c>
      <c r="BO659" s="17">
        <f t="shared" ca="1" si="10"/>
        <v>132.64196377315238</v>
      </c>
      <c r="BP659" t="b">
        <v>0</v>
      </c>
      <c r="BQ659">
        <v>1</v>
      </c>
      <c r="BR659" t="s">
        <v>3768</v>
      </c>
      <c r="BS659" t="s">
        <v>2866</v>
      </c>
      <c r="BT659" t="b">
        <v>0</v>
      </c>
      <c r="BU659" t="s">
        <v>1738</v>
      </c>
      <c r="BV659" t="s">
        <v>1668</v>
      </c>
      <c r="BW659">
        <v>16656</v>
      </c>
      <c r="BY659">
        <v>0</v>
      </c>
      <c r="BZ659" t="s">
        <v>4613</v>
      </c>
      <c r="CA659">
        <v>1</v>
      </c>
      <c r="CB659" t="b">
        <v>1</v>
      </c>
      <c r="CC659">
        <v>0</v>
      </c>
      <c r="CD659" t="b">
        <v>0</v>
      </c>
      <c r="CE659" t="b">
        <v>0</v>
      </c>
      <c r="CF659" t="b">
        <v>1</v>
      </c>
      <c r="CG659" t="s">
        <v>1870</v>
      </c>
      <c r="CH659" t="s">
        <v>1681</v>
      </c>
      <c r="CI659" s="10">
        <v>745900</v>
      </c>
    </row>
    <row r="660" spans="1:88">
      <c r="A660">
        <v>27208088</v>
      </c>
      <c r="B660" s="2" t="str">
        <f>HYPERLINK("http://www.redfin.com/stingray/do/printable-listing?listing-id=1320805","Active")</f>
        <v>Active</v>
      </c>
      <c r="D660" t="s">
        <v>4596</v>
      </c>
      <c r="E660" t="s">
        <v>4616</v>
      </c>
      <c r="F660">
        <v>688800</v>
      </c>
      <c r="G660">
        <v>2007</v>
      </c>
      <c r="H660">
        <v>2625</v>
      </c>
      <c r="I660">
        <v>5451</v>
      </c>
      <c r="J660">
        <v>3</v>
      </c>
      <c r="K660">
        <v>2.5</v>
      </c>
      <c r="M660" s="2" t="str">
        <f>HYPERLINK("http://maps.live.com/default.aspx?v=2&amp;lvl=15&amp;sp=adr.16655 NE 86th Ct (Unable to map),98052","Map")</f>
        <v>Map</v>
      </c>
      <c r="N660" s="2" t="str">
        <f>HYPERLINK("http://i-0.rfimg.us/photo/1/bigphoto/088/27208088_2.jpg","Photo")</f>
        <v>Photo</v>
      </c>
      <c r="AI660" t="s">
        <v>4363</v>
      </c>
      <c r="AJ660">
        <v>98052</v>
      </c>
      <c r="BC660" s="22">
        <v>39416.684189814812</v>
      </c>
      <c r="BI660" s="22">
        <v>39549.294907407406</v>
      </c>
      <c r="BL660">
        <v>13776</v>
      </c>
      <c r="BM660">
        <v>1320805</v>
      </c>
      <c r="BN660" t="s">
        <v>1798</v>
      </c>
      <c r="BO660" s="17">
        <f t="shared" ca="1" si="10"/>
        <v>132.62521608796669</v>
      </c>
      <c r="BP660" t="b">
        <v>0</v>
      </c>
      <c r="BQ660">
        <v>1</v>
      </c>
      <c r="BR660" t="s">
        <v>3768</v>
      </c>
      <c r="BS660" t="s">
        <v>2866</v>
      </c>
      <c r="BT660" t="b">
        <v>0</v>
      </c>
      <c r="BU660" t="s">
        <v>1738</v>
      </c>
      <c r="BV660" t="s">
        <v>1668</v>
      </c>
      <c r="BW660">
        <v>16655</v>
      </c>
      <c r="BY660">
        <v>0</v>
      </c>
      <c r="BZ660" t="s">
        <v>2794</v>
      </c>
      <c r="CA660">
        <v>1</v>
      </c>
      <c r="CB660" t="b">
        <v>1</v>
      </c>
      <c r="CC660">
        <v>0</v>
      </c>
      <c r="CD660" t="b">
        <v>0</v>
      </c>
      <c r="CE660" t="b">
        <v>0</v>
      </c>
      <c r="CF660" t="b">
        <v>1</v>
      </c>
      <c r="CG660" t="s">
        <v>1870</v>
      </c>
      <c r="CH660" t="s">
        <v>1681</v>
      </c>
      <c r="CI660" s="10">
        <v>688800</v>
      </c>
    </row>
    <row r="661" spans="1:88">
      <c r="A661">
        <v>27208119</v>
      </c>
      <c r="B661" s="2" t="str">
        <f>HYPERLINK("http://www.redfin.com/stingray/do/printable-listing?listing-id=1320849","Active")</f>
        <v>Active</v>
      </c>
      <c r="D661" t="s">
        <v>4596</v>
      </c>
      <c r="E661" t="s">
        <v>4617</v>
      </c>
      <c r="F661">
        <v>758800</v>
      </c>
      <c r="G661">
        <v>2007</v>
      </c>
      <c r="H661">
        <v>4122</v>
      </c>
      <c r="I661">
        <v>5674</v>
      </c>
      <c r="J661">
        <v>4</v>
      </c>
      <c r="K661">
        <v>3.5</v>
      </c>
      <c r="M661" s="2" t="str">
        <f>HYPERLINK("http://maps.live.com/default.aspx?v=2&amp;lvl=15&amp;sp=adr.16651 NE 86th Ct (Unable to map),98052","Map")</f>
        <v>Map</v>
      </c>
      <c r="N661" s="2" t="str">
        <f>HYPERLINK("http://i-0.rfimg.us/photo/1/bigphoto/119/27208119_1.jpg","Photo")</f>
        <v>Photo</v>
      </c>
      <c r="AI661" t="s">
        <v>4363</v>
      </c>
      <c r="AJ661">
        <v>98052</v>
      </c>
      <c r="BC661" s="22">
        <v>39416.688796296294</v>
      </c>
      <c r="BI661" s="22">
        <v>39549.294907407406</v>
      </c>
      <c r="BL661">
        <v>15176</v>
      </c>
      <c r="BM661">
        <v>1320849</v>
      </c>
      <c r="BN661" t="s">
        <v>1798</v>
      </c>
      <c r="BO661" s="17">
        <f t="shared" ca="1" si="10"/>
        <v>132.62060960648523</v>
      </c>
      <c r="BP661" t="b">
        <v>0</v>
      </c>
      <c r="BQ661">
        <v>1</v>
      </c>
      <c r="BR661" t="s">
        <v>3768</v>
      </c>
      <c r="BS661" t="s">
        <v>2866</v>
      </c>
      <c r="BT661" t="b">
        <v>0</v>
      </c>
      <c r="BU661" t="s">
        <v>1738</v>
      </c>
      <c r="BV661" t="s">
        <v>1668</v>
      </c>
      <c r="BW661">
        <v>16651</v>
      </c>
      <c r="BY661">
        <v>0</v>
      </c>
      <c r="BZ661" t="s">
        <v>2133</v>
      </c>
      <c r="CA661">
        <v>1</v>
      </c>
      <c r="CB661" t="b">
        <v>1</v>
      </c>
      <c r="CC661">
        <v>0</v>
      </c>
      <c r="CD661" t="b">
        <v>0</v>
      </c>
      <c r="CE661" t="b">
        <v>0</v>
      </c>
      <c r="CF661" t="b">
        <v>1</v>
      </c>
      <c r="CG661" t="s">
        <v>1870</v>
      </c>
      <c r="CH661" t="s">
        <v>1681</v>
      </c>
      <c r="CI661" s="10">
        <v>758800</v>
      </c>
    </row>
    <row r="662" spans="1:88">
      <c r="A662">
        <v>27208196</v>
      </c>
      <c r="B662" s="15" t="str">
        <f>HYPERLINK("http://www.redfin.com/stingray/do/printable-listing?listing-id=1322640","Subject To Inspection")</f>
        <v>Subject To Inspection</v>
      </c>
      <c r="D662" t="s">
        <v>3924</v>
      </c>
      <c r="E662" t="s">
        <v>4036</v>
      </c>
      <c r="F662">
        <v>499000</v>
      </c>
      <c r="G662">
        <v>1903</v>
      </c>
      <c r="H662">
        <v>1760</v>
      </c>
      <c r="I662">
        <v>0</v>
      </c>
      <c r="J662">
        <v>4</v>
      </c>
      <c r="K662">
        <v>2</v>
      </c>
      <c r="M662" s="2" t="str">
        <f>HYPERLINK("http://maps.live.com/default.aspx?v=2&amp;lvl=15&amp;sp=Point.47.603874_-122.298175_187 27th Ave&amp;cp=47.603874~-122.298175","Map")</f>
        <v>Map</v>
      </c>
      <c r="N662" s="2" t="str">
        <f>HYPERLINK("http://i-0.rfimg.us/photo/1/bigphoto/196/27208196_2.jpg","Photo")</f>
        <v>Photo</v>
      </c>
      <c r="AG662">
        <v>47.603873999999998</v>
      </c>
      <c r="AH662">
        <v>-122.298175</v>
      </c>
      <c r="AI662" t="s">
        <v>66</v>
      </c>
      <c r="AJ662">
        <v>98122</v>
      </c>
      <c r="AN662">
        <v>550000</v>
      </c>
      <c r="BC662" s="22">
        <v>39417.630902777775</v>
      </c>
      <c r="BI662" s="22">
        <v>39549.294907407406</v>
      </c>
      <c r="BL662">
        <v>9980</v>
      </c>
      <c r="BM662">
        <v>1322640</v>
      </c>
      <c r="BN662" t="s">
        <v>1693</v>
      </c>
      <c r="BO662" s="17">
        <f t="shared" ca="1" si="10"/>
        <v>131.67850312500377</v>
      </c>
      <c r="BP662" t="b">
        <v>0</v>
      </c>
      <c r="BQ662">
        <v>1</v>
      </c>
      <c r="BR662" t="s">
        <v>1667</v>
      </c>
      <c r="BS662" t="s">
        <v>1751</v>
      </c>
      <c r="BT662" t="b">
        <v>0</v>
      </c>
      <c r="BV662" t="s">
        <v>1668</v>
      </c>
      <c r="BW662">
        <v>187</v>
      </c>
      <c r="BY662">
        <v>145025</v>
      </c>
      <c r="BZ662" t="s">
        <v>1912</v>
      </c>
      <c r="CA662">
        <v>1</v>
      </c>
      <c r="CB662" t="b">
        <v>1</v>
      </c>
      <c r="CC662">
        <v>0</v>
      </c>
      <c r="CD662" t="b">
        <v>0</v>
      </c>
      <c r="CE662" t="b">
        <v>0</v>
      </c>
      <c r="CF662" t="b">
        <v>1</v>
      </c>
      <c r="CG662">
        <v>2429429</v>
      </c>
      <c r="CH662" t="s">
        <v>1681</v>
      </c>
      <c r="CI662" s="10">
        <v>499000</v>
      </c>
      <c r="CJ662" s="7">
        <v>39294</v>
      </c>
    </row>
    <row r="663" spans="1:88">
      <c r="A663">
        <v>27208202</v>
      </c>
      <c r="B663" s="2" t="str">
        <f>HYPERLINK("http://www.redfin.com/stingray/do/printable-listing?listing-id=1321092","Active")</f>
        <v>Active</v>
      </c>
      <c r="D663" t="s">
        <v>1022</v>
      </c>
      <c r="E663" t="s">
        <v>2110</v>
      </c>
      <c r="F663">
        <v>369950</v>
      </c>
      <c r="G663">
        <v>2007</v>
      </c>
      <c r="H663">
        <v>1272</v>
      </c>
      <c r="I663">
        <v>0</v>
      </c>
      <c r="J663">
        <v>3</v>
      </c>
      <c r="K663">
        <v>2.5</v>
      </c>
      <c r="M663" s="2" t="str">
        <f>HYPERLINK("http://maps.live.com/default.aspx?v=2&amp;lvl=15&amp;sp=Point.47.690463_-122.370658_1109 NW 85th Ave&amp;cp=47.690463~-122.370658","Map")</f>
        <v>Map</v>
      </c>
      <c r="N663" s="2" t="str">
        <f>HYPERLINK("http://i-0.rfimg.us/photo/1/bigphoto/202/27208202_2.jpg","Photo")</f>
        <v>Photo</v>
      </c>
      <c r="AG663">
        <v>47.690463000000001</v>
      </c>
      <c r="AH663">
        <v>-122.37065800000001</v>
      </c>
      <c r="AI663" t="s">
        <v>66</v>
      </c>
      <c r="AJ663">
        <v>98117</v>
      </c>
      <c r="BC663" s="22">
        <v>39416.766967592594</v>
      </c>
      <c r="BI663" s="7">
        <v>39513</v>
      </c>
      <c r="BL663">
        <v>7399</v>
      </c>
      <c r="BM663">
        <v>1321092</v>
      </c>
      <c r="BN663" t="s">
        <v>1710</v>
      </c>
      <c r="BO663" s="17">
        <f t="shared" ca="1" si="10"/>
        <v>132.54243842592405</v>
      </c>
      <c r="BP663" t="b">
        <v>0</v>
      </c>
      <c r="BQ663">
        <v>1</v>
      </c>
      <c r="BR663" t="s">
        <v>1667</v>
      </c>
      <c r="BS663" t="s">
        <v>1827</v>
      </c>
      <c r="BT663" t="b">
        <v>0</v>
      </c>
      <c r="BU663" t="s">
        <v>1669</v>
      </c>
      <c r="BV663" t="s">
        <v>1668</v>
      </c>
      <c r="BW663">
        <v>1109</v>
      </c>
      <c r="BY663">
        <v>12311627</v>
      </c>
      <c r="BZ663" t="s">
        <v>2016</v>
      </c>
      <c r="CA663">
        <v>1</v>
      </c>
      <c r="CB663" t="b">
        <v>1</v>
      </c>
      <c r="CC663">
        <v>0</v>
      </c>
      <c r="CD663" t="b">
        <v>0</v>
      </c>
      <c r="CE663" t="b">
        <v>0</v>
      </c>
      <c r="CF663" t="b">
        <v>1</v>
      </c>
      <c r="CG663">
        <v>15518207</v>
      </c>
      <c r="CH663" t="s">
        <v>1681</v>
      </c>
      <c r="CI663" s="10">
        <v>369950</v>
      </c>
    </row>
    <row r="664" spans="1:88">
      <c r="A664">
        <v>27208224</v>
      </c>
      <c r="B664" s="2" t="str">
        <f>HYPERLINK("http://www.redfin.com/stingray/do/printable-listing?listing-id=1321257","Active")</f>
        <v>Active</v>
      </c>
      <c r="D664" t="s">
        <v>218</v>
      </c>
      <c r="E664" t="s">
        <v>772</v>
      </c>
      <c r="F664" s="19">
        <v>415000</v>
      </c>
      <c r="G664">
        <v>1942</v>
      </c>
      <c r="H664">
        <v>0</v>
      </c>
      <c r="I664">
        <v>5659</v>
      </c>
      <c r="J664">
        <v>2</v>
      </c>
      <c r="K664">
        <v>1</v>
      </c>
      <c r="M664" s="2" t="str">
        <f>HYPERLINK("http://maps.live.com/default.aspx?v=2&amp;lvl=15&amp;sp=Point.47.687929_-122.302124_8063 Ravenna Ave NE&amp;cp=47.687929~-122.302124","Map")</f>
        <v>Map</v>
      </c>
      <c r="N664" s="2" t="str">
        <f>HYPERLINK("http://i-0.rfimg.us/photo/1/bigphoto/224/27208224_1.jpg","Photo")</f>
        <v>Photo</v>
      </c>
      <c r="AG664">
        <v>47.687928999999997</v>
      </c>
      <c r="AH664">
        <v>-122.30212400000001</v>
      </c>
      <c r="AI664" t="s">
        <v>66</v>
      </c>
      <c r="AJ664">
        <v>98115</v>
      </c>
      <c r="BC664" s="22">
        <v>39416.841064814813</v>
      </c>
      <c r="BI664" s="22">
        <v>39549.294907407406</v>
      </c>
      <c r="BL664">
        <v>9000</v>
      </c>
      <c r="BM664">
        <v>1321257</v>
      </c>
      <c r="BN664" t="s">
        <v>3236</v>
      </c>
      <c r="BO664" s="17">
        <f t="shared" ca="1" si="10"/>
        <v>132.46834108796611</v>
      </c>
      <c r="BP664" t="b">
        <v>0</v>
      </c>
      <c r="BQ664">
        <v>1</v>
      </c>
      <c r="BR664" t="s">
        <v>1667</v>
      </c>
      <c r="BS664" t="s">
        <v>218</v>
      </c>
      <c r="BT664" t="b">
        <v>0</v>
      </c>
      <c r="BV664" t="s">
        <v>1668</v>
      </c>
      <c r="BW664">
        <v>8063</v>
      </c>
      <c r="BX664" t="s">
        <v>1738</v>
      </c>
      <c r="BY664">
        <v>310288</v>
      </c>
      <c r="BZ664" t="s">
        <v>3237</v>
      </c>
      <c r="CA664">
        <v>1</v>
      </c>
      <c r="CB664" t="b">
        <v>1</v>
      </c>
      <c r="CC664">
        <v>0</v>
      </c>
      <c r="CD664" t="b">
        <v>0</v>
      </c>
      <c r="CE664" t="b">
        <v>0</v>
      </c>
      <c r="CF664" t="b">
        <v>1</v>
      </c>
      <c r="CG664">
        <v>2681961</v>
      </c>
      <c r="CH664" t="s">
        <v>1681</v>
      </c>
      <c r="CI664" s="10">
        <v>449990</v>
      </c>
    </row>
    <row r="665" spans="1:88">
      <c r="A665">
        <v>27208342</v>
      </c>
      <c r="B665" s="2" t="str">
        <f>HYPERLINK("http://www.redfin.com/stingray/do/printable-listing?listing-id=1322450","Active")</f>
        <v>Active</v>
      </c>
      <c r="D665" t="s">
        <v>2552</v>
      </c>
      <c r="E665" t="s">
        <v>3526</v>
      </c>
      <c r="F665">
        <v>1795000</v>
      </c>
      <c r="G665">
        <v>2007</v>
      </c>
      <c r="H665">
        <v>4200</v>
      </c>
      <c r="I665">
        <v>6654</v>
      </c>
      <c r="J665">
        <v>3</v>
      </c>
      <c r="K665">
        <v>3.5</v>
      </c>
      <c r="M665" s="2" t="str">
        <f>HYPERLINK("http://maps.live.com/default.aspx?v=2&amp;lvl=15&amp;sp=Point.47.646098_-122.388489_2908 25th Ave W&amp;cp=47.646098~-122.388489","Map")</f>
        <v>Map</v>
      </c>
      <c r="N665" s="2" t="str">
        <f>HYPERLINK("http://i-0.rfimg.us/photo/1/bigphoto/342/27208342_4.jpg","Photo")</f>
        <v>Photo</v>
      </c>
      <c r="AG665">
        <v>47.646098000000002</v>
      </c>
      <c r="AH665">
        <v>-122.38848900000001</v>
      </c>
      <c r="AI665" t="s">
        <v>66</v>
      </c>
      <c r="AJ665">
        <v>98199</v>
      </c>
      <c r="AN665">
        <v>950000</v>
      </c>
      <c r="BC665" s="22">
        <v>39417.515451388892</v>
      </c>
      <c r="BI665" s="22">
        <v>39549.294907407406</v>
      </c>
      <c r="BL665">
        <v>35900</v>
      </c>
      <c r="BM665">
        <v>1322450</v>
      </c>
      <c r="BN665" t="s">
        <v>3525</v>
      </c>
      <c r="BO665" s="17">
        <f t="shared" ca="1" si="10"/>
        <v>131.793954513887</v>
      </c>
      <c r="BP665" t="b">
        <v>0</v>
      </c>
      <c r="BQ665">
        <v>1</v>
      </c>
      <c r="BR665" t="s">
        <v>1667</v>
      </c>
      <c r="BS665" t="s">
        <v>1819</v>
      </c>
      <c r="BT665" t="b">
        <v>0</v>
      </c>
      <c r="BV665" t="s">
        <v>1668</v>
      </c>
      <c r="BW665">
        <v>2908</v>
      </c>
      <c r="BX665" t="s">
        <v>2423</v>
      </c>
      <c r="BY665">
        <v>124086</v>
      </c>
      <c r="BZ665" t="s">
        <v>2379</v>
      </c>
      <c r="CA665">
        <v>1</v>
      </c>
      <c r="CB665" t="b">
        <v>1</v>
      </c>
      <c r="CC665">
        <v>0</v>
      </c>
      <c r="CD665" t="b">
        <v>0</v>
      </c>
      <c r="CE665" t="b">
        <v>0</v>
      </c>
      <c r="CF665" t="b">
        <v>1</v>
      </c>
      <c r="CG665">
        <v>2761373</v>
      </c>
      <c r="CH665" t="s">
        <v>1681</v>
      </c>
      <c r="CI665" s="10">
        <v>1795000</v>
      </c>
      <c r="CJ665" s="7">
        <v>38253</v>
      </c>
    </row>
    <row r="666" spans="1:88">
      <c r="A666">
        <v>27208503</v>
      </c>
      <c r="B666" s="2" t="str">
        <f>HYPERLINK("http://www.redfin.com/stingray/do/printable-listing?listing-id=1322797","Active")</f>
        <v>Active</v>
      </c>
      <c r="D666" t="s">
        <v>109</v>
      </c>
      <c r="E666" t="s">
        <v>3663</v>
      </c>
      <c r="F666">
        <v>616000</v>
      </c>
      <c r="G666">
        <v>1922</v>
      </c>
      <c r="H666">
        <v>1700</v>
      </c>
      <c r="I666">
        <v>4400</v>
      </c>
      <c r="J666">
        <v>2</v>
      </c>
      <c r="K666">
        <v>2</v>
      </c>
      <c r="M666" s="2" t="str">
        <f>HYPERLINK("http://maps.live.com/default.aspx?v=2&amp;lvl=15&amp;sp=Point.47.64969_-122.341195_3534 Interlake Ave N&amp;cp=47.64969~-122.341195","Map")</f>
        <v>Map</v>
      </c>
      <c r="N666" s="2" t="str">
        <f>HYPERLINK("http://i-0.rfimg.us/photo/1/bigphoto/503/27208503_6.jpg","Photo")</f>
        <v>Photo</v>
      </c>
      <c r="AG666">
        <v>47.64969</v>
      </c>
      <c r="AH666">
        <v>-122.341195</v>
      </c>
      <c r="AI666" t="s">
        <v>66</v>
      </c>
      <c r="AJ666">
        <v>98103</v>
      </c>
      <c r="AN666">
        <v>270000</v>
      </c>
      <c r="BC666" s="22">
        <v>39417.775694444441</v>
      </c>
      <c r="BI666" s="22">
        <v>39549.294907407406</v>
      </c>
      <c r="BL666">
        <v>12320</v>
      </c>
      <c r="BM666">
        <v>1322797</v>
      </c>
      <c r="BN666" t="s">
        <v>1674</v>
      </c>
      <c r="BO666" s="17">
        <f t="shared" ca="1" si="10"/>
        <v>131.53371145833808</v>
      </c>
      <c r="BP666" t="b">
        <v>0</v>
      </c>
      <c r="BQ666">
        <v>1</v>
      </c>
      <c r="BR666" t="s">
        <v>1667</v>
      </c>
      <c r="BS666" t="s">
        <v>2378</v>
      </c>
      <c r="BT666" t="b">
        <v>0</v>
      </c>
      <c r="BV666" t="s">
        <v>1668</v>
      </c>
      <c r="BW666">
        <v>3534</v>
      </c>
      <c r="BX666" t="s">
        <v>1712</v>
      </c>
      <c r="BY666">
        <v>2091322</v>
      </c>
      <c r="BZ666" t="s">
        <v>3664</v>
      </c>
      <c r="CA666">
        <v>1</v>
      </c>
      <c r="CB666" t="b">
        <v>1</v>
      </c>
      <c r="CC666">
        <v>0</v>
      </c>
      <c r="CD666" t="b">
        <v>0</v>
      </c>
      <c r="CE666" t="b">
        <v>0</v>
      </c>
      <c r="CF666" t="b">
        <v>1</v>
      </c>
      <c r="CG666">
        <v>2912759</v>
      </c>
      <c r="CH666" t="s">
        <v>1681</v>
      </c>
      <c r="CI666" s="10">
        <v>616000</v>
      </c>
      <c r="CJ666" s="7">
        <v>37742</v>
      </c>
    </row>
    <row r="667" spans="1:88">
      <c r="A667">
        <v>27208590</v>
      </c>
      <c r="B667" s="2" t="str">
        <f>HYPERLINK("http://www.redfin.com/stingray/do/printable-listing?listing-id=1323521","Active")</f>
        <v>Active</v>
      </c>
      <c r="D667" t="s">
        <v>919</v>
      </c>
      <c r="E667" t="s">
        <v>782</v>
      </c>
      <c r="F667">
        <v>449900</v>
      </c>
      <c r="G667">
        <v>1947</v>
      </c>
      <c r="H667">
        <v>2200</v>
      </c>
      <c r="I667">
        <v>6720</v>
      </c>
      <c r="J667">
        <v>3</v>
      </c>
      <c r="K667">
        <v>1.75</v>
      </c>
      <c r="M667" s="2" t="str">
        <f>HYPERLINK("http://maps.live.com/default.aspx?v=2&amp;lvl=15&amp;sp=Point.47.708283_-122.314024_10755 14TH Ave NE&amp;cp=47.708283~-122.314024","Map")</f>
        <v>Map</v>
      </c>
      <c r="N667" s="2" t="str">
        <f>HYPERLINK("http://i-0.rfimg.us/photo/1/bigphoto/590/27208590_1.jpg","Photo")</f>
        <v>Photo</v>
      </c>
      <c r="AG667">
        <v>47.708283000000002</v>
      </c>
      <c r="AH667">
        <v>-122.314024</v>
      </c>
      <c r="AI667" t="s">
        <v>66</v>
      </c>
      <c r="AJ667">
        <v>98125</v>
      </c>
      <c r="AN667">
        <v>324800</v>
      </c>
      <c r="BC667" s="22">
        <v>39418.56722222222</v>
      </c>
      <c r="BI667" s="7">
        <v>39540</v>
      </c>
      <c r="BL667">
        <v>8998</v>
      </c>
      <c r="BM667">
        <v>1323521</v>
      </c>
      <c r="BN667" t="s">
        <v>2938</v>
      </c>
      <c r="BO667" s="17">
        <f t="shared" ca="1" si="10"/>
        <v>130.74218368055881</v>
      </c>
      <c r="BP667" t="b">
        <v>0</v>
      </c>
      <c r="BQ667">
        <v>1</v>
      </c>
      <c r="BR667" t="s">
        <v>1667</v>
      </c>
      <c r="BS667" t="s">
        <v>2939</v>
      </c>
      <c r="BT667" t="b">
        <v>0</v>
      </c>
      <c r="BV667" t="s">
        <v>1668</v>
      </c>
      <c r="BW667">
        <v>10755</v>
      </c>
      <c r="BX667" t="s">
        <v>1738</v>
      </c>
      <c r="BY667">
        <v>107019</v>
      </c>
      <c r="BZ667" t="s">
        <v>2940</v>
      </c>
      <c r="CA667">
        <v>1</v>
      </c>
      <c r="CB667" t="b">
        <v>1</v>
      </c>
      <c r="CC667">
        <v>0</v>
      </c>
      <c r="CD667" t="b">
        <v>0</v>
      </c>
      <c r="CE667" t="b">
        <v>0</v>
      </c>
      <c r="CF667" t="b">
        <v>1</v>
      </c>
      <c r="CG667">
        <v>2608951</v>
      </c>
      <c r="CH667" t="s">
        <v>1681</v>
      </c>
      <c r="CI667" s="10">
        <v>449900</v>
      </c>
      <c r="CJ667" s="7">
        <v>38693</v>
      </c>
    </row>
    <row r="668" spans="1:88">
      <c r="A668">
        <v>27208748</v>
      </c>
      <c r="B668" s="2" t="str">
        <f>HYPERLINK("http://www.redfin.com/stingray/do/printable-listing?listing-id=1326688","Active")</f>
        <v>Active</v>
      </c>
      <c r="D668" t="s">
        <v>99</v>
      </c>
      <c r="E668" t="s">
        <v>347</v>
      </c>
      <c r="F668" s="19">
        <v>339950</v>
      </c>
      <c r="G668">
        <v>1929</v>
      </c>
      <c r="H668">
        <v>1220</v>
      </c>
      <c r="I668">
        <v>0</v>
      </c>
      <c r="J668">
        <v>2</v>
      </c>
      <c r="K668">
        <v>2</v>
      </c>
      <c r="M668" s="2" t="str">
        <f>HYPERLINK("http://maps.live.com/default.aspx?v=2&amp;lvl=15&amp;sp=Point.47.680076_-122.374985_7017 Alonzo Ave NW&amp;cp=47.680076~-122.374985","Map")</f>
        <v>Map</v>
      </c>
      <c r="N668" s="2" t="str">
        <f>HYPERLINK("http://i-0.rfimg.us/photo/1/bigphoto/748/27208748_0.jpg","Photo")</f>
        <v>Photo</v>
      </c>
      <c r="AG668">
        <v>47.680076</v>
      </c>
      <c r="AH668">
        <v>-122.374985</v>
      </c>
      <c r="AI668" t="s">
        <v>66</v>
      </c>
      <c r="AJ668">
        <v>98117</v>
      </c>
      <c r="AN668">
        <v>128000</v>
      </c>
      <c r="BC668" s="22">
        <v>39420.453229166669</v>
      </c>
      <c r="BI668" s="22">
        <v>39549.294907407406</v>
      </c>
      <c r="BL668">
        <v>7100</v>
      </c>
      <c r="BM668">
        <v>1326688</v>
      </c>
      <c r="BN668" t="s">
        <v>1710</v>
      </c>
      <c r="BO668" s="17">
        <f t="shared" ca="1" si="10"/>
        <v>128.85617685184843</v>
      </c>
      <c r="BP668" t="b">
        <v>0</v>
      </c>
      <c r="BQ668">
        <v>1</v>
      </c>
      <c r="BR668" t="s">
        <v>1667</v>
      </c>
      <c r="BS668" t="s">
        <v>1778</v>
      </c>
      <c r="BT668" t="b">
        <v>0</v>
      </c>
      <c r="BV668" t="s">
        <v>1668</v>
      </c>
      <c r="BW668">
        <v>7017</v>
      </c>
      <c r="BX668" t="s">
        <v>1669</v>
      </c>
      <c r="BY668">
        <v>496326</v>
      </c>
      <c r="BZ668" t="s">
        <v>1701</v>
      </c>
      <c r="CA668">
        <v>1</v>
      </c>
      <c r="CB668" t="b">
        <v>1</v>
      </c>
      <c r="CC668">
        <v>0</v>
      </c>
      <c r="CD668" t="b">
        <v>0</v>
      </c>
      <c r="CE668" t="b">
        <v>0</v>
      </c>
      <c r="CF668" t="b">
        <v>1</v>
      </c>
      <c r="CG668">
        <v>2976555</v>
      </c>
      <c r="CH668" t="s">
        <v>1681</v>
      </c>
      <c r="CI668" s="10">
        <v>355000</v>
      </c>
      <c r="CJ668" s="7">
        <v>34565</v>
      </c>
    </row>
    <row r="669" spans="1:88">
      <c r="A669">
        <v>27208760</v>
      </c>
      <c r="B669" s="2" t="str">
        <f>HYPERLINK("http://www.redfin.com/stingray/do/printable-listing?listing-id=1332228","Active")</f>
        <v>Active</v>
      </c>
      <c r="D669" t="s">
        <v>3685</v>
      </c>
      <c r="E669" t="s">
        <v>3794</v>
      </c>
      <c r="F669">
        <v>1850000</v>
      </c>
      <c r="G669">
        <v>2005</v>
      </c>
      <c r="H669">
        <v>3010</v>
      </c>
      <c r="I669">
        <v>5850</v>
      </c>
      <c r="J669">
        <v>5</v>
      </c>
      <c r="K669">
        <v>3.5</v>
      </c>
      <c r="M669" s="2" t="str">
        <f>HYPERLINK("http://maps.live.com/default.aspx?v=2&amp;lvl=15&amp;sp=Point.47.640003_-122.285155_2315 38th Ave E&amp;cp=47.640003~-122.285155","Map")</f>
        <v>Map</v>
      </c>
      <c r="N669" s="2" t="str">
        <f>HYPERLINK("http://i-0.rfimg.us/photo/1/bigphoto/760/27208760_1.jpg","Photo")</f>
        <v>Photo</v>
      </c>
      <c r="AG669">
        <v>47.640003</v>
      </c>
      <c r="AH669">
        <v>-122.285155</v>
      </c>
      <c r="AI669" t="s">
        <v>66</v>
      </c>
      <c r="AJ669">
        <v>98112</v>
      </c>
      <c r="AN669">
        <v>1500000</v>
      </c>
      <c r="BC669" s="22">
        <v>39422.674525462964</v>
      </c>
      <c r="BI669" s="7">
        <v>39539</v>
      </c>
      <c r="BL669">
        <v>37000</v>
      </c>
      <c r="BM669">
        <v>1332228</v>
      </c>
      <c r="BN669" t="s">
        <v>1710</v>
      </c>
      <c r="BO669" s="17">
        <f t="shared" ca="1" si="10"/>
        <v>126.63488043981488</v>
      </c>
      <c r="BP669" t="b">
        <v>0</v>
      </c>
      <c r="BQ669">
        <v>1</v>
      </c>
      <c r="BR669" t="s">
        <v>1667</v>
      </c>
      <c r="BS669" t="s">
        <v>3126</v>
      </c>
      <c r="BT669" t="b">
        <v>0</v>
      </c>
      <c r="BV669" t="s">
        <v>1668</v>
      </c>
      <c r="BW669">
        <v>2315</v>
      </c>
      <c r="BX669" t="s">
        <v>2436</v>
      </c>
      <c r="BY669">
        <v>140225</v>
      </c>
      <c r="BZ669" t="s">
        <v>3795</v>
      </c>
      <c r="CA669">
        <v>1</v>
      </c>
      <c r="CB669" t="b">
        <v>1</v>
      </c>
      <c r="CC669">
        <v>0</v>
      </c>
      <c r="CD669" t="b">
        <v>0</v>
      </c>
      <c r="CE669" t="b">
        <v>0</v>
      </c>
      <c r="CF669" t="b">
        <v>1</v>
      </c>
      <c r="CG669">
        <v>2369864</v>
      </c>
      <c r="CH669" t="s">
        <v>1681</v>
      </c>
      <c r="CI669" s="10">
        <v>1850000</v>
      </c>
      <c r="CJ669" s="7">
        <v>38631</v>
      </c>
    </row>
    <row r="670" spans="1:88">
      <c r="A670">
        <v>27208949</v>
      </c>
      <c r="B670" s="2" t="str">
        <f>HYPERLINK("http://www.redfin.com/stingray/do/printable-listing?listing-id=1338320","Active")</f>
        <v>Active</v>
      </c>
      <c r="D670" t="s">
        <v>3249</v>
      </c>
      <c r="E670" t="s">
        <v>3604</v>
      </c>
      <c r="F670" s="19">
        <v>529000</v>
      </c>
      <c r="G670">
        <v>1927</v>
      </c>
      <c r="H670">
        <v>2020</v>
      </c>
      <c r="I670">
        <v>4945</v>
      </c>
      <c r="J670">
        <v>2</v>
      </c>
      <c r="K670">
        <v>1.75</v>
      </c>
      <c r="M670" s="2" t="str">
        <f>HYPERLINK("http://maps.live.com/default.aspx?v=2&amp;lvl=15&amp;sp=Point.47.64596_-122.372244_2830 12th Ave W&amp;cp=47.64596~-122.372244","Map")</f>
        <v>Map</v>
      </c>
      <c r="N670" s="2" t="str">
        <f>HYPERLINK("http://i-0.rfimg.us/photo/1/bigphoto/949/27208949_0.jpg","Photo")</f>
        <v>Photo</v>
      </c>
      <c r="AG670">
        <v>47.645960000000002</v>
      </c>
      <c r="AH670">
        <v>-122.37224399999999</v>
      </c>
      <c r="AI670" t="s">
        <v>66</v>
      </c>
      <c r="AJ670">
        <v>98119</v>
      </c>
      <c r="AN670">
        <v>465000</v>
      </c>
      <c r="BC670" s="22">
        <v>39426.620393518519</v>
      </c>
      <c r="BI670" s="22">
        <v>39549.294907407406</v>
      </c>
      <c r="BL670">
        <v>10980</v>
      </c>
      <c r="BM670">
        <v>1338320</v>
      </c>
      <c r="BN670" t="s">
        <v>1674</v>
      </c>
      <c r="BO670" s="17">
        <f t="shared" ca="1" si="10"/>
        <v>122.68901238426042</v>
      </c>
      <c r="BP670" t="b">
        <v>0</v>
      </c>
      <c r="BQ670">
        <v>1</v>
      </c>
      <c r="BR670" t="s">
        <v>1667</v>
      </c>
      <c r="BS670" t="s">
        <v>1803</v>
      </c>
      <c r="BT670" t="b">
        <v>0</v>
      </c>
      <c r="BV670" t="s">
        <v>1668</v>
      </c>
      <c r="BW670">
        <v>2830</v>
      </c>
      <c r="BX670" t="s">
        <v>2423</v>
      </c>
      <c r="BY670">
        <v>129436</v>
      </c>
      <c r="BZ670" t="s">
        <v>1672</v>
      </c>
      <c r="CA670">
        <v>1</v>
      </c>
      <c r="CB670" t="b">
        <v>1</v>
      </c>
      <c r="CC670">
        <v>0</v>
      </c>
      <c r="CD670" t="b">
        <v>0</v>
      </c>
      <c r="CE670" t="b">
        <v>0</v>
      </c>
      <c r="CF670" t="b">
        <v>1</v>
      </c>
      <c r="CG670">
        <v>2461349</v>
      </c>
      <c r="CH670" t="s">
        <v>1681</v>
      </c>
      <c r="CI670" s="10">
        <v>549000</v>
      </c>
      <c r="CJ670" s="7">
        <v>38929</v>
      </c>
    </row>
    <row r="671" spans="1:88">
      <c r="A671">
        <v>27208952</v>
      </c>
      <c r="B671" s="2" t="str">
        <f>HYPERLINK("http://www.redfin.com/stingray/do/printable-listing?listing-id=1325474","Active")</f>
        <v>Active</v>
      </c>
      <c r="D671" t="s">
        <v>5455</v>
      </c>
      <c r="E671" t="s">
        <v>6310</v>
      </c>
      <c r="F671">
        <v>479950</v>
      </c>
      <c r="G671">
        <v>1966</v>
      </c>
      <c r="H671">
        <v>1260</v>
      </c>
      <c r="I671">
        <v>6500</v>
      </c>
      <c r="J671">
        <v>3</v>
      </c>
      <c r="K671">
        <v>1.75</v>
      </c>
      <c r="M671" s="2" t="str">
        <f>HYPERLINK("http://maps.live.com/default.aspx?v=2&amp;lvl=15&amp;sp=Point.47.62248_-122.116127_1415 168th Ave NE&amp;cp=47.62248~-122.116127","Map")</f>
        <v>Map</v>
      </c>
      <c r="N671" s="2" t="str">
        <f>HYPERLINK("http://i-0.rfimg.us/photo/1/bigphoto/952/27208952_1.jpg","Photo")</f>
        <v>Photo</v>
      </c>
      <c r="AG671">
        <v>47.622480000000003</v>
      </c>
      <c r="AH671">
        <v>-122.11612700000001</v>
      </c>
      <c r="AI671" t="s">
        <v>369</v>
      </c>
      <c r="AJ671">
        <v>98008</v>
      </c>
      <c r="AN671">
        <v>400000</v>
      </c>
      <c r="BC671" s="22">
        <v>39419.725740740738</v>
      </c>
      <c r="BI671" s="22">
        <v>39549.294907407406</v>
      </c>
      <c r="BL671">
        <v>9599</v>
      </c>
      <c r="BM671">
        <v>1325474</v>
      </c>
      <c r="BN671" t="s">
        <v>6309</v>
      </c>
      <c r="BO671" s="17">
        <f t="shared" ca="1" si="10"/>
        <v>129.58366516204114</v>
      </c>
      <c r="BP671" t="b">
        <v>0</v>
      </c>
      <c r="BQ671">
        <v>1</v>
      </c>
      <c r="BR671" t="s">
        <v>1667</v>
      </c>
      <c r="BS671" t="s">
        <v>5213</v>
      </c>
      <c r="BT671" t="b">
        <v>0</v>
      </c>
      <c r="BV671" t="s">
        <v>1668</v>
      </c>
      <c r="BW671">
        <v>1415</v>
      </c>
      <c r="BX671" t="s">
        <v>1738</v>
      </c>
      <c r="BY671">
        <v>501240</v>
      </c>
      <c r="BZ671" t="s">
        <v>1704</v>
      </c>
      <c r="CA671">
        <v>1</v>
      </c>
      <c r="CB671" t="b">
        <v>1</v>
      </c>
      <c r="CC671">
        <v>0</v>
      </c>
      <c r="CD671" t="b">
        <v>0</v>
      </c>
      <c r="CE671" t="b">
        <v>0</v>
      </c>
      <c r="CF671" t="b">
        <v>1</v>
      </c>
      <c r="CG671">
        <v>2543186</v>
      </c>
      <c r="CH671" t="s">
        <v>1681</v>
      </c>
      <c r="CI671" s="10">
        <v>479950</v>
      </c>
      <c r="CJ671" s="7">
        <v>39153</v>
      </c>
    </row>
    <row r="672" spans="1:88">
      <c r="A672">
        <v>27209186</v>
      </c>
      <c r="B672" s="2" t="str">
        <f>HYPERLINK("http://www.redfin.com/stingray/do/printable-listing?listing-id=1326633","Active")</f>
        <v>Active</v>
      </c>
      <c r="D672" t="s">
        <v>369</v>
      </c>
      <c r="E672" t="s">
        <v>5352</v>
      </c>
      <c r="F672">
        <v>399990</v>
      </c>
      <c r="G672">
        <v>1987</v>
      </c>
      <c r="H672">
        <v>1190</v>
      </c>
      <c r="I672">
        <v>0</v>
      </c>
      <c r="J672">
        <v>3</v>
      </c>
      <c r="K672">
        <v>1.5</v>
      </c>
      <c r="M672" s="2" t="str">
        <f>HYPERLINK("http://maps.live.com/default.aspx?v=2&amp;lvl=15&amp;sp=Point.47.605054_-122.151995_502 141 Ave SE&amp;cp=47.605054~-122.151995","Map")</f>
        <v>Map</v>
      </c>
      <c r="N672" s="2" t="str">
        <f>HYPERLINK("http://i-0.rfimg.us/photo/1/bigphoto/186/27209186_1.jpg","Photo")</f>
        <v>Photo</v>
      </c>
      <c r="AG672">
        <v>47.605054000000003</v>
      </c>
      <c r="AH672">
        <v>-122.151995</v>
      </c>
      <c r="AI672" t="s">
        <v>369</v>
      </c>
      <c r="AJ672">
        <v>98007</v>
      </c>
      <c r="BC672" s="22">
        <v>39420.389918981484</v>
      </c>
      <c r="BI672" s="22">
        <v>39549.294907407406</v>
      </c>
      <c r="BL672">
        <v>8000</v>
      </c>
      <c r="BM672">
        <v>1326633</v>
      </c>
      <c r="BN672" t="s">
        <v>1833</v>
      </c>
      <c r="BO672" s="17">
        <f t="shared" ca="1" si="10"/>
        <v>128.91948692129517</v>
      </c>
      <c r="BP672" t="b">
        <v>0</v>
      </c>
      <c r="BQ672">
        <v>1</v>
      </c>
      <c r="BR672" t="s">
        <v>1667</v>
      </c>
      <c r="BS672">
        <v>141</v>
      </c>
      <c r="BT672" t="b">
        <v>0</v>
      </c>
      <c r="BV672" t="s">
        <v>1668</v>
      </c>
      <c r="BW672">
        <v>502</v>
      </c>
      <c r="BX672" t="s">
        <v>3856</v>
      </c>
      <c r="BY672">
        <v>12311659</v>
      </c>
      <c r="BZ672" t="s">
        <v>1836</v>
      </c>
      <c r="CA672">
        <v>1</v>
      </c>
      <c r="CB672" t="b">
        <v>1</v>
      </c>
      <c r="CC672">
        <v>0</v>
      </c>
      <c r="CD672" t="b">
        <v>0</v>
      </c>
      <c r="CE672" t="b">
        <v>0</v>
      </c>
      <c r="CF672" t="b">
        <v>1</v>
      </c>
      <c r="CG672">
        <v>15518239</v>
      </c>
      <c r="CH672" t="s">
        <v>1681</v>
      </c>
      <c r="CI672" s="10">
        <v>399990</v>
      </c>
    </row>
    <row r="673" spans="1:89">
      <c r="A673">
        <v>27209222</v>
      </c>
      <c r="B673" s="2" t="str">
        <f>HYPERLINK("http://www.redfin.com/stingray/do/printable-listing?listing-id=1326686","Active")</f>
        <v>Active</v>
      </c>
      <c r="D673" t="s">
        <v>60</v>
      </c>
      <c r="E673" t="s">
        <v>2171</v>
      </c>
      <c r="F673">
        <v>499950</v>
      </c>
      <c r="G673">
        <v>1999</v>
      </c>
      <c r="H673">
        <v>2250</v>
      </c>
      <c r="I673">
        <v>4792</v>
      </c>
      <c r="J673">
        <v>5</v>
      </c>
      <c r="K673">
        <v>3</v>
      </c>
      <c r="M673" s="2" t="str">
        <f>HYPERLINK("http://maps.live.com/default.aspx?v=2&amp;lvl=15&amp;sp=Point.47.693418_-122.330209_8906 Corliss Ave N&amp;cp=47.693418~-122.330209","Map")</f>
        <v>Map</v>
      </c>
      <c r="N673" s="2" t="str">
        <f>HYPERLINK("http://i-0.rfimg.us/photo/1/bigphoto/222/27209222_0.jpg","Photo")</f>
        <v>Photo</v>
      </c>
      <c r="AG673">
        <v>47.693418000000001</v>
      </c>
      <c r="AH673">
        <v>-122.330209</v>
      </c>
      <c r="AI673" t="s">
        <v>66</v>
      </c>
      <c r="AJ673">
        <v>98103</v>
      </c>
      <c r="AN673">
        <v>371500</v>
      </c>
      <c r="BC673" s="22">
        <v>39420.453113425923</v>
      </c>
      <c r="BI673" s="7">
        <v>39539</v>
      </c>
      <c r="BL673">
        <v>9999</v>
      </c>
      <c r="BM673">
        <v>1326686</v>
      </c>
      <c r="BN673" t="s">
        <v>1688</v>
      </c>
      <c r="BO673" s="17">
        <f t="shared" ca="1" si="10"/>
        <v>128.8562925925944</v>
      </c>
      <c r="BP673" t="b">
        <v>0</v>
      </c>
      <c r="BQ673">
        <v>1</v>
      </c>
      <c r="BR673" t="s">
        <v>1667</v>
      </c>
      <c r="BS673" t="s">
        <v>2388</v>
      </c>
      <c r="BT673" t="b">
        <v>0</v>
      </c>
      <c r="BV673" t="s">
        <v>1668</v>
      </c>
      <c r="BW673">
        <v>8906</v>
      </c>
      <c r="BX673" t="s">
        <v>1712</v>
      </c>
      <c r="BY673">
        <v>105535</v>
      </c>
      <c r="BZ673" t="s">
        <v>1701</v>
      </c>
      <c r="CA673">
        <v>1</v>
      </c>
      <c r="CB673" t="b">
        <v>1</v>
      </c>
      <c r="CC673">
        <v>0</v>
      </c>
      <c r="CD673" t="b">
        <v>0</v>
      </c>
      <c r="CE673" t="b">
        <v>0</v>
      </c>
      <c r="CF673" t="b">
        <v>1</v>
      </c>
      <c r="CG673">
        <v>2682378</v>
      </c>
      <c r="CH673" t="s">
        <v>1681</v>
      </c>
      <c r="CI673" s="10">
        <v>499950</v>
      </c>
      <c r="CJ673" s="7">
        <v>39337</v>
      </c>
    </row>
    <row r="674" spans="1:89">
      <c r="A674">
        <v>27209267</v>
      </c>
      <c r="B674" s="2" t="str">
        <f>HYPERLINK("http://www.redfin.com/stingray/do/printable-listing?listing-id=1326779","Active")</f>
        <v>Active</v>
      </c>
      <c r="D674" t="s">
        <v>4240</v>
      </c>
      <c r="E674" t="s">
        <v>4239</v>
      </c>
      <c r="F674">
        <v>365000</v>
      </c>
      <c r="G674">
        <v>2007</v>
      </c>
      <c r="H674">
        <v>1400</v>
      </c>
      <c r="I674">
        <v>0</v>
      </c>
      <c r="J674">
        <v>3</v>
      </c>
      <c r="K674">
        <v>1.5</v>
      </c>
      <c r="M674" s="2" t="str">
        <f>HYPERLINK("http://maps.live.com/default.aspx?v=2&amp;lvl=15&amp;sp=Point.47.600715_-122.299098_207 26th Ave S nB&amp;cp=47.600715~-122.299098","Map")</f>
        <v>Map</v>
      </c>
      <c r="N674" s="2" t="str">
        <f>HYPERLINK("http://i-0.rfimg.us/photo/1/bigphoto/267/27209267_0.jpg","Photo")</f>
        <v>Photo</v>
      </c>
      <c r="AG674">
        <v>47.600715000000001</v>
      </c>
      <c r="AH674">
        <v>-122.299098</v>
      </c>
      <c r="AI674" t="s">
        <v>66</v>
      </c>
      <c r="AJ674">
        <v>98144</v>
      </c>
      <c r="AM674" t="s">
        <v>1699</v>
      </c>
      <c r="BC674" s="22">
        <v>39420.464953703704</v>
      </c>
      <c r="BI674" s="22">
        <v>39549.294907407406</v>
      </c>
      <c r="BL674">
        <v>7300</v>
      </c>
      <c r="BM674">
        <v>1326779</v>
      </c>
      <c r="BN674" t="s">
        <v>3236</v>
      </c>
      <c r="BO674" s="17">
        <f t="shared" ca="1" si="10"/>
        <v>128.84445219907502</v>
      </c>
      <c r="BP674" t="b">
        <v>0</v>
      </c>
      <c r="BQ674">
        <v>1</v>
      </c>
      <c r="BR674" t="s">
        <v>1667</v>
      </c>
      <c r="BS674" t="s">
        <v>1769</v>
      </c>
      <c r="BT674" t="b">
        <v>0</v>
      </c>
      <c r="BV674" t="s">
        <v>1668</v>
      </c>
      <c r="BW674">
        <v>207</v>
      </c>
      <c r="BX674" t="s">
        <v>1881</v>
      </c>
      <c r="BY674">
        <v>12311737</v>
      </c>
      <c r="BZ674" t="s">
        <v>1747</v>
      </c>
      <c r="CA674">
        <v>1</v>
      </c>
      <c r="CB674" t="b">
        <v>1</v>
      </c>
      <c r="CC674">
        <v>0</v>
      </c>
      <c r="CD674" t="b">
        <v>0</v>
      </c>
      <c r="CE674" t="b">
        <v>0</v>
      </c>
      <c r="CF674" t="b">
        <v>1</v>
      </c>
      <c r="CG674">
        <v>15518317</v>
      </c>
      <c r="CH674" t="s">
        <v>1681</v>
      </c>
      <c r="CI674" s="10">
        <v>365000</v>
      </c>
    </row>
    <row r="675" spans="1:89">
      <c r="A675">
        <v>27209522</v>
      </c>
      <c r="B675" s="2" t="str">
        <f>HYPERLINK("http://www.redfin.com/stingray/do/printable-listing?listing-id=1327752","Subject To Inspection")</f>
        <v>Subject To Inspection</v>
      </c>
      <c r="D675" t="s">
        <v>5626</v>
      </c>
      <c r="E675" t="s">
        <v>5635</v>
      </c>
      <c r="F675">
        <v>1149950</v>
      </c>
      <c r="G675">
        <v>1993</v>
      </c>
      <c r="H675">
        <v>4100</v>
      </c>
      <c r="I675">
        <v>12445</v>
      </c>
      <c r="J675">
        <v>7</v>
      </c>
      <c r="K675">
        <v>4.5</v>
      </c>
      <c r="M675" s="2" t="str">
        <f>HYPERLINK("http://maps.live.com/default.aspx?v=2&amp;lvl=15&amp;sp=Point.47.529406_-122.152221_14118 SE 83rd St&amp;cp=47.529406~-122.152221","Map")</f>
        <v>Map</v>
      </c>
      <c r="N675" s="2" t="str">
        <f>HYPERLINK("http://i-0.rfimg.us/photo/1/bigphoto/522/27209522_4.jpg","Photo")</f>
        <v>Photo</v>
      </c>
      <c r="AG675">
        <v>47.529406000000002</v>
      </c>
      <c r="AH675">
        <v>-122.152221</v>
      </c>
      <c r="AI675" t="s">
        <v>3885</v>
      </c>
      <c r="AJ675">
        <v>98059</v>
      </c>
      <c r="AN675">
        <v>905000</v>
      </c>
      <c r="BC675" s="22">
        <v>39420.751805555556</v>
      </c>
      <c r="BI675" s="7">
        <v>39533</v>
      </c>
      <c r="BL675">
        <v>22999</v>
      </c>
      <c r="BM675">
        <v>1327752</v>
      </c>
      <c r="BN675" t="s">
        <v>1674</v>
      </c>
      <c r="BO675" s="17">
        <f t="shared" ca="1" si="10"/>
        <v>128.55760034722334</v>
      </c>
      <c r="BP675" t="b">
        <v>0</v>
      </c>
      <c r="BQ675">
        <v>2</v>
      </c>
      <c r="BR675" t="s">
        <v>1686</v>
      </c>
      <c r="BS675" t="s">
        <v>1867</v>
      </c>
      <c r="BT675" t="b">
        <v>0</v>
      </c>
      <c r="BU675" t="s">
        <v>3856</v>
      </c>
      <c r="BV675" t="s">
        <v>1668</v>
      </c>
      <c r="BW675">
        <v>14118</v>
      </c>
      <c r="BY675">
        <v>413626</v>
      </c>
      <c r="BZ675" t="s">
        <v>5636</v>
      </c>
      <c r="CA675">
        <v>1</v>
      </c>
      <c r="CB675" t="b">
        <v>1</v>
      </c>
      <c r="CC675">
        <v>0</v>
      </c>
      <c r="CD675" t="b">
        <v>0</v>
      </c>
      <c r="CE675" t="b">
        <v>0</v>
      </c>
      <c r="CF675" t="b">
        <v>1</v>
      </c>
      <c r="CG675">
        <v>2544242</v>
      </c>
      <c r="CH675" t="s">
        <v>1681</v>
      </c>
      <c r="CI675" s="10">
        <v>1149950</v>
      </c>
      <c r="CJ675" s="7">
        <v>39254</v>
      </c>
    </row>
    <row r="676" spans="1:89">
      <c r="A676">
        <v>27209523</v>
      </c>
      <c r="B676" s="2" t="str">
        <f>HYPERLINK("http://www.redfin.com/stingray/do/printable-listing?listing-id=1327640","Active")</f>
        <v>Active</v>
      </c>
      <c r="D676" t="s">
        <v>1022</v>
      </c>
      <c r="E676" t="s">
        <v>353</v>
      </c>
      <c r="F676">
        <v>369950</v>
      </c>
      <c r="G676">
        <v>2007</v>
      </c>
      <c r="H676">
        <v>1272</v>
      </c>
      <c r="I676">
        <v>0</v>
      </c>
      <c r="J676">
        <v>3</v>
      </c>
      <c r="K676">
        <v>2.5</v>
      </c>
      <c r="M676" s="2" t="str">
        <f>HYPERLINK("http://maps.live.com/default.aspx?v=2&amp;lvl=15&amp;sp=Point.47.690275_-122.370603_8359 11th Ave NW&amp;cp=47.690275~-122.370603","Map")</f>
        <v>Map</v>
      </c>
      <c r="N676" s="2" t="str">
        <f>HYPERLINK("http://i-0.rfimg.us/photo/1/bigphoto/523/27209523_1.jpg","Photo")</f>
        <v>Photo</v>
      </c>
      <c r="AG676">
        <v>47.690275</v>
      </c>
      <c r="AH676">
        <v>-122.370603</v>
      </c>
      <c r="AI676" t="s">
        <v>66</v>
      </c>
      <c r="AJ676">
        <v>98117</v>
      </c>
      <c r="BC676" s="22">
        <v>39420.709560185183</v>
      </c>
      <c r="BI676" s="7">
        <v>39513</v>
      </c>
      <c r="BL676">
        <v>7399</v>
      </c>
      <c r="BM676">
        <v>1327640</v>
      </c>
      <c r="BN676" t="s">
        <v>1710</v>
      </c>
      <c r="BO676" s="17">
        <f t="shared" ca="1" si="10"/>
        <v>128.59984583333426</v>
      </c>
      <c r="BP676" t="b">
        <v>0</v>
      </c>
      <c r="BQ676">
        <v>1</v>
      </c>
      <c r="BR676" t="s">
        <v>1667</v>
      </c>
      <c r="BS676" t="s">
        <v>1792</v>
      </c>
      <c r="BT676" t="b">
        <v>0</v>
      </c>
      <c r="BV676" t="s">
        <v>1668</v>
      </c>
      <c r="BW676">
        <v>8359</v>
      </c>
      <c r="BX676" t="s">
        <v>1669</v>
      </c>
      <c r="BY676">
        <v>12312892</v>
      </c>
      <c r="BZ676" t="s">
        <v>1820</v>
      </c>
      <c r="CA676">
        <v>1</v>
      </c>
      <c r="CB676" t="b">
        <v>1</v>
      </c>
      <c r="CC676">
        <v>0</v>
      </c>
      <c r="CD676" t="b">
        <v>0</v>
      </c>
      <c r="CE676" t="b">
        <v>0</v>
      </c>
      <c r="CF676" t="b">
        <v>1</v>
      </c>
      <c r="CG676">
        <v>15519472</v>
      </c>
      <c r="CH676" t="s">
        <v>1681</v>
      </c>
      <c r="CI676" s="10">
        <v>369950</v>
      </c>
    </row>
    <row r="677" spans="1:89">
      <c r="A677">
        <v>27209640</v>
      </c>
      <c r="B677" s="2" t="str">
        <f>HYPERLINK("http://www.redfin.com/stingray/do/printable-listing?listing-id=1338998","Contingent")</f>
        <v>Contingent</v>
      </c>
      <c r="D677" t="s">
        <v>1058</v>
      </c>
      <c r="E677" t="s">
        <v>4505</v>
      </c>
      <c r="F677">
        <v>499900</v>
      </c>
      <c r="G677">
        <v>1994</v>
      </c>
      <c r="H677">
        <v>2070</v>
      </c>
      <c r="I677">
        <v>7213</v>
      </c>
      <c r="J677">
        <v>4</v>
      </c>
      <c r="K677">
        <v>2.75</v>
      </c>
      <c r="M677" s="2" t="str">
        <f>HYPERLINK("http://maps.live.com/default.aspx?v=2&amp;lvl=15&amp;sp=Point.47.712552_-122.197337_12438 107th Pl NE&amp;cp=47.712552~-122.197337","Map")</f>
        <v>Map</v>
      </c>
      <c r="N677" s="2" t="str">
        <f>HYPERLINK("http://i-0.rfimg.us/photo/1/bigphoto/640/27209640_0.jpg","Photo")</f>
        <v>Photo</v>
      </c>
      <c r="AG677">
        <v>47.712552000000002</v>
      </c>
      <c r="AH677">
        <v>-122.197337</v>
      </c>
      <c r="AI677" t="s">
        <v>1058</v>
      </c>
      <c r="AJ677">
        <v>98034</v>
      </c>
      <c r="AN677">
        <v>499000</v>
      </c>
      <c r="BC677" s="22">
        <v>39426.907986111109</v>
      </c>
      <c r="BI677" s="22">
        <v>39549.294907407406</v>
      </c>
      <c r="BL677">
        <v>9998</v>
      </c>
      <c r="BM677">
        <v>1338998</v>
      </c>
      <c r="BN677" t="s">
        <v>4504</v>
      </c>
      <c r="BO677" s="17">
        <f t="shared" ca="1" si="10"/>
        <v>122.40141979166947</v>
      </c>
      <c r="BP677" t="b">
        <v>0</v>
      </c>
      <c r="BQ677">
        <v>2</v>
      </c>
      <c r="BR677" t="s">
        <v>1842</v>
      </c>
      <c r="BS677" t="s">
        <v>2678</v>
      </c>
      <c r="BT677" t="b">
        <v>0</v>
      </c>
      <c r="BV677" t="s">
        <v>1668</v>
      </c>
      <c r="BW677">
        <v>12438</v>
      </c>
      <c r="BX677" t="s">
        <v>1738</v>
      </c>
      <c r="BY677">
        <v>456464</v>
      </c>
      <c r="BZ677" t="s">
        <v>1676</v>
      </c>
      <c r="CA677">
        <v>1</v>
      </c>
      <c r="CB677" t="b">
        <v>1</v>
      </c>
      <c r="CC677">
        <v>0</v>
      </c>
      <c r="CD677" t="b">
        <v>0</v>
      </c>
      <c r="CE677" t="b">
        <v>0</v>
      </c>
      <c r="CF677" t="b">
        <v>1</v>
      </c>
      <c r="CG677">
        <v>2882559</v>
      </c>
      <c r="CH677" t="s">
        <v>1681</v>
      </c>
      <c r="CI677" s="10">
        <v>499900</v>
      </c>
      <c r="CJ677" s="7">
        <v>38656</v>
      </c>
    </row>
    <row r="678" spans="1:89">
      <c r="A678">
        <v>27209829</v>
      </c>
      <c r="B678" s="15" t="str">
        <f>HYPERLINK("http://www.redfin.com/stingray/do/printable-listing?listing-id=1329606","Active")</f>
        <v>Active</v>
      </c>
      <c r="D678" t="s">
        <v>5539</v>
      </c>
      <c r="E678" t="s">
        <v>1657</v>
      </c>
      <c r="F678">
        <v>909000</v>
      </c>
      <c r="G678">
        <v>1999</v>
      </c>
      <c r="H678">
        <v>3540</v>
      </c>
      <c r="I678">
        <v>16416</v>
      </c>
      <c r="J678">
        <v>4</v>
      </c>
      <c r="K678">
        <v>3.5</v>
      </c>
      <c r="M678" s="2" t="str">
        <f>HYPERLINK("http://maps.live.com/default.aspx?v=2&amp;lvl=15&amp;sp=adr.Undisclosed,98006","Map")</f>
        <v>Map</v>
      </c>
      <c r="N678" s="2" t="str">
        <f>HYPERLINK("http://i-0.rfimg.us/photo/1/bigphoto/829/27209829_2.jpg","Photo")</f>
        <v>Photo</v>
      </c>
      <c r="AI678" t="s">
        <v>369</v>
      </c>
      <c r="AJ678">
        <v>98006</v>
      </c>
      <c r="BC678" s="22">
        <v>39421.622662037036</v>
      </c>
      <c r="BI678" s="7">
        <v>39538</v>
      </c>
      <c r="BL678">
        <v>18180</v>
      </c>
      <c r="BM678">
        <v>1329606</v>
      </c>
      <c r="BN678" t="s">
        <v>1737</v>
      </c>
      <c r="BO678" s="17">
        <f t="shared" ca="1" si="10"/>
        <v>127.68674386574276</v>
      </c>
      <c r="BP678" t="b">
        <v>0</v>
      </c>
      <c r="BQ678">
        <v>2</v>
      </c>
      <c r="BT678" t="b">
        <v>1</v>
      </c>
      <c r="BV678" t="s">
        <v>1668</v>
      </c>
      <c r="BY678">
        <v>0</v>
      </c>
      <c r="BZ678" t="s">
        <v>5538</v>
      </c>
      <c r="CA678">
        <v>1</v>
      </c>
      <c r="CB678" t="b">
        <v>1</v>
      </c>
      <c r="CC678">
        <v>0</v>
      </c>
      <c r="CD678" t="b">
        <v>0</v>
      </c>
      <c r="CE678" t="b">
        <v>0</v>
      </c>
      <c r="CF678" t="b">
        <v>1</v>
      </c>
      <c r="CG678" t="s">
        <v>1870</v>
      </c>
      <c r="CH678" t="s">
        <v>1681</v>
      </c>
      <c r="CI678" s="10">
        <v>909000</v>
      </c>
    </row>
    <row r="679" spans="1:89">
      <c r="A679">
        <v>27209871</v>
      </c>
      <c r="B679" s="2" t="str">
        <f>HYPERLINK("http://www.redfin.com/stingray/do/printable-listing?listing-id=1334458","Active")</f>
        <v>Active</v>
      </c>
      <c r="D679" t="s">
        <v>1023</v>
      </c>
      <c r="E679" t="s">
        <v>1305</v>
      </c>
      <c r="F679" s="19">
        <v>1500000</v>
      </c>
      <c r="G679">
        <v>1914</v>
      </c>
      <c r="H679">
        <v>4550</v>
      </c>
      <c r="I679">
        <v>10000</v>
      </c>
      <c r="J679">
        <v>4</v>
      </c>
      <c r="K679">
        <v>3</v>
      </c>
      <c r="M679" s="2" t="str">
        <f>HYPERLINK("http://maps.live.com/default.aspx?v=2&amp;lvl=15&amp;sp=Point.47.679958_-122.400043_3303 NW 71 St&amp;cp=47.679958~-122.400043","Map")</f>
        <v>Map</v>
      </c>
      <c r="N679" s="2" t="str">
        <f>HYPERLINK("http://i-0.rfimg.us/photo/1/bigphoto/871/27209871_2.jpg","Photo")</f>
        <v>Photo</v>
      </c>
      <c r="AG679">
        <v>47.679957999999999</v>
      </c>
      <c r="AH679">
        <v>-122.400043</v>
      </c>
      <c r="AI679" t="s">
        <v>66</v>
      </c>
      <c r="AJ679">
        <v>98117</v>
      </c>
      <c r="BC679" s="22">
        <v>39423.643854166665</v>
      </c>
      <c r="BI679" s="22">
        <v>39549.294907407406</v>
      </c>
      <c r="BL679">
        <v>31500</v>
      </c>
      <c r="BM679">
        <v>1334458</v>
      </c>
      <c r="BN679" t="s">
        <v>1710</v>
      </c>
      <c r="BO679" s="17">
        <f t="shared" ca="1" si="10"/>
        <v>125.6655518518528</v>
      </c>
      <c r="BP679" t="b">
        <v>0</v>
      </c>
      <c r="BQ679">
        <v>1</v>
      </c>
      <c r="BR679" t="s">
        <v>1686</v>
      </c>
      <c r="BS679">
        <v>71</v>
      </c>
      <c r="BT679" t="b">
        <v>0</v>
      </c>
      <c r="BU679" t="s">
        <v>1669</v>
      </c>
      <c r="BV679" t="s">
        <v>1668</v>
      </c>
      <c r="BW679">
        <v>3303</v>
      </c>
      <c r="BY679">
        <v>290219</v>
      </c>
      <c r="BZ679" t="s">
        <v>1927</v>
      </c>
      <c r="CA679">
        <v>1</v>
      </c>
      <c r="CB679" t="b">
        <v>1</v>
      </c>
      <c r="CC679">
        <v>0</v>
      </c>
      <c r="CD679" t="b">
        <v>0</v>
      </c>
      <c r="CE679" t="b">
        <v>0</v>
      </c>
      <c r="CF679" t="b">
        <v>1</v>
      </c>
      <c r="CG679">
        <v>2932593</v>
      </c>
      <c r="CH679" t="s">
        <v>1681</v>
      </c>
      <c r="CI679" s="10">
        <v>1575000</v>
      </c>
      <c r="CK679" t="s">
        <v>2278</v>
      </c>
    </row>
    <row r="680" spans="1:89">
      <c r="A680">
        <v>27209972</v>
      </c>
      <c r="B680" s="2" t="str">
        <f>HYPERLINK("http://www.redfin.com/stingray/do/printable-listing?listing-id=1329954","Active")</f>
        <v>Active</v>
      </c>
      <c r="D680" t="s">
        <v>2848</v>
      </c>
      <c r="E680" t="s">
        <v>2962</v>
      </c>
      <c r="F680">
        <v>1495000</v>
      </c>
      <c r="G680">
        <v>2002</v>
      </c>
      <c r="H680">
        <v>4900</v>
      </c>
      <c r="I680">
        <v>30402</v>
      </c>
      <c r="J680">
        <v>6</v>
      </c>
      <c r="K680">
        <v>4</v>
      </c>
      <c r="M680" s="2" t="str">
        <f>HYPERLINK("http://maps.live.com/default.aspx?v=2&amp;lvl=15&amp;sp=Point.47.718738_-122.253407_6608 NE 130th Ln&amp;cp=47.718738~-122.253407","Map")</f>
        <v>Map</v>
      </c>
      <c r="N680" s="2" t="str">
        <f>HYPERLINK("http://i-0.rfimg.us/photo/1/bigphoto/972/27209972_2.jpg","Photo")</f>
        <v>Photo</v>
      </c>
      <c r="AG680">
        <v>47.718738000000002</v>
      </c>
      <c r="AH680">
        <v>-122.253407</v>
      </c>
      <c r="AI680" t="s">
        <v>1058</v>
      </c>
      <c r="AJ680">
        <v>98034</v>
      </c>
      <c r="AN680">
        <v>175000</v>
      </c>
      <c r="BC680" s="22">
        <v>39421.737141203703</v>
      </c>
      <c r="BI680" s="7">
        <v>39539</v>
      </c>
      <c r="BL680">
        <v>29900</v>
      </c>
      <c r="BM680">
        <v>1329954</v>
      </c>
      <c r="BN680" t="s">
        <v>1674</v>
      </c>
      <c r="BO680" s="17">
        <f t="shared" ca="1" si="10"/>
        <v>127.57226469907619</v>
      </c>
      <c r="BP680" t="b">
        <v>0</v>
      </c>
      <c r="BQ680">
        <v>1</v>
      </c>
      <c r="BR680" t="s">
        <v>2963</v>
      </c>
      <c r="BS680" t="s">
        <v>2964</v>
      </c>
      <c r="BT680" t="b">
        <v>0</v>
      </c>
      <c r="BU680" t="s">
        <v>1738</v>
      </c>
      <c r="BV680" t="s">
        <v>1668</v>
      </c>
      <c r="BW680">
        <v>6608</v>
      </c>
      <c r="BY680">
        <v>282311</v>
      </c>
      <c r="BZ680" t="s">
        <v>2965</v>
      </c>
      <c r="CA680">
        <v>1</v>
      </c>
      <c r="CB680" t="b">
        <v>1</v>
      </c>
      <c r="CC680">
        <v>0</v>
      </c>
      <c r="CD680" t="b">
        <v>0</v>
      </c>
      <c r="CE680" t="b">
        <v>0</v>
      </c>
      <c r="CF680" t="b">
        <v>1</v>
      </c>
      <c r="CG680">
        <v>2815033</v>
      </c>
      <c r="CH680" t="s">
        <v>1681</v>
      </c>
      <c r="CI680" s="10">
        <v>1495000</v>
      </c>
      <c r="CJ680" s="7">
        <v>37113</v>
      </c>
    </row>
    <row r="681" spans="1:89">
      <c r="A681">
        <v>27210080</v>
      </c>
      <c r="B681" s="2" t="str">
        <f>HYPERLINK("http://www.redfin.com/stingray/do/printable-listing?listing-id=1331350","Active")</f>
        <v>Active</v>
      </c>
      <c r="D681" t="s">
        <v>3064</v>
      </c>
      <c r="E681" t="s">
        <v>6015</v>
      </c>
      <c r="F681" s="19">
        <v>435000</v>
      </c>
      <c r="G681">
        <v>1962</v>
      </c>
      <c r="H681">
        <v>2960</v>
      </c>
      <c r="I681">
        <v>13809</v>
      </c>
      <c r="J681">
        <v>6</v>
      </c>
      <c r="K681">
        <v>2.75</v>
      </c>
      <c r="M681" s="2" t="str">
        <f>HYPERLINK("http://maps.live.com/default.aspx?v=2&amp;lvl=15&amp;sp=Point.47.499604_-122.175682_1025 Monroe Ave NE&amp;cp=47.499604~-122.175682","Map")</f>
        <v>Map</v>
      </c>
      <c r="N681" s="2" t="str">
        <f>HYPERLINK("http://i-0.rfimg.us/photo/1/bigphoto/080/27210080_2.jpg","Photo")</f>
        <v>Photo</v>
      </c>
      <c r="AG681">
        <v>47.499603999999998</v>
      </c>
      <c r="AH681">
        <v>-122.17568199999999</v>
      </c>
      <c r="AI681" t="s">
        <v>1077</v>
      </c>
      <c r="AJ681">
        <v>98056</v>
      </c>
      <c r="AN681">
        <v>305000</v>
      </c>
      <c r="BC681" s="22">
        <v>39422.421539351853</v>
      </c>
      <c r="BI681" s="22">
        <v>39549.294907407406</v>
      </c>
      <c r="BL681">
        <v>9100</v>
      </c>
      <c r="BM681">
        <v>1331350</v>
      </c>
      <c r="BN681" t="s">
        <v>1737</v>
      </c>
      <c r="BO681" s="17">
        <f t="shared" ca="1" si="10"/>
        <v>126.88786655092554</v>
      </c>
      <c r="BP681" t="b">
        <v>0</v>
      </c>
      <c r="BQ681">
        <v>1</v>
      </c>
      <c r="BR681" t="s">
        <v>1667</v>
      </c>
      <c r="BS681" t="s">
        <v>6016</v>
      </c>
      <c r="BT681" t="b">
        <v>0</v>
      </c>
      <c r="BV681" t="s">
        <v>1668</v>
      </c>
      <c r="BW681">
        <v>1025</v>
      </c>
      <c r="BX681" t="s">
        <v>1738</v>
      </c>
      <c r="BY681">
        <v>242631</v>
      </c>
      <c r="BZ681" t="s">
        <v>6017</v>
      </c>
      <c r="CA681">
        <v>1</v>
      </c>
      <c r="CB681" t="b">
        <v>1</v>
      </c>
      <c r="CC681">
        <v>0</v>
      </c>
      <c r="CD681" t="b">
        <v>0</v>
      </c>
      <c r="CE681" t="b">
        <v>0</v>
      </c>
      <c r="CF681" t="b">
        <v>1</v>
      </c>
      <c r="CG681">
        <v>2901509</v>
      </c>
      <c r="CH681" t="s">
        <v>1681</v>
      </c>
      <c r="CI681" s="10">
        <v>455000</v>
      </c>
      <c r="CJ681" s="7">
        <v>38287</v>
      </c>
    </row>
    <row r="682" spans="1:89">
      <c r="A682">
        <v>27210184</v>
      </c>
      <c r="B682" s="2" t="str">
        <f>HYPERLINK("http://www.redfin.com/stingray/do/printable-listing?listing-id=1331756","Active")</f>
        <v>Active</v>
      </c>
      <c r="D682" t="s">
        <v>4777</v>
      </c>
      <c r="E682" t="s">
        <v>4996</v>
      </c>
      <c r="F682">
        <v>889950</v>
      </c>
      <c r="G682">
        <v>1984</v>
      </c>
      <c r="H682">
        <v>2190</v>
      </c>
      <c r="I682">
        <v>7200</v>
      </c>
      <c r="J682">
        <v>4</v>
      </c>
      <c r="K682">
        <v>2.75</v>
      </c>
      <c r="M682" s="2" t="str">
        <f>HYPERLINK("http://maps.live.com/default.aspx?v=2&amp;lvl=15&amp;sp=Point.47.664927_-122.193989_10925 NE 66th Pl&amp;cp=47.664927~-122.193989","Map")</f>
        <v>Map</v>
      </c>
      <c r="N682" s="2" t="str">
        <f>HYPERLINK("http://i-0.rfimg.us/photo/1/bigphoto/184/27210184_1.jpg","Photo")</f>
        <v>Photo</v>
      </c>
      <c r="AG682">
        <v>47.664926999999999</v>
      </c>
      <c r="AH682">
        <v>-122.193989</v>
      </c>
      <c r="AI682" t="s">
        <v>1058</v>
      </c>
      <c r="AJ682">
        <v>98033</v>
      </c>
      <c r="AN682">
        <v>375000</v>
      </c>
      <c r="BC682" s="22">
        <v>39422.528275462966</v>
      </c>
      <c r="BI682" s="22">
        <v>39549.294907407406</v>
      </c>
      <c r="BL682">
        <v>17799</v>
      </c>
      <c r="BM682">
        <v>1331756</v>
      </c>
      <c r="BN682" t="s">
        <v>3117</v>
      </c>
      <c r="BO682" s="17">
        <f t="shared" ca="1" si="10"/>
        <v>126.78113043981284</v>
      </c>
      <c r="BP682" t="b">
        <v>0</v>
      </c>
      <c r="BQ682">
        <v>1</v>
      </c>
      <c r="BR682" t="s">
        <v>1842</v>
      </c>
      <c r="BS682" t="s">
        <v>1915</v>
      </c>
      <c r="BT682" t="b">
        <v>0</v>
      </c>
      <c r="BU682" t="s">
        <v>1738</v>
      </c>
      <c r="BV682" t="s">
        <v>1668</v>
      </c>
      <c r="BW682">
        <v>10925</v>
      </c>
      <c r="BY682">
        <v>459953</v>
      </c>
      <c r="BZ682" t="s">
        <v>1704</v>
      </c>
      <c r="CA682">
        <v>1</v>
      </c>
      <c r="CB682" t="b">
        <v>1</v>
      </c>
      <c r="CC682">
        <v>0</v>
      </c>
      <c r="CD682" t="b">
        <v>0</v>
      </c>
      <c r="CE682" t="b">
        <v>0</v>
      </c>
      <c r="CF682" t="b">
        <v>1</v>
      </c>
      <c r="CG682">
        <v>2517620</v>
      </c>
      <c r="CH682" t="s">
        <v>1681</v>
      </c>
      <c r="CI682" s="10">
        <v>889950</v>
      </c>
      <c r="CJ682" s="7">
        <v>37890</v>
      </c>
    </row>
    <row r="683" spans="1:89">
      <c r="A683">
        <v>27210373</v>
      </c>
      <c r="B683" s="2" t="str">
        <f>HYPERLINK("http://www.redfin.com/stingray/do/printable-listing?listing-id=1333920","Active")</f>
        <v>Active</v>
      </c>
      <c r="D683" t="s">
        <v>5565</v>
      </c>
      <c r="E683" t="s">
        <v>5597</v>
      </c>
      <c r="F683">
        <v>585950</v>
      </c>
      <c r="G683">
        <v>1963</v>
      </c>
      <c r="H683">
        <v>2210</v>
      </c>
      <c r="I683">
        <v>8440</v>
      </c>
      <c r="J683">
        <v>4</v>
      </c>
      <c r="K683">
        <v>2.25</v>
      </c>
      <c r="M683" s="2" t="str">
        <f>HYPERLINK("http://maps.live.com/default.aspx?v=2&amp;lvl=15&amp;sp=Point.47.548347_-122.178642_6023 121st Ave SE&amp;cp=47.548347~-122.178642","Map")</f>
        <v>Map</v>
      </c>
      <c r="N683" s="2" t="str">
        <f>HYPERLINK("http://i-0.rfimg.us/photo/1/bigphoto/373/27210373_1.jpg","Photo")</f>
        <v>Photo</v>
      </c>
      <c r="AG683">
        <v>47.548347</v>
      </c>
      <c r="AH683">
        <v>-122.178642</v>
      </c>
      <c r="AI683" t="s">
        <v>369</v>
      </c>
      <c r="AJ683">
        <v>98006</v>
      </c>
      <c r="AN683">
        <v>325000</v>
      </c>
      <c r="BC683" s="22">
        <v>39423.485138888886</v>
      </c>
      <c r="BI683" s="22">
        <v>39549.294907407406</v>
      </c>
      <c r="BL683">
        <v>11719</v>
      </c>
      <c r="BM683">
        <v>1333920</v>
      </c>
      <c r="BN683" t="s">
        <v>1674</v>
      </c>
      <c r="BO683" s="17">
        <f t="shared" ca="1" si="10"/>
        <v>125.8242670138934</v>
      </c>
      <c r="BP683" t="b">
        <v>0</v>
      </c>
      <c r="BQ683">
        <v>1</v>
      </c>
      <c r="BR683" t="s">
        <v>1667</v>
      </c>
      <c r="BS683" t="s">
        <v>4414</v>
      </c>
      <c r="BT683" t="b">
        <v>0</v>
      </c>
      <c r="BV683" t="s">
        <v>1668</v>
      </c>
      <c r="BW683">
        <v>6023</v>
      </c>
      <c r="BX683" t="s">
        <v>3856</v>
      </c>
      <c r="BY683">
        <v>413743</v>
      </c>
      <c r="BZ683" t="s">
        <v>1911</v>
      </c>
      <c r="CA683">
        <v>1</v>
      </c>
      <c r="CB683" t="b">
        <v>1</v>
      </c>
      <c r="CC683">
        <v>0</v>
      </c>
      <c r="CD683" t="b">
        <v>0</v>
      </c>
      <c r="CE683" t="b">
        <v>0</v>
      </c>
      <c r="CF683" t="b">
        <v>1</v>
      </c>
      <c r="CG683">
        <v>2797168</v>
      </c>
      <c r="CH683" t="s">
        <v>1681</v>
      </c>
      <c r="CI683" s="10">
        <v>585950</v>
      </c>
      <c r="CJ683" s="7">
        <v>37106</v>
      </c>
    </row>
    <row r="684" spans="1:89">
      <c r="A684">
        <v>27210417</v>
      </c>
      <c r="B684" s="2" t="str">
        <f>HYPERLINK("http://www.redfin.com/stingray/do/printable-listing?listing-id=1334205","Active")</f>
        <v>Active</v>
      </c>
      <c r="D684" t="s">
        <v>100</v>
      </c>
      <c r="E684" t="s">
        <v>685</v>
      </c>
      <c r="F684">
        <v>399950</v>
      </c>
      <c r="G684">
        <v>1921</v>
      </c>
      <c r="H684">
        <v>800</v>
      </c>
      <c r="I684">
        <v>3880</v>
      </c>
      <c r="J684">
        <v>2</v>
      </c>
      <c r="K684">
        <v>1</v>
      </c>
      <c r="M684" s="2" t="str">
        <f>HYPERLINK("http://maps.live.com/default.aspx?v=2&amp;lvl=15&amp;sp=Point.47.661963_-122.354906_335 NW 46th St&amp;cp=47.661963~-122.354906","Map")</f>
        <v>Map</v>
      </c>
      <c r="N684" s="2" t="str">
        <f>HYPERLINK("http://i-0.rfimg.us/photo/1/bigphoto/417/27210417_1.jpg","Photo")</f>
        <v>Photo</v>
      </c>
      <c r="AG684">
        <v>47.661963</v>
      </c>
      <c r="AH684">
        <v>-122.354906</v>
      </c>
      <c r="AI684" t="s">
        <v>66</v>
      </c>
      <c r="AJ684">
        <v>98103</v>
      </c>
      <c r="BC684" s="22">
        <v>39423.561111111114</v>
      </c>
      <c r="BI684" s="22">
        <v>39549.294907407406</v>
      </c>
      <c r="BL684">
        <v>7999</v>
      </c>
      <c r="BM684">
        <v>1334205</v>
      </c>
      <c r="BN684" t="s">
        <v>1817</v>
      </c>
      <c r="BO684" s="17">
        <f t="shared" ca="1" si="10"/>
        <v>125.74829490740376</v>
      </c>
      <c r="BP684" t="b">
        <v>0</v>
      </c>
      <c r="BQ684">
        <v>1</v>
      </c>
      <c r="BR684" t="s">
        <v>1686</v>
      </c>
      <c r="BS684" t="s">
        <v>2471</v>
      </c>
      <c r="BT684" t="b">
        <v>0</v>
      </c>
      <c r="BU684" t="s">
        <v>1669</v>
      </c>
      <c r="BV684" t="s">
        <v>1668</v>
      </c>
      <c r="BW684">
        <v>335</v>
      </c>
      <c r="BY684">
        <v>12314836</v>
      </c>
      <c r="BZ684" t="s">
        <v>1836</v>
      </c>
      <c r="CA684">
        <v>1</v>
      </c>
      <c r="CB684" t="b">
        <v>1</v>
      </c>
      <c r="CC684">
        <v>0</v>
      </c>
      <c r="CD684" t="b">
        <v>0</v>
      </c>
      <c r="CE684" t="b">
        <v>0</v>
      </c>
      <c r="CF684" t="b">
        <v>1</v>
      </c>
      <c r="CG684">
        <v>15521361</v>
      </c>
      <c r="CH684" t="s">
        <v>1681</v>
      </c>
      <c r="CI684" s="10">
        <v>399950</v>
      </c>
    </row>
    <row r="685" spans="1:89">
      <c r="A685">
        <v>27210643</v>
      </c>
      <c r="B685" s="2" t="str">
        <f>HYPERLINK("http://www.redfin.com/stingray/do/printable-listing?listing-id=1334457","Active")</f>
        <v>Active</v>
      </c>
      <c r="D685" t="s">
        <v>3079</v>
      </c>
      <c r="E685" t="s">
        <v>4832</v>
      </c>
      <c r="F685">
        <v>789900</v>
      </c>
      <c r="G685">
        <v>1952</v>
      </c>
      <c r="H685">
        <v>0</v>
      </c>
      <c r="I685">
        <v>6000</v>
      </c>
      <c r="J685">
        <v>2</v>
      </c>
      <c r="K685">
        <v>2</v>
      </c>
      <c r="M685" s="2" t="str">
        <f>HYPERLINK("http://maps.live.com/default.aspx?v=2&amp;lvl=15&amp;sp=Point.47.689381_-122.21083_1620 6 St W&amp;cp=47.689381~-122.21083","Map")</f>
        <v>Map</v>
      </c>
      <c r="N685" s="2" t="str">
        <f>HYPERLINK("http://i-0.rfimg.us/photo/1/bigphoto/643/27210643_0.jpg","Photo")</f>
        <v>Photo</v>
      </c>
      <c r="AG685">
        <v>47.689380999999997</v>
      </c>
      <c r="AH685">
        <v>-122.21083</v>
      </c>
      <c r="AI685" t="s">
        <v>1058</v>
      </c>
      <c r="AJ685">
        <v>98033</v>
      </c>
      <c r="AN685">
        <v>645000</v>
      </c>
      <c r="BC685" s="22">
        <v>39423.64371527778</v>
      </c>
      <c r="BI685" s="7">
        <v>39542</v>
      </c>
      <c r="BL685">
        <v>15798</v>
      </c>
      <c r="BM685">
        <v>1334457</v>
      </c>
      <c r="BN685" t="s">
        <v>1737</v>
      </c>
      <c r="BO685" s="17">
        <f t="shared" ca="1" si="10"/>
        <v>125.66569062499912</v>
      </c>
      <c r="BP685" t="b">
        <v>0</v>
      </c>
      <c r="BQ685">
        <v>1</v>
      </c>
      <c r="BR685" t="s">
        <v>1686</v>
      </c>
      <c r="BS685">
        <v>6</v>
      </c>
      <c r="BT685" t="b">
        <v>0</v>
      </c>
      <c r="BV685" t="s">
        <v>1668</v>
      </c>
      <c r="BW685">
        <v>1620</v>
      </c>
      <c r="BX685" t="s">
        <v>2423</v>
      </c>
      <c r="BY685">
        <v>461549</v>
      </c>
      <c r="BZ685" t="s">
        <v>1743</v>
      </c>
      <c r="CA685">
        <v>1</v>
      </c>
      <c r="CB685" t="b">
        <v>1</v>
      </c>
      <c r="CC685">
        <v>0</v>
      </c>
      <c r="CD685" t="b">
        <v>0</v>
      </c>
      <c r="CE685" t="b">
        <v>0</v>
      </c>
      <c r="CF685" t="b">
        <v>1</v>
      </c>
      <c r="CG685">
        <v>2430425</v>
      </c>
      <c r="CH685" t="s">
        <v>1681</v>
      </c>
      <c r="CI685" s="10">
        <v>789900</v>
      </c>
      <c r="CJ685" s="7">
        <v>38923</v>
      </c>
    </row>
    <row r="686" spans="1:89">
      <c r="A686">
        <v>27210659</v>
      </c>
      <c r="B686" s="2" t="str">
        <f>HYPERLINK("http://www.redfin.com/stingray/do/printable-listing?listing-id=1338161","Active")</f>
        <v>Active</v>
      </c>
      <c r="D686" t="s">
        <v>3249</v>
      </c>
      <c r="E686" t="s">
        <v>3551</v>
      </c>
      <c r="F686">
        <v>619950</v>
      </c>
      <c r="G686">
        <v>2008</v>
      </c>
      <c r="H686">
        <v>0</v>
      </c>
      <c r="I686">
        <v>0</v>
      </c>
      <c r="J686">
        <v>3</v>
      </c>
      <c r="K686">
        <v>1.75</v>
      </c>
      <c r="M686" s="2" t="str">
        <f>HYPERLINK("http://maps.live.com/default.aspx?v=2&amp;lvl=15&amp;sp=Point.47.638495_-122.352623_210 Boston nA&amp;cp=47.638495~-122.352623","Map")</f>
        <v>Map</v>
      </c>
      <c r="N686" s="2" t="str">
        <f>HYPERLINK("http://i-0.rfimg.us/photo/1/bigphoto/659/27210659_3.jpg","Photo")</f>
        <v>Photo</v>
      </c>
      <c r="AG686">
        <v>47.638494999999999</v>
      </c>
      <c r="AH686">
        <v>-122.35262299999999</v>
      </c>
      <c r="AI686" t="s">
        <v>66</v>
      </c>
      <c r="AJ686">
        <v>98109</v>
      </c>
      <c r="AM686" t="s">
        <v>1722</v>
      </c>
      <c r="BC686" s="22">
        <v>39426.572395833333</v>
      </c>
      <c r="BI686" s="22">
        <v>39549.294907407406</v>
      </c>
      <c r="BL686">
        <v>12399</v>
      </c>
      <c r="BM686">
        <v>1338161</v>
      </c>
      <c r="BN686" t="s">
        <v>1718</v>
      </c>
      <c r="BO686" s="17">
        <f t="shared" ca="1" si="10"/>
        <v>122.73701006944611</v>
      </c>
      <c r="BP686" t="b">
        <v>0</v>
      </c>
      <c r="BQ686">
        <v>1</v>
      </c>
      <c r="BS686" t="s">
        <v>3321</v>
      </c>
      <c r="BT686" t="b">
        <v>0</v>
      </c>
      <c r="BV686" t="s">
        <v>1668</v>
      </c>
      <c r="BW686">
        <v>210</v>
      </c>
      <c r="BY686">
        <v>12315468</v>
      </c>
      <c r="BZ686" t="s">
        <v>3552</v>
      </c>
      <c r="CA686">
        <v>1</v>
      </c>
      <c r="CB686" t="b">
        <v>1</v>
      </c>
      <c r="CC686">
        <v>0</v>
      </c>
      <c r="CD686" t="b">
        <v>0</v>
      </c>
      <c r="CE686" t="b">
        <v>0</v>
      </c>
      <c r="CF686" t="b">
        <v>1</v>
      </c>
      <c r="CG686">
        <v>15521937</v>
      </c>
      <c r="CH686" t="s">
        <v>1681</v>
      </c>
      <c r="CI686" s="10">
        <v>619950</v>
      </c>
    </row>
    <row r="687" spans="1:89">
      <c r="A687">
        <v>27210670</v>
      </c>
      <c r="B687" s="2" t="str">
        <f>HYPERLINK("http://www.redfin.com/stingray/do/printable-listing?listing-id=1334360","Active")</f>
        <v>Active</v>
      </c>
      <c r="D687" t="s">
        <v>63</v>
      </c>
      <c r="E687" t="s">
        <v>1750</v>
      </c>
      <c r="F687">
        <v>409950</v>
      </c>
      <c r="G687">
        <v>2008</v>
      </c>
      <c r="H687">
        <v>1450</v>
      </c>
      <c r="I687">
        <v>0</v>
      </c>
      <c r="J687">
        <v>3</v>
      </c>
      <c r="K687">
        <v>2.5</v>
      </c>
      <c r="M687" s="2" t="str">
        <f>HYPERLINK("http://maps.live.com/default.aspx?v=2&amp;lvl=15&amp;sp=Point.47.678934_-122.387803_6743 24th Ave NW nB&amp;cp=47.678934~-122.387803","Map")</f>
        <v>Map</v>
      </c>
      <c r="N687" s="2" t="str">
        <f>HYPERLINK("http://i-0.rfimg.us/photo/1/bigphoto/670/27210670_0.jpg","Photo")</f>
        <v>Photo</v>
      </c>
      <c r="AG687">
        <v>47.678933999999998</v>
      </c>
      <c r="AH687">
        <v>-122.38780300000001</v>
      </c>
      <c r="AI687" t="s">
        <v>66</v>
      </c>
      <c r="AJ687">
        <v>98117</v>
      </c>
      <c r="AM687" t="s">
        <v>1699</v>
      </c>
      <c r="BC687" s="22">
        <v>39423.611666666664</v>
      </c>
      <c r="BI687" s="22">
        <v>39549.294907407406</v>
      </c>
      <c r="BL687">
        <v>8199</v>
      </c>
      <c r="BM687">
        <v>1334360</v>
      </c>
      <c r="BN687" t="s">
        <v>1700</v>
      </c>
      <c r="BO687" s="17">
        <f t="shared" ca="1" si="10"/>
        <v>125.69773935185367</v>
      </c>
      <c r="BP687" t="b">
        <v>0</v>
      </c>
      <c r="BQ687">
        <v>1</v>
      </c>
      <c r="BR687" t="s">
        <v>1667</v>
      </c>
      <c r="BS687" t="s">
        <v>1740</v>
      </c>
      <c r="BT687" t="b">
        <v>0</v>
      </c>
      <c r="BV687" t="s">
        <v>1668</v>
      </c>
      <c r="BW687">
        <v>6743</v>
      </c>
      <c r="BX687" t="s">
        <v>1669</v>
      </c>
      <c r="BY687">
        <v>12314855</v>
      </c>
      <c r="BZ687" t="s">
        <v>1696</v>
      </c>
      <c r="CA687">
        <v>1</v>
      </c>
      <c r="CB687" t="b">
        <v>1</v>
      </c>
      <c r="CC687">
        <v>0</v>
      </c>
      <c r="CD687" t="b">
        <v>0</v>
      </c>
      <c r="CE687" t="b">
        <v>0</v>
      </c>
      <c r="CF687" t="b">
        <v>1</v>
      </c>
      <c r="CG687">
        <v>15521380</v>
      </c>
      <c r="CH687" t="s">
        <v>1681</v>
      </c>
      <c r="CI687" s="10">
        <v>409950</v>
      </c>
    </row>
    <row r="688" spans="1:89">
      <c r="A688">
        <v>27210672</v>
      </c>
      <c r="B688" s="2" t="str">
        <f>HYPERLINK("http://www.redfin.com/stingray/do/printable-listing?listing-id=1334359","Active")</f>
        <v>Active</v>
      </c>
      <c r="D688" t="s">
        <v>4542</v>
      </c>
      <c r="E688" t="s">
        <v>4867</v>
      </c>
      <c r="F688">
        <v>699000</v>
      </c>
      <c r="G688">
        <v>1939</v>
      </c>
      <c r="H688">
        <v>900</v>
      </c>
      <c r="I688">
        <v>7200</v>
      </c>
      <c r="J688">
        <v>2</v>
      </c>
      <c r="K688">
        <v>1</v>
      </c>
      <c r="M688" s="2" t="str">
        <f>HYPERLINK("http://maps.live.com/default.aspx?v=2&amp;lvl=15&amp;sp=Point.47.681963_-122.205479_227 9th Ave&amp;cp=47.681963~-122.205479","Map")</f>
        <v>Map</v>
      </c>
      <c r="N688" s="2" t="str">
        <f>HYPERLINK("http://i-0.rfimg.us/photo/1/bigphoto/672/27210672_0.jpg","Photo")</f>
        <v>Photo</v>
      </c>
      <c r="AG688">
        <v>47.681963000000003</v>
      </c>
      <c r="AH688">
        <v>-122.205479</v>
      </c>
      <c r="AI688" t="s">
        <v>1058</v>
      </c>
      <c r="AJ688">
        <v>98033</v>
      </c>
      <c r="AN688">
        <v>435000</v>
      </c>
      <c r="BC688" s="22">
        <v>39423.611631944441</v>
      </c>
      <c r="BI688" s="22">
        <v>39549.294907407406</v>
      </c>
      <c r="BL688">
        <v>13980</v>
      </c>
      <c r="BM688">
        <v>1334359</v>
      </c>
      <c r="BN688" t="s">
        <v>1768</v>
      </c>
      <c r="BO688" s="17">
        <f t="shared" ca="1" si="10"/>
        <v>125.69777395833808</v>
      </c>
      <c r="BP688" t="b">
        <v>0</v>
      </c>
      <c r="BQ688">
        <v>1</v>
      </c>
      <c r="BR688" t="s">
        <v>1667</v>
      </c>
      <c r="BS688" t="s">
        <v>1785</v>
      </c>
      <c r="BT688" t="b">
        <v>0</v>
      </c>
      <c r="BV688" t="s">
        <v>1668</v>
      </c>
      <c r="BW688">
        <v>227</v>
      </c>
      <c r="BY688">
        <v>464093</v>
      </c>
      <c r="BZ688" t="s">
        <v>1696</v>
      </c>
      <c r="CA688">
        <v>1</v>
      </c>
      <c r="CB688" t="b">
        <v>1</v>
      </c>
      <c r="CC688">
        <v>0</v>
      </c>
      <c r="CD688" t="b">
        <v>0</v>
      </c>
      <c r="CE688" t="b">
        <v>0</v>
      </c>
      <c r="CF688" t="b">
        <v>1</v>
      </c>
      <c r="CG688">
        <v>2578792</v>
      </c>
      <c r="CH688" t="s">
        <v>1681</v>
      </c>
      <c r="CI688" s="10">
        <v>699000</v>
      </c>
      <c r="CJ688" s="7">
        <v>38085</v>
      </c>
    </row>
    <row r="689" spans="1:88">
      <c r="A689">
        <v>27210698</v>
      </c>
      <c r="B689" s="2" t="str">
        <f>HYPERLINK("http://www.redfin.com/stingray/do/printable-listing?listing-id=1334465","Subject To Inspection")</f>
        <v>Subject To Inspection</v>
      </c>
      <c r="D689" t="s">
        <v>4260</v>
      </c>
      <c r="E689" t="s">
        <v>4258</v>
      </c>
      <c r="F689">
        <v>424450</v>
      </c>
      <c r="G689">
        <v>1990</v>
      </c>
      <c r="H689">
        <v>2610</v>
      </c>
      <c r="I689">
        <v>2400</v>
      </c>
      <c r="J689">
        <v>5</v>
      </c>
      <c r="K689">
        <v>3</v>
      </c>
      <c r="M689" s="2" t="str">
        <f>HYPERLINK("http://maps.live.com/default.aspx?v=2&amp;lvl=15&amp;sp=Point.47.597712_-122.297136_510 Martin Luther King Junior Way S&amp;cp=47.597712~-122.297136","Map")</f>
        <v>Map</v>
      </c>
      <c r="N689" s="2" t="str">
        <f>HYPERLINK("http://i-0.rfimg.us/photo/1/bigphoto/698/27210698_0.jpg","Photo")</f>
        <v>Photo</v>
      </c>
      <c r="AG689">
        <v>47.597712000000001</v>
      </c>
      <c r="AH689">
        <v>-122.29713599999999</v>
      </c>
      <c r="AI689" t="s">
        <v>66</v>
      </c>
      <c r="AJ689">
        <v>98144</v>
      </c>
      <c r="AN689">
        <v>440000</v>
      </c>
      <c r="BC689" s="22">
        <v>39423.644108796296</v>
      </c>
      <c r="BI689" s="22">
        <v>39549.294907407406</v>
      </c>
      <c r="BL689">
        <v>8489</v>
      </c>
      <c r="BM689">
        <v>1334465</v>
      </c>
      <c r="BN689" t="s">
        <v>4257</v>
      </c>
      <c r="BO689" s="17">
        <f t="shared" ca="1" si="10"/>
        <v>125.66529710648319</v>
      </c>
      <c r="BP689" t="b">
        <v>0</v>
      </c>
      <c r="BQ689">
        <v>2</v>
      </c>
      <c r="BR689" t="s">
        <v>2463</v>
      </c>
      <c r="BS689" t="s">
        <v>4259</v>
      </c>
      <c r="BT689" t="b">
        <v>0</v>
      </c>
      <c r="BV689" t="s">
        <v>1668</v>
      </c>
      <c r="BW689">
        <v>510</v>
      </c>
      <c r="BX689" t="s">
        <v>1881</v>
      </c>
      <c r="BY689">
        <v>148515</v>
      </c>
      <c r="BZ689" t="s">
        <v>1747</v>
      </c>
      <c r="CA689">
        <v>1</v>
      </c>
      <c r="CB689" t="b">
        <v>1</v>
      </c>
      <c r="CC689">
        <v>0</v>
      </c>
      <c r="CD689" t="b">
        <v>0</v>
      </c>
      <c r="CE689" t="b">
        <v>0</v>
      </c>
      <c r="CF689" t="b">
        <v>1</v>
      </c>
      <c r="CG689">
        <v>2973564</v>
      </c>
      <c r="CH689" t="s">
        <v>1681</v>
      </c>
      <c r="CI689" s="10">
        <v>424450</v>
      </c>
      <c r="CJ689" s="7">
        <v>39038</v>
      </c>
    </row>
    <row r="690" spans="1:88">
      <c r="A690">
        <v>27210741</v>
      </c>
      <c r="B690" s="2" t="str">
        <f>HYPERLINK("http://www.redfin.com/stingray/do/printable-listing?listing-id=1334558","Active")</f>
        <v>Active</v>
      </c>
      <c r="D690" t="s">
        <v>3681</v>
      </c>
      <c r="E690" t="s">
        <v>3729</v>
      </c>
      <c r="F690">
        <v>699000</v>
      </c>
      <c r="G690">
        <v>1914</v>
      </c>
      <c r="H690">
        <v>4080</v>
      </c>
      <c r="I690">
        <v>4500</v>
      </c>
      <c r="J690">
        <v>7</v>
      </c>
      <c r="K690">
        <v>2.75</v>
      </c>
      <c r="M690" s="2" t="str">
        <f>HYPERLINK("http://maps.live.com/default.aspx?v=2&amp;lvl=15&amp;sp=Point.47.635563_-122.301219_1808 24 Ave E&amp;cp=47.635563~-122.301219","Map")</f>
        <v>Map</v>
      </c>
      <c r="N690" s="2" t="str">
        <f>HYPERLINK("http://i-0.rfimg.us/photo/1/bigphoto/741/27210741_0.jpg","Photo")</f>
        <v>Photo</v>
      </c>
      <c r="AG690">
        <v>47.635562999999998</v>
      </c>
      <c r="AH690">
        <v>-122.301219</v>
      </c>
      <c r="AI690" t="s">
        <v>66</v>
      </c>
      <c r="AJ690">
        <v>98112</v>
      </c>
      <c r="AN690">
        <v>34001</v>
      </c>
      <c r="BC690" s="22">
        <v>39423.674201388887</v>
      </c>
      <c r="BI690" s="22">
        <v>39549.294907407406</v>
      </c>
      <c r="BL690">
        <v>13980</v>
      </c>
      <c r="BM690">
        <v>1334558</v>
      </c>
      <c r="BN690" t="s">
        <v>1688</v>
      </c>
      <c r="BO690" s="17">
        <f t="shared" ca="1" si="10"/>
        <v>125.63520451389195</v>
      </c>
      <c r="BP690" t="b">
        <v>0</v>
      </c>
      <c r="BQ690">
        <v>1</v>
      </c>
      <c r="BR690" t="s">
        <v>1667</v>
      </c>
      <c r="BS690">
        <v>24</v>
      </c>
      <c r="BT690" t="b">
        <v>0</v>
      </c>
      <c r="BV690" t="s">
        <v>1668</v>
      </c>
      <c r="BW690">
        <v>1808</v>
      </c>
      <c r="BX690" t="s">
        <v>2436</v>
      </c>
      <c r="BY690">
        <v>138017</v>
      </c>
      <c r="BZ690" t="s">
        <v>1696</v>
      </c>
      <c r="CA690">
        <v>1</v>
      </c>
      <c r="CB690" t="b">
        <v>1</v>
      </c>
      <c r="CC690">
        <v>0</v>
      </c>
      <c r="CD690" t="b">
        <v>0</v>
      </c>
      <c r="CE690" t="b">
        <v>0</v>
      </c>
      <c r="CF690" t="b">
        <v>1</v>
      </c>
      <c r="CG690">
        <v>2383194</v>
      </c>
      <c r="CH690" t="s">
        <v>1681</v>
      </c>
      <c r="CI690" s="10">
        <v>699000</v>
      </c>
      <c r="CJ690" s="7">
        <v>37378</v>
      </c>
    </row>
    <row r="691" spans="1:88">
      <c r="A691">
        <v>27210861</v>
      </c>
      <c r="B691" s="2" t="str">
        <f>HYPERLINK("http://www.redfin.com/stingray/do/printable-listing?listing-id=1334910","Active")</f>
        <v>Active</v>
      </c>
      <c r="D691" t="s">
        <v>5578</v>
      </c>
      <c r="E691" t="s">
        <v>1657</v>
      </c>
      <c r="F691">
        <v>949000</v>
      </c>
      <c r="G691">
        <v>1996</v>
      </c>
      <c r="H691">
        <v>3510</v>
      </c>
      <c r="I691">
        <v>11144</v>
      </c>
      <c r="J691">
        <v>4</v>
      </c>
      <c r="K691">
        <v>3.5</v>
      </c>
      <c r="M691" s="2" t="str">
        <f>HYPERLINK("http://maps.live.com/default.aspx?v=2&amp;lvl=15&amp;sp=adr.Undisclosed,98027","Map")</f>
        <v>Map</v>
      </c>
      <c r="N691" s="2" t="str">
        <f>HYPERLINK("http://i-0.rfimg.us/photo/1/bigphoto/861/27210861_1.jpg","Photo")</f>
        <v>Photo</v>
      </c>
      <c r="AI691" t="s">
        <v>5280</v>
      </c>
      <c r="AJ691">
        <v>98027</v>
      </c>
      <c r="BC691" s="22">
        <v>39423.789768518516</v>
      </c>
      <c r="BI691" s="7">
        <v>39538</v>
      </c>
      <c r="BL691">
        <v>18980</v>
      </c>
      <c r="BM691">
        <v>1334910</v>
      </c>
      <c r="BN691" t="s">
        <v>1737</v>
      </c>
      <c r="BO691" s="17">
        <f t="shared" ca="1" si="10"/>
        <v>125.51963738426275</v>
      </c>
      <c r="BP691" t="b">
        <v>0</v>
      </c>
      <c r="BQ691">
        <v>1</v>
      </c>
      <c r="BT691" t="b">
        <v>1</v>
      </c>
      <c r="BV691" t="s">
        <v>1668</v>
      </c>
      <c r="BY691">
        <v>0</v>
      </c>
      <c r="BZ691" t="s">
        <v>1704</v>
      </c>
      <c r="CA691">
        <v>1</v>
      </c>
      <c r="CB691" t="b">
        <v>1</v>
      </c>
      <c r="CC691">
        <v>0</v>
      </c>
      <c r="CD691" t="b">
        <v>0</v>
      </c>
      <c r="CE691" t="b">
        <v>0</v>
      </c>
      <c r="CF691" t="b">
        <v>1</v>
      </c>
      <c r="CG691" t="s">
        <v>1870</v>
      </c>
      <c r="CH691" t="s">
        <v>1681</v>
      </c>
      <c r="CI691" s="10">
        <v>949000</v>
      </c>
    </row>
    <row r="692" spans="1:88">
      <c r="A692">
        <v>27210888</v>
      </c>
      <c r="B692" s="2" t="str">
        <f>HYPERLINK("http://www.redfin.com/stingray/do/printable-listing?listing-id=1335647","Active")</f>
        <v>Active</v>
      </c>
      <c r="D692" t="s">
        <v>4401</v>
      </c>
      <c r="E692" t="s">
        <v>4590</v>
      </c>
      <c r="F692">
        <v>369900</v>
      </c>
      <c r="G692">
        <v>1981</v>
      </c>
      <c r="H692">
        <v>1400</v>
      </c>
      <c r="I692">
        <v>3615</v>
      </c>
      <c r="J692">
        <v>3</v>
      </c>
      <c r="K692">
        <v>2.25</v>
      </c>
      <c r="M692" s="2" t="str">
        <f>HYPERLINK("http://maps.live.com/default.aspx?v=2&amp;lvl=15&amp;sp=Point.47.723503_-122.161628_13401 NE 137th Pl&amp;cp=47.723503~-122.161628","Map")</f>
        <v>Map</v>
      </c>
      <c r="N692" s="2" t="str">
        <f>HYPERLINK("http://i-0.rfimg.us/photo/1/bigphoto/888/27210888_1.jpg","Photo")</f>
        <v>Photo</v>
      </c>
      <c r="AG692">
        <v>47.723503000000001</v>
      </c>
      <c r="AH692">
        <v>-122.16162799999999</v>
      </c>
      <c r="AI692" t="s">
        <v>1058</v>
      </c>
      <c r="AJ692">
        <v>98034</v>
      </c>
      <c r="AN692">
        <v>242000</v>
      </c>
      <c r="BC692" s="22">
        <v>39424.118958333333</v>
      </c>
      <c r="BI692" s="22">
        <v>39549.294907407406</v>
      </c>
      <c r="BL692">
        <v>7398</v>
      </c>
      <c r="BM692">
        <v>1335647</v>
      </c>
      <c r="BN692" t="s">
        <v>1737</v>
      </c>
      <c r="BO692" s="17">
        <f t="shared" ca="1" si="10"/>
        <v>125.19044756944641</v>
      </c>
      <c r="BP692" t="b">
        <v>0</v>
      </c>
      <c r="BQ692">
        <v>1</v>
      </c>
      <c r="BR692" t="s">
        <v>1842</v>
      </c>
      <c r="BS692" t="s">
        <v>3855</v>
      </c>
      <c r="BT692" t="b">
        <v>0</v>
      </c>
      <c r="BU692" t="s">
        <v>1738</v>
      </c>
      <c r="BV692" t="s">
        <v>1668</v>
      </c>
      <c r="BW692">
        <v>13401</v>
      </c>
      <c r="BY692">
        <v>513614</v>
      </c>
      <c r="BZ692" t="s">
        <v>1704</v>
      </c>
      <c r="CA692">
        <v>1</v>
      </c>
      <c r="CB692" t="b">
        <v>1</v>
      </c>
      <c r="CC692">
        <v>0</v>
      </c>
      <c r="CD692" t="b">
        <v>0</v>
      </c>
      <c r="CE692" t="b">
        <v>0</v>
      </c>
      <c r="CF692" t="b">
        <v>1</v>
      </c>
      <c r="CG692">
        <v>2776104</v>
      </c>
      <c r="CH692" t="s">
        <v>1681</v>
      </c>
      <c r="CI692" s="10">
        <v>369900</v>
      </c>
      <c r="CJ692" s="7">
        <v>38426</v>
      </c>
    </row>
    <row r="693" spans="1:88">
      <c r="A693">
        <v>27211024</v>
      </c>
      <c r="B693" s="2" t="str">
        <f>HYPERLINK("http://www.redfin.com/stingray/do/printable-listing?listing-id=1336623","Active")</f>
        <v>Active</v>
      </c>
      <c r="D693" t="s">
        <v>60</v>
      </c>
      <c r="E693" t="s">
        <v>841</v>
      </c>
      <c r="F693">
        <v>479900</v>
      </c>
      <c r="G693">
        <v>1925</v>
      </c>
      <c r="H693">
        <v>2080</v>
      </c>
      <c r="I693">
        <v>3000</v>
      </c>
      <c r="J693">
        <v>3</v>
      </c>
      <c r="K693">
        <v>1.5</v>
      </c>
      <c r="M693" s="2" t="str">
        <f>HYPERLINK("http://maps.live.com/default.aspx?v=2&amp;lvl=15&amp;sp=Point.47.685278_-122.350322_545 N 78th St&amp;cp=47.685278~-122.350322","Map")</f>
        <v>Map</v>
      </c>
      <c r="N693" s="2" t="str">
        <f>HYPERLINK("http://i-0.rfimg.us/photo/1/bigphoto/024/27211024_2.jpg","Photo")</f>
        <v>Photo</v>
      </c>
      <c r="AG693">
        <v>47.685277999999997</v>
      </c>
      <c r="AH693">
        <v>-122.35032200000001</v>
      </c>
      <c r="AI693" t="s">
        <v>66</v>
      </c>
      <c r="AJ693">
        <v>98103</v>
      </c>
      <c r="AN693">
        <v>399000</v>
      </c>
      <c r="BC693" s="22">
        <v>39425.087743055556</v>
      </c>
      <c r="BI693" s="22">
        <v>39549.294907407406</v>
      </c>
      <c r="BL693">
        <v>9598</v>
      </c>
      <c r="BM693">
        <v>1336623</v>
      </c>
      <c r="BN693" t="s">
        <v>1766</v>
      </c>
      <c r="BO693" s="17">
        <f t="shared" ca="1" si="10"/>
        <v>124.221662962962</v>
      </c>
      <c r="BP693" t="b">
        <v>0</v>
      </c>
      <c r="BQ693">
        <v>1</v>
      </c>
      <c r="BR693" t="s">
        <v>1686</v>
      </c>
      <c r="BS693" t="s">
        <v>2354</v>
      </c>
      <c r="BT693" t="b">
        <v>0</v>
      </c>
      <c r="BU693" t="s">
        <v>1712</v>
      </c>
      <c r="BV693" t="s">
        <v>1668</v>
      </c>
      <c r="BW693">
        <v>545</v>
      </c>
      <c r="BY693">
        <v>300594</v>
      </c>
      <c r="BZ693" t="s">
        <v>2355</v>
      </c>
      <c r="CA693">
        <v>1</v>
      </c>
      <c r="CB693" t="b">
        <v>1</v>
      </c>
      <c r="CC693">
        <v>0</v>
      </c>
      <c r="CD693" t="b">
        <v>0</v>
      </c>
      <c r="CE693" t="b">
        <v>0</v>
      </c>
      <c r="CF693" t="b">
        <v>1</v>
      </c>
      <c r="CG693">
        <v>2974113</v>
      </c>
      <c r="CH693" t="s">
        <v>1681</v>
      </c>
      <c r="CI693" s="10">
        <v>479900</v>
      </c>
      <c r="CJ693" s="7">
        <v>38531</v>
      </c>
    </row>
    <row r="694" spans="1:88">
      <c r="A694">
        <v>27211030</v>
      </c>
      <c r="B694" s="2" t="str">
        <f>HYPERLINK("http://www.redfin.com/stingray/do/printable-listing?listing-id=1337301","Active")</f>
        <v>Active</v>
      </c>
      <c r="D694" t="s">
        <v>192</v>
      </c>
      <c r="E694" t="s">
        <v>3000</v>
      </c>
      <c r="F694">
        <v>625000</v>
      </c>
      <c r="G694">
        <v>1963</v>
      </c>
      <c r="H694">
        <v>2897</v>
      </c>
      <c r="I694">
        <v>7540</v>
      </c>
      <c r="J694">
        <v>4</v>
      </c>
      <c r="K694">
        <v>2.5</v>
      </c>
      <c r="M694" s="2" t="str">
        <f>HYPERLINK("http://maps.live.com/default.aspx?v=2&amp;lvl=15&amp;sp=Point.47.696422_-122.307982_1735 NE 94th St&amp;cp=47.696422~-122.307982","Map")</f>
        <v>Map</v>
      </c>
      <c r="N694" s="2" t="str">
        <f>HYPERLINK("http://i-0.rfimg.us/photo/1/bigphoto/030/27211030_3.jpg","Photo")</f>
        <v>Photo</v>
      </c>
      <c r="AG694">
        <v>47.696421999999998</v>
      </c>
      <c r="AH694">
        <v>-122.307982</v>
      </c>
      <c r="AI694" t="s">
        <v>66</v>
      </c>
      <c r="AJ694">
        <v>98115</v>
      </c>
      <c r="AN694">
        <v>328000</v>
      </c>
      <c r="BC694" s="22">
        <v>39425.931597222225</v>
      </c>
      <c r="BI694" s="22">
        <v>39549.294907407406</v>
      </c>
      <c r="BL694">
        <v>12500</v>
      </c>
      <c r="BM694">
        <v>1337301</v>
      </c>
      <c r="BN694" t="s">
        <v>1674</v>
      </c>
      <c r="BO694" s="17">
        <f t="shared" ca="1" si="10"/>
        <v>123.37780868055415</v>
      </c>
      <c r="BP694" t="b">
        <v>0</v>
      </c>
      <c r="BQ694">
        <v>1</v>
      </c>
      <c r="BR694" t="s">
        <v>1686</v>
      </c>
      <c r="BS694" t="s">
        <v>2716</v>
      </c>
      <c r="BT694" t="b">
        <v>0</v>
      </c>
      <c r="BU694" t="s">
        <v>1738</v>
      </c>
      <c r="BV694" t="s">
        <v>1668</v>
      </c>
      <c r="BW694">
        <v>1735</v>
      </c>
      <c r="BY694">
        <v>107145</v>
      </c>
      <c r="BZ694" t="s">
        <v>3001</v>
      </c>
      <c r="CA694">
        <v>1</v>
      </c>
      <c r="CB694" t="b">
        <v>1</v>
      </c>
      <c r="CC694">
        <v>0</v>
      </c>
      <c r="CD694" t="b">
        <v>0</v>
      </c>
      <c r="CE694" t="b">
        <v>0</v>
      </c>
      <c r="CF694" t="b">
        <v>1</v>
      </c>
      <c r="CG694">
        <v>2394390</v>
      </c>
      <c r="CH694" t="s">
        <v>1681</v>
      </c>
      <c r="CI694" s="10">
        <v>625000</v>
      </c>
      <c r="CJ694" s="7">
        <v>37680</v>
      </c>
    </row>
    <row r="695" spans="1:88">
      <c r="A695">
        <v>27211153</v>
      </c>
      <c r="B695" s="15" t="str">
        <f>HYPERLINK("http://www.redfin.com/stingray/do/printable-listing?listing-id=1337722","Subject To Inspection")</f>
        <v>Subject To Inspection</v>
      </c>
      <c r="D695" t="s">
        <v>218</v>
      </c>
      <c r="E695" t="s">
        <v>639</v>
      </c>
      <c r="F695">
        <v>399950</v>
      </c>
      <c r="G695">
        <v>1988</v>
      </c>
      <c r="H695">
        <v>1520</v>
      </c>
      <c r="I695">
        <v>0</v>
      </c>
      <c r="J695">
        <v>3</v>
      </c>
      <c r="K695">
        <v>1.5</v>
      </c>
      <c r="M695" s="2" t="str">
        <f>HYPERLINK("http://maps.live.com/default.aspx?v=2&amp;lvl=15&amp;sp=Point.47.678122_-122.300303_6816 25th Ave NE&amp;cp=47.678122~-122.300303","Map")</f>
        <v>Map</v>
      </c>
      <c r="N695" s="2" t="str">
        <f>HYPERLINK("http://i-0.rfimg.us/photo/1/bigphoto/153/27211153_1.jpg","Photo")</f>
        <v>Photo</v>
      </c>
      <c r="AG695">
        <v>47.678122000000002</v>
      </c>
      <c r="AH695">
        <v>-122.300303</v>
      </c>
      <c r="AI695" t="s">
        <v>66</v>
      </c>
      <c r="AJ695">
        <v>98115</v>
      </c>
      <c r="AN695">
        <v>144500</v>
      </c>
      <c r="BC695" s="22">
        <v>39426.432500000003</v>
      </c>
      <c r="BI695" s="22">
        <v>39546.925937499997</v>
      </c>
      <c r="BL695">
        <v>7999</v>
      </c>
      <c r="BM695">
        <v>1337722</v>
      </c>
      <c r="BN695" t="s">
        <v>1688</v>
      </c>
      <c r="BO695" s="17">
        <f t="shared" ca="1" si="10"/>
        <v>122.87690590277634</v>
      </c>
      <c r="BP695" t="b">
        <v>0</v>
      </c>
      <c r="BQ695">
        <v>1</v>
      </c>
      <c r="BR695" t="s">
        <v>1667</v>
      </c>
      <c r="BS695" t="s">
        <v>1819</v>
      </c>
      <c r="BT695" t="b">
        <v>0</v>
      </c>
      <c r="BV695" t="s">
        <v>1668</v>
      </c>
      <c r="BW695">
        <v>6816</v>
      </c>
      <c r="BX695" t="s">
        <v>1738</v>
      </c>
      <c r="BY695">
        <v>316158</v>
      </c>
      <c r="BZ695" t="s">
        <v>2152</v>
      </c>
      <c r="CA695">
        <v>1</v>
      </c>
      <c r="CB695" t="b">
        <v>1</v>
      </c>
      <c r="CC695">
        <v>0</v>
      </c>
      <c r="CD695" t="b">
        <v>0</v>
      </c>
      <c r="CE695" t="b">
        <v>0</v>
      </c>
      <c r="CF695" t="b">
        <v>1</v>
      </c>
      <c r="CG695">
        <v>2354170</v>
      </c>
      <c r="CH695" t="s">
        <v>1681</v>
      </c>
      <c r="CI695" s="10">
        <v>399950</v>
      </c>
      <c r="CJ695" s="7">
        <v>34558</v>
      </c>
    </row>
    <row r="696" spans="1:88">
      <c r="A696">
        <v>27211282</v>
      </c>
      <c r="B696" s="2" t="str">
        <f>HYPERLINK("http://www.redfin.com/stingray/do/printable-listing?listing-id=1337920","Active")</f>
        <v>Active</v>
      </c>
      <c r="D696" t="s">
        <v>369</v>
      </c>
      <c r="E696" t="s">
        <v>5456</v>
      </c>
      <c r="F696">
        <v>524950</v>
      </c>
      <c r="G696">
        <v>1975</v>
      </c>
      <c r="H696">
        <v>1910</v>
      </c>
      <c r="I696">
        <v>4200</v>
      </c>
      <c r="J696">
        <v>3</v>
      </c>
      <c r="K696">
        <v>3</v>
      </c>
      <c r="M696" s="2" t="str">
        <f>HYPERLINK("http://maps.live.com/default.aspx?v=2&amp;lvl=15&amp;sp=Point.47.623403_-122.113445_1433 170th Pl NE&amp;cp=47.623403~-122.113445","Map")</f>
        <v>Map</v>
      </c>
      <c r="N696" s="2" t="str">
        <f>HYPERLINK("http://i-0.rfimg.us/photo/1/bigphoto/282/27211282_0.jpg","Photo")</f>
        <v>Photo</v>
      </c>
      <c r="AG696">
        <v>47.623403000000003</v>
      </c>
      <c r="AH696">
        <v>-122.113445</v>
      </c>
      <c r="AI696" t="s">
        <v>369</v>
      </c>
      <c r="AJ696">
        <v>98008</v>
      </c>
      <c r="AN696">
        <v>305000</v>
      </c>
      <c r="BC696" s="22">
        <v>39426.486134259256</v>
      </c>
      <c r="BI696" s="22">
        <v>39549.294907407406</v>
      </c>
      <c r="BL696">
        <v>10499</v>
      </c>
      <c r="BM696">
        <v>1337920</v>
      </c>
      <c r="BN696" t="s">
        <v>1823</v>
      </c>
      <c r="BO696" s="17">
        <f t="shared" ca="1" si="10"/>
        <v>122.82327164352319</v>
      </c>
      <c r="BP696" t="b">
        <v>0</v>
      </c>
      <c r="BQ696">
        <v>1</v>
      </c>
      <c r="BR696" t="s">
        <v>1842</v>
      </c>
      <c r="BS696" t="s">
        <v>5302</v>
      </c>
      <c r="BT696" t="b">
        <v>0</v>
      </c>
      <c r="BV696" t="s">
        <v>1668</v>
      </c>
      <c r="BW696">
        <v>1433</v>
      </c>
      <c r="BX696" t="s">
        <v>1738</v>
      </c>
      <c r="BY696">
        <v>432076</v>
      </c>
      <c r="BZ696" t="s">
        <v>1696</v>
      </c>
      <c r="CA696">
        <v>1</v>
      </c>
      <c r="CB696" t="b">
        <v>1</v>
      </c>
      <c r="CC696">
        <v>0</v>
      </c>
      <c r="CD696" t="b">
        <v>0</v>
      </c>
      <c r="CE696" t="b">
        <v>0</v>
      </c>
      <c r="CF696" t="b">
        <v>1</v>
      </c>
      <c r="CG696">
        <v>2579306</v>
      </c>
      <c r="CH696" t="s">
        <v>1681</v>
      </c>
      <c r="CI696" s="10">
        <v>524950</v>
      </c>
      <c r="CJ696" s="7">
        <v>38028</v>
      </c>
    </row>
    <row r="697" spans="1:88">
      <c r="A697">
        <v>27211374</v>
      </c>
      <c r="B697" s="2" t="str">
        <f>HYPERLINK("http://www.redfin.com/stingray/do/printable-listing?listing-id=1338217","Active")</f>
        <v>Active</v>
      </c>
      <c r="D697" t="s">
        <v>3249</v>
      </c>
      <c r="E697" t="s">
        <v>3549</v>
      </c>
      <c r="F697">
        <v>519950</v>
      </c>
      <c r="G697">
        <v>2008</v>
      </c>
      <c r="H697">
        <v>1095</v>
      </c>
      <c r="I697">
        <v>0</v>
      </c>
      <c r="J697">
        <v>2</v>
      </c>
      <c r="K697">
        <v>1.5</v>
      </c>
      <c r="M697" s="2" t="str">
        <f>HYPERLINK("http://maps.live.com/default.aspx?v=2&amp;lvl=15&amp;sp=Point.47.638437_-122.352883_212 Boston nC&amp;cp=47.638437~-122.352883","Map")</f>
        <v>Map</v>
      </c>
      <c r="N697" s="2" t="str">
        <f>HYPERLINK("http://i-0.rfimg.us/photo/1/bigphoto/374/27211374_2.jpg","Photo")</f>
        <v>Photo</v>
      </c>
      <c r="AG697">
        <v>47.638437000000003</v>
      </c>
      <c r="AH697">
        <v>-122.35288300000001</v>
      </c>
      <c r="AI697" t="s">
        <v>66</v>
      </c>
      <c r="AJ697">
        <v>98109</v>
      </c>
      <c r="AM697" t="s">
        <v>2341</v>
      </c>
      <c r="BC697" s="22">
        <v>39426.589918981481</v>
      </c>
      <c r="BI697" s="22">
        <v>39549.294907407406</v>
      </c>
      <c r="BL697">
        <v>10399</v>
      </c>
      <c r="BM697">
        <v>1338217</v>
      </c>
      <c r="BN697" t="s">
        <v>1718</v>
      </c>
      <c r="BO697" s="17">
        <f t="shared" ca="1" si="10"/>
        <v>122.71948692129808</v>
      </c>
      <c r="BP697" t="b">
        <v>0</v>
      </c>
      <c r="BQ697">
        <v>1</v>
      </c>
      <c r="BS697" t="s">
        <v>3321</v>
      </c>
      <c r="BT697" t="b">
        <v>0</v>
      </c>
      <c r="BV697" t="s">
        <v>1668</v>
      </c>
      <c r="BW697">
        <v>212</v>
      </c>
      <c r="BY697">
        <v>12315467</v>
      </c>
      <c r="BZ697" t="s">
        <v>3550</v>
      </c>
      <c r="CA697">
        <v>1</v>
      </c>
      <c r="CB697" t="b">
        <v>1</v>
      </c>
      <c r="CC697">
        <v>0</v>
      </c>
      <c r="CD697" t="b">
        <v>0</v>
      </c>
      <c r="CE697" t="b">
        <v>0</v>
      </c>
      <c r="CF697" t="b">
        <v>1</v>
      </c>
      <c r="CG697">
        <v>15521936</v>
      </c>
      <c r="CH697" t="s">
        <v>1681</v>
      </c>
      <c r="CI697" s="10">
        <v>519950</v>
      </c>
    </row>
    <row r="698" spans="1:88">
      <c r="A698">
        <v>27211493</v>
      </c>
      <c r="B698" s="2" t="str">
        <f>HYPERLINK("http://www.redfin.com/stingray/do/printable-listing?listing-id=1338976","Active")</f>
        <v>Active</v>
      </c>
      <c r="D698" t="s">
        <v>3959</v>
      </c>
      <c r="E698" t="s">
        <v>4060</v>
      </c>
      <c r="F698">
        <v>474000</v>
      </c>
      <c r="G698">
        <v>2007</v>
      </c>
      <c r="H698">
        <v>1875</v>
      </c>
      <c r="I698">
        <v>0</v>
      </c>
      <c r="J698">
        <v>4</v>
      </c>
      <c r="K698">
        <v>3.5</v>
      </c>
      <c r="M698" s="2" t="str">
        <f>HYPERLINK("http://maps.live.com/default.aspx?v=2&amp;lvl=15&amp;sp=Point.47.605337_-122.305893_2022 E Terrace St&amp;cp=47.605337~-122.305893","Map")</f>
        <v>Map</v>
      </c>
      <c r="N698" s="2" t="str">
        <f>HYPERLINK("http://i-0.rfimg.us/photo/1/bigphoto/493/27211493_3.jpg","Photo")</f>
        <v>Photo</v>
      </c>
      <c r="AG698">
        <v>47.605336999999999</v>
      </c>
      <c r="AH698">
        <v>-122.305893</v>
      </c>
      <c r="AI698" t="s">
        <v>66</v>
      </c>
      <c r="AJ698">
        <v>98122</v>
      </c>
      <c r="BC698" s="22">
        <v>39426.90730324074</v>
      </c>
      <c r="BI698" s="22">
        <v>39549.294907407406</v>
      </c>
      <c r="BL698">
        <v>9480</v>
      </c>
      <c r="BM698">
        <v>1338976</v>
      </c>
      <c r="BN698" t="s">
        <v>1939</v>
      </c>
      <c r="BO698" s="17">
        <f t="shared" ca="1" si="10"/>
        <v>122.4021026620394</v>
      </c>
      <c r="BP698" t="b">
        <v>0</v>
      </c>
      <c r="BQ698">
        <v>1</v>
      </c>
      <c r="BR698" t="s">
        <v>1686</v>
      </c>
      <c r="BS698" t="s">
        <v>4001</v>
      </c>
      <c r="BT698" t="b">
        <v>0</v>
      </c>
      <c r="BU698" t="s">
        <v>2436</v>
      </c>
      <c r="BV698" t="s">
        <v>1668</v>
      </c>
      <c r="BW698">
        <v>2022</v>
      </c>
      <c r="BY698">
        <v>12315570</v>
      </c>
      <c r="BZ698" t="s">
        <v>4061</v>
      </c>
      <c r="CA698">
        <v>1</v>
      </c>
      <c r="CB698" t="b">
        <v>1</v>
      </c>
      <c r="CC698">
        <v>0</v>
      </c>
      <c r="CD698" t="b">
        <v>0</v>
      </c>
      <c r="CE698" t="b">
        <v>0</v>
      </c>
      <c r="CF698" t="b">
        <v>1</v>
      </c>
      <c r="CG698">
        <v>15522039</v>
      </c>
      <c r="CH698" t="s">
        <v>1681</v>
      </c>
      <c r="CI698" s="10">
        <v>474000</v>
      </c>
    </row>
    <row r="699" spans="1:88">
      <c r="A699">
        <v>27211519</v>
      </c>
      <c r="B699" s="2" t="str">
        <f>HYPERLINK("http://www.redfin.com/stingray/do/printable-listing?listing-id=1338975","Active")</f>
        <v>Active</v>
      </c>
      <c r="D699" t="s">
        <v>3959</v>
      </c>
      <c r="E699" t="s">
        <v>4037</v>
      </c>
      <c r="F699">
        <v>478000</v>
      </c>
      <c r="G699">
        <v>2007</v>
      </c>
      <c r="H699">
        <v>1875</v>
      </c>
      <c r="I699">
        <v>0</v>
      </c>
      <c r="J699">
        <v>4</v>
      </c>
      <c r="K699">
        <v>3.5</v>
      </c>
      <c r="M699" s="2" t="str">
        <f>HYPERLINK("http://maps.live.com/default.aspx?v=2&amp;lvl=15&amp;sp=Point.47.605337_-122.305911_2020 E Terrace St&amp;cp=47.605337~-122.305911","Map")</f>
        <v>Map</v>
      </c>
      <c r="N699" s="2" t="str">
        <f>HYPERLINK("http://i-0.rfimg.us/photo/1/bigphoto/519/27211519_1.jpg","Photo")</f>
        <v>Photo</v>
      </c>
      <c r="AG699">
        <v>47.605336999999999</v>
      </c>
      <c r="AH699">
        <v>-122.30591099999999</v>
      </c>
      <c r="AI699" t="s">
        <v>66</v>
      </c>
      <c r="AJ699">
        <v>98122</v>
      </c>
      <c r="BC699" s="22">
        <v>39426.90730324074</v>
      </c>
      <c r="BI699" s="22">
        <v>39549.294907407406</v>
      </c>
      <c r="BL699">
        <v>9560</v>
      </c>
      <c r="BM699">
        <v>1338975</v>
      </c>
      <c r="BN699" t="s">
        <v>1939</v>
      </c>
      <c r="BO699" s="17">
        <f t="shared" ca="1" si="10"/>
        <v>122.4021026620394</v>
      </c>
      <c r="BP699" t="b">
        <v>0</v>
      </c>
      <c r="BQ699">
        <v>1</v>
      </c>
      <c r="BR699" t="s">
        <v>1686</v>
      </c>
      <c r="BS699" t="s">
        <v>4001</v>
      </c>
      <c r="BT699" t="b">
        <v>0</v>
      </c>
      <c r="BU699" t="s">
        <v>2436</v>
      </c>
      <c r="BV699" t="s">
        <v>1668</v>
      </c>
      <c r="BW699">
        <v>2020</v>
      </c>
      <c r="BY699">
        <v>12315569</v>
      </c>
      <c r="BZ699" t="s">
        <v>1677</v>
      </c>
      <c r="CA699">
        <v>1</v>
      </c>
      <c r="CB699" t="b">
        <v>1</v>
      </c>
      <c r="CC699">
        <v>0</v>
      </c>
      <c r="CD699" t="b">
        <v>0</v>
      </c>
      <c r="CE699" t="b">
        <v>0</v>
      </c>
      <c r="CF699" t="b">
        <v>1</v>
      </c>
      <c r="CG699">
        <v>15522038</v>
      </c>
      <c r="CH699" t="s">
        <v>1681</v>
      </c>
      <c r="CI699" s="10">
        <v>478000</v>
      </c>
    </row>
    <row r="700" spans="1:88">
      <c r="A700">
        <v>27211523</v>
      </c>
      <c r="B700" s="2" t="str">
        <f>HYPERLINK("http://www.redfin.com/stingray/do/printable-listing?listing-id=1339022","Active")</f>
        <v>Active</v>
      </c>
      <c r="D700" t="s">
        <v>55</v>
      </c>
      <c r="E700" t="s">
        <v>2795</v>
      </c>
      <c r="F700">
        <v>357999</v>
      </c>
      <c r="G700">
        <v>2007</v>
      </c>
      <c r="H700">
        <v>0</v>
      </c>
      <c r="I700">
        <v>0</v>
      </c>
      <c r="J700">
        <v>3</v>
      </c>
      <c r="K700">
        <v>2</v>
      </c>
      <c r="M700" s="2" t="str">
        <f>HYPERLINK("http://maps.live.com/default.aspx?v=2&amp;lvl=15&amp;sp=Point.47.703306_-122.358103_10203 1st Ave NW nB&amp;cp=47.703306~-122.358103","Map")</f>
        <v>Map</v>
      </c>
      <c r="N700" s="2" t="str">
        <f>HYPERLINK("http://i-0.rfimg.us/photo/1/bigphoto/523/27211523_5.jpg","Photo")</f>
        <v>Photo</v>
      </c>
      <c r="AG700">
        <v>47.703305999999998</v>
      </c>
      <c r="AH700">
        <v>-122.358103</v>
      </c>
      <c r="AI700" t="s">
        <v>66</v>
      </c>
      <c r="AJ700">
        <v>98177</v>
      </c>
      <c r="AM700" t="s">
        <v>1699</v>
      </c>
      <c r="BC700" s="22">
        <v>39426.910185185188</v>
      </c>
      <c r="BI700" s="22">
        <v>39549.294907407406</v>
      </c>
      <c r="BL700">
        <v>7160</v>
      </c>
      <c r="BM700">
        <v>1339022</v>
      </c>
      <c r="BN700" t="s">
        <v>1693</v>
      </c>
      <c r="BO700" s="17">
        <f t="shared" ca="1" si="10"/>
        <v>122.39922083332931</v>
      </c>
      <c r="BP700" t="b">
        <v>0</v>
      </c>
      <c r="BQ700">
        <v>1</v>
      </c>
      <c r="BR700" t="s">
        <v>1667</v>
      </c>
      <c r="BS700" t="s">
        <v>1822</v>
      </c>
      <c r="BT700" t="b">
        <v>0</v>
      </c>
      <c r="BV700" t="s">
        <v>1668</v>
      </c>
      <c r="BW700">
        <v>10203</v>
      </c>
      <c r="BX700" t="s">
        <v>1669</v>
      </c>
      <c r="BY700">
        <v>12315579</v>
      </c>
      <c r="BZ700" t="s">
        <v>2796</v>
      </c>
      <c r="CA700">
        <v>1</v>
      </c>
      <c r="CB700" t="b">
        <v>1</v>
      </c>
      <c r="CC700">
        <v>0</v>
      </c>
      <c r="CD700" t="b">
        <v>0</v>
      </c>
      <c r="CE700" t="b">
        <v>0</v>
      </c>
      <c r="CF700" t="b">
        <v>1</v>
      </c>
      <c r="CG700">
        <v>15522048</v>
      </c>
      <c r="CH700" t="s">
        <v>1681</v>
      </c>
      <c r="CI700" s="10">
        <v>357999</v>
      </c>
    </row>
    <row r="701" spans="1:88">
      <c r="A701">
        <v>27211641</v>
      </c>
      <c r="B701" s="2" t="str">
        <f>HYPERLINK("http://www.redfin.com/stingray/do/printable-listing?listing-id=1339144","Active")</f>
        <v>Active</v>
      </c>
      <c r="D701" t="s">
        <v>3966</v>
      </c>
      <c r="E701" t="s">
        <v>4249</v>
      </c>
      <c r="F701" s="19">
        <v>575000</v>
      </c>
      <c r="G701">
        <v>1925</v>
      </c>
      <c r="H701">
        <v>2130</v>
      </c>
      <c r="I701">
        <v>0</v>
      </c>
      <c r="J701">
        <v>3</v>
      </c>
      <c r="K701">
        <v>1.75</v>
      </c>
      <c r="M701" s="2" t="str">
        <f>HYPERLINK("http://maps.live.com/default.aspx?v=2&amp;lvl=15&amp;sp=Point.47.61463_-122.292763_1515 31st Ave&amp;cp=47.61463~-122.292763","Map")</f>
        <v>Map</v>
      </c>
      <c r="N701" s="2" t="str">
        <f>HYPERLINK("http://i-0.rfimg.us/photo/1/bigphoto/641/27211641_0.jpg","Photo")</f>
        <v>Photo</v>
      </c>
      <c r="AG701">
        <v>47.614629999999998</v>
      </c>
      <c r="AH701">
        <v>-122.29276299999999</v>
      </c>
      <c r="AI701" t="s">
        <v>66</v>
      </c>
      <c r="AJ701">
        <v>98122</v>
      </c>
      <c r="BC701" s="22">
        <v>39427.359456018516</v>
      </c>
      <c r="BI701" s="22">
        <v>39549.294907407406</v>
      </c>
      <c r="BL701">
        <v>13500</v>
      </c>
      <c r="BM701">
        <v>1339144</v>
      </c>
      <c r="BN701" t="s">
        <v>1674</v>
      </c>
      <c r="BO701" s="17">
        <f t="shared" ca="1" si="10"/>
        <v>121.94994988426333</v>
      </c>
      <c r="BP701" t="b">
        <v>0</v>
      </c>
      <c r="BQ701">
        <v>1</v>
      </c>
      <c r="BR701" t="s">
        <v>1667</v>
      </c>
      <c r="BS701" t="s">
        <v>1732</v>
      </c>
      <c r="BT701" t="b">
        <v>0</v>
      </c>
      <c r="BV701" t="s">
        <v>1668</v>
      </c>
      <c r="BW701">
        <v>1515</v>
      </c>
      <c r="BY701">
        <v>146304</v>
      </c>
      <c r="BZ701" t="s">
        <v>1670</v>
      </c>
      <c r="CA701">
        <v>1</v>
      </c>
      <c r="CB701" t="b">
        <v>1</v>
      </c>
      <c r="CC701">
        <v>0</v>
      </c>
      <c r="CD701" t="b">
        <v>0</v>
      </c>
      <c r="CE701" t="b">
        <v>0</v>
      </c>
      <c r="CF701" t="b">
        <v>1</v>
      </c>
      <c r="CG701">
        <v>2799055</v>
      </c>
      <c r="CH701" t="s">
        <v>1681</v>
      </c>
      <c r="CI701" s="10">
        <v>675000</v>
      </c>
    </row>
    <row r="702" spans="1:88">
      <c r="A702">
        <v>27211711</v>
      </c>
      <c r="B702" s="15" t="str">
        <f>HYPERLINK("http://www.redfin.com/stingray/do/printable-listing?listing-id=1340035","Subject To Inspection")</f>
        <v>Subject To Inspection</v>
      </c>
      <c r="D702" t="s">
        <v>109</v>
      </c>
      <c r="E702" t="s">
        <v>721</v>
      </c>
      <c r="F702">
        <v>425950</v>
      </c>
      <c r="G702">
        <v>1913</v>
      </c>
      <c r="H702">
        <v>1370</v>
      </c>
      <c r="I702">
        <v>5031</v>
      </c>
      <c r="J702">
        <v>3</v>
      </c>
      <c r="K702">
        <v>1</v>
      </c>
      <c r="M702" s="2" t="str">
        <f>HYPERLINK("http://maps.live.com/default.aspx?v=2&amp;lvl=15&amp;sp=Point.47.664835_-122.323616_4756 4th Ave NE&amp;cp=47.664835~-122.323616","Map")</f>
        <v>Map</v>
      </c>
      <c r="N702" s="2" t="str">
        <f>HYPERLINK("http://i-0.rfimg.us/photo/1/bigphoto/711/27211711_0.jpg","Photo")</f>
        <v>Photo</v>
      </c>
      <c r="AG702">
        <v>47.664834999999997</v>
      </c>
      <c r="AH702">
        <v>-122.323616</v>
      </c>
      <c r="AI702" t="s">
        <v>66</v>
      </c>
      <c r="AJ702">
        <v>98015</v>
      </c>
      <c r="AN702">
        <v>130000</v>
      </c>
      <c r="BC702" s="22">
        <v>39427.463773148149</v>
      </c>
      <c r="BI702" s="7">
        <v>39538</v>
      </c>
      <c r="BL702">
        <v>8519</v>
      </c>
      <c r="BM702">
        <v>1340035</v>
      </c>
      <c r="BN702" t="s">
        <v>3205</v>
      </c>
      <c r="BO702" s="17">
        <f t="shared" ca="1" si="10"/>
        <v>121.84563275463006</v>
      </c>
      <c r="BP702" t="b">
        <v>0</v>
      </c>
      <c r="BQ702">
        <v>1</v>
      </c>
      <c r="BR702" t="s">
        <v>1667</v>
      </c>
      <c r="BS702" t="s">
        <v>1724</v>
      </c>
      <c r="BT702" t="b">
        <v>0</v>
      </c>
      <c r="BV702" t="s">
        <v>1668</v>
      </c>
      <c r="BW702">
        <v>4756</v>
      </c>
      <c r="BX702" t="s">
        <v>1738</v>
      </c>
      <c r="BY702">
        <v>118769</v>
      </c>
      <c r="BZ702" t="s">
        <v>1762</v>
      </c>
      <c r="CA702">
        <v>1</v>
      </c>
      <c r="CB702" t="b">
        <v>1</v>
      </c>
      <c r="CC702">
        <v>0</v>
      </c>
      <c r="CD702" t="b">
        <v>0</v>
      </c>
      <c r="CE702" t="b">
        <v>0</v>
      </c>
      <c r="CF702" t="b">
        <v>1</v>
      </c>
      <c r="CG702">
        <v>2946124</v>
      </c>
      <c r="CH702" t="s">
        <v>1681</v>
      </c>
      <c r="CI702" s="10">
        <v>425950</v>
      </c>
      <c r="CJ702" s="7">
        <v>33071</v>
      </c>
    </row>
    <row r="703" spans="1:88">
      <c r="A703">
        <v>27211767</v>
      </c>
      <c r="B703" s="2" t="str">
        <f>HYPERLINK("http://www.redfin.com/stingray/do/printable-listing?listing-id=1340132","Active")</f>
        <v>Active</v>
      </c>
      <c r="D703" t="s">
        <v>78</v>
      </c>
      <c r="E703" t="s">
        <v>1274</v>
      </c>
      <c r="F703">
        <v>839950</v>
      </c>
      <c r="G703">
        <v>2007</v>
      </c>
      <c r="H703">
        <v>3111</v>
      </c>
      <c r="I703">
        <v>5500</v>
      </c>
      <c r="J703">
        <v>4</v>
      </c>
      <c r="K703">
        <v>2.75</v>
      </c>
      <c r="M703" s="2" t="str">
        <f>HYPERLINK("http://maps.live.com/default.aspx?v=2&amp;lvl=15&amp;sp=Point.47.698261_-122.371195_9514 12th Ave NW&amp;cp=47.698261~-122.371195","Map")</f>
        <v>Map</v>
      </c>
      <c r="N703" s="2" t="str">
        <f>HYPERLINK("http://i-0.rfimg.us/photo/1/bigphoto/767/27211767_3.jpg","Photo")</f>
        <v>Photo</v>
      </c>
      <c r="AG703">
        <v>47.698261000000002</v>
      </c>
      <c r="AH703">
        <v>-122.371195</v>
      </c>
      <c r="AI703" t="s">
        <v>66</v>
      </c>
      <c r="AJ703">
        <v>98117</v>
      </c>
      <c r="AN703">
        <v>284500</v>
      </c>
      <c r="BC703" s="22">
        <v>39427.495370370372</v>
      </c>
      <c r="BI703" s="7">
        <v>39519</v>
      </c>
      <c r="BL703">
        <v>16799</v>
      </c>
      <c r="BM703">
        <v>1340132</v>
      </c>
      <c r="BN703" t="s">
        <v>1731</v>
      </c>
      <c r="BO703" s="17">
        <f t="shared" ca="1" si="10"/>
        <v>121.81403564814536</v>
      </c>
      <c r="BP703" t="b">
        <v>0</v>
      </c>
      <c r="BQ703">
        <v>1</v>
      </c>
      <c r="BR703" t="s">
        <v>1667</v>
      </c>
      <c r="BS703" t="s">
        <v>1803</v>
      </c>
      <c r="BT703" t="b">
        <v>0</v>
      </c>
      <c r="BV703" t="s">
        <v>1668</v>
      </c>
      <c r="BW703">
        <v>9514</v>
      </c>
      <c r="BX703" t="s">
        <v>1669</v>
      </c>
      <c r="BY703">
        <v>95518</v>
      </c>
      <c r="BZ703" t="s">
        <v>2113</v>
      </c>
      <c r="CA703">
        <v>1</v>
      </c>
      <c r="CB703" t="b">
        <v>1</v>
      </c>
      <c r="CC703">
        <v>0</v>
      </c>
      <c r="CD703" t="b">
        <v>0</v>
      </c>
      <c r="CE703" t="b">
        <v>0</v>
      </c>
      <c r="CF703" t="b">
        <v>1</v>
      </c>
      <c r="CG703">
        <v>2410132</v>
      </c>
      <c r="CH703" t="s">
        <v>1681</v>
      </c>
      <c r="CI703" s="10">
        <v>839950</v>
      </c>
      <c r="CJ703" s="7">
        <v>37391</v>
      </c>
    </row>
    <row r="704" spans="1:88">
      <c r="A704">
        <v>27212119</v>
      </c>
      <c r="B704" s="2" t="str">
        <f>HYPERLINK("http://www.redfin.com/stingray/do/printable-listing?listing-id=1341895","Subject To Inspection")</f>
        <v>Subject To Inspection</v>
      </c>
      <c r="D704" t="s">
        <v>5204</v>
      </c>
      <c r="E704" t="s">
        <v>5392</v>
      </c>
      <c r="F704">
        <v>425000</v>
      </c>
      <c r="G704">
        <v>1962</v>
      </c>
      <c r="H704">
        <v>1388</v>
      </c>
      <c r="I704">
        <v>6534</v>
      </c>
      <c r="J704">
        <v>4</v>
      </c>
      <c r="K704">
        <v>1.5</v>
      </c>
      <c r="M704" s="2" t="str">
        <f>HYPERLINK("http://maps.live.com/default.aspx?v=2&amp;lvl=15&amp;sp=Point.47.601132_-122.152217_14021 SE 10th St&amp;cp=47.601132~-122.152217","Map")</f>
        <v>Map</v>
      </c>
      <c r="N704" s="2" t="str">
        <f>HYPERLINK("http://i-0.rfimg.us/photo/1/bigphoto/119/27212119_1.jpg","Photo")</f>
        <v>Photo</v>
      </c>
      <c r="AG704">
        <v>47.601132</v>
      </c>
      <c r="AH704">
        <v>-122.15221699999999</v>
      </c>
      <c r="AI704" t="s">
        <v>369</v>
      </c>
      <c r="AJ704">
        <v>98007</v>
      </c>
      <c r="AN704">
        <v>78500</v>
      </c>
      <c r="BC704" s="22">
        <v>39428.615995370368</v>
      </c>
      <c r="BI704" s="7">
        <v>39533</v>
      </c>
      <c r="BL704">
        <v>8500</v>
      </c>
      <c r="BM704">
        <v>1341895</v>
      </c>
      <c r="BN704" t="s">
        <v>1674</v>
      </c>
      <c r="BO704" s="17">
        <f t="shared" ca="1" si="10"/>
        <v>120.69341053241078</v>
      </c>
      <c r="BP704" t="b">
        <v>0</v>
      </c>
      <c r="BQ704">
        <v>2</v>
      </c>
      <c r="BR704" t="s">
        <v>1686</v>
      </c>
      <c r="BS704" t="s">
        <v>1788</v>
      </c>
      <c r="BT704" t="b">
        <v>0</v>
      </c>
      <c r="BU704" t="s">
        <v>3856</v>
      </c>
      <c r="BV704" t="s">
        <v>1668</v>
      </c>
      <c r="BW704">
        <v>14021</v>
      </c>
      <c r="BY704">
        <v>426106</v>
      </c>
      <c r="BZ704" t="s">
        <v>3760</v>
      </c>
      <c r="CA704">
        <v>1</v>
      </c>
      <c r="CB704" t="b">
        <v>1</v>
      </c>
      <c r="CC704">
        <v>0</v>
      </c>
      <c r="CD704" t="b">
        <v>0</v>
      </c>
      <c r="CE704" t="b">
        <v>0</v>
      </c>
      <c r="CF704" t="b">
        <v>1</v>
      </c>
      <c r="CG704">
        <v>2670933</v>
      </c>
      <c r="CH704" t="s">
        <v>1681</v>
      </c>
      <c r="CI704" s="10">
        <v>425000</v>
      </c>
      <c r="CJ704" s="7">
        <v>32542</v>
      </c>
    </row>
    <row r="705" spans="1:88">
      <c r="A705">
        <v>27212220</v>
      </c>
      <c r="B705" s="2" t="str">
        <f>HYPERLINK("http://www.redfin.com/stingray/do/printable-listing?listing-id=1341943","Active")</f>
        <v>Active</v>
      </c>
      <c r="D705" t="s">
        <v>3885</v>
      </c>
      <c r="E705" t="s">
        <v>5798</v>
      </c>
      <c r="F705">
        <v>549900</v>
      </c>
      <c r="G705">
        <v>1992</v>
      </c>
      <c r="H705">
        <v>1770</v>
      </c>
      <c r="I705">
        <v>6700</v>
      </c>
      <c r="J705">
        <v>4</v>
      </c>
      <c r="K705">
        <v>2.5</v>
      </c>
      <c r="M705" s="2" t="str">
        <f>HYPERLINK("http://maps.live.com/default.aspx?v=2&amp;lvl=15&amp;sp=Point.47.531577_-122.17234_12630 SE 80th Way&amp;cp=47.531577~-122.17234","Map")</f>
        <v>Map</v>
      </c>
      <c r="N705" s="2" t="str">
        <f>HYPERLINK("http://i-0.rfimg.us/photo/1/bigphoto/220/27212220_1.jpg","Photo")</f>
        <v>Photo</v>
      </c>
      <c r="AG705">
        <v>47.531576999999999</v>
      </c>
      <c r="AH705">
        <v>-122.17234000000001</v>
      </c>
      <c r="AI705" t="s">
        <v>3885</v>
      </c>
      <c r="AJ705">
        <v>98056</v>
      </c>
      <c r="AN705">
        <v>115000</v>
      </c>
      <c r="BC705" s="22">
        <v>39428.619803240741</v>
      </c>
      <c r="BI705" s="22">
        <v>39549.294907407406</v>
      </c>
      <c r="BL705">
        <v>10998</v>
      </c>
      <c r="BM705">
        <v>1341943</v>
      </c>
      <c r="BN705" t="s">
        <v>5797</v>
      </c>
      <c r="BO705" s="17">
        <f t="shared" ca="1" si="10"/>
        <v>120.68960266203794</v>
      </c>
      <c r="BP705" t="b">
        <v>0</v>
      </c>
      <c r="BQ705">
        <v>1</v>
      </c>
      <c r="BR705" t="s">
        <v>2463</v>
      </c>
      <c r="BS705" t="s">
        <v>1711</v>
      </c>
      <c r="BT705" t="b">
        <v>0</v>
      </c>
      <c r="BU705" t="s">
        <v>3856</v>
      </c>
      <c r="BV705" t="s">
        <v>1668</v>
      </c>
      <c r="BW705">
        <v>12630</v>
      </c>
      <c r="BY705">
        <v>417958</v>
      </c>
      <c r="BZ705" t="s">
        <v>2342</v>
      </c>
      <c r="CA705">
        <v>1</v>
      </c>
      <c r="CB705" t="b">
        <v>1</v>
      </c>
      <c r="CC705">
        <v>0</v>
      </c>
      <c r="CD705" t="b">
        <v>0</v>
      </c>
      <c r="CE705" t="b">
        <v>0</v>
      </c>
      <c r="CF705" t="b">
        <v>1</v>
      </c>
      <c r="CG705">
        <v>2766644</v>
      </c>
      <c r="CH705" t="s">
        <v>1681</v>
      </c>
      <c r="CI705" s="10">
        <v>549900</v>
      </c>
      <c r="CJ705" s="7">
        <v>39433</v>
      </c>
    </row>
    <row r="706" spans="1:88">
      <c r="A706">
        <v>27212264</v>
      </c>
      <c r="B706" s="2" t="str">
        <f>HYPERLINK("http://www.redfin.com/stingray/do/printable-listing?listing-id=1349029","Active")</f>
        <v>Active</v>
      </c>
      <c r="D706" t="s">
        <v>5139</v>
      </c>
      <c r="E706" t="s">
        <v>5620</v>
      </c>
      <c r="F706">
        <v>1175000</v>
      </c>
      <c r="G706">
        <v>1973</v>
      </c>
      <c r="H706">
        <v>3270</v>
      </c>
      <c r="I706">
        <v>15300</v>
      </c>
      <c r="J706">
        <v>4</v>
      </c>
      <c r="K706">
        <v>2.25</v>
      </c>
      <c r="M706" s="2" t="str">
        <f>HYPERLINK("http://maps.live.com/default.aspx?v=2&amp;lvl=15&amp;sp=Point.47.554583_-122.225644_8410 SE 53rd Pl&amp;cp=47.554583~-122.225644","Map")</f>
        <v>Map</v>
      </c>
      <c r="N706" s="2" t="str">
        <f>HYPERLINK("http://i-0.rfimg.us/photo/1/bigphoto/264/27212264_1.jpg","Photo")</f>
        <v>Photo</v>
      </c>
      <c r="AG706">
        <v>47.554583000000001</v>
      </c>
      <c r="AH706">
        <v>-122.225644</v>
      </c>
      <c r="AI706" t="s">
        <v>5139</v>
      </c>
      <c r="AJ706">
        <v>98040</v>
      </c>
      <c r="BC706" s="22">
        <v>39431.765509259261</v>
      </c>
      <c r="BI706" s="22">
        <v>39549.294907407406</v>
      </c>
      <c r="BL706">
        <v>23500</v>
      </c>
      <c r="BM706">
        <v>1349029</v>
      </c>
      <c r="BN706" t="s">
        <v>1768</v>
      </c>
      <c r="BO706" s="17">
        <f t="shared" ref="BO706:BO769" ca="1" si="11">NOW()-BC706</f>
        <v>117.54389664351766</v>
      </c>
      <c r="BP706" t="b">
        <v>0</v>
      </c>
      <c r="BQ706">
        <v>1</v>
      </c>
      <c r="BR706" t="s">
        <v>1842</v>
      </c>
      <c r="BS706" t="s">
        <v>2581</v>
      </c>
      <c r="BT706" t="b">
        <v>0</v>
      </c>
      <c r="BU706" t="s">
        <v>3856</v>
      </c>
      <c r="BV706" t="s">
        <v>1668</v>
      </c>
      <c r="BW706">
        <v>8410</v>
      </c>
      <c r="BY706">
        <v>259447</v>
      </c>
      <c r="BZ706" t="s">
        <v>2429</v>
      </c>
      <c r="CA706">
        <v>1</v>
      </c>
      <c r="CB706" t="b">
        <v>1</v>
      </c>
      <c r="CC706">
        <v>0</v>
      </c>
      <c r="CD706" t="b">
        <v>0</v>
      </c>
      <c r="CE706" t="b">
        <v>0</v>
      </c>
      <c r="CF706" t="b">
        <v>1</v>
      </c>
      <c r="CG706">
        <v>2956387</v>
      </c>
      <c r="CH706" t="s">
        <v>1681</v>
      </c>
      <c r="CI706" s="10">
        <v>1175000</v>
      </c>
    </row>
    <row r="707" spans="1:88">
      <c r="A707">
        <v>27212318</v>
      </c>
      <c r="B707" s="2" t="str">
        <f>HYPERLINK("http://www.redfin.com/stingray/do/printable-listing?listing-id=1341916","Active")</f>
        <v>Active</v>
      </c>
      <c r="D707" t="s">
        <v>3885</v>
      </c>
      <c r="E707" t="s">
        <v>5973</v>
      </c>
      <c r="F707">
        <v>1195000</v>
      </c>
      <c r="G707">
        <v>2001</v>
      </c>
      <c r="H707">
        <v>5120</v>
      </c>
      <c r="I707">
        <v>12832</v>
      </c>
      <c r="J707">
        <v>5</v>
      </c>
      <c r="K707">
        <v>3.75</v>
      </c>
      <c r="M707" s="2" t="str">
        <f>HYPERLINK("http://maps.live.com/default.aspx?v=2&amp;lvl=15&amp;sp=Point.47.519041_-122.153846_14007 SE 92nd St&amp;cp=47.519041~-122.153846","Map")</f>
        <v>Map</v>
      </c>
      <c r="N707" s="2" t="str">
        <f>HYPERLINK("http://i-0.rfimg.us/photo/1/bigphoto/318/27212318_0.jpg","Photo")</f>
        <v>Photo</v>
      </c>
      <c r="AG707">
        <v>47.519041000000001</v>
      </c>
      <c r="AH707">
        <v>-122.153846</v>
      </c>
      <c r="AI707" t="s">
        <v>3885</v>
      </c>
      <c r="AJ707">
        <v>98059</v>
      </c>
      <c r="AN707">
        <v>775000</v>
      </c>
      <c r="BC707" s="22">
        <v>39428.618807870371</v>
      </c>
      <c r="BI707" s="22">
        <v>39549.294907407406</v>
      </c>
      <c r="BL707">
        <v>23900</v>
      </c>
      <c r="BM707">
        <v>1341916</v>
      </c>
      <c r="BN707" t="s">
        <v>1688</v>
      </c>
      <c r="BO707" s="17">
        <f t="shared" ca="1" si="11"/>
        <v>120.69059803240816</v>
      </c>
      <c r="BP707" t="b">
        <v>0</v>
      </c>
      <c r="BQ707">
        <v>1</v>
      </c>
      <c r="BR707" t="s">
        <v>1686</v>
      </c>
      <c r="BS707" t="s">
        <v>2726</v>
      </c>
      <c r="BT707" t="b">
        <v>0</v>
      </c>
      <c r="BU707" t="s">
        <v>3856</v>
      </c>
      <c r="BV707" t="s">
        <v>1668</v>
      </c>
      <c r="BW707">
        <v>14007</v>
      </c>
      <c r="BY707">
        <v>414186</v>
      </c>
      <c r="BZ707" t="s">
        <v>1672</v>
      </c>
      <c r="CA707">
        <v>1</v>
      </c>
      <c r="CB707" t="b">
        <v>1</v>
      </c>
      <c r="CC707">
        <v>0</v>
      </c>
      <c r="CD707" t="b">
        <v>0</v>
      </c>
      <c r="CE707" t="b">
        <v>0</v>
      </c>
      <c r="CF707" t="b">
        <v>1</v>
      </c>
      <c r="CG707">
        <v>2928326</v>
      </c>
      <c r="CH707" t="s">
        <v>1681</v>
      </c>
      <c r="CI707" s="10">
        <v>1195000</v>
      </c>
      <c r="CJ707" s="7">
        <v>37246</v>
      </c>
    </row>
    <row r="708" spans="1:88">
      <c r="A708">
        <v>27212342</v>
      </c>
      <c r="B708" s="2" t="str">
        <f>HYPERLINK("http://www.redfin.com/stingray/do/printable-listing?listing-id=1354302","Active")</f>
        <v>Active</v>
      </c>
      <c r="D708" t="s">
        <v>3704</v>
      </c>
      <c r="E708" t="s">
        <v>4124</v>
      </c>
      <c r="F708">
        <v>550000</v>
      </c>
      <c r="G708">
        <v>2006</v>
      </c>
      <c r="H708">
        <v>1335</v>
      </c>
      <c r="I708">
        <v>915</v>
      </c>
      <c r="J708">
        <v>3</v>
      </c>
      <c r="K708">
        <v>3</v>
      </c>
      <c r="M708" s="2" t="str">
        <f>HYPERLINK("http://maps.live.com/default.aspx?v=2&amp;lvl=15&amp;sp=Point.47.622287_-122.317595_418 11th Ave E&amp;cp=47.622287~-122.317595","Map")</f>
        <v>Map</v>
      </c>
      <c r="N708" s="2" t="str">
        <f>HYPERLINK("http://i-0.rfimg.us/photo/1/bigphoto/342/27212342_1.jpg","Photo")</f>
        <v>Photo</v>
      </c>
      <c r="AG708">
        <v>47.622287</v>
      </c>
      <c r="AH708">
        <v>-122.317595</v>
      </c>
      <c r="AI708" t="s">
        <v>66</v>
      </c>
      <c r="AJ708">
        <v>98102</v>
      </c>
      <c r="BC708" s="22">
        <v>39435.611817129633</v>
      </c>
      <c r="BI708" s="22">
        <v>39549.294907407406</v>
      </c>
      <c r="BL708">
        <v>11000</v>
      </c>
      <c r="BM708">
        <v>1354302</v>
      </c>
      <c r="BN708" t="s">
        <v>1688</v>
      </c>
      <c r="BO708" s="17">
        <f t="shared" ca="1" si="11"/>
        <v>113.69758877314598</v>
      </c>
      <c r="BP708" t="b">
        <v>0</v>
      </c>
      <c r="BQ708">
        <v>1</v>
      </c>
      <c r="BR708" t="s">
        <v>1667</v>
      </c>
      <c r="BS708" t="s">
        <v>1792</v>
      </c>
      <c r="BT708" t="b">
        <v>0</v>
      </c>
      <c r="BV708" t="s">
        <v>1668</v>
      </c>
      <c r="BW708">
        <v>418</v>
      </c>
      <c r="BX708" t="s">
        <v>2436</v>
      </c>
      <c r="BY708">
        <v>12320212</v>
      </c>
      <c r="BZ708" t="s">
        <v>1836</v>
      </c>
      <c r="CA708">
        <v>1</v>
      </c>
      <c r="CB708" t="b">
        <v>1</v>
      </c>
      <c r="CC708">
        <v>0</v>
      </c>
      <c r="CD708" t="b">
        <v>0</v>
      </c>
      <c r="CE708" t="b">
        <v>0</v>
      </c>
      <c r="CF708" t="b">
        <v>1</v>
      </c>
      <c r="CG708">
        <v>15526248</v>
      </c>
      <c r="CH708" t="s">
        <v>1681</v>
      </c>
      <c r="CI708" s="10">
        <v>550000</v>
      </c>
    </row>
    <row r="709" spans="1:88">
      <c r="A709">
        <v>27212370</v>
      </c>
      <c r="B709" s="2" t="str">
        <f>HYPERLINK("http://www.redfin.com/stingray/do/printable-listing?listing-id=1346271","Active")</f>
        <v>Active</v>
      </c>
      <c r="D709" t="s">
        <v>88</v>
      </c>
      <c r="E709" t="s">
        <v>2574</v>
      </c>
      <c r="F709">
        <v>1299950</v>
      </c>
      <c r="G709">
        <v>1930</v>
      </c>
      <c r="H709">
        <v>3010</v>
      </c>
      <c r="I709">
        <v>5939</v>
      </c>
      <c r="J709">
        <v>3</v>
      </c>
      <c r="K709">
        <v>2.5</v>
      </c>
      <c r="M709" s="2" t="str">
        <f>HYPERLINK("http://maps.live.com/default.aspx?v=2&amp;lvl=15&amp;sp=Point.47.671229_-122.359827_220 NW 58th St&amp;cp=47.671229~-122.359827","Map")</f>
        <v>Map</v>
      </c>
      <c r="N709" s="2" t="str">
        <f>HYPERLINK("http://i-0.rfimg.us/photo/1/bigphoto/370/27212370_1.jpg","Photo")</f>
        <v>Photo</v>
      </c>
      <c r="AG709">
        <v>47.671228999999997</v>
      </c>
      <c r="AH709">
        <v>-122.359827</v>
      </c>
      <c r="AI709" t="s">
        <v>66</v>
      </c>
      <c r="AJ709">
        <v>98107</v>
      </c>
      <c r="BC709" s="22">
        <v>39430.371192129627</v>
      </c>
      <c r="BI709" s="22">
        <v>39549.294907407406</v>
      </c>
      <c r="BL709">
        <v>25999</v>
      </c>
      <c r="BM709">
        <v>1346271</v>
      </c>
      <c r="BN709" t="s">
        <v>1685</v>
      </c>
      <c r="BO709" s="17">
        <f t="shared" ca="1" si="11"/>
        <v>118.93821388889046</v>
      </c>
      <c r="BP709" t="b">
        <v>0</v>
      </c>
      <c r="BQ709">
        <v>1</v>
      </c>
      <c r="BR709" t="s">
        <v>1686</v>
      </c>
      <c r="BS709" t="s">
        <v>2490</v>
      </c>
      <c r="BT709" t="b">
        <v>0</v>
      </c>
      <c r="BU709" t="s">
        <v>1669</v>
      </c>
      <c r="BV709" t="s">
        <v>1668</v>
      </c>
      <c r="BW709">
        <v>220</v>
      </c>
      <c r="BY709">
        <v>298881</v>
      </c>
      <c r="BZ709" t="s">
        <v>2575</v>
      </c>
      <c r="CA709">
        <v>1</v>
      </c>
      <c r="CB709" t="b">
        <v>1</v>
      </c>
      <c r="CC709">
        <v>0</v>
      </c>
      <c r="CD709" t="b">
        <v>0</v>
      </c>
      <c r="CE709" t="b">
        <v>0</v>
      </c>
      <c r="CF709" t="b">
        <v>1</v>
      </c>
      <c r="CG709">
        <v>2836707</v>
      </c>
      <c r="CH709" t="s">
        <v>1681</v>
      </c>
      <c r="CI709" s="10">
        <v>1299950</v>
      </c>
    </row>
    <row r="710" spans="1:88">
      <c r="A710">
        <v>27212456</v>
      </c>
      <c r="B710" s="15" t="str">
        <f>HYPERLINK("http://www.redfin.com/stingray/do/printable-listing?listing-id=1342567","Subject To Inspection")</f>
        <v>Subject To Inspection</v>
      </c>
      <c r="D710" t="s">
        <v>100</v>
      </c>
      <c r="E710" t="s">
        <v>847</v>
      </c>
      <c r="F710">
        <v>479950</v>
      </c>
      <c r="G710">
        <v>2007</v>
      </c>
      <c r="H710">
        <v>0</v>
      </c>
      <c r="I710">
        <v>0</v>
      </c>
      <c r="J710">
        <v>3</v>
      </c>
      <c r="K710">
        <v>2.5</v>
      </c>
      <c r="M710" s="2" t="str">
        <f>HYPERLINK("http://maps.live.com/default.aspx?v=2&amp;lvl=15&amp;sp=Point.47.653305_-122.355803_3647 Greenwood Ave N&amp;cp=47.653305~-122.355803","Map")</f>
        <v>Map</v>
      </c>
      <c r="N710" s="2" t="str">
        <f>HYPERLINK("http://i-0.rfimg.us/photo/1/bigphoto/456/27212456_4.jpg","Photo")</f>
        <v>Photo</v>
      </c>
      <c r="AG710">
        <v>47.653305000000003</v>
      </c>
      <c r="AH710">
        <v>-122.35580299999999</v>
      </c>
      <c r="AI710" t="s">
        <v>66</v>
      </c>
      <c r="AJ710">
        <v>98103</v>
      </c>
      <c r="BC710" s="22">
        <v>39428.733078703706</v>
      </c>
      <c r="BI710" s="22">
        <v>39549.294907407406</v>
      </c>
      <c r="BL710">
        <v>9599</v>
      </c>
      <c r="BM710">
        <v>1342567</v>
      </c>
      <c r="BN710" t="s">
        <v>1693</v>
      </c>
      <c r="BO710" s="17">
        <f t="shared" ca="1" si="11"/>
        <v>120.57632719907269</v>
      </c>
      <c r="BP710" t="b">
        <v>0</v>
      </c>
      <c r="BQ710">
        <v>1</v>
      </c>
      <c r="BR710" t="s">
        <v>1667</v>
      </c>
      <c r="BS710" t="s">
        <v>55</v>
      </c>
      <c r="BT710" t="b">
        <v>0</v>
      </c>
      <c r="BV710" t="s">
        <v>1668</v>
      </c>
      <c r="BW710">
        <v>3647</v>
      </c>
      <c r="BX710" t="s">
        <v>1712</v>
      </c>
      <c r="BY710">
        <v>12316243</v>
      </c>
      <c r="BZ710" t="s">
        <v>3283</v>
      </c>
      <c r="CA710">
        <v>1</v>
      </c>
      <c r="CB710" t="b">
        <v>1</v>
      </c>
      <c r="CC710">
        <v>0</v>
      </c>
      <c r="CD710" t="b">
        <v>0</v>
      </c>
      <c r="CE710" t="b">
        <v>0</v>
      </c>
      <c r="CF710" t="b">
        <v>1</v>
      </c>
      <c r="CG710">
        <v>15522666</v>
      </c>
      <c r="CH710" t="s">
        <v>1681</v>
      </c>
      <c r="CI710" s="10">
        <v>479950</v>
      </c>
    </row>
    <row r="711" spans="1:88">
      <c r="A711">
        <v>27212458</v>
      </c>
      <c r="B711" s="2" t="str">
        <f>HYPERLINK("http://www.redfin.com/stingray/do/printable-listing?listing-id=1342563","Active")</f>
        <v>Active</v>
      </c>
      <c r="D711" t="s">
        <v>100</v>
      </c>
      <c r="E711" t="s">
        <v>3284</v>
      </c>
      <c r="F711">
        <v>479950</v>
      </c>
      <c r="G711">
        <v>2007</v>
      </c>
      <c r="H711">
        <v>0</v>
      </c>
      <c r="I711">
        <v>0</v>
      </c>
      <c r="J711">
        <v>3</v>
      </c>
      <c r="K711">
        <v>2.5</v>
      </c>
      <c r="M711" s="2" t="str">
        <f>HYPERLINK("http://maps.live.com/default.aspx?v=2&amp;lvl=15&amp;sp=Point.47.653971_-122.355982_213 N 39th St nB&amp;cp=47.653971~-122.355982","Map")</f>
        <v>Map</v>
      </c>
      <c r="N711" s="2" t="str">
        <f>HYPERLINK("http://i-0.rfimg.us/photo/1/bigphoto/458/27212458_5.jpg","Photo")</f>
        <v>Photo</v>
      </c>
      <c r="AG711">
        <v>47.653970999999999</v>
      </c>
      <c r="AH711">
        <v>-122.355982</v>
      </c>
      <c r="AI711" t="s">
        <v>66</v>
      </c>
      <c r="AJ711">
        <v>98103</v>
      </c>
      <c r="AM711" t="s">
        <v>1699</v>
      </c>
      <c r="BC711" s="22">
        <v>39428.733032407406</v>
      </c>
      <c r="BI711" s="7">
        <v>39542</v>
      </c>
      <c r="BL711">
        <v>9599</v>
      </c>
      <c r="BM711">
        <v>1342563</v>
      </c>
      <c r="BN711" t="s">
        <v>1693</v>
      </c>
      <c r="BO711" s="17">
        <f t="shared" ca="1" si="11"/>
        <v>120.57637349537254</v>
      </c>
      <c r="BP711" t="b">
        <v>0</v>
      </c>
      <c r="BQ711">
        <v>1</v>
      </c>
      <c r="BR711" t="s">
        <v>1686</v>
      </c>
      <c r="BS711" t="s">
        <v>3124</v>
      </c>
      <c r="BT711" t="b">
        <v>0</v>
      </c>
      <c r="BU711" t="s">
        <v>1712</v>
      </c>
      <c r="BV711" t="s">
        <v>1668</v>
      </c>
      <c r="BW711">
        <v>213</v>
      </c>
      <c r="BY711">
        <v>12316241</v>
      </c>
      <c r="BZ711" t="s">
        <v>3285</v>
      </c>
      <c r="CA711">
        <v>1</v>
      </c>
      <c r="CB711" t="b">
        <v>1</v>
      </c>
      <c r="CC711">
        <v>0</v>
      </c>
      <c r="CD711" t="b">
        <v>0</v>
      </c>
      <c r="CE711" t="b">
        <v>0</v>
      </c>
      <c r="CF711" t="b">
        <v>1</v>
      </c>
      <c r="CG711">
        <v>15522664</v>
      </c>
      <c r="CH711" t="s">
        <v>1681</v>
      </c>
      <c r="CI711" s="10">
        <v>479950</v>
      </c>
    </row>
    <row r="712" spans="1:88">
      <c r="A712">
        <v>27212459</v>
      </c>
      <c r="B712" s="15" t="str">
        <f>HYPERLINK("http://www.redfin.com/stingray/do/printable-listing?listing-id=1342564","Subject To Inspection")</f>
        <v>Subject To Inspection</v>
      </c>
      <c r="D712" t="s">
        <v>100</v>
      </c>
      <c r="E712" t="s">
        <v>633</v>
      </c>
      <c r="F712" s="19">
        <v>379950</v>
      </c>
      <c r="G712">
        <v>2007</v>
      </c>
      <c r="H712">
        <v>0</v>
      </c>
      <c r="I712">
        <v>0</v>
      </c>
      <c r="J712">
        <v>2</v>
      </c>
      <c r="K712">
        <v>1.5</v>
      </c>
      <c r="M712" s="2" t="str">
        <f>HYPERLINK("http://maps.live.com/default.aspx?v=2&amp;lvl=15&amp;sp=Point.47.653431_-122.355803_3657 Greenwood Ave N&amp;cp=47.653431~-122.355803","Map")</f>
        <v>Map</v>
      </c>
      <c r="N712" s="2" t="str">
        <f>HYPERLINK("http://i-0.rfimg.us/photo/1/bigphoto/459/27212459_4.jpg","Photo")</f>
        <v>Photo</v>
      </c>
      <c r="AG712">
        <v>47.653430999999998</v>
      </c>
      <c r="AH712">
        <v>-122.35580299999999</v>
      </c>
      <c r="AI712" t="s">
        <v>66</v>
      </c>
      <c r="AJ712">
        <v>98103</v>
      </c>
      <c r="BC712" s="22">
        <v>39428.733043981483</v>
      </c>
      <c r="BI712" s="22">
        <v>39549.294907407406</v>
      </c>
      <c r="BL712">
        <v>7999</v>
      </c>
      <c r="BM712">
        <v>1342564</v>
      </c>
      <c r="BN712" t="s">
        <v>1693</v>
      </c>
      <c r="BO712" s="17">
        <f t="shared" ca="1" si="11"/>
        <v>120.57636192129576</v>
      </c>
      <c r="BP712" t="b">
        <v>0</v>
      </c>
      <c r="BQ712">
        <v>1</v>
      </c>
      <c r="BR712" t="s">
        <v>1667</v>
      </c>
      <c r="BS712" t="s">
        <v>55</v>
      </c>
      <c r="BT712" t="b">
        <v>0</v>
      </c>
      <c r="BV712" t="s">
        <v>1668</v>
      </c>
      <c r="BW712">
        <v>3657</v>
      </c>
      <c r="BX712" t="s">
        <v>1712</v>
      </c>
      <c r="BY712">
        <v>12316242</v>
      </c>
      <c r="BZ712" t="s">
        <v>3333</v>
      </c>
      <c r="CA712">
        <v>1</v>
      </c>
      <c r="CB712" t="b">
        <v>1</v>
      </c>
      <c r="CC712">
        <v>0</v>
      </c>
      <c r="CD712" t="b">
        <v>0</v>
      </c>
      <c r="CE712" t="b">
        <v>0</v>
      </c>
      <c r="CF712" t="b">
        <v>1</v>
      </c>
      <c r="CG712">
        <v>15522665</v>
      </c>
      <c r="CH712" t="s">
        <v>1681</v>
      </c>
      <c r="CI712" s="10">
        <v>399950</v>
      </c>
    </row>
    <row r="713" spans="1:88">
      <c r="A713">
        <v>27212473</v>
      </c>
      <c r="B713" s="2" t="str">
        <f>HYPERLINK("http://www.redfin.com/stingray/do/printable-listing?listing-id=1344921","Active")</f>
        <v>Active</v>
      </c>
      <c r="D713" t="s">
        <v>63</v>
      </c>
      <c r="E713" t="s">
        <v>1236</v>
      </c>
      <c r="F713">
        <v>674950</v>
      </c>
      <c r="G713">
        <v>1926</v>
      </c>
      <c r="H713">
        <v>2260</v>
      </c>
      <c r="I713">
        <v>0</v>
      </c>
      <c r="J713">
        <v>4</v>
      </c>
      <c r="K713">
        <v>2.25</v>
      </c>
      <c r="M713" s="2" t="str">
        <f>HYPERLINK("http://maps.live.com/default.aspx?v=2&amp;lvl=15&amp;sp=Point.47.689326_-122.359469_132 NW 83rd St&amp;cp=47.689326~-122.359469","Map")</f>
        <v>Map</v>
      </c>
      <c r="N713" s="2" t="str">
        <f>HYPERLINK("http://i-0.rfimg.us/photo/1/bigphoto/473/27212473_1.jpg","Photo")</f>
        <v>Photo</v>
      </c>
      <c r="AG713">
        <v>47.689326000000001</v>
      </c>
      <c r="AH713">
        <v>-122.359469</v>
      </c>
      <c r="AI713" t="s">
        <v>66</v>
      </c>
      <c r="AJ713">
        <v>98117</v>
      </c>
      <c r="AN713">
        <v>627500</v>
      </c>
      <c r="BC713" s="22">
        <v>39429.486076388886</v>
      </c>
      <c r="BI713" s="7">
        <v>39520</v>
      </c>
      <c r="BL713">
        <v>13499</v>
      </c>
      <c r="BM713">
        <v>1344921</v>
      </c>
      <c r="BN713" t="s">
        <v>1968</v>
      </c>
      <c r="BO713" s="17">
        <f t="shared" ca="1" si="11"/>
        <v>119.82332962963119</v>
      </c>
      <c r="BP713" t="b">
        <v>0</v>
      </c>
      <c r="BQ713">
        <v>1</v>
      </c>
      <c r="BR713" t="s">
        <v>1686</v>
      </c>
      <c r="BS713" t="s">
        <v>1867</v>
      </c>
      <c r="BT713" t="b">
        <v>0</v>
      </c>
      <c r="BU713" t="s">
        <v>1669</v>
      </c>
      <c r="BV713" t="s">
        <v>1668</v>
      </c>
      <c r="BW713">
        <v>132</v>
      </c>
      <c r="BY713">
        <v>498150</v>
      </c>
      <c r="BZ713" t="s">
        <v>2114</v>
      </c>
      <c r="CA713">
        <v>1</v>
      </c>
      <c r="CB713" t="b">
        <v>1</v>
      </c>
      <c r="CC713">
        <v>0</v>
      </c>
      <c r="CD713" t="b">
        <v>0</v>
      </c>
      <c r="CE713" t="b">
        <v>0</v>
      </c>
      <c r="CF713" t="b">
        <v>1</v>
      </c>
      <c r="CG713">
        <v>2446095</v>
      </c>
      <c r="CH713" t="s">
        <v>1681</v>
      </c>
      <c r="CI713" s="10">
        <v>674950</v>
      </c>
      <c r="CJ713" s="7">
        <v>39059</v>
      </c>
    </row>
    <row r="714" spans="1:88">
      <c r="A714">
        <v>27212578</v>
      </c>
      <c r="B714" s="2" t="str">
        <f>HYPERLINK("http://www.redfin.com/stingray/do/printable-listing?listing-id=1345109","Active")</f>
        <v>Active</v>
      </c>
      <c r="D714" t="s">
        <v>369</v>
      </c>
      <c r="E714" t="s">
        <v>5435</v>
      </c>
      <c r="F714">
        <v>535000</v>
      </c>
      <c r="G714">
        <v>1958</v>
      </c>
      <c r="H714">
        <v>2420</v>
      </c>
      <c r="I714">
        <v>8630</v>
      </c>
      <c r="J714">
        <v>5</v>
      </c>
      <c r="K714">
        <v>2.75</v>
      </c>
      <c r="M714" s="2" t="str">
        <f>HYPERLINK("http://maps.live.com/default.aspx?v=2&amp;lvl=15&amp;sp=Point.47.604947_-122.125432_16011 SE 5 St&amp;cp=47.604947~-122.125432","Map")</f>
        <v>Map</v>
      </c>
      <c r="N714" s="2" t="str">
        <f>HYPERLINK("http://i-0.rfimg.us/photo/1/bigphoto/578/27212578_2.jpg","Photo")</f>
        <v>Photo</v>
      </c>
      <c r="AG714">
        <v>47.604947000000003</v>
      </c>
      <c r="AH714">
        <v>-122.125432</v>
      </c>
      <c r="AI714" t="s">
        <v>369</v>
      </c>
      <c r="AJ714">
        <v>98008</v>
      </c>
      <c r="AN714">
        <v>357950</v>
      </c>
      <c r="BC714" s="22">
        <v>39429.559293981481</v>
      </c>
      <c r="BI714" s="7">
        <v>39541</v>
      </c>
      <c r="BL714">
        <v>10700</v>
      </c>
      <c r="BM714">
        <v>1345109</v>
      </c>
      <c r="BN714" t="s">
        <v>2617</v>
      </c>
      <c r="BO714" s="17">
        <f t="shared" ca="1" si="11"/>
        <v>119.7501119212975</v>
      </c>
      <c r="BP714" t="b">
        <v>0</v>
      </c>
      <c r="BQ714">
        <v>1</v>
      </c>
      <c r="BR714" t="s">
        <v>1686</v>
      </c>
      <c r="BS714">
        <v>5</v>
      </c>
      <c r="BT714" t="b">
        <v>0</v>
      </c>
      <c r="BU714" t="s">
        <v>3856</v>
      </c>
      <c r="BV714" t="s">
        <v>1668</v>
      </c>
      <c r="BW714">
        <v>16011</v>
      </c>
      <c r="BY714">
        <v>426134</v>
      </c>
      <c r="BZ714" t="s">
        <v>5436</v>
      </c>
      <c r="CA714">
        <v>1</v>
      </c>
      <c r="CB714" t="b">
        <v>1</v>
      </c>
      <c r="CC714">
        <v>0</v>
      </c>
      <c r="CD714" t="b">
        <v>0</v>
      </c>
      <c r="CE714" t="b">
        <v>0</v>
      </c>
      <c r="CF714" t="b">
        <v>1</v>
      </c>
      <c r="CG714">
        <v>2597341</v>
      </c>
      <c r="CH714" t="s">
        <v>1681</v>
      </c>
      <c r="CI714" s="10">
        <v>535000</v>
      </c>
      <c r="CJ714" s="7">
        <v>38223</v>
      </c>
    </row>
    <row r="715" spans="1:88">
      <c r="A715">
        <v>27212771</v>
      </c>
      <c r="B715" s="2" t="str">
        <f>HYPERLINK("http://www.redfin.com/stingray/do/printable-listing?listing-id=1345324","Subject To Inspection")</f>
        <v>Subject To Inspection</v>
      </c>
      <c r="D715" t="s">
        <v>88</v>
      </c>
      <c r="E715" t="s">
        <v>2665</v>
      </c>
      <c r="F715">
        <v>525950</v>
      </c>
      <c r="G715">
        <v>2007</v>
      </c>
      <c r="H715">
        <v>1694</v>
      </c>
      <c r="I715">
        <v>0</v>
      </c>
      <c r="J715">
        <v>3</v>
      </c>
      <c r="K715">
        <v>2.5</v>
      </c>
      <c r="M715" s="2" t="str">
        <f>HYPERLINK("http://maps.live.com/default.aspx?v=2&amp;lvl=15&amp;sp=Point.47.674768_-122.354603_6309 Phinney Ave N nA&amp;cp=47.674768~-122.354603","Map")</f>
        <v>Map</v>
      </c>
      <c r="N715" s="2" t="str">
        <f>HYPERLINK("http://i-0.rfimg.us/photo/1/bigphoto/771/27212771_1.jpg","Photo")</f>
        <v>Photo</v>
      </c>
      <c r="AG715">
        <v>47.674768</v>
      </c>
      <c r="AH715">
        <v>-122.354603</v>
      </c>
      <c r="AI715" t="s">
        <v>66</v>
      </c>
      <c r="AJ715">
        <v>98103</v>
      </c>
      <c r="AM715" t="s">
        <v>1722</v>
      </c>
      <c r="BC715" s="22">
        <v>39429.624097222222</v>
      </c>
      <c r="BI715" s="22">
        <v>39545.917314814818</v>
      </c>
      <c r="BL715">
        <v>10519</v>
      </c>
      <c r="BM715">
        <v>1345324</v>
      </c>
      <c r="BN715" t="s">
        <v>1700</v>
      </c>
      <c r="BO715" s="17">
        <f t="shared" ca="1" si="11"/>
        <v>119.68530879629543</v>
      </c>
      <c r="BP715" t="b">
        <v>0</v>
      </c>
      <c r="BQ715">
        <v>2</v>
      </c>
      <c r="BR715" t="s">
        <v>1667</v>
      </c>
      <c r="BS715" t="s">
        <v>2475</v>
      </c>
      <c r="BT715" t="b">
        <v>0</v>
      </c>
      <c r="BV715" t="s">
        <v>1668</v>
      </c>
      <c r="BW715">
        <v>6309</v>
      </c>
      <c r="BX715" t="s">
        <v>1712</v>
      </c>
      <c r="BY715">
        <v>12174953</v>
      </c>
      <c r="BZ715" t="s">
        <v>1704</v>
      </c>
      <c r="CA715">
        <v>1</v>
      </c>
      <c r="CB715" t="b">
        <v>1</v>
      </c>
      <c r="CC715">
        <v>0</v>
      </c>
      <c r="CD715" t="b">
        <v>0</v>
      </c>
      <c r="CE715" t="b">
        <v>0</v>
      </c>
      <c r="CF715" t="b">
        <v>1</v>
      </c>
      <c r="CG715">
        <v>15405560</v>
      </c>
      <c r="CH715" t="s">
        <v>1681</v>
      </c>
      <c r="CI715" s="10">
        <v>525950</v>
      </c>
    </row>
    <row r="716" spans="1:88">
      <c r="A716">
        <v>27212847</v>
      </c>
      <c r="B716" s="2" t="str">
        <f>HYPERLINK("http://www.redfin.com/stingray/do/printable-listing?listing-id=1345555","Active")</f>
        <v>Active</v>
      </c>
      <c r="D716" t="s">
        <v>3885</v>
      </c>
      <c r="E716" t="s">
        <v>6171</v>
      </c>
      <c r="F716">
        <v>925000</v>
      </c>
      <c r="G716">
        <v>2006</v>
      </c>
      <c r="H716">
        <v>3369</v>
      </c>
      <c r="I716">
        <v>7500</v>
      </c>
      <c r="J716">
        <v>4</v>
      </c>
      <c r="K716">
        <v>2.5</v>
      </c>
      <c r="M716" s="2" t="str">
        <f>HYPERLINK("http://maps.live.com/default.aspx?v=2&amp;lvl=15&amp;sp=Point.47.4941_-122.1537_8617 140th Ave SE&amp;cp=47.4941~-122.1537","Map")</f>
        <v>Map</v>
      </c>
      <c r="N716" s="2" t="str">
        <f>HYPERLINK("http://i-0.rfimg.us/photo/1/bigphoto/847/27212847_1.jpg","Photo")</f>
        <v>Photo</v>
      </c>
      <c r="AG716">
        <v>47.494100000000003</v>
      </c>
      <c r="AH716">
        <v>-122.1537</v>
      </c>
      <c r="AI716" t="s">
        <v>3885</v>
      </c>
      <c r="AJ716">
        <v>98059</v>
      </c>
      <c r="AN716">
        <v>842800</v>
      </c>
      <c r="BC716" s="22">
        <v>39429.687245370369</v>
      </c>
      <c r="BI716" s="22">
        <v>39547.913935185185</v>
      </c>
      <c r="BL716">
        <v>18500</v>
      </c>
      <c r="BM716">
        <v>1345555</v>
      </c>
      <c r="BN716" t="s">
        <v>4593</v>
      </c>
      <c r="BO716" s="17">
        <f t="shared" ca="1" si="11"/>
        <v>119.62216053240991</v>
      </c>
      <c r="BP716" t="b">
        <v>0</v>
      </c>
      <c r="BQ716">
        <v>1</v>
      </c>
      <c r="BR716" t="s">
        <v>1667</v>
      </c>
      <c r="BS716" t="s">
        <v>4434</v>
      </c>
      <c r="BT716" t="b">
        <v>0</v>
      </c>
      <c r="BV716" t="s">
        <v>1668</v>
      </c>
      <c r="BW716">
        <v>8617</v>
      </c>
      <c r="BX716" t="s">
        <v>3856</v>
      </c>
      <c r="BY716">
        <v>8188462</v>
      </c>
      <c r="BZ716" t="s">
        <v>6172</v>
      </c>
      <c r="CA716">
        <v>1</v>
      </c>
      <c r="CB716" t="b">
        <v>1</v>
      </c>
      <c r="CC716">
        <v>0</v>
      </c>
      <c r="CD716" t="b">
        <v>0</v>
      </c>
      <c r="CE716" t="b">
        <v>0</v>
      </c>
      <c r="CF716" t="b">
        <v>1</v>
      </c>
      <c r="CG716">
        <v>2951140</v>
      </c>
      <c r="CH716" t="s">
        <v>1681</v>
      </c>
      <c r="CI716" s="10">
        <v>925000</v>
      </c>
      <c r="CJ716" s="7">
        <v>39038</v>
      </c>
    </row>
    <row r="717" spans="1:88">
      <c r="A717">
        <v>27212862</v>
      </c>
      <c r="B717" s="15" t="str">
        <f>HYPERLINK("http://www.redfin.com/stingray/do/printable-listing?listing-id=1346036","Subject To Inspection")</f>
        <v>Subject To Inspection</v>
      </c>
      <c r="D717" t="s">
        <v>66</v>
      </c>
      <c r="E717" t="s">
        <v>2951</v>
      </c>
      <c r="F717">
        <v>695000</v>
      </c>
      <c r="G717">
        <v>1959</v>
      </c>
      <c r="H717">
        <v>2280</v>
      </c>
      <c r="I717">
        <v>6000</v>
      </c>
      <c r="J717">
        <v>3</v>
      </c>
      <c r="K717">
        <v>2.5</v>
      </c>
      <c r="M717" s="2" t="str">
        <f>HYPERLINK("http://maps.live.com/default.aspx?v=2&amp;lvl=15&amp;sp=Point.47.70893_-122.276858_10745 Lakeside Ave NE&amp;cp=47.70893~-122.276858","Map")</f>
        <v>Map</v>
      </c>
      <c r="N717" s="2" t="str">
        <f>HYPERLINK("http://i-0.rfimg.us/photo/1/bigphoto/862/27212862_0.jpg","Photo")</f>
        <v>Photo</v>
      </c>
      <c r="AG717">
        <v>47.708930000000002</v>
      </c>
      <c r="AH717">
        <v>-122.276858</v>
      </c>
      <c r="AI717" t="s">
        <v>66</v>
      </c>
      <c r="AJ717">
        <v>98125</v>
      </c>
      <c r="AN717">
        <v>445000</v>
      </c>
      <c r="BC717" s="22">
        <v>39429.839699074073</v>
      </c>
      <c r="BI717" s="22">
        <v>39549.294907407406</v>
      </c>
      <c r="BL717">
        <v>13900</v>
      </c>
      <c r="BM717">
        <v>1346036</v>
      </c>
      <c r="BN717" t="s">
        <v>1823</v>
      </c>
      <c r="BO717" s="17">
        <f t="shared" ca="1" si="11"/>
        <v>119.46970682870597</v>
      </c>
      <c r="BP717" t="b">
        <v>0</v>
      </c>
      <c r="BQ717">
        <v>1</v>
      </c>
      <c r="BR717" t="s">
        <v>1667</v>
      </c>
      <c r="BS717" t="s">
        <v>2838</v>
      </c>
      <c r="BT717" t="b">
        <v>0</v>
      </c>
      <c r="BV717" t="s">
        <v>1668</v>
      </c>
      <c r="BW717">
        <v>10745</v>
      </c>
      <c r="BX717" t="s">
        <v>1738</v>
      </c>
      <c r="BY717">
        <v>318931</v>
      </c>
      <c r="BZ717" t="s">
        <v>1672</v>
      </c>
      <c r="CA717">
        <v>1</v>
      </c>
      <c r="CB717" t="b">
        <v>1</v>
      </c>
      <c r="CC717">
        <v>0</v>
      </c>
      <c r="CD717" t="b">
        <v>0</v>
      </c>
      <c r="CE717" t="b">
        <v>0</v>
      </c>
      <c r="CF717" t="b">
        <v>1</v>
      </c>
      <c r="CG717">
        <v>2410498</v>
      </c>
      <c r="CH717" t="s">
        <v>1681</v>
      </c>
      <c r="CI717" s="10">
        <v>695000</v>
      </c>
      <c r="CJ717" s="7">
        <v>37484</v>
      </c>
    </row>
    <row r="718" spans="1:88">
      <c r="A718">
        <v>27212895</v>
      </c>
      <c r="B718" s="15" t="str">
        <f>HYPERLINK("http://www.redfin.com/stingray/do/printable-listing?listing-id=1347428","Subject To Inspection")</f>
        <v>Subject To Inspection</v>
      </c>
      <c r="D718" t="s">
        <v>1058</v>
      </c>
      <c r="E718" t="s">
        <v>4557</v>
      </c>
      <c r="F718">
        <v>599900</v>
      </c>
      <c r="G718">
        <v>2004</v>
      </c>
      <c r="H718">
        <v>2500</v>
      </c>
      <c r="I718">
        <v>5361</v>
      </c>
      <c r="J718">
        <v>3</v>
      </c>
      <c r="K718">
        <v>2.75</v>
      </c>
      <c r="M718" s="2" t="str">
        <f>HYPERLINK("http://maps.live.com/default.aspx?v=2&amp;lvl=15&amp;sp=Point.47.719863_-122.165248_13101 NE 133rd Ct&amp;cp=47.719863~-122.165248","Map")</f>
        <v>Map</v>
      </c>
      <c r="N718" s="2" t="str">
        <f>HYPERLINK("http://i-0.rfimg.us/photo/1/bigphoto/895/27212895_1.jpg","Photo")</f>
        <v>Photo</v>
      </c>
      <c r="AG718">
        <v>47.719862999999997</v>
      </c>
      <c r="AH718">
        <v>-122.16524800000001</v>
      </c>
      <c r="AI718" t="s">
        <v>1058</v>
      </c>
      <c r="AJ718">
        <v>98034</v>
      </c>
      <c r="AN718">
        <v>400450</v>
      </c>
      <c r="BC718" s="22">
        <v>39430.602951388886</v>
      </c>
      <c r="BI718" s="7">
        <v>39541</v>
      </c>
      <c r="BL718">
        <v>11998</v>
      </c>
      <c r="BM718">
        <v>1347428</v>
      </c>
      <c r="BN718" t="s">
        <v>2203</v>
      </c>
      <c r="BO718" s="17">
        <f t="shared" ca="1" si="11"/>
        <v>118.70645451389282</v>
      </c>
      <c r="BP718" t="b">
        <v>0</v>
      </c>
      <c r="BQ718">
        <v>1</v>
      </c>
      <c r="BR718" t="s">
        <v>3768</v>
      </c>
      <c r="BS718" t="s">
        <v>4416</v>
      </c>
      <c r="BT718" t="b">
        <v>0</v>
      </c>
      <c r="BU718" t="s">
        <v>1738</v>
      </c>
      <c r="BV718" t="s">
        <v>1668</v>
      </c>
      <c r="BW718">
        <v>13101</v>
      </c>
      <c r="BY718">
        <v>453620</v>
      </c>
      <c r="BZ718" t="s">
        <v>1709</v>
      </c>
      <c r="CA718">
        <v>1</v>
      </c>
      <c r="CB718" t="b">
        <v>1</v>
      </c>
      <c r="CC718">
        <v>0</v>
      </c>
      <c r="CD718" t="b">
        <v>0</v>
      </c>
      <c r="CE718" t="b">
        <v>0</v>
      </c>
      <c r="CF718" t="b">
        <v>1</v>
      </c>
      <c r="CG718">
        <v>2805501</v>
      </c>
      <c r="CH718" t="s">
        <v>1681</v>
      </c>
      <c r="CI718" s="10">
        <v>599900</v>
      </c>
      <c r="CJ718" s="7">
        <v>38014</v>
      </c>
    </row>
    <row r="719" spans="1:88">
      <c r="A719">
        <v>27212902</v>
      </c>
      <c r="B719" s="2" t="str">
        <f>HYPERLINK("http://www.redfin.com/stingray/do/printable-listing?listing-id=1346082","Active")</f>
        <v>Active</v>
      </c>
      <c r="D719" t="s">
        <v>5137</v>
      </c>
      <c r="E719" t="s">
        <v>5136</v>
      </c>
      <c r="F719">
        <v>449900</v>
      </c>
      <c r="G719">
        <v>1966</v>
      </c>
      <c r="H719">
        <v>1800</v>
      </c>
      <c r="I719">
        <v>11280</v>
      </c>
      <c r="J719">
        <v>3</v>
      </c>
      <c r="K719">
        <v>1.75</v>
      </c>
      <c r="M719" s="2" t="str">
        <f>HYPERLINK("http://maps.live.com/default.aspx?v=2&amp;lvl=15&amp;sp=Point.47.578869_-122.17662_12203 SE 35th St&amp;cp=47.578869~-122.17662","Map")</f>
        <v>Map</v>
      </c>
      <c r="N719" s="2" t="str">
        <f>HYPERLINK("http://i-0.rfimg.us/photo/1/bigphoto/902/27212902_0.jpg","Photo")</f>
        <v>Photo</v>
      </c>
      <c r="AG719">
        <v>47.578868999999997</v>
      </c>
      <c r="AH719">
        <v>-122.17662</v>
      </c>
      <c r="AI719" t="s">
        <v>369</v>
      </c>
      <c r="AJ719">
        <v>98006</v>
      </c>
      <c r="AN719">
        <v>232000</v>
      </c>
      <c r="BC719" s="22">
        <v>39429.892453703702</v>
      </c>
      <c r="BI719" s="22">
        <v>39549.294907407406</v>
      </c>
      <c r="BL719">
        <v>8998</v>
      </c>
      <c r="BM719">
        <v>1346082</v>
      </c>
      <c r="BN719" t="s">
        <v>3236</v>
      </c>
      <c r="BO719" s="17">
        <f t="shared" ca="1" si="11"/>
        <v>119.41695219907706</v>
      </c>
      <c r="BP719" t="b">
        <v>0</v>
      </c>
      <c r="BQ719">
        <v>1</v>
      </c>
      <c r="BR719" t="s">
        <v>1686</v>
      </c>
      <c r="BS719" t="s">
        <v>2920</v>
      </c>
      <c r="BT719" t="b">
        <v>0</v>
      </c>
      <c r="BU719" t="s">
        <v>3856</v>
      </c>
      <c r="BV719" t="s">
        <v>1668</v>
      </c>
      <c r="BW719">
        <v>12203</v>
      </c>
      <c r="BY719">
        <v>233848</v>
      </c>
      <c r="BZ719" t="s">
        <v>1741</v>
      </c>
      <c r="CA719">
        <v>1</v>
      </c>
      <c r="CB719" t="b">
        <v>1</v>
      </c>
      <c r="CC719">
        <v>0</v>
      </c>
      <c r="CD719" t="b">
        <v>0</v>
      </c>
      <c r="CE719" t="b">
        <v>0</v>
      </c>
      <c r="CF719" t="b">
        <v>1</v>
      </c>
      <c r="CG719">
        <v>2496323</v>
      </c>
      <c r="CH719" t="s">
        <v>1681</v>
      </c>
      <c r="CI719" s="10">
        <v>449900</v>
      </c>
      <c r="CJ719" s="7">
        <v>36865</v>
      </c>
    </row>
    <row r="720" spans="1:88">
      <c r="A720">
        <v>27212942</v>
      </c>
      <c r="B720" s="2" t="str">
        <f>HYPERLINK("http://www.redfin.com/stingray/do/printable-listing?listing-id=1346524","Active")</f>
        <v>Active</v>
      </c>
      <c r="D720" t="s">
        <v>5490</v>
      </c>
      <c r="E720" t="s">
        <v>5489</v>
      </c>
      <c r="F720" s="19">
        <v>649000</v>
      </c>
      <c r="G720">
        <v>1983</v>
      </c>
      <c r="H720">
        <v>2510</v>
      </c>
      <c r="I720">
        <v>16117</v>
      </c>
      <c r="J720">
        <v>3</v>
      </c>
      <c r="K720">
        <v>2.75</v>
      </c>
      <c r="M720" s="2" t="str">
        <f>HYPERLINK("http://maps.live.com/default.aspx?v=2&amp;lvl=15&amp;sp=Point.47.56979_-122.121048_4236 164th Ave SE&amp;cp=47.56979~-122.121048","Map")</f>
        <v>Map</v>
      </c>
      <c r="N720" s="2" t="str">
        <f>HYPERLINK("http://i-0.rfimg.us/photo/1/bigphoto/942/27212942_1.jpg","Photo")</f>
        <v>Photo</v>
      </c>
      <c r="AG720">
        <v>47.569789999999998</v>
      </c>
      <c r="AH720">
        <v>-122.121048</v>
      </c>
      <c r="AI720" t="s">
        <v>5280</v>
      </c>
      <c r="AJ720">
        <v>98027</v>
      </c>
      <c r="BC720" s="22">
        <v>39430.390277777777</v>
      </c>
      <c r="BI720" s="22">
        <v>39549.294907407406</v>
      </c>
      <c r="BL720">
        <v>13380</v>
      </c>
      <c r="BM720">
        <v>1346524</v>
      </c>
      <c r="BN720" t="s">
        <v>1688</v>
      </c>
      <c r="BO720" s="17">
        <f t="shared" ca="1" si="11"/>
        <v>118.91912812500232</v>
      </c>
      <c r="BP720" t="b">
        <v>0</v>
      </c>
      <c r="BQ720">
        <v>1</v>
      </c>
      <c r="BR720" t="s">
        <v>1667</v>
      </c>
      <c r="BS720" t="s">
        <v>5306</v>
      </c>
      <c r="BT720" t="b">
        <v>0</v>
      </c>
      <c r="BV720" t="s">
        <v>1668</v>
      </c>
      <c r="BW720">
        <v>4236</v>
      </c>
      <c r="BX720" t="s">
        <v>3856</v>
      </c>
      <c r="BY720">
        <v>235658</v>
      </c>
      <c r="BZ720" t="s">
        <v>2799</v>
      </c>
      <c r="CA720">
        <v>1</v>
      </c>
      <c r="CB720" t="b">
        <v>1</v>
      </c>
      <c r="CC720">
        <v>0</v>
      </c>
      <c r="CD720" t="b">
        <v>0</v>
      </c>
      <c r="CE720" t="b">
        <v>0</v>
      </c>
      <c r="CF720" t="b">
        <v>1</v>
      </c>
      <c r="CG720">
        <v>2572112</v>
      </c>
      <c r="CH720" t="s">
        <v>1681</v>
      </c>
      <c r="CI720" s="10">
        <v>669000</v>
      </c>
    </row>
    <row r="721" spans="1:90">
      <c r="A721">
        <v>27213120</v>
      </c>
      <c r="B721" s="2" t="str">
        <f>HYPERLINK("http://www.redfin.com/stingray/do/printable-listing?listing-id=1347427","Active")</f>
        <v>Active</v>
      </c>
      <c r="D721" t="s">
        <v>4596</v>
      </c>
      <c r="E721" t="s">
        <v>4628</v>
      </c>
      <c r="F721">
        <v>774950</v>
      </c>
      <c r="G721">
        <v>2007</v>
      </c>
      <c r="H721">
        <v>3043</v>
      </c>
      <c r="I721">
        <v>0</v>
      </c>
      <c r="J721">
        <v>4</v>
      </c>
      <c r="K721">
        <v>2.5</v>
      </c>
      <c r="M721" s="2" t="str">
        <f>HYPERLINK("http://maps.live.com/default.aspx?v=2&amp;lvl=15&amp;sp=adr.16826 NE 120th St (Unable to map),98052","Map")</f>
        <v>Map</v>
      </c>
      <c r="N721" s="2" t="str">
        <f>HYPERLINK("http://i-0.rfimg.us/photo/1/bigphoto/120/27213120_0.jpg","Photo")</f>
        <v>Photo</v>
      </c>
      <c r="AI721" t="s">
        <v>4363</v>
      </c>
      <c r="AJ721">
        <v>98052</v>
      </c>
      <c r="BC721" s="22">
        <v>39430.602789351855</v>
      </c>
      <c r="BI721" s="22">
        <v>39549.294907407406</v>
      </c>
      <c r="BL721">
        <v>15499</v>
      </c>
      <c r="BM721">
        <v>1347427</v>
      </c>
      <c r="BN721" t="s">
        <v>3883</v>
      </c>
      <c r="BO721" s="17">
        <f t="shared" ca="1" si="11"/>
        <v>118.70661655092408</v>
      </c>
      <c r="BP721" t="b">
        <v>0</v>
      </c>
      <c r="BQ721">
        <v>1</v>
      </c>
      <c r="BR721" t="s">
        <v>1686</v>
      </c>
      <c r="BS721" t="s">
        <v>2785</v>
      </c>
      <c r="BT721" t="b">
        <v>0</v>
      </c>
      <c r="BU721" t="s">
        <v>1738</v>
      </c>
      <c r="BV721" t="s">
        <v>1668</v>
      </c>
      <c r="BW721">
        <v>16826</v>
      </c>
      <c r="BY721">
        <v>0</v>
      </c>
      <c r="BZ721" t="s">
        <v>1696</v>
      </c>
      <c r="CA721">
        <v>1</v>
      </c>
      <c r="CB721" t="b">
        <v>1</v>
      </c>
      <c r="CC721">
        <v>0</v>
      </c>
      <c r="CD721" t="b">
        <v>0</v>
      </c>
      <c r="CE721" t="b">
        <v>0</v>
      </c>
      <c r="CF721" t="b">
        <v>1</v>
      </c>
      <c r="CG721" t="s">
        <v>1870</v>
      </c>
      <c r="CH721" t="s">
        <v>1681</v>
      </c>
      <c r="CI721" s="10">
        <v>774950</v>
      </c>
    </row>
    <row r="722" spans="1:90">
      <c r="A722">
        <v>27213133</v>
      </c>
      <c r="B722" s="2" t="str">
        <f>HYPERLINK("http://www.redfin.com/stingray/do/printable-listing?listing-id=1347480","Active")</f>
        <v>Active</v>
      </c>
      <c r="D722" t="s">
        <v>4596</v>
      </c>
      <c r="E722" t="s">
        <v>4649</v>
      </c>
      <c r="F722">
        <v>799950</v>
      </c>
      <c r="G722">
        <v>2007</v>
      </c>
      <c r="H722">
        <v>2990</v>
      </c>
      <c r="I722">
        <v>0</v>
      </c>
      <c r="J722">
        <v>5</v>
      </c>
      <c r="K722">
        <v>3</v>
      </c>
      <c r="M722" s="2" t="str">
        <f>HYPERLINK("http://maps.live.com/default.aspx?v=2&amp;lvl=15&amp;sp=adr.16823 NE 120th St (Unable to map),98052","Map")</f>
        <v>Map</v>
      </c>
      <c r="N722" s="2" t="str">
        <f>HYPERLINK("http://i-0.rfimg.us/photo/1/bigphoto/133/27213133_0.jpg","Photo")</f>
        <v>Photo</v>
      </c>
      <c r="AI722" t="s">
        <v>4363</v>
      </c>
      <c r="AJ722">
        <v>98052</v>
      </c>
      <c r="BC722" s="22">
        <v>39430.624050925922</v>
      </c>
      <c r="BI722" s="22">
        <v>39549.294907407406</v>
      </c>
      <c r="BL722">
        <v>15999</v>
      </c>
      <c r="BM722">
        <v>1347480</v>
      </c>
      <c r="BN722" t="s">
        <v>3883</v>
      </c>
      <c r="BO722" s="17">
        <f t="shared" ca="1" si="11"/>
        <v>118.68535497685662</v>
      </c>
      <c r="BP722" t="b">
        <v>0</v>
      </c>
      <c r="BQ722">
        <v>1</v>
      </c>
      <c r="BR722" t="s">
        <v>1686</v>
      </c>
      <c r="BS722" t="s">
        <v>2785</v>
      </c>
      <c r="BT722" t="b">
        <v>0</v>
      </c>
      <c r="BU722" t="s">
        <v>1738</v>
      </c>
      <c r="BV722" t="s">
        <v>1668</v>
      </c>
      <c r="BW722">
        <v>16823</v>
      </c>
      <c r="BY722">
        <v>0</v>
      </c>
      <c r="BZ722" t="s">
        <v>1696</v>
      </c>
      <c r="CA722">
        <v>1</v>
      </c>
      <c r="CB722" t="b">
        <v>1</v>
      </c>
      <c r="CC722">
        <v>0</v>
      </c>
      <c r="CD722" t="b">
        <v>0</v>
      </c>
      <c r="CE722" t="b">
        <v>0</v>
      </c>
      <c r="CF722" t="b">
        <v>1</v>
      </c>
      <c r="CG722" t="s">
        <v>1870</v>
      </c>
      <c r="CH722" t="s">
        <v>1681</v>
      </c>
      <c r="CI722" s="10">
        <v>799950</v>
      </c>
    </row>
    <row r="723" spans="1:90">
      <c r="A723">
        <v>27213148</v>
      </c>
      <c r="B723" s="2" t="str">
        <f>HYPERLINK("http://www.redfin.com/stingray/do/printable-listing?listing-id=1347486","Active")</f>
        <v>Active</v>
      </c>
      <c r="D723" t="s">
        <v>4596</v>
      </c>
      <c r="E723" t="s">
        <v>4648</v>
      </c>
      <c r="F723">
        <v>769950</v>
      </c>
      <c r="G723">
        <v>2007</v>
      </c>
      <c r="H723">
        <v>2939</v>
      </c>
      <c r="I723">
        <v>0</v>
      </c>
      <c r="J723">
        <v>4</v>
      </c>
      <c r="K723">
        <v>2.5</v>
      </c>
      <c r="M723" s="2" t="str">
        <f>HYPERLINK("http://maps.live.com/default.aspx?v=2&amp;lvl=15&amp;sp=adr.16832 NE 120th St (Unable to map),98052","Map")</f>
        <v>Map</v>
      </c>
      <c r="N723" s="2" t="str">
        <f>HYPERLINK("http://i-0.rfimg.us/photo/1/bigphoto/148/27213148_1.jpg","Photo")</f>
        <v>Photo</v>
      </c>
      <c r="AI723" t="s">
        <v>4363</v>
      </c>
      <c r="AJ723">
        <v>98052</v>
      </c>
      <c r="BC723" s="22">
        <v>39430.625277777777</v>
      </c>
      <c r="BI723" s="22">
        <v>39549.294907407406</v>
      </c>
      <c r="BL723">
        <v>15399</v>
      </c>
      <c r="BM723">
        <v>1347486</v>
      </c>
      <c r="BN723" t="s">
        <v>3883</v>
      </c>
      <c r="BO723" s="17">
        <f t="shared" ca="1" si="11"/>
        <v>118.68412812500173</v>
      </c>
      <c r="BP723" t="b">
        <v>0</v>
      </c>
      <c r="BQ723">
        <v>1</v>
      </c>
      <c r="BR723" t="s">
        <v>1686</v>
      </c>
      <c r="BS723" t="s">
        <v>2785</v>
      </c>
      <c r="BT723" t="b">
        <v>0</v>
      </c>
      <c r="BU723" t="s">
        <v>1738</v>
      </c>
      <c r="BV723" t="s">
        <v>1668</v>
      </c>
      <c r="BW723">
        <v>16832</v>
      </c>
      <c r="BY723">
        <v>0</v>
      </c>
      <c r="BZ723" t="s">
        <v>1736</v>
      </c>
      <c r="CA723">
        <v>1</v>
      </c>
      <c r="CB723" t="b">
        <v>1</v>
      </c>
      <c r="CC723">
        <v>0</v>
      </c>
      <c r="CD723" t="b">
        <v>0</v>
      </c>
      <c r="CE723" t="b">
        <v>0</v>
      </c>
      <c r="CF723" t="b">
        <v>1</v>
      </c>
      <c r="CG723" t="s">
        <v>1870</v>
      </c>
      <c r="CH723" t="s">
        <v>1681</v>
      </c>
      <c r="CI723" s="10">
        <v>769950</v>
      </c>
    </row>
    <row r="724" spans="1:90">
      <c r="A724">
        <v>27213164</v>
      </c>
      <c r="B724" s="2" t="str">
        <f>HYPERLINK("http://www.redfin.com/stingray/do/printable-listing?listing-id=1348870","Active")</f>
        <v>Active</v>
      </c>
      <c r="D724" t="s">
        <v>2552</v>
      </c>
      <c r="E724" t="s">
        <v>3489</v>
      </c>
      <c r="F724">
        <v>419500</v>
      </c>
      <c r="G724">
        <v>1941</v>
      </c>
      <c r="H724">
        <v>0</v>
      </c>
      <c r="I724">
        <v>0</v>
      </c>
      <c r="J724">
        <v>2</v>
      </c>
      <c r="K724">
        <v>1</v>
      </c>
      <c r="M724" s="2" t="str">
        <f>HYPERLINK("http://maps.live.com/default.aspx?v=2&amp;lvl=15&amp;sp=Point.47.653835_-122.40177_3415 W Emerson St&amp;cp=47.653835~-122.40177","Map")</f>
        <v>Map</v>
      </c>
      <c r="N724" s="2" t="str">
        <f>HYPERLINK("http://i-0.rfimg.us/photo/1/bigphoto/164/27213164_0.jpg","Photo")</f>
        <v>Photo</v>
      </c>
      <c r="AG724">
        <v>47.653835000000001</v>
      </c>
      <c r="AH724">
        <v>-122.40177</v>
      </c>
      <c r="AI724" t="s">
        <v>66</v>
      </c>
      <c r="AJ724">
        <v>98199</v>
      </c>
      <c r="AN724">
        <v>68000</v>
      </c>
      <c r="BC724" s="22">
        <v>39431.588240740741</v>
      </c>
      <c r="BI724" s="22">
        <v>39549.294907407406</v>
      </c>
      <c r="BL724">
        <v>8390</v>
      </c>
      <c r="BM724">
        <v>1348870</v>
      </c>
      <c r="BN724" t="s">
        <v>3488</v>
      </c>
      <c r="BO724" s="17">
        <f t="shared" ca="1" si="11"/>
        <v>117.72116516203823</v>
      </c>
      <c r="BP724" t="b">
        <v>0</v>
      </c>
      <c r="BQ724">
        <v>1</v>
      </c>
      <c r="BR724" t="s">
        <v>1686</v>
      </c>
      <c r="BS724" t="s">
        <v>3490</v>
      </c>
      <c r="BT724" t="b">
        <v>0</v>
      </c>
      <c r="BU724" t="s">
        <v>2423</v>
      </c>
      <c r="BV724" t="s">
        <v>1668</v>
      </c>
      <c r="BW724">
        <v>3415</v>
      </c>
      <c r="BY724">
        <v>128444</v>
      </c>
      <c r="BZ724" t="s">
        <v>3491</v>
      </c>
      <c r="CA724">
        <v>1</v>
      </c>
      <c r="CB724" t="b">
        <v>1</v>
      </c>
      <c r="CC724">
        <v>0</v>
      </c>
      <c r="CD724" t="b">
        <v>0</v>
      </c>
      <c r="CE724" t="b">
        <v>0</v>
      </c>
      <c r="CF724" t="b">
        <v>1</v>
      </c>
      <c r="CG724">
        <v>2468719</v>
      </c>
      <c r="CH724" t="s">
        <v>1681</v>
      </c>
      <c r="CI724" s="10">
        <v>419500</v>
      </c>
      <c r="CJ724" s="7">
        <v>32449</v>
      </c>
    </row>
    <row r="725" spans="1:90">
      <c r="A725">
        <v>27213165</v>
      </c>
      <c r="B725" s="15" t="str">
        <f>HYPERLINK("http://www.redfin.com/stingray/do/printable-listing?listing-id=1347485","Contingent")</f>
        <v>Contingent</v>
      </c>
      <c r="D725" t="s">
        <v>4596</v>
      </c>
      <c r="E725" t="s">
        <v>4629</v>
      </c>
      <c r="F725">
        <v>899950</v>
      </c>
      <c r="G725">
        <v>2007</v>
      </c>
      <c r="H725">
        <v>3963</v>
      </c>
      <c r="I725">
        <v>0</v>
      </c>
      <c r="J725">
        <v>4</v>
      </c>
      <c r="K725">
        <v>3.5</v>
      </c>
      <c r="M725" s="2" t="str">
        <f>HYPERLINK("http://maps.live.com/default.aspx?v=2&amp;lvl=15&amp;sp=adr.16809 NE 120th St (Unable to map),98052","Map")</f>
        <v>Map</v>
      </c>
      <c r="N725" s="2" t="str">
        <f>HYPERLINK("http://i-0.rfimg.us/photo/1/bigphoto/165/27213165_0.jpg","Photo")</f>
        <v>Photo</v>
      </c>
      <c r="AI725" t="s">
        <v>4363</v>
      </c>
      <c r="AJ725">
        <v>98052</v>
      </c>
      <c r="BC725" s="22">
        <v>39430.625277777777</v>
      </c>
      <c r="BI725" s="22">
        <v>39549.294907407406</v>
      </c>
      <c r="BL725">
        <v>17999</v>
      </c>
      <c r="BM725">
        <v>1347485</v>
      </c>
      <c r="BN725" t="s">
        <v>3883</v>
      </c>
      <c r="BO725" s="17">
        <f t="shared" ca="1" si="11"/>
        <v>118.68412812500173</v>
      </c>
      <c r="BP725" t="b">
        <v>0</v>
      </c>
      <c r="BQ725">
        <v>1</v>
      </c>
      <c r="BR725" t="s">
        <v>1686</v>
      </c>
      <c r="BS725" t="s">
        <v>2785</v>
      </c>
      <c r="BT725" t="b">
        <v>0</v>
      </c>
      <c r="BU725" t="s">
        <v>1738</v>
      </c>
      <c r="BV725" t="s">
        <v>1668</v>
      </c>
      <c r="BW725">
        <v>16809</v>
      </c>
      <c r="BY725">
        <v>0</v>
      </c>
      <c r="BZ725" t="s">
        <v>1743</v>
      </c>
      <c r="CA725">
        <v>1</v>
      </c>
      <c r="CB725" t="b">
        <v>1</v>
      </c>
      <c r="CC725">
        <v>0</v>
      </c>
      <c r="CD725" t="b">
        <v>0</v>
      </c>
      <c r="CE725" t="b">
        <v>0</v>
      </c>
      <c r="CF725" t="b">
        <v>1</v>
      </c>
      <c r="CG725" t="s">
        <v>1870</v>
      </c>
      <c r="CH725" t="s">
        <v>1681</v>
      </c>
      <c r="CI725" s="10">
        <v>899950</v>
      </c>
    </row>
    <row r="726" spans="1:90">
      <c r="A726">
        <v>27213230</v>
      </c>
      <c r="B726" s="2" t="str">
        <f>HYPERLINK("http://www.redfin.com/stingray/do/printable-listing?listing-id=1347868","Active")</f>
        <v>Active</v>
      </c>
      <c r="D726" t="s">
        <v>3885</v>
      </c>
      <c r="E726" t="s">
        <v>5851</v>
      </c>
      <c r="F726">
        <v>999999</v>
      </c>
      <c r="G726">
        <v>1978</v>
      </c>
      <c r="H726">
        <v>3500</v>
      </c>
      <c r="I726">
        <v>11589</v>
      </c>
      <c r="J726">
        <v>4</v>
      </c>
      <c r="K726">
        <v>2.5</v>
      </c>
      <c r="M726" s="2" t="str">
        <f>HYPERLINK("http://maps.live.com/default.aspx?v=2&amp;lvl=15&amp;sp=Point.47.537924_-122.187514_11401 SE 72nd St&amp;cp=47.537924~-122.187514","Map")</f>
        <v>Map</v>
      </c>
      <c r="N726" s="2" t="str">
        <f>HYPERLINK("http://i-0.rfimg.us/photo/1/bigphoto/230/27213230_1.jpg","Photo")</f>
        <v>Photo</v>
      </c>
      <c r="AG726">
        <v>47.537923999999997</v>
      </c>
      <c r="AH726">
        <v>-122.18751399999999</v>
      </c>
      <c r="AI726" t="s">
        <v>3885</v>
      </c>
      <c r="AJ726">
        <v>98056</v>
      </c>
      <c r="AN726">
        <v>2150000</v>
      </c>
      <c r="BC726" s="22">
        <v>39430.748067129629</v>
      </c>
      <c r="BI726" s="22">
        <v>39549.294907407406</v>
      </c>
      <c r="BL726">
        <v>20000</v>
      </c>
      <c r="BM726">
        <v>1347868</v>
      </c>
      <c r="BN726" t="s">
        <v>1674</v>
      </c>
      <c r="BO726" s="17">
        <f t="shared" ca="1" si="11"/>
        <v>118.56133877315006</v>
      </c>
      <c r="BP726" t="b">
        <v>0</v>
      </c>
      <c r="BQ726">
        <v>1</v>
      </c>
      <c r="BR726" t="s">
        <v>1686</v>
      </c>
      <c r="BS726" t="s">
        <v>2632</v>
      </c>
      <c r="BT726" t="b">
        <v>0</v>
      </c>
      <c r="BU726" t="s">
        <v>3856</v>
      </c>
      <c r="BV726" t="s">
        <v>1668</v>
      </c>
      <c r="BW726">
        <v>11401</v>
      </c>
      <c r="BY726">
        <v>414336</v>
      </c>
      <c r="BZ726" t="s">
        <v>3795</v>
      </c>
      <c r="CA726">
        <v>1</v>
      </c>
      <c r="CB726" t="b">
        <v>1</v>
      </c>
      <c r="CC726">
        <v>0</v>
      </c>
      <c r="CD726" t="b">
        <v>0</v>
      </c>
      <c r="CE726" t="b">
        <v>0</v>
      </c>
      <c r="CF726" t="b">
        <v>1</v>
      </c>
      <c r="CG726">
        <v>2623615</v>
      </c>
      <c r="CH726" t="s">
        <v>1681</v>
      </c>
      <c r="CI726" s="10">
        <v>999999</v>
      </c>
      <c r="CJ726" s="7">
        <v>38989</v>
      </c>
    </row>
    <row r="727" spans="1:90">
      <c r="A727">
        <v>27213318</v>
      </c>
      <c r="B727" s="2" t="str">
        <f>HYPERLINK("http://www.redfin.com/stingray/do/printable-listing?listing-id=1347952","Active")</f>
        <v>Active</v>
      </c>
      <c r="D727" t="s">
        <v>5191</v>
      </c>
      <c r="E727" t="s">
        <v>5840</v>
      </c>
      <c r="F727" s="19">
        <v>699950</v>
      </c>
      <c r="G727">
        <v>1967</v>
      </c>
      <c r="H727">
        <v>2820</v>
      </c>
      <c r="I727">
        <v>8600</v>
      </c>
      <c r="J727">
        <v>4</v>
      </c>
      <c r="K727">
        <v>2.5</v>
      </c>
      <c r="M727" s="2" t="str">
        <f>HYPERLINK("http://maps.live.com/default.aspx?v=2&amp;lvl=15&amp;sp=Point.47.565023_-122.144288_14712 SE 45th Pl&amp;cp=47.565023~-122.144288","Map")</f>
        <v>Map</v>
      </c>
      <c r="N727" s="2" t="str">
        <f>HYPERLINK("http://i-0.rfimg.us/photo/1/bigphoto/318/27213318_3.jpg","Photo")</f>
        <v>Photo</v>
      </c>
      <c r="AG727">
        <v>47.565022999999997</v>
      </c>
      <c r="AH727">
        <v>-122.144288</v>
      </c>
      <c r="AI727" t="s">
        <v>369</v>
      </c>
      <c r="AJ727">
        <v>98006</v>
      </c>
      <c r="AN727">
        <v>515000</v>
      </c>
      <c r="BC727" s="22">
        <v>39430.789351851854</v>
      </c>
      <c r="BI727" s="22">
        <v>39549.294907407406</v>
      </c>
      <c r="BL727">
        <v>15158</v>
      </c>
      <c r="BM727">
        <v>1347952</v>
      </c>
      <c r="BN727" t="s">
        <v>3092</v>
      </c>
      <c r="BO727" s="17">
        <f t="shared" ca="1" si="11"/>
        <v>118.52005405092495</v>
      </c>
      <c r="BP727" t="b">
        <v>0</v>
      </c>
      <c r="BQ727">
        <v>1</v>
      </c>
      <c r="BR727" t="s">
        <v>1842</v>
      </c>
      <c r="BS727" t="s">
        <v>2667</v>
      </c>
      <c r="BT727" t="b">
        <v>0</v>
      </c>
      <c r="BU727" t="s">
        <v>3856</v>
      </c>
      <c r="BV727" t="s">
        <v>1668</v>
      </c>
      <c r="BW727">
        <v>14712</v>
      </c>
      <c r="BY727">
        <v>238135</v>
      </c>
      <c r="BZ727" t="s">
        <v>5841</v>
      </c>
      <c r="CA727">
        <v>1</v>
      </c>
      <c r="CB727" t="b">
        <v>1</v>
      </c>
      <c r="CC727">
        <v>0</v>
      </c>
      <c r="CD727" t="b">
        <v>0</v>
      </c>
      <c r="CE727" t="b">
        <v>0</v>
      </c>
      <c r="CF727" t="b">
        <v>1</v>
      </c>
      <c r="CG727">
        <v>2600639</v>
      </c>
      <c r="CH727" t="s">
        <v>1681</v>
      </c>
      <c r="CI727" s="10">
        <v>757900</v>
      </c>
      <c r="CJ727" s="7">
        <v>39273</v>
      </c>
    </row>
    <row r="728" spans="1:90">
      <c r="A728">
        <v>27213367</v>
      </c>
      <c r="B728" s="2" t="str">
        <f>HYPERLINK("http://www.redfin.com/stingray/do/printable-listing?listing-id=1348657","Active")</f>
        <v>Active</v>
      </c>
      <c r="D728" t="s">
        <v>967</v>
      </c>
      <c r="E728" t="s">
        <v>1095</v>
      </c>
      <c r="F728">
        <v>287500</v>
      </c>
      <c r="G728">
        <v>1940</v>
      </c>
      <c r="H728">
        <v>700</v>
      </c>
      <c r="I728">
        <v>5753</v>
      </c>
      <c r="J728">
        <v>2</v>
      </c>
      <c r="K728">
        <v>1</v>
      </c>
      <c r="M728" s="2" t="str">
        <f>HYPERLINK("http://maps.live.com/default.aspx?v=2&amp;lvl=15&amp;sp=Point.47.716866_-122.291124_12042 35 Ave NE&amp;cp=47.716866~-122.291124","Map")</f>
        <v>Map</v>
      </c>
      <c r="N728" s="2" t="str">
        <f>HYPERLINK("http://i-0.rfimg.us/photo/1/bigphoto/367/27213367_I.jpg","Photo")</f>
        <v>Photo</v>
      </c>
      <c r="AG728">
        <v>47.716866000000003</v>
      </c>
      <c r="AH728">
        <v>-122.291124</v>
      </c>
      <c r="AI728" t="s">
        <v>66</v>
      </c>
      <c r="AJ728">
        <v>98125</v>
      </c>
      <c r="BC728" s="22">
        <v>39431.453240740739</v>
      </c>
      <c r="BI728" s="22">
        <v>39549.294907407406</v>
      </c>
      <c r="BL728">
        <v>5625</v>
      </c>
      <c r="BM728">
        <v>1348657</v>
      </c>
      <c r="BN728" t="s">
        <v>2905</v>
      </c>
      <c r="BO728" s="17">
        <f t="shared" ca="1" si="11"/>
        <v>117.85616516204027</v>
      </c>
      <c r="BP728" t="b">
        <v>0</v>
      </c>
      <c r="BQ728">
        <v>1</v>
      </c>
      <c r="BR728" t="s">
        <v>1667</v>
      </c>
      <c r="BS728">
        <v>35</v>
      </c>
      <c r="BT728" t="b">
        <v>0</v>
      </c>
      <c r="BV728" t="s">
        <v>1668</v>
      </c>
      <c r="BW728">
        <v>12042</v>
      </c>
      <c r="BX728" t="s">
        <v>1738</v>
      </c>
      <c r="BY728">
        <v>12319471</v>
      </c>
      <c r="BZ728" t="s">
        <v>2906</v>
      </c>
      <c r="CA728">
        <v>1</v>
      </c>
      <c r="CB728" t="b">
        <v>1</v>
      </c>
      <c r="CC728">
        <v>0</v>
      </c>
      <c r="CD728" t="b">
        <v>0</v>
      </c>
      <c r="CE728" t="b">
        <v>0</v>
      </c>
      <c r="CF728" t="b">
        <v>1</v>
      </c>
      <c r="CG728">
        <v>15525507</v>
      </c>
      <c r="CH728" t="s">
        <v>1681</v>
      </c>
      <c r="CI728" s="10">
        <v>287500</v>
      </c>
    </row>
    <row r="729" spans="1:90">
      <c r="A729">
        <v>27213539</v>
      </c>
      <c r="B729" s="2" t="str">
        <f>HYPERLINK("http://www.redfin.com/stingray/do/printable-listing?listing-id=1350802","Active")</f>
        <v>Active</v>
      </c>
      <c r="D729" t="s">
        <v>4663</v>
      </c>
      <c r="E729" t="s">
        <v>4990</v>
      </c>
      <c r="F729">
        <v>869500</v>
      </c>
      <c r="G729">
        <v>1979</v>
      </c>
      <c r="H729">
        <v>3297</v>
      </c>
      <c r="I729">
        <v>31458</v>
      </c>
      <c r="J729">
        <v>4</v>
      </c>
      <c r="K729">
        <v>2.5</v>
      </c>
      <c r="M729" s="2" t="str">
        <f>HYPERLINK("http://maps.live.com/default.aspx?v=2&amp;lvl=15&amp;sp=Point.47.645718_-122.150433_3909 142nd Pl NE&amp;cp=47.645718~-122.150433","Map")</f>
        <v>Map</v>
      </c>
      <c r="N729" s="2" t="str">
        <f>HYPERLINK("http://i-0.rfimg.us/photo/1/bigphoto/539/27213539_3.jpg","Photo")</f>
        <v>Photo</v>
      </c>
      <c r="AG729">
        <v>47.645718000000002</v>
      </c>
      <c r="AH729">
        <v>-122.15043300000001</v>
      </c>
      <c r="AI729" t="s">
        <v>369</v>
      </c>
      <c r="AJ729">
        <v>98007</v>
      </c>
      <c r="BC729" s="22">
        <v>39433.630914351852</v>
      </c>
      <c r="BI729" s="22">
        <v>39549.294907407406</v>
      </c>
      <c r="BL729">
        <v>17390</v>
      </c>
      <c r="BM729">
        <v>1350802</v>
      </c>
      <c r="BN729" t="s">
        <v>1674</v>
      </c>
      <c r="BO729" s="17">
        <f t="shared" ca="1" si="11"/>
        <v>115.67849155092699</v>
      </c>
      <c r="BP729" t="b">
        <v>0</v>
      </c>
      <c r="BQ729">
        <v>1</v>
      </c>
      <c r="BR729" t="s">
        <v>1842</v>
      </c>
      <c r="BS729" t="s">
        <v>4694</v>
      </c>
      <c r="BT729" t="b">
        <v>0</v>
      </c>
      <c r="BV729" t="s">
        <v>1668</v>
      </c>
      <c r="BW729">
        <v>3909</v>
      </c>
      <c r="BX729" t="s">
        <v>1738</v>
      </c>
      <c r="BY729">
        <v>430874</v>
      </c>
      <c r="BZ729" t="s">
        <v>4991</v>
      </c>
      <c r="CA729">
        <v>1</v>
      </c>
      <c r="CB729" t="b">
        <v>1</v>
      </c>
      <c r="CC729">
        <v>0</v>
      </c>
      <c r="CD729" t="b">
        <v>0</v>
      </c>
      <c r="CE729" t="b">
        <v>0</v>
      </c>
      <c r="CF729" t="b">
        <v>1</v>
      </c>
      <c r="CG729">
        <v>2516658</v>
      </c>
      <c r="CH729" t="s">
        <v>1681</v>
      </c>
      <c r="CI729" s="10">
        <v>869500</v>
      </c>
      <c r="CK729" t="s">
        <v>6431</v>
      </c>
    </row>
    <row r="730" spans="1:90">
      <c r="A730">
        <v>27213616</v>
      </c>
      <c r="B730" s="2" t="str">
        <f>HYPERLINK("http://www.redfin.com/stingray/do/printable-listing?listing-id=1351149","Active")</f>
        <v>Active</v>
      </c>
      <c r="D730" t="s">
        <v>4663</v>
      </c>
      <c r="E730" t="s">
        <v>4976</v>
      </c>
      <c r="F730" s="19">
        <v>799000</v>
      </c>
      <c r="G730">
        <v>1969</v>
      </c>
      <c r="H730">
        <v>2288</v>
      </c>
      <c r="I730">
        <v>35633</v>
      </c>
      <c r="J730">
        <v>4</v>
      </c>
      <c r="K730">
        <v>2.5</v>
      </c>
      <c r="M730" s="2" t="str">
        <f>HYPERLINK("http://maps.live.com/default.aspx?v=2&amp;lvl=15&amp;sp=Point.47.655988_-122.160524_5214 134th Pl NE&amp;cp=47.655988~-122.160524","Map")</f>
        <v>Map</v>
      </c>
      <c r="N730" s="2" t="str">
        <f>HYPERLINK("http://i-0.rfimg.us/photo/1/bigphoto/616/27213616_2.jpg","Photo")</f>
        <v>Photo</v>
      </c>
      <c r="AG730">
        <v>47.655988000000001</v>
      </c>
      <c r="AH730">
        <v>-122.160524</v>
      </c>
      <c r="AI730" t="s">
        <v>369</v>
      </c>
      <c r="AJ730">
        <v>98005</v>
      </c>
      <c r="AN730">
        <v>450000</v>
      </c>
      <c r="BC730" s="22">
        <v>39433.759386574071</v>
      </c>
      <c r="BI730" s="22">
        <v>39549.294907407406</v>
      </c>
      <c r="BL730">
        <v>17980</v>
      </c>
      <c r="BM730">
        <v>1351149</v>
      </c>
      <c r="BN730" t="s">
        <v>1674</v>
      </c>
      <c r="BO730" s="17">
        <f t="shared" ca="1" si="11"/>
        <v>115.550019328708</v>
      </c>
      <c r="BP730" t="b">
        <v>0</v>
      </c>
      <c r="BQ730">
        <v>1</v>
      </c>
      <c r="BR730" t="s">
        <v>1842</v>
      </c>
      <c r="BS730" t="s">
        <v>2855</v>
      </c>
      <c r="BT730" t="b">
        <v>0</v>
      </c>
      <c r="BV730" t="s">
        <v>1668</v>
      </c>
      <c r="BW730">
        <v>5214</v>
      </c>
      <c r="BX730" t="s">
        <v>1738</v>
      </c>
      <c r="BY730">
        <v>430485</v>
      </c>
      <c r="BZ730" t="s">
        <v>1730</v>
      </c>
      <c r="CA730">
        <v>1</v>
      </c>
      <c r="CB730" t="b">
        <v>1</v>
      </c>
      <c r="CC730">
        <v>0</v>
      </c>
      <c r="CD730" t="b">
        <v>0</v>
      </c>
      <c r="CE730" t="b">
        <v>0</v>
      </c>
      <c r="CF730" t="b">
        <v>1</v>
      </c>
      <c r="CG730">
        <v>2645358</v>
      </c>
      <c r="CH730" t="s">
        <v>1681</v>
      </c>
      <c r="CI730" s="10">
        <v>899000</v>
      </c>
      <c r="CJ730" s="7">
        <v>37795</v>
      </c>
      <c r="CK730" t="s">
        <v>6430</v>
      </c>
    </row>
    <row r="731" spans="1:90">
      <c r="A731">
        <v>27213656</v>
      </c>
      <c r="B731" s="2" t="str">
        <f>HYPERLINK("http://www.redfin.com/stingray/do/printable-listing?listing-id=1350249","Active")</f>
        <v>Active</v>
      </c>
      <c r="D731" t="s">
        <v>60</v>
      </c>
      <c r="E731" t="s">
        <v>6813</v>
      </c>
      <c r="F731">
        <v>829000</v>
      </c>
      <c r="G731">
        <v>1927</v>
      </c>
      <c r="H731">
        <v>2147</v>
      </c>
      <c r="I731">
        <v>3484</v>
      </c>
      <c r="J731">
        <v>3</v>
      </c>
      <c r="K731">
        <v>2.5</v>
      </c>
      <c r="M731" s="2" t="str">
        <f>HYPERLINK("http://maps.live.com/default.aspx?v=2&amp;lvl=15&amp;sp=Point.47.675437_-122.349645_712 N 64th&amp;cp=47.675437~-122.349645","Map")</f>
        <v>Map</v>
      </c>
      <c r="N731" s="2" t="str">
        <f>HYPERLINK("http://i-0.rfimg.us/photo/1/bigphoto/656/27213656_2.jpg","Photo")</f>
        <v>Photo</v>
      </c>
      <c r="AG731">
        <v>47.675437000000002</v>
      </c>
      <c r="AH731">
        <v>-122.349645</v>
      </c>
      <c r="AI731" t="s">
        <v>66</v>
      </c>
      <c r="AJ731">
        <v>98103</v>
      </c>
      <c r="AN731">
        <v>470000</v>
      </c>
      <c r="BC731" s="22">
        <v>39433.465104166666</v>
      </c>
      <c r="BI731" s="22">
        <v>39549.294907407406</v>
      </c>
      <c r="BL731">
        <v>16580</v>
      </c>
      <c r="BM731">
        <v>1350249</v>
      </c>
      <c r="BN731" t="s">
        <v>1688</v>
      </c>
      <c r="BO731" s="17">
        <f t="shared" ca="1" si="11"/>
        <v>115.84430173611327</v>
      </c>
      <c r="BP731" t="b">
        <v>0</v>
      </c>
      <c r="BQ731">
        <v>1</v>
      </c>
      <c r="BS731" t="s">
        <v>2405</v>
      </c>
      <c r="BT731" t="b">
        <v>0</v>
      </c>
      <c r="BU731" t="s">
        <v>1712</v>
      </c>
      <c r="BV731" t="s">
        <v>1668</v>
      </c>
      <c r="BW731">
        <v>712</v>
      </c>
      <c r="BY731">
        <v>299116</v>
      </c>
      <c r="BZ731" t="s">
        <v>6814</v>
      </c>
      <c r="CA731">
        <v>1</v>
      </c>
      <c r="CB731" t="b">
        <v>1</v>
      </c>
      <c r="CC731">
        <v>0</v>
      </c>
      <c r="CD731" t="b">
        <v>0</v>
      </c>
      <c r="CE731" t="b">
        <v>0</v>
      </c>
      <c r="CF731" t="b">
        <v>1</v>
      </c>
      <c r="CG731">
        <v>2838764</v>
      </c>
      <c r="CH731" t="s">
        <v>1681</v>
      </c>
      <c r="CI731" s="10">
        <v>829000</v>
      </c>
      <c r="CJ731" s="7">
        <v>38805</v>
      </c>
    </row>
    <row r="732" spans="1:90">
      <c r="A732">
        <v>27213774</v>
      </c>
      <c r="B732" s="2" t="str">
        <f>HYPERLINK("http://www.redfin.com/stingray/do/printable-listing?listing-id=1350369","Active")</f>
        <v>Active</v>
      </c>
      <c r="D732" t="s">
        <v>3066</v>
      </c>
      <c r="E732" t="s">
        <v>4891</v>
      </c>
      <c r="F732" s="19">
        <v>934950</v>
      </c>
      <c r="G732">
        <v>2007</v>
      </c>
      <c r="H732">
        <v>2929</v>
      </c>
      <c r="I732">
        <v>7667</v>
      </c>
      <c r="J732">
        <v>4</v>
      </c>
      <c r="K732">
        <v>2.5</v>
      </c>
      <c r="M732" s="2" t="str">
        <f>HYPERLINK("http://maps.live.com/default.aspx?v=2&amp;lvl=15&amp;sp=Point.47.676136_-122.177995_8008 122nd Ave NE&amp;cp=47.676136~-122.177995","Map")</f>
        <v>Map</v>
      </c>
      <c r="N732" s="2" t="str">
        <f>HYPERLINK("http://i-0.rfimg.us/photo/1/bigphoto/774/27213774_0.jpg","Photo")</f>
        <v>Photo</v>
      </c>
      <c r="AG732">
        <v>47.676136</v>
      </c>
      <c r="AH732">
        <v>-122.177995</v>
      </c>
      <c r="AI732" t="s">
        <v>1058</v>
      </c>
      <c r="AJ732">
        <v>98033</v>
      </c>
      <c r="BC732" s="22">
        <v>39433.507222222222</v>
      </c>
      <c r="BI732" s="22">
        <v>39549.294907407406</v>
      </c>
      <c r="BL732">
        <v>18619</v>
      </c>
      <c r="BM732">
        <v>1350369</v>
      </c>
      <c r="BN732" t="s">
        <v>3329</v>
      </c>
      <c r="BO732" s="17">
        <f t="shared" ca="1" si="11"/>
        <v>115.80218368055648</v>
      </c>
      <c r="BP732" t="b">
        <v>0</v>
      </c>
      <c r="BQ732">
        <v>1</v>
      </c>
      <c r="BR732" t="s">
        <v>1667</v>
      </c>
      <c r="BS732" t="s">
        <v>2672</v>
      </c>
      <c r="BT732" t="b">
        <v>0</v>
      </c>
      <c r="BV732" t="s">
        <v>1668</v>
      </c>
      <c r="BW732">
        <v>8008</v>
      </c>
      <c r="BX732" t="s">
        <v>1738</v>
      </c>
      <c r="BY732">
        <v>12303567</v>
      </c>
      <c r="BZ732" t="s">
        <v>1745</v>
      </c>
      <c r="CA732">
        <v>1</v>
      </c>
      <c r="CB732" t="b">
        <v>1</v>
      </c>
      <c r="CC732">
        <v>0</v>
      </c>
      <c r="CD732" t="b">
        <v>0</v>
      </c>
      <c r="CE732" t="b">
        <v>0</v>
      </c>
      <c r="CF732" t="b">
        <v>1</v>
      </c>
      <c r="CG732">
        <v>3024006</v>
      </c>
      <c r="CH732" t="s">
        <v>1681</v>
      </c>
      <c r="CI732" s="10">
        <v>930950</v>
      </c>
      <c r="CL732" s="19" t="s">
        <v>7078</v>
      </c>
    </row>
    <row r="733" spans="1:90">
      <c r="A733">
        <v>27213820</v>
      </c>
      <c r="B733" s="2" t="str">
        <f>HYPERLINK("http://www.redfin.com/stingray/do/printable-listing?listing-id=1350469","Active")</f>
        <v>Active</v>
      </c>
      <c r="D733" t="s">
        <v>3079</v>
      </c>
      <c r="E733" t="s">
        <v>6901</v>
      </c>
      <c r="F733">
        <v>1150000</v>
      </c>
      <c r="G733">
        <v>1930</v>
      </c>
      <c r="H733">
        <v>1700</v>
      </c>
      <c r="I733">
        <v>11893</v>
      </c>
      <c r="J733">
        <v>2</v>
      </c>
      <c r="K733">
        <v>1.75</v>
      </c>
      <c r="M733" s="2" t="str">
        <f>HYPERLINK("http://maps.live.com/default.aspx?v=2&amp;lvl=15&amp;sp=Point.47.684704_-122.210583_340 11th Ave W&amp;cp=47.684704~-122.210583","Map")</f>
        <v>Map</v>
      </c>
      <c r="N733" s="2" t="str">
        <f>HYPERLINK("http://i-0.rfimg.us/photo/1/bigphoto/820/27213820_K.jpg","Photo")</f>
        <v>Photo</v>
      </c>
      <c r="AG733">
        <v>47.684704000000004</v>
      </c>
      <c r="AH733">
        <v>-122.210583</v>
      </c>
      <c r="AI733" t="s">
        <v>1058</v>
      </c>
      <c r="AJ733">
        <v>98033</v>
      </c>
      <c r="AN733">
        <v>1155000</v>
      </c>
      <c r="BC733" s="22">
        <v>39433.539409722223</v>
      </c>
      <c r="BI733" s="22">
        <v>39549.294907407406</v>
      </c>
      <c r="BL733">
        <v>23000</v>
      </c>
      <c r="BM733">
        <v>1350469</v>
      </c>
      <c r="BN733" t="s">
        <v>1768</v>
      </c>
      <c r="BO733" s="17">
        <f t="shared" ca="1" si="11"/>
        <v>115.76999618055561</v>
      </c>
      <c r="BP733" t="b">
        <v>0</v>
      </c>
      <c r="BQ733">
        <v>1</v>
      </c>
      <c r="BR733" t="s">
        <v>1667</v>
      </c>
      <c r="BS733" t="s">
        <v>1792</v>
      </c>
      <c r="BT733" t="b">
        <v>0</v>
      </c>
      <c r="BV733" t="s">
        <v>1668</v>
      </c>
      <c r="BW733">
        <v>340</v>
      </c>
      <c r="BX733" t="s">
        <v>2423</v>
      </c>
      <c r="BY733">
        <v>462510</v>
      </c>
      <c r="BZ733" t="s">
        <v>6902</v>
      </c>
      <c r="CA733">
        <v>1</v>
      </c>
      <c r="CB733" t="b">
        <v>1</v>
      </c>
      <c r="CC733">
        <v>0</v>
      </c>
      <c r="CD733" t="b">
        <v>0</v>
      </c>
      <c r="CE733" t="b">
        <v>0</v>
      </c>
      <c r="CF733" t="b">
        <v>1</v>
      </c>
      <c r="CG733">
        <v>2446814</v>
      </c>
      <c r="CH733" t="s">
        <v>1681</v>
      </c>
      <c r="CI733" s="10">
        <v>1150000</v>
      </c>
      <c r="CJ733" s="7">
        <v>39233</v>
      </c>
    </row>
    <row r="734" spans="1:90">
      <c r="A734">
        <v>27213947</v>
      </c>
      <c r="B734" s="15" t="str">
        <f>HYPERLINK("http://www.redfin.com/stingray/do/printable-listing?listing-id=1352212","Subject To Inspection")</f>
        <v>Subject To Inspection</v>
      </c>
      <c r="D734" t="s">
        <v>5164</v>
      </c>
      <c r="E734" t="s">
        <v>5342</v>
      </c>
      <c r="F734">
        <v>799950</v>
      </c>
      <c r="G734">
        <v>1966</v>
      </c>
      <c r="H734">
        <v>3486</v>
      </c>
      <c r="I734">
        <v>11543</v>
      </c>
      <c r="J734">
        <v>4</v>
      </c>
      <c r="K734">
        <v>2.5</v>
      </c>
      <c r="M734" s="2" t="str">
        <f>HYPERLINK("http://maps.live.com/default.aspx?v=2&amp;lvl=15&amp;sp=Point.47.574079_-122.213691_9326 Mercerwood Dr&amp;cp=47.574079~-122.213691","Map")</f>
        <v>Map</v>
      </c>
      <c r="N734" s="2" t="str">
        <f>HYPERLINK("http://i-0.rfimg.us/photo/1/bigphoto/947/27213947_4.jpg","Photo")</f>
        <v>Photo</v>
      </c>
      <c r="AG734">
        <v>47.574078999999998</v>
      </c>
      <c r="AH734">
        <v>-122.213691</v>
      </c>
      <c r="AI734" t="s">
        <v>5139</v>
      </c>
      <c r="AJ734">
        <v>98040</v>
      </c>
      <c r="BC734" s="22">
        <v>39434.463217592594</v>
      </c>
      <c r="BI734" s="22">
        <v>39549.294907407406</v>
      </c>
      <c r="BL734">
        <v>15999</v>
      </c>
      <c r="BM734">
        <v>1352212</v>
      </c>
      <c r="BN734" t="s">
        <v>1768</v>
      </c>
      <c r="BO734" s="17">
        <f t="shared" ca="1" si="11"/>
        <v>114.84618831018452</v>
      </c>
      <c r="BP734" t="b">
        <v>0</v>
      </c>
      <c r="BQ734">
        <v>1</v>
      </c>
      <c r="BR734" t="s">
        <v>1816</v>
      </c>
      <c r="BS734" t="s">
        <v>5164</v>
      </c>
      <c r="BT734" t="b">
        <v>0</v>
      </c>
      <c r="BV734" t="s">
        <v>1668</v>
      </c>
      <c r="BW734">
        <v>9326</v>
      </c>
      <c r="BY734">
        <v>255053</v>
      </c>
      <c r="BZ734" t="s">
        <v>5343</v>
      </c>
      <c r="CA734">
        <v>1</v>
      </c>
      <c r="CB734" t="b">
        <v>1</v>
      </c>
      <c r="CC734">
        <v>0</v>
      </c>
      <c r="CD734" t="b">
        <v>0</v>
      </c>
      <c r="CE734" t="b">
        <v>0</v>
      </c>
      <c r="CF734" t="b">
        <v>1</v>
      </c>
      <c r="CG734">
        <v>2397336</v>
      </c>
      <c r="CH734" t="s">
        <v>1681</v>
      </c>
      <c r="CI734" s="10">
        <v>799950</v>
      </c>
    </row>
    <row r="735" spans="1:90">
      <c r="A735">
        <v>27214003</v>
      </c>
      <c r="B735" s="2" t="str">
        <f>HYPERLINK("http://www.redfin.com/stingray/do/printable-listing?listing-id=1351109","Active")</f>
        <v>Active</v>
      </c>
      <c r="D735" t="s">
        <v>2552</v>
      </c>
      <c r="E735" t="s">
        <v>3368</v>
      </c>
      <c r="F735">
        <v>735000</v>
      </c>
      <c r="G735">
        <v>1970</v>
      </c>
      <c r="H735">
        <v>2360</v>
      </c>
      <c r="I735">
        <v>3787</v>
      </c>
      <c r="J735">
        <v>3</v>
      </c>
      <c r="K735">
        <v>3</v>
      </c>
      <c r="M735" s="2" t="str">
        <f>HYPERLINK("http://maps.live.com/default.aspx?v=2&amp;lvl=15&amp;sp=Point.47.641716_-122.404349_2509 37th Ave W&amp;cp=47.641716~-122.404349","Map")</f>
        <v>Map</v>
      </c>
      <c r="N735" s="2" t="str">
        <f>HYPERLINK("http://i-0.rfimg.us/photo/1/bigphoto/003/27214003_0.jpg","Photo")</f>
        <v>Photo</v>
      </c>
      <c r="AG735">
        <v>47.641716000000002</v>
      </c>
      <c r="AH735">
        <v>-122.404349</v>
      </c>
      <c r="AI735" t="s">
        <v>66</v>
      </c>
      <c r="AJ735">
        <v>98199</v>
      </c>
      <c r="AN735">
        <v>596950</v>
      </c>
      <c r="BC735" s="22">
        <v>39433.730266203704</v>
      </c>
      <c r="BI735" s="22">
        <v>39549.294907407406</v>
      </c>
      <c r="BL735">
        <v>14700</v>
      </c>
      <c r="BM735">
        <v>1351109</v>
      </c>
      <c r="BN735" t="s">
        <v>3367</v>
      </c>
      <c r="BO735" s="17">
        <f t="shared" ca="1" si="11"/>
        <v>115.57913969907531</v>
      </c>
      <c r="BP735" t="b">
        <v>0</v>
      </c>
      <c r="BQ735">
        <v>1</v>
      </c>
      <c r="BR735" t="s">
        <v>1667</v>
      </c>
      <c r="BS735" t="s">
        <v>2192</v>
      </c>
      <c r="BT735" t="b">
        <v>0</v>
      </c>
      <c r="BV735" t="s">
        <v>1668</v>
      </c>
      <c r="BW735">
        <v>2509</v>
      </c>
      <c r="BX735" t="s">
        <v>2423</v>
      </c>
      <c r="BY735">
        <v>126863</v>
      </c>
      <c r="BZ735" t="s">
        <v>1745</v>
      </c>
      <c r="CA735">
        <v>1</v>
      </c>
      <c r="CB735" t="b">
        <v>1</v>
      </c>
      <c r="CC735">
        <v>0</v>
      </c>
      <c r="CD735" t="b">
        <v>0</v>
      </c>
      <c r="CE735" t="b">
        <v>0</v>
      </c>
      <c r="CF735" t="b">
        <v>1</v>
      </c>
      <c r="CG735">
        <v>2816219</v>
      </c>
      <c r="CH735" t="s">
        <v>1681</v>
      </c>
      <c r="CI735" s="10">
        <v>735000</v>
      </c>
      <c r="CJ735" s="7">
        <v>38453</v>
      </c>
    </row>
    <row r="736" spans="1:90">
      <c r="A736">
        <v>27214032</v>
      </c>
      <c r="B736" s="15" t="str">
        <f>HYPERLINK("http://www.redfin.com/stingray/do/printable-listing?listing-id=1351502","Contingent")</f>
        <v>Contingent</v>
      </c>
      <c r="D736" t="s">
        <v>3064</v>
      </c>
      <c r="E736" t="s">
        <v>6160</v>
      </c>
      <c r="F736">
        <v>425000</v>
      </c>
      <c r="G736">
        <v>2002</v>
      </c>
      <c r="H736">
        <v>1860</v>
      </c>
      <c r="I736">
        <v>7955</v>
      </c>
      <c r="J736">
        <v>4</v>
      </c>
      <c r="K736">
        <v>2.25</v>
      </c>
      <c r="M736" s="2" t="str">
        <f>HYPERLINK("http://maps.live.com/default.aspx?v=2&amp;lvl=15&amp;sp=Point.47.515327_-122.163869_2582 Union Ave NE&amp;cp=47.515327~-122.163869","Map")</f>
        <v>Map</v>
      </c>
      <c r="N736" s="2" t="str">
        <f>HYPERLINK("http://i-0.rfimg.us/photo/1/bigphoto/032/27214032_8.jpg","Photo")</f>
        <v>Photo</v>
      </c>
      <c r="AG736">
        <v>47.515326999999999</v>
      </c>
      <c r="AH736">
        <v>-122.16386900000001</v>
      </c>
      <c r="AI736" t="s">
        <v>1077</v>
      </c>
      <c r="AJ736">
        <v>98059</v>
      </c>
      <c r="AN736">
        <v>410000</v>
      </c>
      <c r="BC736" s="22">
        <v>39433.933495370373</v>
      </c>
      <c r="BI736" s="22">
        <v>39549.294907407406</v>
      </c>
      <c r="BL736">
        <v>8500</v>
      </c>
      <c r="BM736">
        <v>1351502</v>
      </c>
      <c r="BN736" t="s">
        <v>2372</v>
      </c>
      <c r="BO736" s="17">
        <f t="shared" ca="1" si="11"/>
        <v>115.37591053240612</v>
      </c>
      <c r="BP736" t="b">
        <v>0</v>
      </c>
      <c r="BQ736">
        <v>1</v>
      </c>
      <c r="BR736" t="s">
        <v>1667</v>
      </c>
      <c r="BS736" t="s">
        <v>4075</v>
      </c>
      <c r="BT736" t="b">
        <v>0</v>
      </c>
      <c r="BV736" t="s">
        <v>1668</v>
      </c>
      <c r="BW736">
        <v>2582</v>
      </c>
      <c r="BX736" t="s">
        <v>1738</v>
      </c>
      <c r="BY736">
        <v>411070</v>
      </c>
      <c r="BZ736" t="s">
        <v>6161</v>
      </c>
      <c r="CA736">
        <v>1</v>
      </c>
      <c r="CB736" t="b">
        <v>1</v>
      </c>
      <c r="CC736">
        <v>0</v>
      </c>
      <c r="CD736" t="b">
        <v>0</v>
      </c>
      <c r="CE736" t="b">
        <v>0</v>
      </c>
      <c r="CF736" t="b">
        <v>1</v>
      </c>
      <c r="CG736">
        <v>2567379</v>
      </c>
      <c r="CH736" t="s">
        <v>1681</v>
      </c>
      <c r="CI736" s="10">
        <v>425000</v>
      </c>
      <c r="CJ736" s="7">
        <v>38828</v>
      </c>
    </row>
    <row r="737" spans="1:88">
      <c r="A737">
        <v>27214047</v>
      </c>
      <c r="B737" s="15" t="str">
        <f>HYPERLINK("http://www.redfin.com/stingray/do/printable-listing?listing-id=1351579","Subject To Inspection")</f>
        <v>Subject To Inspection</v>
      </c>
      <c r="D737" t="s">
        <v>226</v>
      </c>
      <c r="E737" t="s">
        <v>3176</v>
      </c>
      <c r="F737">
        <v>399000</v>
      </c>
      <c r="G737">
        <v>2007</v>
      </c>
      <c r="H737">
        <v>984</v>
      </c>
      <c r="I737">
        <v>0</v>
      </c>
      <c r="J737">
        <v>2</v>
      </c>
      <c r="K737">
        <v>1.5</v>
      </c>
      <c r="M737" s="2" t="str">
        <f>HYPERLINK("http://maps.live.com/default.aspx?v=2&amp;lvl=15&amp;sp=Point.47.66607_-122.315403_5033 12th Ave NE&amp;cp=47.66607~-122.315403","Map")</f>
        <v>Map</v>
      </c>
      <c r="N737" s="2" t="str">
        <f>HYPERLINK("http://i-0.rfimg.us/photo/1/bigphoto/047/27214047_2.jpg","Photo")</f>
        <v>Photo</v>
      </c>
      <c r="AG737">
        <v>47.666069999999998</v>
      </c>
      <c r="AH737">
        <v>-122.315403</v>
      </c>
      <c r="AI737" t="s">
        <v>66</v>
      </c>
      <c r="AJ737">
        <v>98105</v>
      </c>
      <c r="BC737" s="22">
        <v>39434.088182870371</v>
      </c>
      <c r="BI737" s="22">
        <v>39547.913935185185</v>
      </c>
      <c r="BL737">
        <v>7980</v>
      </c>
      <c r="BM737">
        <v>1351579</v>
      </c>
      <c r="BN737" t="s">
        <v>3175</v>
      </c>
      <c r="BO737" s="17">
        <f t="shared" ca="1" si="11"/>
        <v>115.22122303240758</v>
      </c>
      <c r="BP737" t="b">
        <v>0</v>
      </c>
      <c r="BQ737">
        <v>1</v>
      </c>
      <c r="BR737" t="s">
        <v>1667</v>
      </c>
      <c r="BS737" t="s">
        <v>1803</v>
      </c>
      <c r="BT737" t="b">
        <v>0</v>
      </c>
      <c r="BV737" t="s">
        <v>1668</v>
      </c>
      <c r="BW737">
        <v>5033</v>
      </c>
      <c r="BX737" t="s">
        <v>1738</v>
      </c>
      <c r="BY737">
        <v>12118858</v>
      </c>
      <c r="BZ737" t="s">
        <v>2886</v>
      </c>
      <c r="CA737">
        <v>1</v>
      </c>
      <c r="CB737" t="b">
        <v>1</v>
      </c>
      <c r="CC737">
        <v>0</v>
      </c>
      <c r="CD737" t="b">
        <v>0</v>
      </c>
      <c r="CE737" t="b">
        <v>0</v>
      </c>
      <c r="CF737" t="b">
        <v>1</v>
      </c>
      <c r="CG737">
        <v>15369120</v>
      </c>
      <c r="CH737" t="s">
        <v>1681</v>
      </c>
      <c r="CI737" s="10">
        <v>399000</v>
      </c>
    </row>
    <row r="738" spans="1:88">
      <c r="A738">
        <v>27214188</v>
      </c>
      <c r="B738" s="2" t="str">
        <f>HYPERLINK("http://www.redfin.com/stingray/do/printable-listing?listing-id=1352570","Active")</f>
        <v>Active</v>
      </c>
      <c r="D738" t="s">
        <v>3959</v>
      </c>
      <c r="E738" t="s">
        <v>4155</v>
      </c>
      <c r="F738">
        <v>385950</v>
      </c>
      <c r="G738">
        <v>1923</v>
      </c>
      <c r="H738">
        <v>0</v>
      </c>
      <c r="I738">
        <v>0</v>
      </c>
      <c r="J738">
        <v>3</v>
      </c>
      <c r="K738">
        <v>1</v>
      </c>
      <c r="M738" s="2" t="str">
        <f>HYPERLINK("http://maps.live.com/default.aspx?v=2&amp;lvl=15&amp;sp=Point.47.616316_-122.302363_1632 23rd Ave&amp;cp=47.616316~-122.302363","Map")</f>
        <v>Map</v>
      </c>
      <c r="N738" s="2" t="str">
        <f>HYPERLINK("http://i-0.rfimg.us/photo/1/bigphoto/188/27214188_0.jpg","Photo")</f>
        <v>Photo</v>
      </c>
      <c r="AG738">
        <v>47.616315999999998</v>
      </c>
      <c r="AH738">
        <v>-122.302363</v>
      </c>
      <c r="AI738" t="s">
        <v>66</v>
      </c>
      <c r="AJ738">
        <v>98122</v>
      </c>
      <c r="AN738">
        <v>500000</v>
      </c>
      <c r="BC738" s="22">
        <v>39434.580081018517</v>
      </c>
      <c r="BI738" s="7">
        <v>39539</v>
      </c>
      <c r="BL738">
        <v>7719</v>
      </c>
      <c r="BM738">
        <v>1352570</v>
      </c>
      <c r="BN738" t="s">
        <v>1810</v>
      </c>
      <c r="BO738" s="17">
        <f t="shared" ca="1" si="11"/>
        <v>114.72932488426159</v>
      </c>
      <c r="BP738" t="b">
        <v>0</v>
      </c>
      <c r="BQ738">
        <v>1</v>
      </c>
      <c r="BR738" t="s">
        <v>1667</v>
      </c>
      <c r="BS738" t="s">
        <v>1839</v>
      </c>
      <c r="BT738" t="b">
        <v>0</v>
      </c>
      <c r="BV738" t="s">
        <v>1668</v>
      </c>
      <c r="BW738">
        <v>1632</v>
      </c>
      <c r="BY738">
        <v>148092</v>
      </c>
      <c r="BZ738" s="21">
        <v>0</v>
      </c>
      <c r="CA738">
        <v>1</v>
      </c>
      <c r="CB738" t="b">
        <v>1</v>
      </c>
      <c r="CC738">
        <v>0</v>
      </c>
      <c r="CD738" t="b">
        <v>0</v>
      </c>
      <c r="CE738" t="b">
        <v>0</v>
      </c>
      <c r="CF738" t="b">
        <v>1</v>
      </c>
      <c r="CG738">
        <v>2898122</v>
      </c>
      <c r="CH738" t="s">
        <v>1681</v>
      </c>
      <c r="CI738" s="10">
        <v>385950</v>
      </c>
      <c r="CJ738" s="7">
        <v>39029</v>
      </c>
    </row>
    <row r="739" spans="1:88">
      <c r="A739">
        <v>27214312</v>
      </c>
      <c r="B739" s="2" t="str">
        <f>HYPERLINK("http://www.redfin.com/stingray/do/printable-listing?listing-id=1352887","Active")</f>
        <v>Active</v>
      </c>
      <c r="D739" t="s">
        <v>3249</v>
      </c>
      <c r="E739" t="s">
        <v>3609</v>
      </c>
      <c r="F739">
        <v>449000</v>
      </c>
      <c r="G739">
        <v>1920</v>
      </c>
      <c r="H739">
        <v>1600</v>
      </c>
      <c r="I739">
        <v>6875</v>
      </c>
      <c r="J739">
        <v>2</v>
      </c>
      <c r="K739">
        <v>1</v>
      </c>
      <c r="M739" s="2" t="str">
        <f>HYPERLINK("http://maps.live.com/default.aspx?v=2&amp;lvl=15&amp;sp=Point.47.652411_-122.369891_909 W Emerson St&amp;cp=47.652411~-122.369891","Map")</f>
        <v>Map</v>
      </c>
      <c r="N739" s="2" t="str">
        <f>HYPERLINK("http://i-0.rfimg.us/photo/1/bigphoto/312/27214312_2.jpg","Photo")</f>
        <v>Photo</v>
      </c>
      <c r="AG739">
        <v>47.652411000000001</v>
      </c>
      <c r="AH739">
        <v>-122.369891</v>
      </c>
      <c r="AI739" t="s">
        <v>66</v>
      </c>
      <c r="AJ739">
        <v>98119</v>
      </c>
      <c r="BC739" s="22">
        <v>39434.695868055554</v>
      </c>
      <c r="BI739" s="7">
        <v>39533</v>
      </c>
      <c r="BL739">
        <v>8980</v>
      </c>
      <c r="BM739">
        <v>1352887</v>
      </c>
      <c r="BN739" t="s">
        <v>1700</v>
      </c>
      <c r="BO739" s="17">
        <f t="shared" ca="1" si="11"/>
        <v>114.61353784722451</v>
      </c>
      <c r="BP739" t="b">
        <v>0</v>
      </c>
      <c r="BQ739">
        <v>1</v>
      </c>
      <c r="BR739" t="s">
        <v>1686</v>
      </c>
      <c r="BS739" t="s">
        <v>3490</v>
      </c>
      <c r="BT739" t="b">
        <v>0</v>
      </c>
      <c r="BU739" t="s">
        <v>2423</v>
      </c>
      <c r="BV739" t="s">
        <v>1668</v>
      </c>
      <c r="BW739">
        <v>909</v>
      </c>
      <c r="BY739">
        <v>130302</v>
      </c>
      <c r="BZ739" t="s">
        <v>3403</v>
      </c>
      <c r="CA739">
        <v>1</v>
      </c>
      <c r="CB739" t="b">
        <v>1</v>
      </c>
      <c r="CC739">
        <v>0</v>
      </c>
      <c r="CD739" t="b">
        <v>0</v>
      </c>
      <c r="CE739" t="b">
        <v>0</v>
      </c>
      <c r="CF739" t="b">
        <v>1</v>
      </c>
      <c r="CG739">
        <v>2925089</v>
      </c>
      <c r="CH739" t="s">
        <v>1681</v>
      </c>
      <c r="CI739" s="10">
        <v>449000</v>
      </c>
    </row>
    <row r="740" spans="1:88">
      <c r="A740">
        <v>27214344</v>
      </c>
      <c r="B740" s="15" t="str">
        <f>HYPERLINK("http://www.redfin.com/stingray/do/printable-listing?listing-id=1353053","Active")</f>
        <v>Active</v>
      </c>
      <c r="D740" t="s">
        <v>3966</v>
      </c>
      <c r="E740" t="s">
        <v>4276</v>
      </c>
      <c r="F740">
        <v>429000</v>
      </c>
      <c r="G740">
        <v>1922</v>
      </c>
      <c r="H740">
        <v>1560</v>
      </c>
      <c r="I740">
        <v>3670</v>
      </c>
      <c r="J740">
        <v>3</v>
      </c>
      <c r="K740">
        <v>2</v>
      </c>
      <c r="M740" s="2" t="str">
        <f>HYPERLINK("http://maps.live.com/default.aspx?v=2&amp;lvl=15&amp;sp=Point.47.613157_-122.295953_2802 E Union St&amp;cp=47.613157~-122.295953","Map")</f>
        <v>Map</v>
      </c>
      <c r="N740" s="2" t="str">
        <f>HYPERLINK("http://i-0.rfimg.us/photo/1/bigphoto/344/27214344_3.jpg","Photo")</f>
        <v>Photo</v>
      </c>
      <c r="AG740">
        <v>47.613157000000001</v>
      </c>
      <c r="AH740">
        <v>-122.295953</v>
      </c>
      <c r="AI740" t="s">
        <v>66</v>
      </c>
      <c r="AJ740">
        <v>98122</v>
      </c>
      <c r="AN740">
        <v>161500</v>
      </c>
      <c r="BC740" s="22">
        <v>39434.74695601852</v>
      </c>
      <c r="BI740" s="7">
        <v>39539</v>
      </c>
      <c r="BL740">
        <v>8580</v>
      </c>
      <c r="BM740">
        <v>1353053</v>
      </c>
      <c r="BN740" t="s">
        <v>2444</v>
      </c>
      <c r="BO740" s="17">
        <f t="shared" ca="1" si="11"/>
        <v>114.56244988425897</v>
      </c>
      <c r="BP740" t="b">
        <v>0</v>
      </c>
      <c r="BQ740">
        <v>2</v>
      </c>
      <c r="BR740" t="s">
        <v>1686</v>
      </c>
      <c r="BS740" t="s">
        <v>4075</v>
      </c>
      <c r="BT740" t="b">
        <v>0</v>
      </c>
      <c r="BU740" t="s">
        <v>2436</v>
      </c>
      <c r="BV740" t="s">
        <v>1668</v>
      </c>
      <c r="BW740">
        <v>2802</v>
      </c>
      <c r="BY740">
        <v>147389</v>
      </c>
      <c r="BZ740" t="s">
        <v>3613</v>
      </c>
      <c r="CA740">
        <v>1</v>
      </c>
      <c r="CB740" t="b">
        <v>1</v>
      </c>
      <c r="CC740">
        <v>0</v>
      </c>
      <c r="CD740" t="b">
        <v>0</v>
      </c>
      <c r="CE740" t="b">
        <v>0</v>
      </c>
      <c r="CF740" t="b">
        <v>1</v>
      </c>
      <c r="CG740">
        <v>2533878</v>
      </c>
      <c r="CH740" t="s">
        <v>1681</v>
      </c>
      <c r="CI740" s="10">
        <v>429000</v>
      </c>
      <c r="CJ740" s="7">
        <v>35901</v>
      </c>
    </row>
    <row r="741" spans="1:88">
      <c r="A741">
        <v>27214446</v>
      </c>
      <c r="B741" s="2" t="str">
        <f>HYPERLINK("http://www.redfin.com/stingray/do/printable-listing?listing-id=1355484","Active")</f>
        <v>Active</v>
      </c>
      <c r="D741" t="s">
        <v>3079</v>
      </c>
      <c r="E741" t="s">
        <v>4860</v>
      </c>
      <c r="F741">
        <v>995000</v>
      </c>
      <c r="G741">
        <v>1949</v>
      </c>
      <c r="H741">
        <v>1230</v>
      </c>
      <c r="I741">
        <v>8015</v>
      </c>
      <c r="J741">
        <v>3</v>
      </c>
      <c r="K741">
        <v>1.25</v>
      </c>
      <c r="M741" s="2" t="str">
        <f>HYPERLINK("http://maps.live.com/default.aspx?v=2&amp;lvl=15&amp;sp=Point.47.681782_-122.210262_231 8th Ave W&amp;cp=47.681782~-122.210262","Map")</f>
        <v>Map</v>
      </c>
      <c r="N741" s="2" t="str">
        <f>HYPERLINK("http://i-0.rfimg.us/photo/1/bigphoto/446/27214446_4.jpg","Photo")</f>
        <v>Photo</v>
      </c>
      <c r="AG741">
        <v>47.681781999999998</v>
      </c>
      <c r="AH741">
        <v>-122.210262</v>
      </c>
      <c r="AI741" t="s">
        <v>1058</v>
      </c>
      <c r="AJ741">
        <v>98033</v>
      </c>
      <c r="BC741" s="22">
        <v>39436.348113425927</v>
      </c>
      <c r="BI741" s="22">
        <v>39549.294907407406</v>
      </c>
      <c r="BL741">
        <v>19900</v>
      </c>
      <c r="BM741">
        <v>1355484</v>
      </c>
      <c r="BN741" t="s">
        <v>1768</v>
      </c>
      <c r="BO741" s="17">
        <f t="shared" ca="1" si="11"/>
        <v>112.96129247685167</v>
      </c>
      <c r="BP741" t="b">
        <v>0</v>
      </c>
      <c r="BQ741">
        <v>1</v>
      </c>
      <c r="BR741" t="s">
        <v>1667</v>
      </c>
      <c r="BS741" t="s">
        <v>1723</v>
      </c>
      <c r="BT741" t="b">
        <v>0</v>
      </c>
      <c r="BV741" t="s">
        <v>1668</v>
      </c>
      <c r="BW741">
        <v>231</v>
      </c>
      <c r="BX741" t="s">
        <v>2423</v>
      </c>
      <c r="BY741">
        <v>460964</v>
      </c>
      <c r="BZ741" t="s">
        <v>4861</v>
      </c>
      <c r="CA741">
        <v>1</v>
      </c>
      <c r="CB741" t="b">
        <v>1</v>
      </c>
      <c r="CC741">
        <v>0</v>
      </c>
      <c r="CD741" t="b">
        <v>0</v>
      </c>
      <c r="CE741" t="b">
        <v>0</v>
      </c>
      <c r="CF741" t="b">
        <v>1</v>
      </c>
      <c r="CG741">
        <v>2639397</v>
      </c>
      <c r="CH741" t="s">
        <v>1681</v>
      </c>
      <c r="CI741" s="10">
        <v>995000</v>
      </c>
    </row>
    <row r="742" spans="1:88">
      <c r="A742">
        <v>27214549</v>
      </c>
      <c r="B742" s="2" t="str">
        <f>HYPERLINK("http://www.redfin.com/stingray/do/printable-listing?listing-id=1355365","Active")</f>
        <v>Active</v>
      </c>
      <c r="D742" t="s">
        <v>5204</v>
      </c>
      <c r="E742" t="s">
        <v>5408</v>
      </c>
      <c r="F742">
        <v>395000</v>
      </c>
      <c r="G742">
        <v>1956</v>
      </c>
      <c r="H742">
        <v>1250</v>
      </c>
      <c r="I742">
        <v>7000</v>
      </c>
      <c r="J742">
        <v>3</v>
      </c>
      <c r="K742">
        <v>1</v>
      </c>
      <c r="M742" s="2" t="str">
        <f>HYPERLINK("http://maps.live.com/default.aspx?v=2&amp;lvl=15&amp;sp=Point.47.602583_-122.132049_15525 SE 8th St&amp;cp=47.602583~-122.132049","Map")</f>
        <v>Map</v>
      </c>
      <c r="N742" s="2" t="str">
        <f>HYPERLINK("http://i-0.rfimg.us/photo/1/bigphoto/549/27214549_0.jpg","Photo")</f>
        <v>Photo</v>
      </c>
      <c r="AG742">
        <v>47.602583000000003</v>
      </c>
      <c r="AH742">
        <v>-122.13204899999999</v>
      </c>
      <c r="AI742" t="s">
        <v>369</v>
      </c>
      <c r="AJ742">
        <v>98007</v>
      </c>
      <c r="BC742" s="22">
        <v>39436.17083333333</v>
      </c>
      <c r="BI742" s="7">
        <v>39539</v>
      </c>
      <c r="BL742">
        <v>7900</v>
      </c>
      <c r="BM742">
        <v>1355365</v>
      </c>
      <c r="BN742" t="s">
        <v>2014</v>
      </c>
      <c r="BO742" s="17">
        <f t="shared" ca="1" si="11"/>
        <v>113.13857256944902</v>
      </c>
      <c r="BP742" t="b">
        <v>0</v>
      </c>
      <c r="BQ742">
        <v>1</v>
      </c>
      <c r="BR742" t="s">
        <v>1686</v>
      </c>
      <c r="BS742" t="s">
        <v>1723</v>
      </c>
      <c r="BT742" t="b">
        <v>0</v>
      </c>
      <c r="BU742" t="s">
        <v>3856</v>
      </c>
      <c r="BV742" t="s">
        <v>1668</v>
      </c>
      <c r="BW742">
        <v>15525</v>
      </c>
      <c r="BY742">
        <v>425511</v>
      </c>
      <c r="BZ742" t="s">
        <v>1672</v>
      </c>
      <c r="CA742">
        <v>1</v>
      </c>
      <c r="CB742" t="b">
        <v>1</v>
      </c>
      <c r="CC742">
        <v>0</v>
      </c>
      <c r="CD742" t="b">
        <v>0</v>
      </c>
      <c r="CE742" t="b">
        <v>0</v>
      </c>
      <c r="CF742" t="b">
        <v>1</v>
      </c>
      <c r="CG742">
        <v>2554831</v>
      </c>
      <c r="CH742" t="s">
        <v>1681</v>
      </c>
      <c r="CI742" s="10">
        <v>395000</v>
      </c>
    </row>
    <row r="743" spans="1:88">
      <c r="A743">
        <v>27214683</v>
      </c>
      <c r="B743" s="15" t="str">
        <f>HYPERLINK("http://www.redfin.com/stingray/do/printable-listing?listing-id=1354744","Subject To Inspection")</f>
        <v>Subject To Inspection</v>
      </c>
      <c r="D743" t="s">
        <v>3249</v>
      </c>
      <c r="E743" t="s">
        <v>4317</v>
      </c>
      <c r="F743">
        <v>550000</v>
      </c>
      <c r="G743">
        <v>1902</v>
      </c>
      <c r="H743">
        <v>2600</v>
      </c>
      <c r="I743">
        <v>2240</v>
      </c>
      <c r="J743">
        <v>4</v>
      </c>
      <c r="K743">
        <v>2</v>
      </c>
      <c r="M743" s="2" t="str">
        <f>HYPERLINK("http://maps.live.com/default.aspx?v=2&amp;lvl=15&amp;sp=Point.47.627851_-122.345155_923 6th Ave N&amp;cp=47.627851~-122.345155","Map")</f>
        <v>Map</v>
      </c>
      <c r="N743" s="2" t="str">
        <f>HYPERLINK("http://i-0.rfimg.us/photo/1/bigphoto/683/27214683_0.jpg","Photo")</f>
        <v>Photo</v>
      </c>
      <c r="AG743">
        <v>47.627851</v>
      </c>
      <c r="AH743">
        <v>-122.34515500000001</v>
      </c>
      <c r="AI743" t="s">
        <v>66</v>
      </c>
      <c r="AJ743">
        <v>98109</v>
      </c>
      <c r="BC743" s="22">
        <v>39435.776828703703</v>
      </c>
      <c r="BI743" s="22">
        <v>39549.294907407406</v>
      </c>
      <c r="BL743">
        <v>11000</v>
      </c>
      <c r="BM743">
        <v>1354744</v>
      </c>
      <c r="BN743" t="s">
        <v>1674</v>
      </c>
      <c r="BO743" s="17">
        <f t="shared" ca="1" si="11"/>
        <v>113.5325771990756</v>
      </c>
      <c r="BP743" t="b">
        <v>0</v>
      </c>
      <c r="BQ743">
        <v>1</v>
      </c>
      <c r="BR743" t="s">
        <v>1667</v>
      </c>
      <c r="BS743" t="s">
        <v>1739</v>
      </c>
      <c r="BT743" t="b">
        <v>0</v>
      </c>
      <c r="BV743" t="s">
        <v>1668</v>
      </c>
      <c r="BW743">
        <v>923</v>
      </c>
      <c r="BX743" t="s">
        <v>1712</v>
      </c>
      <c r="BY743">
        <v>132112</v>
      </c>
      <c r="BZ743" t="s">
        <v>1813</v>
      </c>
      <c r="CA743">
        <v>1</v>
      </c>
      <c r="CB743" t="b">
        <v>1</v>
      </c>
      <c r="CC743">
        <v>0</v>
      </c>
      <c r="CD743" t="b">
        <v>0</v>
      </c>
      <c r="CE743" t="b">
        <v>0</v>
      </c>
      <c r="CF743" t="b">
        <v>1</v>
      </c>
      <c r="CG743">
        <v>2829560</v>
      </c>
      <c r="CH743" t="s">
        <v>1681</v>
      </c>
      <c r="CI743" s="10">
        <v>550000</v>
      </c>
    </row>
    <row r="744" spans="1:88">
      <c r="A744">
        <v>27214687</v>
      </c>
      <c r="B744" s="2" t="str">
        <f>HYPERLINK("http://www.redfin.com/stingray/do/printable-listing?listing-id=1354783","Active")</f>
        <v>Active</v>
      </c>
      <c r="D744" t="s">
        <v>3302</v>
      </c>
      <c r="E744" t="s">
        <v>3772</v>
      </c>
      <c r="F744" s="19">
        <v>839000</v>
      </c>
      <c r="G744">
        <v>1924</v>
      </c>
      <c r="H744">
        <v>0</v>
      </c>
      <c r="I744">
        <v>0</v>
      </c>
      <c r="J744">
        <v>3</v>
      </c>
      <c r="K744">
        <v>2</v>
      </c>
      <c r="M744" s="2" t="str">
        <f>HYPERLINK("http://maps.live.com/default.aspx?v=2&amp;lvl=15&amp;sp=Point.47.643377_-122.326894_104 E Roanoke St&amp;cp=47.643377~-122.326894","Map")</f>
        <v>Map</v>
      </c>
      <c r="N744" s="2" t="str">
        <f>HYPERLINK("http://i-0.rfimg.us/photo/1/bigphoto/687/27214687_0.jpg","Photo")</f>
        <v>Photo</v>
      </c>
      <c r="AG744">
        <v>47.643377000000001</v>
      </c>
      <c r="AH744">
        <v>-122.326894</v>
      </c>
      <c r="AI744" t="s">
        <v>66</v>
      </c>
      <c r="AJ744">
        <v>98102</v>
      </c>
      <c r="AN744">
        <v>650000</v>
      </c>
      <c r="BC744" s="22">
        <v>39435.809525462966</v>
      </c>
      <c r="BI744" s="22">
        <v>39549.294907407406</v>
      </c>
      <c r="BL744">
        <v>17580</v>
      </c>
      <c r="BM744">
        <v>1354783</v>
      </c>
      <c r="BN744" t="s">
        <v>3286</v>
      </c>
      <c r="BO744" s="17">
        <f t="shared" ca="1" si="11"/>
        <v>113.49988043981284</v>
      </c>
      <c r="BP744" t="b">
        <v>0</v>
      </c>
      <c r="BQ744">
        <v>1</v>
      </c>
      <c r="BR744" t="s">
        <v>1686</v>
      </c>
      <c r="BS744" t="s">
        <v>3759</v>
      </c>
      <c r="BT744" t="b">
        <v>0</v>
      </c>
      <c r="BU744" t="s">
        <v>2436</v>
      </c>
      <c r="BV744" t="s">
        <v>1668</v>
      </c>
      <c r="BW744">
        <v>104</v>
      </c>
      <c r="BY744">
        <v>131879</v>
      </c>
      <c r="BZ744" t="s">
        <v>1713</v>
      </c>
      <c r="CA744">
        <v>1</v>
      </c>
      <c r="CB744" t="b">
        <v>1</v>
      </c>
      <c r="CC744">
        <v>0</v>
      </c>
      <c r="CD744" t="b">
        <v>0</v>
      </c>
      <c r="CE744" t="b">
        <v>0</v>
      </c>
      <c r="CF744" t="b">
        <v>1</v>
      </c>
      <c r="CG744">
        <v>2860885</v>
      </c>
      <c r="CH744" t="s">
        <v>1681</v>
      </c>
      <c r="CI744" s="10">
        <v>879000</v>
      </c>
      <c r="CJ744" s="7">
        <v>38569</v>
      </c>
    </row>
    <row r="745" spans="1:88">
      <c r="A745">
        <v>27214711</v>
      </c>
      <c r="B745" s="2" t="str">
        <f>HYPERLINK("http://www.redfin.com/stingray/do/printable-listing?listing-id=1355450","Active")</f>
        <v>Active</v>
      </c>
      <c r="D745" t="s">
        <v>63</v>
      </c>
      <c r="E745" t="s">
        <v>1218</v>
      </c>
      <c r="F745">
        <v>599000</v>
      </c>
      <c r="G745">
        <v>1947</v>
      </c>
      <c r="H745">
        <v>2000</v>
      </c>
      <c r="I745">
        <v>5750</v>
      </c>
      <c r="J745">
        <v>3</v>
      </c>
      <c r="K745">
        <v>1.75</v>
      </c>
      <c r="M745" s="2" t="str">
        <f>HYPERLINK("http://maps.live.com/default.aspx?v=2&amp;lvl=15&amp;sp=Point.47.686155_-122.39477_7741 29th Ave NW&amp;cp=47.686155~-122.39477","Map")</f>
        <v>Map</v>
      </c>
      <c r="N745" s="2" t="str">
        <f>HYPERLINK("http://i-0.rfimg.us/photo/1/bigphoto/711/27214711_4.jpg","Photo")</f>
        <v>Photo</v>
      </c>
      <c r="AG745">
        <v>47.686154999999999</v>
      </c>
      <c r="AH745">
        <v>-122.39476999999999</v>
      </c>
      <c r="AI745" t="s">
        <v>66</v>
      </c>
      <c r="AJ745">
        <v>98117</v>
      </c>
      <c r="AN745">
        <v>204965</v>
      </c>
      <c r="BC745" s="22">
        <v>39436.306319444448</v>
      </c>
      <c r="BI745" s="22">
        <v>39549.294907407406</v>
      </c>
      <c r="BL745">
        <v>11980</v>
      </c>
      <c r="BM745">
        <v>1355450</v>
      </c>
      <c r="BN745" t="s">
        <v>1673</v>
      </c>
      <c r="BO745" s="17">
        <f t="shared" ca="1" si="11"/>
        <v>113.00308657407004</v>
      </c>
      <c r="BP745" t="b">
        <v>0</v>
      </c>
      <c r="BQ745">
        <v>1</v>
      </c>
      <c r="BR745" t="s">
        <v>1667</v>
      </c>
      <c r="BS745" t="s">
        <v>1772</v>
      </c>
      <c r="BT745" t="b">
        <v>0</v>
      </c>
      <c r="BV745" t="s">
        <v>1668</v>
      </c>
      <c r="BW745">
        <v>7741</v>
      </c>
      <c r="BX745" t="s">
        <v>1669</v>
      </c>
      <c r="BY745">
        <v>166011</v>
      </c>
      <c r="BZ745" t="s">
        <v>1934</v>
      </c>
      <c r="CA745">
        <v>1</v>
      </c>
      <c r="CB745" t="b">
        <v>1</v>
      </c>
      <c r="CC745">
        <v>0</v>
      </c>
      <c r="CD745" t="b">
        <v>0</v>
      </c>
      <c r="CE745" t="b">
        <v>0</v>
      </c>
      <c r="CF745" t="b">
        <v>1</v>
      </c>
      <c r="CG745">
        <v>2447398</v>
      </c>
      <c r="CH745" t="s">
        <v>1681</v>
      </c>
      <c r="CI745" s="10">
        <v>599000</v>
      </c>
      <c r="CJ745" s="7">
        <v>39070</v>
      </c>
    </row>
    <row r="746" spans="1:88">
      <c r="A746">
        <v>27214854</v>
      </c>
      <c r="B746" s="2" t="str">
        <f>HYPERLINK("http://www.redfin.com/stingray/do/printable-listing?listing-id=1355959","Active")</f>
        <v>Active</v>
      </c>
      <c r="D746" t="s">
        <v>109</v>
      </c>
      <c r="E746" t="s">
        <v>2600</v>
      </c>
      <c r="F746">
        <v>534950</v>
      </c>
      <c r="G746">
        <v>2007</v>
      </c>
      <c r="H746">
        <v>1376</v>
      </c>
      <c r="I746">
        <v>0</v>
      </c>
      <c r="J746">
        <v>2</v>
      </c>
      <c r="K746">
        <v>2.5</v>
      </c>
      <c r="M746" s="2" t="str">
        <f>HYPERLINK("http://maps.live.com/default.aspx?v=2&amp;lvl=15&amp;sp=Point.47.661848_-122.324203_4525 4th Ave NE&amp;cp=47.661848~-122.324203","Map")</f>
        <v>Map</v>
      </c>
      <c r="N746" s="2" t="str">
        <f>HYPERLINK("http://i-0.rfimg.us/photo/1/bigphoto/854/27214854_1.jpg","Photo")</f>
        <v>Photo</v>
      </c>
      <c r="AG746">
        <v>47.661847999999999</v>
      </c>
      <c r="AH746">
        <v>-122.324203</v>
      </c>
      <c r="AI746" t="s">
        <v>66</v>
      </c>
      <c r="AJ746">
        <v>98105</v>
      </c>
      <c r="BC746" s="22">
        <v>39436.580405092594</v>
      </c>
      <c r="BI746" s="22">
        <v>39549.294907407406</v>
      </c>
      <c r="BL746">
        <v>10699</v>
      </c>
      <c r="BM746">
        <v>1355959</v>
      </c>
      <c r="BN746" t="s">
        <v>1693</v>
      </c>
      <c r="BO746" s="17">
        <f t="shared" ca="1" si="11"/>
        <v>112.72900092592317</v>
      </c>
      <c r="BP746" t="b">
        <v>0</v>
      </c>
      <c r="BQ746">
        <v>1</v>
      </c>
      <c r="BR746" t="s">
        <v>1667</v>
      </c>
      <c r="BS746" t="s">
        <v>1724</v>
      </c>
      <c r="BT746" t="b">
        <v>0</v>
      </c>
      <c r="BV746" t="s">
        <v>1668</v>
      </c>
      <c r="BW746">
        <v>4525</v>
      </c>
      <c r="BX746" t="s">
        <v>1738</v>
      </c>
      <c r="BY746">
        <v>12320382</v>
      </c>
      <c r="BZ746" t="s">
        <v>2601</v>
      </c>
      <c r="CA746">
        <v>1</v>
      </c>
      <c r="CB746" t="b">
        <v>1</v>
      </c>
      <c r="CC746">
        <v>0</v>
      </c>
      <c r="CD746" t="b">
        <v>0</v>
      </c>
      <c r="CE746" t="b">
        <v>0</v>
      </c>
      <c r="CF746" t="b">
        <v>1</v>
      </c>
      <c r="CG746">
        <v>15526418</v>
      </c>
      <c r="CH746" t="s">
        <v>1681</v>
      </c>
      <c r="CI746" s="10">
        <v>534950</v>
      </c>
    </row>
    <row r="747" spans="1:88">
      <c r="A747">
        <v>27214882</v>
      </c>
      <c r="B747" s="2" t="str">
        <f>HYPERLINK("http://www.redfin.com/stingray/do/printable-listing?listing-id=1356082","Active")</f>
        <v>Active</v>
      </c>
      <c r="D747" t="s">
        <v>5191</v>
      </c>
      <c r="E747" t="s">
        <v>5910</v>
      </c>
      <c r="F747" s="19">
        <v>1174900</v>
      </c>
      <c r="G747">
        <v>2008</v>
      </c>
      <c r="H747">
        <v>3390</v>
      </c>
      <c r="I747">
        <v>7975</v>
      </c>
      <c r="J747">
        <v>4</v>
      </c>
      <c r="K747">
        <v>2.75</v>
      </c>
      <c r="M747" s="2" t="str">
        <f>HYPERLINK("http://maps.live.com/default.aspx?v=2&amp;lvl=15&amp;sp=Point.47.561663_-122.166528_13017 SE 47 St&amp;cp=47.561663~-122.166528","Map")</f>
        <v>Map</v>
      </c>
      <c r="N747" s="2" t="str">
        <f>HYPERLINK("http://i-0.rfimg.us/photo/1/bigphoto/882/27214882_6.jpg","Photo")</f>
        <v>Photo</v>
      </c>
      <c r="AG747">
        <v>47.561663000000003</v>
      </c>
      <c r="AH747">
        <v>-122.166528</v>
      </c>
      <c r="AI747" t="s">
        <v>369</v>
      </c>
      <c r="AJ747">
        <v>98006</v>
      </c>
      <c r="BC747" s="22">
        <v>39436.611585648148</v>
      </c>
      <c r="BI747" s="22">
        <v>39549.294907407406</v>
      </c>
      <c r="BL747">
        <v>23900</v>
      </c>
      <c r="BM747">
        <v>1356082</v>
      </c>
      <c r="BN747" t="s">
        <v>2136</v>
      </c>
      <c r="BO747" s="17">
        <f t="shared" ca="1" si="11"/>
        <v>112.69782025463064</v>
      </c>
      <c r="BP747" t="b">
        <v>0</v>
      </c>
      <c r="BQ747">
        <v>1</v>
      </c>
      <c r="BR747" t="s">
        <v>1686</v>
      </c>
      <c r="BS747">
        <v>47</v>
      </c>
      <c r="BT747" t="b">
        <v>0</v>
      </c>
      <c r="BU747" t="s">
        <v>3856</v>
      </c>
      <c r="BV747" t="s">
        <v>1668</v>
      </c>
      <c r="BW747">
        <v>13017</v>
      </c>
      <c r="BY747">
        <v>12320390</v>
      </c>
      <c r="BZ747" t="s">
        <v>5911</v>
      </c>
      <c r="CA747">
        <v>1</v>
      </c>
      <c r="CB747" t="b">
        <v>1</v>
      </c>
      <c r="CC747">
        <v>0</v>
      </c>
      <c r="CD747" t="b">
        <v>0</v>
      </c>
      <c r="CE747" t="b">
        <v>0</v>
      </c>
      <c r="CF747" t="b">
        <v>1</v>
      </c>
      <c r="CG747">
        <v>15526426</v>
      </c>
      <c r="CH747" t="s">
        <v>1681</v>
      </c>
      <c r="CI747" s="10">
        <v>1195000</v>
      </c>
    </row>
    <row r="748" spans="1:88">
      <c r="A748">
        <v>27215076</v>
      </c>
      <c r="B748" s="2" t="str">
        <f>HYPERLINK("http://www.redfin.com/stingray/do/printable-listing?listing-id=1357294","Active")</f>
        <v>Active</v>
      </c>
      <c r="D748" t="s">
        <v>5121</v>
      </c>
      <c r="E748" t="s">
        <v>5524</v>
      </c>
      <c r="F748">
        <v>699000</v>
      </c>
      <c r="G748">
        <v>1952</v>
      </c>
      <c r="H748">
        <v>1300</v>
      </c>
      <c r="I748">
        <v>8300</v>
      </c>
      <c r="J748">
        <v>3</v>
      </c>
      <c r="K748">
        <v>2</v>
      </c>
      <c r="M748" s="2" t="str">
        <f>HYPERLINK("http://maps.live.com/default.aspx?v=2&amp;lvl=15&amp;sp=Point.47.582121_-122.19394_3133 110th Ave SE&amp;cp=47.582121~-122.19394","Map")</f>
        <v>Map</v>
      </c>
      <c r="N748" s="2" t="str">
        <f>HYPERLINK("http://i-0.rfimg.us/photo/1/bigphoto/076/27215076_2.jpg","Photo")</f>
        <v>Photo</v>
      </c>
      <c r="AG748">
        <v>47.582121000000001</v>
      </c>
      <c r="AH748">
        <v>-122.19394</v>
      </c>
      <c r="AI748" t="s">
        <v>369</v>
      </c>
      <c r="AJ748">
        <v>98004</v>
      </c>
      <c r="AN748">
        <v>508000</v>
      </c>
      <c r="BC748" s="22">
        <v>39437.463229166664</v>
      </c>
      <c r="BI748" s="22">
        <v>39549.294907407406</v>
      </c>
      <c r="BL748">
        <v>13980</v>
      </c>
      <c r="BM748">
        <v>1357294</v>
      </c>
      <c r="BN748" t="s">
        <v>1868</v>
      </c>
      <c r="BO748" s="17">
        <f t="shared" ca="1" si="11"/>
        <v>111.84617673611501</v>
      </c>
      <c r="BP748" t="b">
        <v>0</v>
      </c>
      <c r="BQ748">
        <v>1</v>
      </c>
      <c r="BR748" t="s">
        <v>1667</v>
      </c>
      <c r="BS748" t="s">
        <v>4369</v>
      </c>
      <c r="BT748" t="b">
        <v>0</v>
      </c>
      <c r="BV748" t="s">
        <v>1668</v>
      </c>
      <c r="BW748">
        <v>3133</v>
      </c>
      <c r="BX748" t="s">
        <v>3856</v>
      </c>
      <c r="BY748">
        <v>511078</v>
      </c>
      <c r="BZ748" t="s">
        <v>5525</v>
      </c>
      <c r="CA748">
        <v>1</v>
      </c>
      <c r="CB748" t="b">
        <v>1</v>
      </c>
      <c r="CC748">
        <v>0</v>
      </c>
      <c r="CD748" t="b">
        <v>0</v>
      </c>
      <c r="CE748" t="b">
        <v>0</v>
      </c>
      <c r="CF748" t="b">
        <v>1</v>
      </c>
      <c r="CG748">
        <v>2399617</v>
      </c>
      <c r="CH748" t="s">
        <v>1681</v>
      </c>
      <c r="CI748" s="10">
        <v>699000</v>
      </c>
      <c r="CJ748" s="7">
        <v>38749</v>
      </c>
    </row>
    <row r="749" spans="1:88">
      <c r="A749">
        <v>27215206</v>
      </c>
      <c r="B749" s="2" t="str">
        <f>HYPERLINK("http://www.redfin.com/stingray/do/printable-listing?listing-id=1357825","Active")</f>
        <v>Active</v>
      </c>
      <c r="D749" t="s">
        <v>4596</v>
      </c>
      <c r="E749" t="s">
        <v>4647</v>
      </c>
      <c r="F749">
        <v>799950</v>
      </c>
      <c r="G749">
        <v>2007</v>
      </c>
      <c r="H749">
        <v>2939</v>
      </c>
      <c r="I749">
        <v>0</v>
      </c>
      <c r="J749">
        <v>4</v>
      </c>
      <c r="K749">
        <v>3.5</v>
      </c>
      <c r="M749" s="2" t="str">
        <f>HYPERLINK("http://maps.live.com/default.aspx?v=2&amp;lvl=15&amp;sp=adr.16841 NE 120th St (Unable to map),98052","Map")</f>
        <v>Map</v>
      </c>
      <c r="N749" s="2" t="str">
        <f>HYPERLINK("http://i-0.rfimg.us/photo/1/bigphoto/206/27215206_0.jpg","Photo")</f>
        <v>Photo</v>
      </c>
      <c r="AI749" t="s">
        <v>4363</v>
      </c>
      <c r="AJ749">
        <v>98052</v>
      </c>
      <c r="BC749" s="22">
        <v>39437.634976851848</v>
      </c>
      <c r="BI749" s="22">
        <v>39549.294907407406</v>
      </c>
      <c r="BL749">
        <v>15999</v>
      </c>
      <c r="BM749">
        <v>1357825</v>
      </c>
      <c r="BN749" t="s">
        <v>3883</v>
      </c>
      <c r="BO749" s="17">
        <f t="shared" ca="1" si="11"/>
        <v>111.67442905093048</v>
      </c>
      <c r="BP749" t="b">
        <v>0</v>
      </c>
      <c r="BQ749">
        <v>1</v>
      </c>
      <c r="BR749" t="s">
        <v>1686</v>
      </c>
      <c r="BS749" t="s">
        <v>2785</v>
      </c>
      <c r="BT749" t="b">
        <v>0</v>
      </c>
      <c r="BU749" t="s">
        <v>1738</v>
      </c>
      <c r="BV749" t="s">
        <v>1668</v>
      </c>
      <c r="BW749">
        <v>16841</v>
      </c>
      <c r="BY749">
        <v>0</v>
      </c>
      <c r="BZ749" t="s">
        <v>1696</v>
      </c>
      <c r="CA749">
        <v>1</v>
      </c>
      <c r="CB749" t="b">
        <v>1</v>
      </c>
      <c r="CC749">
        <v>0</v>
      </c>
      <c r="CD749" t="b">
        <v>0</v>
      </c>
      <c r="CE749" t="b">
        <v>0</v>
      </c>
      <c r="CF749" t="b">
        <v>1</v>
      </c>
      <c r="CG749" t="s">
        <v>1870</v>
      </c>
      <c r="CH749" t="s">
        <v>1681</v>
      </c>
      <c r="CI749" s="10">
        <v>799950</v>
      </c>
    </row>
    <row r="750" spans="1:88">
      <c r="A750">
        <v>27215239</v>
      </c>
      <c r="B750" s="2" t="str">
        <f>HYPERLINK("http://www.redfin.com/stingray/do/printable-listing?listing-id=1357975","Active")</f>
        <v>Active</v>
      </c>
      <c r="D750" t="s">
        <v>3882</v>
      </c>
      <c r="E750" t="s">
        <v>3938</v>
      </c>
      <c r="F750">
        <v>849000</v>
      </c>
      <c r="G750">
        <v>2007</v>
      </c>
      <c r="H750">
        <v>5117</v>
      </c>
      <c r="I750">
        <v>9437</v>
      </c>
      <c r="J750">
        <v>5</v>
      </c>
      <c r="K750">
        <v>3.75</v>
      </c>
      <c r="M750" s="2" t="str">
        <f>HYPERLINK("http://maps.live.com/default.aspx?v=2&amp;lvl=15&amp;sp=adr.215 Ilwaco Pl SE (Unable to map),98059","Map")</f>
        <v>Map</v>
      </c>
      <c r="N750" s="2" t="str">
        <f>HYPERLINK("http://i-0.rfimg.us/photo/1/bigphoto/239/27215239_2.jpg","Photo")</f>
        <v>Photo</v>
      </c>
      <c r="AI750" t="s">
        <v>1077</v>
      </c>
      <c r="AJ750">
        <v>98059</v>
      </c>
      <c r="BC750" s="22">
        <v>39437.705960648149</v>
      </c>
      <c r="BI750" s="22">
        <v>39549.294907407406</v>
      </c>
      <c r="BL750">
        <v>16980</v>
      </c>
      <c r="BM750">
        <v>1357975</v>
      </c>
      <c r="BN750" t="s">
        <v>3878</v>
      </c>
      <c r="BO750" s="17">
        <f t="shared" ca="1" si="11"/>
        <v>111.60344525463006</v>
      </c>
      <c r="BP750" t="b">
        <v>0</v>
      </c>
      <c r="BQ750">
        <v>1</v>
      </c>
      <c r="BR750" t="s">
        <v>1842</v>
      </c>
      <c r="BS750" t="s">
        <v>3939</v>
      </c>
      <c r="BT750" t="b">
        <v>0</v>
      </c>
      <c r="BV750" t="s">
        <v>1668</v>
      </c>
      <c r="BW750">
        <v>215</v>
      </c>
      <c r="BX750" t="s">
        <v>3856</v>
      </c>
      <c r="BY750">
        <v>0</v>
      </c>
      <c r="BZ750" t="s">
        <v>3940</v>
      </c>
      <c r="CA750">
        <v>1</v>
      </c>
      <c r="CB750" t="b">
        <v>1</v>
      </c>
      <c r="CC750">
        <v>0</v>
      </c>
      <c r="CD750" t="b">
        <v>0</v>
      </c>
      <c r="CE750" t="b">
        <v>0</v>
      </c>
      <c r="CF750" t="b">
        <v>1</v>
      </c>
      <c r="CG750" t="s">
        <v>1870</v>
      </c>
      <c r="CH750" t="s">
        <v>1681</v>
      </c>
      <c r="CI750" s="10">
        <v>849000</v>
      </c>
    </row>
    <row r="751" spans="1:88">
      <c r="A751">
        <v>27215243</v>
      </c>
      <c r="B751" s="2" t="str">
        <f>HYPERLINK("http://www.redfin.com/stingray/do/printable-listing?listing-id=1357974","Active")</f>
        <v>Active</v>
      </c>
      <c r="D751" t="s">
        <v>3882</v>
      </c>
      <c r="E751" t="s">
        <v>6097</v>
      </c>
      <c r="F751">
        <v>779000</v>
      </c>
      <c r="G751">
        <v>2007</v>
      </c>
      <c r="H751">
        <v>4300</v>
      </c>
      <c r="I751">
        <v>9935</v>
      </c>
      <c r="J751">
        <v>4</v>
      </c>
      <c r="K751">
        <v>4</v>
      </c>
      <c r="M751" s="2" t="str">
        <f>HYPERLINK("http://maps.live.com/default.aspx?v=2&amp;lvl=15&amp;sp=Point.47.4913_-122.151_104 Hoquiam Ave&amp;cp=47.4913~-122.151","Map")</f>
        <v>Map</v>
      </c>
      <c r="N751" s="2" t="str">
        <f>HYPERLINK("http://i-0.rfimg.us/photo/1/bigphoto/243/27215243_2.jpg","Photo")</f>
        <v>Photo</v>
      </c>
      <c r="AG751">
        <v>47.491300000000003</v>
      </c>
      <c r="AH751">
        <v>-122.151</v>
      </c>
      <c r="AI751" t="s">
        <v>1077</v>
      </c>
      <c r="AJ751">
        <v>98059</v>
      </c>
      <c r="BC751" s="22">
        <v>39437.705937500003</v>
      </c>
      <c r="BI751" s="22">
        <v>39549.294907407406</v>
      </c>
      <c r="BL751">
        <v>15580</v>
      </c>
      <c r="BM751">
        <v>1357974</v>
      </c>
      <c r="BN751" t="s">
        <v>3878</v>
      </c>
      <c r="BO751" s="17">
        <f t="shared" ca="1" si="11"/>
        <v>111.60346840277634</v>
      </c>
      <c r="BP751" t="b">
        <v>0</v>
      </c>
      <c r="BQ751">
        <v>1</v>
      </c>
      <c r="BR751" t="s">
        <v>1667</v>
      </c>
      <c r="BS751" t="s">
        <v>6026</v>
      </c>
      <c r="BT751" t="b">
        <v>0</v>
      </c>
      <c r="BV751" t="s">
        <v>1668</v>
      </c>
      <c r="BW751">
        <v>104</v>
      </c>
      <c r="BY751">
        <v>12021723</v>
      </c>
      <c r="BZ751" t="s">
        <v>6098</v>
      </c>
      <c r="CA751">
        <v>1</v>
      </c>
      <c r="CB751" t="b">
        <v>1</v>
      </c>
      <c r="CC751">
        <v>0</v>
      </c>
      <c r="CD751" t="b">
        <v>0</v>
      </c>
      <c r="CE751" t="b">
        <v>0</v>
      </c>
      <c r="CF751" t="b">
        <v>1</v>
      </c>
      <c r="CG751">
        <v>15275899</v>
      </c>
      <c r="CH751" t="s">
        <v>1681</v>
      </c>
      <c r="CI751" s="10">
        <v>779000</v>
      </c>
    </row>
    <row r="752" spans="1:88">
      <c r="A752">
        <v>27215290</v>
      </c>
      <c r="B752" s="2" t="str">
        <f>HYPERLINK("http://www.redfin.com/stingray/do/printable-listing?listing-id=1358176","Active")</f>
        <v>Active</v>
      </c>
      <c r="D752" t="s">
        <v>3064</v>
      </c>
      <c r="E752" t="s">
        <v>6103</v>
      </c>
      <c r="F752" s="19">
        <v>394950</v>
      </c>
      <c r="G752">
        <v>1999</v>
      </c>
      <c r="H752">
        <v>1630</v>
      </c>
      <c r="I752">
        <v>0</v>
      </c>
      <c r="J752">
        <v>3</v>
      </c>
      <c r="K752">
        <v>2.5</v>
      </c>
      <c r="M752" s="2" t="str">
        <f>HYPERLINK("http://maps.live.com/default.aspx?v=2&amp;lvl=15&amp;sp=Point.47.490419_-122.1575_4615 NE 5th St&amp;cp=47.490419~-122.1575","Map")</f>
        <v>Map</v>
      </c>
      <c r="N752" s="2" t="str">
        <f>HYPERLINK("http://i-0.rfimg.us/photo/1/bigphoto/290/27215290_4.jpg","Photo")</f>
        <v>Photo</v>
      </c>
      <c r="AG752">
        <v>47.490419000000003</v>
      </c>
      <c r="AH752">
        <v>-122.1575</v>
      </c>
      <c r="AI752" t="s">
        <v>1077</v>
      </c>
      <c r="AJ752">
        <v>98059</v>
      </c>
      <c r="AN752">
        <v>399000</v>
      </c>
      <c r="BC752" s="22">
        <v>39437.834976851853</v>
      </c>
      <c r="BI752" s="22">
        <v>39549.294907407406</v>
      </c>
      <c r="BL752">
        <v>7999</v>
      </c>
      <c r="BM752">
        <v>1358176</v>
      </c>
      <c r="BN752" t="s">
        <v>1680</v>
      </c>
      <c r="BO752" s="17">
        <f t="shared" ca="1" si="11"/>
        <v>111.47442905092612</v>
      </c>
      <c r="BP752" t="b">
        <v>0</v>
      </c>
      <c r="BQ752">
        <v>1</v>
      </c>
      <c r="BR752" t="s">
        <v>1686</v>
      </c>
      <c r="BS752" t="s">
        <v>1832</v>
      </c>
      <c r="BT752" t="b">
        <v>0</v>
      </c>
      <c r="BU752" t="s">
        <v>1738</v>
      </c>
      <c r="BV752" t="s">
        <v>1668</v>
      </c>
      <c r="BW752">
        <v>4615</v>
      </c>
      <c r="BY752">
        <v>243886</v>
      </c>
      <c r="BZ752" t="s">
        <v>3529</v>
      </c>
      <c r="CA752">
        <v>1</v>
      </c>
      <c r="CB752" t="b">
        <v>1</v>
      </c>
      <c r="CC752">
        <v>0</v>
      </c>
      <c r="CD752" t="b">
        <v>0</v>
      </c>
      <c r="CE752" t="b">
        <v>0</v>
      </c>
      <c r="CF752" t="b">
        <v>1</v>
      </c>
      <c r="CG752">
        <v>2892236</v>
      </c>
      <c r="CH752" t="s">
        <v>1681</v>
      </c>
      <c r="CI752" s="10">
        <v>399950</v>
      </c>
      <c r="CJ752" s="7">
        <v>39283</v>
      </c>
    </row>
    <row r="753" spans="1:88">
      <c r="A753">
        <v>27215321</v>
      </c>
      <c r="B753" s="2" t="str">
        <f>HYPERLINK("http://www.redfin.com/stingray/do/printable-listing?listing-id=1358755","Active")</f>
        <v>Active</v>
      </c>
      <c r="D753" t="s">
        <v>2552</v>
      </c>
      <c r="E753" t="s">
        <v>3382</v>
      </c>
      <c r="F753">
        <v>2300000</v>
      </c>
      <c r="G753">
        <v>1998</v>
      </c>
      <c r="H753">
        <v>3970</v>
      </c>
      <c r="I753">
        <v>5350</v>
      </c>
      <c r="J753">
        <v>3</v>
      </c>
      <c r="K753">
        <v>3.5</v>
      </c>
      <c r="M753" s="2" t="str">
        <f>HYPERLINK("http://maps.live.com/default.aspx?v=2&amp;lvl=15&amp;sp=Point.47.637251_-122.404772_2221 Viewmont Way W&amp;cp=47.637251~-122.404772","Map")</f>
        <v>Map</v>
      </c>
      <c r="N753" s="2" t="str">
        <f>HYPERLINK("http://i-0.rfimg.us/photo/1/bigphoto/321/27215321_2.jpg","Photo")</f>
        <v>Photo</v>
      </c>
      <c r="AG753">
        <v>47.637250999999999</v>
      </c>
      <c r="AH753">
        <v>-122.40477199999999</v>
      </c>
      <c r="AI753" t="s">
        <v>66</v>
      </c>
      <c r="AJ753">
        <v>98199</v>
      </c>
      <c r="AN753">
        <v>1185000</v>
      </c>
      <c r="BC753" s="22">
        <v>39438.494722222225</v>
      </c>
      <c r="BI753" s="22">
        <v>39549.294907407406</v>
      </c>
      <c r="BL753">
        <v>46000</v>
      </c>
      <c r="BM753">
        <v>1358755</v>
      </c>
      <c r="BN753" t="s">
        <v>1678</v>
      </c>
      <c r="BO753" s="17">
        <f t="shared" ca="1" si="11"/>
        <v>110.81468368055357</v>
      </c>
      <c r="BP753" t="b">
        <v>0</v>
      </c>
      <c r="BQ753">
        <v>1</v>
      </c>
      <c r="BR753" t="s">
        <v>2463</v>
      </c>
      <c r="BS753" t="s">
        <v>3383</v>
      </c>
      <c r="BT753" t="b">
        <v>0</v>
      </c>
      <c r="BV753" t="s">
        <v>1668</v>
      </c>
      <c r="BW753">
        <v>2221</v>
      </c>
      <c r="BX753" t="s">
        <v>2423</v>
      </c>
      <c r="BY753">
        <v>126177</v>
      </c>
      <c r="BZ753" t="s">
        <v>1730</v>
      </c>
      <c r="CA753">
        <v>1</v>
      </c>
      <c r="CB753" t="b">
        <v>1</v>
      </c>
      <c r="CC753">
        <v>0</v>
      </c>
      <c r="CD753" t="b">
        <v>0</v>
      </c>
      <c r="CE753" t="b">
        <v>0</v>
      </c>
      <c r="CF753" t="b">
        <v>1</v>
      </c>
      <c r="CG753">
        <v>2799824</v>
      </c>
      <c r="CH753" t="s">
        <v>1681</v>
      </c>
      <c r="CI753" s="10">
        <v>2300000</v>
      </c>
      <c r="CJ753" s="7">
        <v>37795</v>
      </c>
    </row>
    <row r="754" spans="1:88">
      <c r="A754">
        <v>27215338</v>
      </c>
      <c r="B754" s="2" t="str">
        <f>HYPERLINK("http://www.redfin.com/stingray/do/printable-listing?listing-id=1358787","Active")</f>
        <v>Active</v>
      </c>
      <c r="D754" t="s">
        <v>60</v>
      </c>
      <c r="E754" t="s">
        <v>2526</v>
      </c>
      <c r="F754">
        <v>374950</v>
      </c>
      <c r="G754">
        <v>1952</v>
      </c>
      <c r="H754">
        <v>900</v>
      </c>
      <c r="I754">
        <v>1512</v>
      </c>
      <c r="J754">
        <v>1</v>
      </c>
      <c r="K754">
        <v>0.75</v>
      </c>
      <c r="M754" s="2" t="str">
        <f>HYPERLINK("http://maps.live.com/default.aspx?v=2&amp;lvl=15&amp;sp=Point.47.671035_-122.329741_2340 N 58th St&amp;cp=47.671035~-122.329741","Map")</f>
        <v>Map</v>
      </c>
      <c r="N754" s="2" t="str">
        <f>HYPERLINK("http://i-0.rfimg.us/photo/1/bigphoto/338/27215338_6.jpg","Photo")</f>
        <v>Photo</v>
      </c>
      <c r="AG754">
        <v>47.671035000000003</v>
      </c>
      <c r="AH754">
        <v>-122.329741</v>
      </c>
      <c r="AI754" t="s">
        <v>66</v>
      </c>
      <c r="AJ754">
        <v>98103</v>
      </c>
      <c r="AN754">
        <v>255000</v>
      </c>
      <c r="BC754" s="22">
        <v>39438.515173611115</v>
      </c>
      <c r="BI754" s="22">
        <v>39549.294907407406</v>
      </c>
      <c r="BL754">
        <v>7499</v>
      </c>
      <c r="BM754">
        <v>1358787</v>
      </c>
      <c r="BN754" t="s">
        <v>2136</v>
      </c>
      <c r="BO754" s="17">
        <f t="shared" ca="1" si="11"/>
        <v>110.79423240740289</v>
      </c>
      <c r="BP754" t="b">
        <v>0</v>
      </c>
      <c r="BQ754">
        <v>1</v>
      </c>
      <c r="BR754" t="s">
        <v>1686</v>
      </c>
      <c r="BS754" t="s">
        <v>2490</v>
      </c>
      <c r="BT754" t="b">
        <v>0</v>
      </c>
      <c r="BU754" t="s">
        <v>1712</v>
      </c>
      <c r="BV754" t="s">
        <v>1668</v>
      </c>
      <c r="BW754">
        <v>2340</v>
      </c>
      <c r="BY754">
        <v>305925</v>
      </c>
      <c r="BZ754" s="21">
        <v>6.9444444444444447E-4</v>
      </c>
      <c r="CA754">
        <v>1</v>
      </c>
      <c r="CB754" t="b">
        <v>1</v>
      </c>
      <c r="CC754">
        <v>0</v>
      </c>
      <c r="CD754" t="b">
        <v>0</v>
      </c>
      <c r="CE754" t="b">
        <v>0</v>
      </c>
      <c r="CF754" t="b">
        <v>1</v>
      </c>
      <c r="CG754">
        <v>2465424</v>
      </c>
      <c r="CH754" t="s">
        <v>1681</v>
      </c>
      <c r="CI754" s="10">
        <v>374950</v>
      </c>
      <c r="CJ754" s="7">
        <v>38135</v>
      </c>
    </row>
    <row r="755" spans="1:88">
      <c r="A755">
        <v>27215349</v>
      </c>
      <c r="B755" s="2" t="str">
        <f>HYPERLINK("http://www.redfin.com/stingray/do/printable-listing?listing-id=1358857","Contingent")</f>
        <v>Contingent</v>
      </c>
      <c r="D755" t="s">
        <v>4710</v>
      </c>
      <c r="E755" t="s">
        <v>5066</v>
      </c>
      <c r="F755">
        <v>695000</v>
      </c>
      <c r="G755">
        <v>2007</v>
      </c>
      <c r="H755">
        <v>1575</v>
      </c>
      <c r="I755">
        <v>0</v>
      </c>
      <c r="J755">
        <v>2</v>
      </c>
      <c r="K755">
        <v>1.75</v>
      </c>
      <c r="M755" s="2" t="str">
        <f>HYPERLINK("http://maps.live.com/default.aspx?v=2&amp;lvl=15&amp;sp=Point.47.6215_-122.1952_10595 NE 12th Pl&amp;cp=47.6215~-122.1952","Map")</f>
        <v>Map</v>
      </c>
      <c r="N755" s="2" t="str">
        <f>HYPERLINK("http://i-0.rfimg.us/photo/1/bigphoto/349/27215349_1.jpg","Photo")</f>
        <v>Photo</v>
      </c>
      <c r="AG755">
        <v>47.621499999999997</v>
      </c>
      <c r="AH755">
        <v>-122.1952</v>
      </c>
      <c r="AI755" t="s">
        <v>369</v>
      </c>
      <c r="AJ755">
        <v>98004</v>
      </c>
      <c r="AN755">
        <v>695000</v>
      </c>
      <c r="BC755" s="22">
        <v>39438.577696759261</v>
      </c>
      <c r="BI755" s="22">
        <v>39549.294907407406</v>
      </c>
      <c r="BL755">
        <v>13900</v>
      </c>
      <c r="BM755">
        <v>1358857</v>
      </c>
      <c r="BN755" t="s">
        <v>4138</v>
      </c>
      <c r="BO755" s="17">
        <f t="shared" ca="1" si="11"/>
        <v>110.73170914351795</v>
      </c>
      <c r="BP755" t="b">
        <v>0</v>
      </c>
      <c r="BQ755">
        <v>2</v>
      </c>
      <c r="BR755" t="s">
        <v>1842</v>
      </c>
      <c r="BS755" t="s">
        <v>1803</v>
      </c>
      <c r="BT755" t="b">
        <v>0</v>
      </c>
      <c r="BU755" t="s">
        <v>1738</v>
      </c>
      <c r="BV755" t="s">
        <v>1668</v>
      </c>
      <c r="BW755">
        <v>10595</v>
      </c>
      <c r="BY755">
        <v>12305163</v>
      </c>
      <c r="BZ755" t="s">
        <v>1677</v>
      </c>
      <c r="CA755">
        <v>1</v>
      </c>
      <c r="CB755" t="b">
        <v>1</v>
      </c>
      <c r="CC755">
        <v>0</v>
      </c>
      <c r="CD755" t="b">
        <v>0</v>
      </c>
      <c r="CE755" t="b">
        <v>0</v>
      </c>
      <c r="CF755" t="b">
        <v>1</v>
      </c>
      <c r="CG755">
        <v>15512098</v>
      </c>
      <c r="CH755" t="s">
        <v>1681</v>
      </c>
      <c r="CI755" s="10">
        <v>695000</v>
      </c>
      <c r="CJ755" s="7">
        <v>39461</v>
      </c>
    </row>
    <row r="756" spans="1:88">
      <c r="A756">
        <v>27215363</v>
      </c>
      <c r="B756" s="15" t="str">
        <f>HYPERLINK("http://www.redfin.com/stingray/do/printable-listing?listing-id=1362011","Subject To Inspection")</f>
        <v>Subject To Inspection</v>
      </c>
      <c r="D756" t="s">
        <v>4363</v>
      </c>
      <c r="E756" t="s">
        <v>4599</v>
      </c>
      <c r="F756">
        <v>569950</v>
      </c>
      <c r="G756">
        <v>1979</v>
      </c>
      <c r="H756">
        <v>2110</v>
      </c>
      <c r="I756">
        <v>12012</v>
      </c>
      <c r="J756">
        <v>4</v>
      </c>
      <c r="K756">
        <v>2.25</v>
      </c>
      <c r="M756" s="2" t="str">
        <f>HYPERLINK("http://maps.live.com/default.aspx?v=2&amp;lvl=15&amp;sp=Point.47.705655_-122.163097_13312 NE 117th Way&amp;cp=47.705655~-122.163097","Map")</f>
        <v>Map</v>
      </c>
      <c r="N756" s="2" t="str">
        <f>HYPERLINK("http://i-0.rfimg.us/photo/1/bigphoto/363/27215363_5.jpg","Photo")</f>
        <v>Photo</v>
      </c>
      <c r="AG756">
        <v>47.705655</v>
      </c>
      <c r="AH756">
        <v>-122.16309699999999</v>
      </c>
      <c r="AI756" t="s">
        <v>4363</v>
      </c>
      <c r="AJ756">
        <v>98052</v>
      </c>
      <c r="AN756">
        <v>362000</v>
      </c>
      <c r="BC756" s="22">
        <v>39443.663252314815</v>
      </c>
      <c r="BI756" s="22">
        <v>39549.294907407406</v>
      </c>
      <c r="BL756">
        <v>11399</v>
      </c>
      <c r="BM756">
        <v>1362011</v>
      </c>
      <c r="BN756" t="s">
        <v>4376</v>
      </c>
      <c r="BO756" s="17">
        <f t="shared" ca="1" si="11"/>
        <v>105.64615358796436</v>
      </c>
      <c r="BP756" t="b">
        <v>0</v>
      </c>
      <c r="BQ756">
        <v>1</v>
      </c>
      <c r="BR756" t="s">
        <v>2463</v>
      </c>
      <c r="BS756" t="s">
        <v>2743</v>
      </c>
      <c r="BT756" t="b">
        <v>0</v>
      </c>
      <c r="BU756" t="s">
        <v>1738</v>
      </c>
      <c r="BV756" t="s">
        <v>1668</v>
      </c>
      <c r="BW756">
        <v>13312</v>
      </c>
      <c r="BY756">
        <v>511791</v>
      </c>
      <c r="BZ756" t="s">
        <v>4600</v>
      </c>
      <c r="CA756">
        <v>1</v>
      </c>
      <c r="CB756" t="b">
        <v>1</v>
      </c>
      <c r="CC756">
        <v>0</v>
      </c>
      <c r="CD756" t="b">
        <v>0</v>
      </c>
      <c r="CE756" t="b">
        <v>0</v>
      </c>
      <c r="CF756" t="b">
        <v>1</v>
      </c>
      <c r="CG756">
        <v>2707356</v>
      </c>
      <c r="CH756" t="s">
        <v>1681</v>
      </c>
      <c r="CI756" s="10">
        <v>569950</v>
      </c>
      <c r="CJ756" s="7">
        <v>38034</v>
      </c>
    </row>
    <row r="757" spans="1:88">
      <c r="A757">
        <v>27215367</v>
      </c>
      <c r="B757" s="2" t="str">
        <f>HYPERLINK("http://www.redfin.com/stingray/do/printable-listing?listing-id=1358895","Active")</f>
        <v>Active</v>
      </c>
      <c r="D757" t="s">
        <v>2850</v>
      </c>
      <c r="E757" t="s">
        <v>4515</v>
      </c>
      <c r="F757">
        <v>375995</v>
      </c>
      <c r="G757">
        <v>1967</v>
      </c>
      <c r="H757">
        <v>1310</v>
      </c>
      <c r="I757">
        <v>9583</v>
      </c>
      <c r="J757">
        <v>3</v>
      </c>
      <c r="K757">
        <v>1.75</v>
      </c>
      <c r="M757" s="2" t="str">
        <f>HYPERLINK("http://maps.live.com/default.aspx?v=2&amp;lvl=15&amp;sp=Point.47.721002_-122.22817_8507 NE 135th St&amp;cp=47.721002~-122.22817","Map")</f>
        <v>Map</v>
      </c>
      <c r="N757" s="2" t="str">
        <f>HYPERLINK("http://i-0.rfimg.us/photo/1/bigphoto/367/27215367_0.jpg","Photo")</f>
        <v>Photo</v>
      </c>
      <c r="AG757">
        <v>47.721001999999999</v>
      </c>
      <c r="AH757">
        <v>-122.22817000000001</v>
      </c>
      <c r="AI757" t="s">
        <v>1058</v>
      </c>
      <c r="AJ757">
        <v>98034</v>
      </c>
      <c r="AN757">
        <v>350000</v>
      </c>
      <c r="BC757" s="22">
        <v>39438.629826388889</v>
      </c>
      <c r="BI757" s="22">
        <v>39549.294907407406</v>
      </c>
      <c r="BL757">
        <v>7520</v>
      </c>
      <c r="BM757">
        <v>1358895</v>
      </c>
      <c r="BN757" t="s">
        <v>1673</v>
      </c>
      <c r="BO757" s="17">
        <f t="shared" ca="1" si="11"/>
        <v>110.67957951388962</v>
      </c>
      <c r="BP757" t="b">
        <v>0</v>
      </c>
      <c r="BQ757">
        <v>1</v>
      </c>
      <c r="BR757" t="s">
        <v>1686</v>
      </c>
      <c r="BS757" t="s">
        <v>3909</v>
      </c>
      <c r="BT757" t="b">
        <v>0</v>
      </c>
      <c r="BU757" t="s">
        <v>1738</v>
      </c>
      <c r="BV757" t="s">
        <v>1668</v>
      </c>
      <c r="BW757">
        <v>8507</v>
      </c>
      <c r="BY757">
        <v>278709</v>
      </c>
      <c r="BZ757" t="s">
        <v>1741</v>
      </c>
      <c r="CA757">
        <v>1</v>
      </c>
      <c r="CB757" t="b">
        <v>1</v>
      </c>
      <c r="CC757">
        <v>0</v>
      </c>
      <c r="CD757" t="b">
        <v>0</v>
      </c>
      <c r="CE757" t="b">
        <v>0</v>
      </c>
      <c r="CF757" t="b">
        <v>1</v>
      </c>
      <c r="CG757">
        <v>2384784</v>
      </c>
      <c r="CH757" t="s">
        <v>1681</v>
      </c>
      <c r="CI757" s="10">
        <v>375995</v>
      </c>
      <c r="CJ757" s="7">
        <v>39171</v>
      </c>
    </row>
    <row r="758" spans="1:88">
      <c r="A758">
        <v>27215380</v>
      </c>
      <c r="B758" s="2" t="str">
        <f>HYPERLINK("http://www.redfin.com/stingray/do/printable-listing?listing-id=1358985","Active")</f>
        <v>Active</v>
      </c>
      <c r="D758" t="s">
        <v>60</v>
      </c>
      <c r="E758" t="s">
        <v>2652</v>
      </c>
      <c r="F758">
        <v>699750</v>
      </c>
      <c r="G758">
        <v>1906</v>
      </c>
      <c r="H758">
        <v>2162</v>
      </c>
      <c r="I758">
        <v>3519</v>
      </c>
      <c r="J758">
        <v>4</v>
      </c>
      <c r="K758">
        <v>2.5</v>
      </c>
      <c r="M758" s="2" t="str">
        <f>HYPERLINK("http://maps.live.com/default.aspx?v=2&amp;lvl=15&amp;sp=Point.47.674987_-122.325713_6319 Latona Ave NE&amp;cp=47.674987~-122.325713","Map")</f>
        <v>Map</v>
      </c>
      <c r="N758" s="2" t="str">
        <f>HYPERLINK("http://i-0.rfimg.us/photo/1/bigphoto/380/27215380_3.jpg","Photo")</f>
        <v>Photo</v>
      </c>
      <c r="AG758">
        <v>47.674987000000002</v>
      </c>
      <c r="AH758">
        <v>-122.32571299999999</v>
      </c>
      <c r="AI758" t="s">
        <v>66</v>
      </c>
      <c r="AJ758">
        <v>98115</v>
      </c>
      <c r="AN758">
        <v>507700</v>
      </c>
      <c r="BC758" s="22">
        <v>39438.764861111114</v>
      </c>
      <c r="BI758" s="22">
        <v>39549.294907407406</v>
      </c>
      <c r="BL758">
        <v>13995</v>
      </c>
      <c r="BM758">
        <v>1358985</v>
      </c>
      <c r="BN758" t="s">
        <v>1812</v>
      </c>
      <c r="BO758" s="17">
        <f t="shared" ca="1" si="11"/>
        <v>110.54454490740318</v>
      </c>
      <c r="BP758" t="b">
        <v>0</v>
      </c>
      <c r="BQ758">
        <v>1</v>
      </c>
      <c r="BR758" t="s">
        <v>1667</v>
      </c>
      <c r="BS758" t="s">
        <v>2395</v>
      </c>
      <c r="BT758" t="b">
        <v>0</v>
      </c>
      <c r="BV758" t="s">
        <v>1668</v>
      </c>
      <c r="BW758">
        <v>6319</v>
      </c>
      <c r="BX758" t="s">
        <v>1738</v>
      </c>
      <c r="BY758">
        <v>304734</v>
      </c>
      <c r="BZ758" t="s">
        <v>2653</v>
      </c>
      <c r="CA758">
        <v>1</v>
      </c>
      <c r="CB758" t="b">
        <v>1</v>
      </c>
      <c r="CC758">
        <v>0</v>
      </c>
      <c r="CD758" t="b">
        <v>0</v>
      </c>
      <c r="CE758" t="b">
        <v>0</v>
      </c>
      <c r="CF758" t="b">
        <v>1</v>
      </c>
      <c r="CG758">
        <v>2691992</v>
      </c>
      <c r="CH758" t="s">
        <v>1681</v>
      </c>
      <c r="CI758" s="10">
        <v>699750</v>
      </c>
      <c r="CJ758" s="7">
        <v>39113</v>
      </c>
    </row>
    <row r="759" spans="1:88">
      <c r="A759">
        <v>27215393</v>
      </c>
      <c r="B759" s="2" t="str">
        <f>HYPERLINK("http://www.redfin.com/stingray/do/printable-listing?listing-id=1359211","Subject To Inspection")</f>
        <v>Subject To Inspection</v>
      </c>
      <c r="D759" t="s">
        <v>1023</v>
      </c>
      <c r="E759" t="s">
        <v>258</v>
      </c>
      <c r="F759">
        <v>498500</v>
      </c>
      <c r="G759">
        <v>1950</v>
      </c>
      <c r="H759">
        <v>2460</v>
      </c>
      <c r="I759">
        <v>0</v>
      </c>
      <c r="J759">
        <v>3</v>
      </c>
      <c r="K759">
        <v>1.75</v>
      </c>
      <c r="M759" s="2" t="str">
        <f>HYPERLINK("http://maps.live.com/default.aspx?v=2&amp;lvl=15&amp;sp=Point.47.6785_-122.397937_3051 NW 69th St&amp;cp=47.6785~-122.397937","Map")</f>
        <v>Map</v>
      </c>
      <c r="N759" s="2" t="str">
        <f>HYPERLINK("http://i-0.rfimg.us/photo/1/bigphoto/393/27215393_0.jpg","Photo")</f>
        <v>Photo</v>
      </c>
      <c r="AG759">
        <v>47.6785</v>
      </c>
      <c r="AH759">
        <v>-122.397937</v>
      </c>
      <c r="AI759" t="s">
        <v>66</v>
      </c>
      <c r="AJ759">
        <v>98117</v>
      </c>
      <c r="BC759" s="22">
        <v>39439.400289351855</v>
      </c>
      <c r="BI759" s="22">
        <v>39549.294907407406</v>
      </c>
      <c r="BL759">
        <v>9970</v>
      </c>
      <c r="BM759">
        <v>1359211</v>
      </c>
      <c r="BN759" t="s">
        <v>1735</v>
      </c>
      <c r="BO759" s="17">
        <f t="shared" ca="1" si="11"/>
        <v>109.90911666666216</v>
      </c>
      <c r="BP759" t="b">
        <v>0</v>
      </c>
      <c r="BQ759">
        <v>2</v>
      </c>
      <c r="BR759" t="s">
        <v>1686</v>
      </c>
      <c r="BS759" t="s">
        <v>1916</v>
      </c>
      <c r="BT759" t="b">
        <v>0</v>
      </c>
      <c r="BU759" t="s">
        <v>1669</v>
      </c>
      <c r="BV759" t="s">
        <v>1668</v>
      </c>
      <c r="BW759">
        <v>3051</v>
      </c>
      <c r="BY759">
        <v>164358</v>
      </c>
      <c r="BZ759" t="s">
        <v>1676</v>
      </c>
      <c r="CA759">
        <v>1</v>
      </c>
      <c r="CB759" t="b">
        <v>1</v>
      </c>
      <c r="CC759">
        <v>0</v>
      </c>
      <c r="CD759" t="b">
        <v>0</v>
      </c>
      <c r="CE759" t="b">
        <v>0</v>
      </c>
      <c r="CF759" t="b">
        <v>1</v>
      </c>
      <c r="CG759">
        <v>2744553</v>
      </c>
      <c r="CH759" t="s">
        <v>1681</v>
      </c>
      <c r="CI759" s="10">
        <v>498500</v>
      </c>
    </row>
    <row r="760" spans="1:88">
      <c r="A760">
        <v>27215413</v>
      </c>
      <c r="B760" s="15" t="str">
        <f>HYPERLINK("http://www.redfin.com/stingray/do/printable-listing?listing-id=1359271","Subject To Inspection")</f>
        <v>Subject To Inspection</v>
      </c>
      <c r="D760" t="s">
        <v>5263</v>
      </c>
      <c r="E760" t="s">
        <v>5323</v>
      </c>
      <c r="F760">
        <v>484900</v>
      </c>
      <c r="G760">
        <v>1983</v>
      </c>
      <c r="H760">
        <v>2090</v>
      </c>
      <c r="I760">
        <v>9360</v>
      </c>
      <c r="J760">
        <v>3</v>
      </c>
      <c r="K760">
        <v>2.5</v>
      </c>
      <c r="M760" s="2" t="str">
        <f>HYPERLINK("http://maps.live.com/default.aspx?v=2&amp;lvl=15&amp;sp=Point.47.575566_-122.117562_3838 166th Ave SE&amp;cp=47.575566~-122.117562","Map")</f>
        <v>Map</v>
      </c>
      <c r="N760" s="2" t="str">
        <f>HYPERLINK("http://i-0.rfimg.us/photo/1/bigphoto/413/27215413_0.jpg","Photo")</f>
        <v>Photo</v>
      </c>
      <c r="AG760">
        <v>47.575566000000002</v>
      </c>
      <c r="AH760">
        <v>-122.11756200000001</v>
      </c>
      <c r="AI760" t="s">
        <v>369</v>
      </c>
      <c r="AJ760">
        <v>98008</v>
      </c>
      <c r="AN760">
        <v>271000</v>
      </c>
      <c r="BC760" s="22">
        <v>39439.55678240741</v>
      </c>
      <c r="BI760" s="22">
        <v>39549.294907407406</v>
      </c>
      <c r="BL760">
        <v>9698</v>
      </c>
      <c r="BM760">
        <v>1359271</v>
      </c>
      <c r="BN760" t="s">
        <v>1674</v>
      </c>
      <c r="BO760" s="17">
        <f t="shared" ca="1" si="11"/>
        <v>109.75262349536933</v>
      </c>
      <c r="BP760" t="b">
        <v>0</v>
      </c>
      <c r="BQ760">
        <v>1</v>
      </c>
      <c r="BR760" t="s">
        <v>1667</v>
      </c>
      <c r="BS760" t="s">
        <v>5194</v>
      </c>
      <c r="BT760" t="b">
        <v>0</v>
      </c>
      <c r="BV760" t="s">
        <v>1668</v>
      </c>
      <c r="BW760">
        <v>3838</v>
      </c>
      <c r="BX760" t="s">
        <v>3856</v>
      </c>
      <c r="BY760">
        <v>429710</v>
      </c>
      <c r="BZ760" t="s">
        <v>5324</v>
      </c>
      <c r="CA760">
        <v>1</v>
      </c>
      <c r="CB760" t="b">
        <v>1</v>
      </c>
      <c r="CC760">
        <v>0</v>
      </c>
      <c r="CD760" t="b">
        <v>0</v>
      </c>
      <c r="CE760" t="b">
        <v>0</v>
      </c>
      <c r="CF760" t="b">
        <v>1</v>
      </c>
      <c r="CG760">
        <v>2381962</v>
      </c>
      <c r="CH760" t="s">
        <v>1681</v>
      </c>
      <c r="CI760" s="10">
        <v>484900</v>
      </c>
      <c r="CJ760" s="7">
        <v>36340</v>
      </c>
    </row>
    <row r="761" spans="1:88">
      <c r="A761">
        <v>27215427</v>
      </c>
      <c r="B761" s="2" t="str">
        <f>HYPERLINK("http://www.redfin.com/stingray/do/printable-listing?listing-id=1359344","Active")</f>
        <v>Active</v>
      </c>
      <c r="D761" t="s">
        <v>2552</v>
      </c>
      <c r="E761" t="s">
        <v>6331</v>
      </c>
      <c r="F761">
        <v>700000</v>
      </c>
      <c r="G761">
        <v>1901</v>
      </c>
      <c r="H761">
        <v>2240</v>
      </c>
      <c r="I761">
        <v>11000</v>
      </c>
      <c r="J761">
        <v>3</v>
      </c>
      <c r="K761">
        <v>1.5</v>
      </c>
      <c r="M761" s="2" t="str">
        <f>HYPERLINK("http://maps.live.com/default.aspx?v=2&amp;lvl=15&amp;sp=Point.47.660803_-122.396424_4423 30th Avenue W&amp;cp=47.660803~-122.396424","Map")</f>
        <v>Map</v>
      </c>
      <c r="N761" s="2" t="str">
        <f>HYPERLINK("http://i-0.rfimg.us/photo/1/bigphoto/427/27215427_3.jpg","Photo")</f>
        <v>Photo</v>
      </c>
      <c r="AG761">
        <v>47.660803000000001</v>
      </c>
      <c r="AH761">
        <v>-122.396424</v>
      </c>
      <c r="AI761" t="s">
        <v>66</v>
      </c>
      <c r="AJ761">
        <v>98199</v>
      </c>
      <c r="AN761">
        <v>175000</v>
      </c>
      <c r="BC761" s="22">
        <v>39439.660949074074</v>
      </c>
      <c r="BI761" s="7">
        <v>39539</v>
      </c>
      <c r="BL761">
        <v>14000</v>
      </c>
      <c r="BM761">
        <v>1359344</v>
      </c>
      <c r="BN761" t="s">
        <v>1678</v>
      </c>
      <c r="BO761" s="17">
        <f t="shared" ca="1" si="11"/>
        <v>109.64845682870509</v>
      </c>
      <c r="BP761" t="b">
        <v>0</v>
      </c>
      <c r="BQ761">
        <v>1</v>
      </c>
      <c r="BR761" t="s">
        <v>3500</v>
      </c>
      <c r="BS761" t="s">
        <v>1818</v>
      </c>
      <c r="BT761" t="b">
        <v>0</v>
      </c>
      <c r="BV761" t="s">
        <v>1668</v>
      </c>
      <c r="BW761">
        <v>4423</v>
      </c>
      <c r="BX761" t="s">
        <v>2423</v>
      </c>
      <c r="BY761">
        <v>123647</v>
      </c>
      <c r="BZ761" t="s">
        <v>6186</v>
      </c>
      <c r="CA761">
        <v>1</v>
      </c>
      <c r="CB761" t="b">
        <v>1</v>
      </c>
      <c r="CC761">
        <v>0</v>
      </c>
      <c r="CD761" t="b">
        <v>0</v>
      </c>
      <c r="CE761" t="b">
        <v>0</v>
      </c>
      <c r="CF761" t="b">
        <v>1</v>
      </c>
      <c r="CG761">
        <v>2405919</v>
      </c>
      <c r="CH761" t="s">
        <v>1681</v>
      </c>
      <c r="CI761" s="10">
        <v>700000</v>
      </c>
      <c r="CJ761" s="7">
        <v>32784</v>
      </c>
    </row>
    <row r="762" spans="1:88">
      <c r="A762">
        <v>27215556</v>
      </c>
      <c r="B762" s="2" t="str">
        <f>HYPERLINK("http://www.redfin.com/stingray/do/printable-listing?listing-id=1360161","Active")</f>
        <v>Active</v>
      </c>
      <c r="D762" t="s">
        <v>6207</v>
      </c>
      <c r="E762" t="s">
        <v>6252</v>
      </c>
      <c r="F762" s="19">
        <v>359950</v>
      </c>
      <c r="G762">
        <v>2008</v>
      </c>
      <c r="H762">
        <v>1920</v>
      </c>
      <c r="I762">
        <v>0</v>
      </c>
      <c r="J762">
        <v>4</v>
      </c>
      <c r="K762">
        <v>2.5</v>
      </c>
      <c r="M762" s="2" t="str">
        <f>HYPERLINK("http://maps.live.com/default.aspx?v=2&amp;lvl=15&amp;sp=adr.11453 SE 195th Pl nLot 93 (Unable to map),98055","Map")</f>
        <v>Map</v>
      </c>
      <c r="N762" s="2" t="str">
        <f>HYPERLINK("http://i-0.rfimg.us/photo/1/bigphoto/556/27215556_3.jpg","Photo")</f>
        <v>Photo</v>
      </c>
      <c r="AI762" t="s">
        <v>1077</v>
      </c>
      <c r="AJ762">
        <v>98055</v>
      </c>
      <c r="AM762" t="s">
        <v>6253</v>
      </c>
      <c r="BC762" s="22">
        <v>39442.463171296295</v>
      </c>
      <c r="BI762" s="7">
        <v>39542</v>
      </c>
      <c r="BL762">
        <v>7099</v>
      </c>
      <c r="BM762">
        <v>1360161</v>
      </c>
      <c r="BN762" t="s">
        <v>3092</v>
      </c>
      <c r="BO762" s="17">
        <f t="shared" ca="1" si="11"/>
        <v>106.84623460648436</v>
      </c>
      <c r="BP762" t="b">
        <v>0</v>
      </c>
      <c r="BQ762">
        <v>1</v>
      </c>
      <c r="BR762" t="s">
        <v>1842</v>
      </c>
      <c r="BS762" t="s">
        <v>6242</v>
      </c>
      <c r="BT762" t="b">
        <v>0</v>
      </c>
      <c r="BU762" t="s">
        <v>3856</v>
      </c>
      <c r="BV762" t="s">
        <v>1668</v>
      </c>
      <c r="BW762">
        <v>11453</v>
      </c>
      <c r="BY762">
        <v>0</v>
      </c>
      <c r="BZ762" t="s">
        <v>6254</v>
      </c>
      <c r="CA762">
        <v>1</v>
      </c>
      <c r="CB762" t="b">
        <v>1</v>
      </c>
      <c r="CC762">
        <v>0</v>
      </c>
      <c r="CD762" t="b">
        <v>0</v>
      </c>
      <c r="CE762" t="b">
        <v>0</v>
      </c>
      <c r="CF762" t="b">
        <v>1</v>
      </c>
      <c r="CG762" t="s">
        <v>1870</v>
      </c>
      <c r="CH762" t="s">
        <v>1681</v>
      </c>
      <c r="CI762" s="10">
        <v>354950</v>
      </c>
    </row>
    <row r="763" spans="1:88">
      <c r="A763">
        <v>27215716</v>
      </c>
      <c r="B763" s="2" t="str">
        <f>HYPERLINK("http://www.redfin.com/stingray/do/printable-listing?listing-id=1360878","Active")</f>
        <v>Active</v>
      </c>
      <c r="D763" t="s">
        <v>3249</v>
      </c>
      <c r="E763" t="s">
        <v>3512</v>
      </c>
      <c r="F763" s="19">
        <v>719950</v>
      </c>
      <c r="G763">
        <v>2005</v>
      </c>
      <c r="H763">
        <v>2603</v>
      </c>
      <c r="I763">
        <v>0</v>
      </c>
      <c r="J763">
        <v>4</v>
      </c>
      <c r="K763">
        <v>4.5</v>
      </c>
      <c r="M763" s="2" t="str">
        <f>HYPERLINK("http://maps.live.com/default.aspx?v=2&amp;lvl=15&amp;sp=Point.47.645342_-122.37525_2817 14th Ave W&amp;cp=47.645342~-122.37525","Map")</f>
        <v>Map</v>
      </c>
      <c r="N763" s="2" t="str">
        <f>HYPERLINK("http://i-0.rfimg.us/photo/1/bigphoto/716/27215716_0.jpg","Photo")</f>
        <v>Photo</v>
      </c>
      <c r="AG763">
        <v>47.645341999999999</v>
      </c>
      <c r="AH763">
        <v>-122.37524999999999</v>
      </c>
      <c r="AI763" t="s">
        <v>66</v>
      </c>
      <c r="AJ763">
        <v>98119</v>
      </c>
      <c r="BC763" s="22">
        <v>39442.900613425925</v>
      </c>
      <c r="BI763" s="22">
        <v>39549.294907407406</v>
      </c>
      <c r="BL763">
        <v>14999</v>
      </c>
      <c r="BM763">
        <v>1360878</v>
      </c>
      <c r="BN763" t="s">
        <v>1673</v>
      </c>
      <c r="BO763" s="17">
        <f t="shared" ca="1" si="11"/>
        <v>106.40879247685371</v>
      </c>
      <c r="BP763" t="b">
        <v>0</v>
      </c>
      <c r="BQ763">
        <v>1</v>
      </c>
      <c r="BR763" t="s">
        <v>1667</v>
      </c>
      <c r="BS763" t="s">
        <v>1900</v>
      </c>
      <c r="BT763" t="b">
        <v>0</v>
      </c>
      <c r="BV763" t="s">
        <v>1668</v>
      </c>
      <c r="BW763">
        <v>2817</v>
      </c>
      <c r="BX763" t="s">
        <v>2423</v>
      </c>
      <c r="BY763">
        <v>12321147</v>
      </c>
      <c r="BZ763" t="s">
        <v>3513</v>
      </c>
      <c r="CA763">
        <v>1</v>
      </c>
      <c r="CB763" t="b">
        <v>1</v>
      </c>
      <c r="CC763">
        <v>0</v>
      </c>
      <c r="CD763" t="b">
        <v>0</v>
      </c>
      <c r="CE763" t="b">
        <v>0</v>
      </c>
      <c r="CF763" t="b">
        <v>1</v>
      </c>
      <c r="CG763">
        <v>15527183</v>
      </c>
      <c r="CH763" t="s">
        <v>1681</v>
      </c>
      <c r="CI763" s="10">
        <v>749950</v>
      </c>
    </row>
    <row r="764" spans="1:88">
      <c r="A764">
        <v>27215720</v>
      </c>
      <c r="B764" s="2" t="str">
        <f>HYPERLINK("http://www.redfin.com/stingray/do/printable-listing?listing-id=1360616","Active")</f>
        <v>Active</v>
      </c>
      <c r="D764" t="s">
        <v>55</v>
      </c>
      <c r="E764" t="s">
        <v>677</v>
      </c>
      <c r="F764" s="19">
        <v>396000</v>
      </c>
      <c r="G764">
        <v>1906</v>
      </c>
      <c r="H764">
        <v>1000</v>
      </c>
      <c r="I764">
        <v>3060</v>
      </c>
      <c r="J764">
        <v>2</v>
      </c>
      <c r="K764">
        <v>1</v>
      </c>
      <c r="M764" s="2" t="str">
        <f>HYPERLINK("http://maps.live.com/default.aspx?v=2&amp;lvl=15&amp;sp=Point.47.68889_-122.347777_751 N 83rd St&amp;cp=47.68889~-122.347777","Map")</f>
        <v>Map</v>
      </c>
      <c r="N764" s="2" t="str">
        <f>HYPERLINK("http://i-0.rfimg.us/photo/1/bigphoto/720/27215720_1.jpg","Photo")</f>
        <v>Photo</v>
      </c>
      <c r="AG764">
        <v>47.688890000000001</v>
      </c>
      <c r="AH764">
        <v>-122.34777699999999</v>
      </c>
      <c r="AI764" t="s">
        <v>66</v>
      </c>
      <c r="AJ764">
        <v>98103</v>
      </c>
      <c r="AN764">
        <v>250000</v>
      </c>
      <c r="BC764" s="22">
        <v>39442.694560185184</v>
      </c>
      <c r="BI764" s="22">
        <v>39549.294907407406</v>
      </c>
      <c r="BL764">
        <v>7980</v>
      </c>
      <c r="BM764">
        <v>1360616</v>
      </c>
      <c r="BN764" t="s">
        <v>2381</v>
      </c>
      <c r="BO764" s="17">
        <f t="shared" ca="1" si="11"/>
        <v>106.61484583333367</v>
      </c>
      <c r="BP764" t="b">
        <v>0</v>
      </c>
      <c r="BQ764">
        <v>1</v>
      </c>
      <c r="BR764" t="s">
        <v>1686</v>
      </c>
      <c r="BS764" t="s">
        <v>1867</v>
      </c>
      <c r="BT764" t="b">
        <v>0</v>
      </c>
      <c r="BU764" t="s">
        <v>1712</v>
      </c>
      <c r="BV764" t="s">
        <v>1668</v>
      </c>
      <c r="BW764">
        <v>751</v>
      </c>
      <c r="BY764">
        <v>299959</v>
      </c>
      <c r="BZ764" t="s">
        <v>2382</v>
      </c>
      <c r="CA764">
        <v>1</v>
      </c>
      <c r="CB764" t="b">
        <v>1</v>
      </c>
      <c r="CC764">
        <v>0</v>
      </c>
      <c r="CD764" t="b">
        <v>0</v>
      </c>
      <c r="CE764" t="b">
        <v>0</v>
      </c>
      <c r="CF764" t="b">
        <v>1</v>
      </c>
      <c r="CG764">
        <v>2915030</v>
      </c>
      <c r="CH764" t="s">
        <v>1681</v>
      </c>
      <c r="CI764" s="10">
        <v>399000</v>
      </c>
      <c r="CJ764" s="7">
        <v>37966</v>
      </c>
    </row>
    <row r="765" spans="1:88">
      <c r="A765">
        <v>27215942</v>
      </c>
      <c r="B765" s="2" t="str">
        <f>HYPERLINK("http://www.redfin.com/stingray/do/printable-listing?listing-id=1363221","Active")</f>
        <v>Active</v>
      </c>
      <c r="D765" t="s">
        <v>5629</v>
      </c>
      <c r="E765" t="s">
        <v>5627</v>
      </c>
      <c r="F765">
        <v>624950</v>
      </c>
      <c r="G765">
        <v>1988</v>
      </c>
      <c r="H765">
        <v>2330</v>
      </c>
      <c r="I765">
        <v>11326</v>
      </c>
      <c r="J765">
        <v>3</v>
      </c>
      <c r="K765">
        <v>2.5</v>
      </c>
      <c r="M765" s="2" t="str">
        <f>HYPERLINK("http://maps.live.com/default.aspx?v=2&amp;lvl=15&amp;sp=Point.47.528763_-122.169537_8206 128th Ave SE&amp;cp=47.528763~-122.169537","Map")</f>
        <v>Map</v>
      </c>
      <c r="N765" s="2" t="str">
        <f>HYPERLINK("http://i-0.rfimg.us/photo/1/bigphoto/942/27215942_5.jpg","Photo")</f>
        <v>Photo</v>
      </c>
      <c r="AG765">
        <v>47.528762999999998</v>
      </c>
      <c r="AH765">
        <v>-122.16953700000001</v>
      </c>
      <c r="AI765" t="s">
        <v>3885</v>
      </c>
      <c r="AJ765">
        <v>98056</v>
      </c>
      <c r="AN765">
        <v>355000</v>
      </c>
      <c r="BC765" s="22">
        <v>39444.559444444443</v>
      </c>
      <c r="BI765" s="22">
        <v>39549.294907407406</v>
      </c>
      <c r="BL765">
        <v>12499</v>
      </c>
      <c r="BM765">
        <v>1363221</v>
      </c>
      <c r="BN765" t="s">
        <v>2136</v>
      </c>
      <c r="BO765" s="17">
        <f t="shared" ca="1" si="11"/>
        <v>104.74996145833575</v>
      </c>
      <c r="BP765" t="b">
        <v>0</v>
      </c>
      <c r="BQ765">
        <v>1</v>
      </c>
      <c r="BR765" t="s">
        <v>1667</v>
      </c>
      <c r="BS765" t="s">
        <v>4484</v>
      </c>
      <c r="BT765" t="b">
        <v>0</v>
      </c>
      <c r="BV765" t="s">
        <v>1668</v>
      </c>
      <c r="BW765">
        <v>8206</v>
      </c>
      <c r="BX765" t="s">
        <v>3856</v>
      </c>
      <c r="BY765">
        <v>417059</v>
      </c>
      <c r="BZ765" t="s">
        <v>5628</v>
      </c>
      <c r="CA765">
        <v>1</v>
      </c>
      <c r="CB765" t="b">
        <v>1</v>
      </c>
      <c r="CC765">
        <v>0</v>
      </c>
      <c r="CD765" t="b">
        <v>0</v>
      </c>
      <c r="CE765" t="b">
        <v>0</v>
      </c>
      <c r="CF765" t="b">
        <v>1</v>
      </c>
      <c r="CG765">
        <v>2660968</v>
      </c>
      <c r="CH765" t="s">
        <v>1681</v>
      </c>
      <c r="CI765" s="10">
        <v>624950</v>
      </c>
      <c r="CJ765" s="7">
        <v>36948</v>
      </c>
    </row>
    <row r="766" spans="1:88">
      <c r="A766">
        <v>27215943</v>
      </c>
      <c r="B766" s="2" t="str">
        <f>HYPERLINK("http://www.redfin.com/stingray/do/printable-listing?listing-id=1363842","Active")</f>
        <v>Active</v>
      </c>
      <c r="D766" t="s">
        <v>3704</v>
      </c>
      <c r="E766" t="s">
        <v>3980</v>
      </c>
      <c r="F766" s="19">
        <v>399999</v>
      </c>
      <c r="G766">
        <v>1996</v>
      </c>
      <c r="H766">
        <v>1730</v>
      </c>
      <c r="I766">
        <v>3750</v>
      </c>
      <c r="J766">
        <v>3</v>
      </c>
      <c r="K766">
        <v>2</v>
      </c>
      <c r="M766" s="2" t="str">
        <f>HYPERLINK("http://maps.live.com/default.aspx?v=2&amp;lvl=15&amp;sp=Point.47.611257_-122.30539_939 21st Ave&amp;cp=47.611257~-122.30539","Map")</f>
        <v>Map</v>
      </c>
      <c r="N766" s="2" t="str">
        <f>HYPERLINK("http://i-0.rfimg.us/photo/1/bigphoto/943/27215943_1.jpg","Photo")</f>
        <v>Photo</v>
      </c>
      <c r="AG766">
        <v>47.611257000000002</v>
      </c>
      <c r="AH766">
        <v>-122.30539</v>
      </c>
      <c r="AI766" t="s">
        <v>66</v>
      </c>
      <c r="AJ766">
        <v>98122</v>
      </c>
      <c r="AN766">
        <v>455000</v>
      </c>
      <c r="BC766" s="22">
        <v>39444.799317129633</v>
      </c>
      <c r="BI766" s="22">
        <v>39549.294907407406</v>
      </c>
      <c r="BL766">
        <v>8190</v>
      </c>
      <c r="BM766">
        <v>1363842</v>
      </c>
      <c r="BN766" t="s">
        <v>1737</v>
      </c>
      <c r="BO766" s="17">
        <f t="shared" ca="1" si="11"/>
        <v>104.51008877314598</v>
      </c>
      <c r="BP766" t="b">
        <v>0</v>
      </c>
      <c r="BQ766">
        <v>1</v>
      </c>
      <c r="BR766" t="s">
        <v>1667</v>
      </c>
      <c r="BS766" t="s">
        <v>1903</v>
      </c>
      <c r="BT766" t="b">
        <v>0</v>
      </c>
      <c r="BV766" t="s">
        <v>1668</v>
      </c>
      <c r="BW766">
        <v>939</v>
      </c>
      <c r="BY766">
        <v>143165</v>
      </c>
      <c r="BZ766" t="s">
        <v>1748</v>
      </c>
      <c r="CA766">
        <v>1</v>
      </c>
      <c r="CB766" t="b">
        <v>1</v>
      </c>
      <c r="CC766">
        <v>0</v>
      </c>
      <c r="CD766" t="b">
        <v>0</v>
      </c>
      <c r="CE766" t="b">
        <v>0</v>
      </c>
      <c r="CF766" t="b">
        <v>1</v>
      </c>
      <c r="CG766">
        <v>2712347</v>
      </c>
      <c r="CH766" t="s">
        <v>1681</v>
      </c>
      <c r="CI766" s="10">
        <v>409500</v>
      </c>
      <c r="CJ766" s="7">
        <v>39120</v>
      </c>
    </row>
    <row r="767" spans="1:88">
      <c r="A767">
        <v>27215983</v>
      </c>
      <c r="B767" s="2" t="str">
        <f>HYPERLINK("http://www.redfin.com/stingray/do/printable-listing?listing-id=1362139","Subject To Inspection")</f>
        <v>Subject To Inspection</v>
      </c>
      <c r="D767" t="s">
        <v>60</v>
      </c>
      <c r="E767" t="s">
        <v>2412</v>
      </c>
      <c r="F767">
        <v>549950</v>
      </c>
      <c r="G767">
        <v>1906</v>
      </c>
      <c r="H767">
        <v>1280</v>
      </c>
      <c r="I767">
        <v>5400</v>
      </c>
      <c r="J767">
        <v>3</v>
      </c>
      <c r="K767">
        <v>1</v>
      </c>
      <c r="M767" s="2" t="str">
        <f>HYPERLINK("http://maps.live.com/default.aspx?v=2&amp;lvl=15&amp;sp=Point.47.672776_-122.333209_6014 Meridian Ave N&amp;cp=47.672776~-122.333209","Map")</f>
        <v>Map</v>
      </c>
      <c r="N767" s="2" t="str">
        <f>HYPERLINK("http://i-0.rfimg.us/photo/1/bigphoto/983/27215983_0.jpg","Photo")</f>
        <v>Photo</v>
      </c>
      <c r="AG767">
        <v>47.672775999999999</v>
      </c>
      <c r="AH767">
        <v>-122.333209</v>
      </c>
      <c r="AI767" t="s">
        <v>66</v>
      </c>
      <c r="AJ767">
        <v>98103</v>
      </c>
      <c r="AN767">
        <v>425000</v>
      </c>
      <c r="BC767" s="22">
        <v>39443.737581018519</v>
      </c>
      <c r="BI767" s="22">
        <v>39549.294907407406</v>
      </c>
      <c r="BL767">
        <v>10999</v>
      </c>
      <c r="BM767">
        <v>1362139</v>
      </c>
      <c r="BN767" t="s">
        <v>2136</v>
      </c>
      <c r="BO767" s="17">
        <f t="shared" ca="1" si="11"/>
        <v>105.57182499999908</v>
      </c>
      <c r="BP767" t="b">
        <v>0</v>
      </c>
      <c r="BQ767">
        <v>2</v>
      </c>
      <c r="BR767" t="s">
        <v>1667</v>
      </c>
      <c r="BS767" t="s">
        <v>2413</v>
      </c>
      <c r="BT767" t="b">
        <v>0</v>
      </c>
      <c r="BV767" t="s">
        <v>1668</v>
      </c>
      <c r="BW767">
        <v>6014</v>
      </c>
      <c r="BX767" t="s">
        <v>1712</v>
      </c>
      <c r="BY767">
        <v>306052</v>
      </c>
      <c r="BZ767" t="s">
        <v>1684</v>
      </c>
      <c r="CA767">
        <v>1</v>
      </c>
      <c r="CB767" t="b">
        <v>1</v>
      </c>
      <c r="CC767">
        <v>0</v>
      </c>
      <c r="CD767" t="b">
        <v>0</v>
      </c>
      <c r="CE767" t="b">
        <v>0</v>
      </c>
      <c r="CF767" t="b">
        <v>1</v>
      </c>
      <c r="CG767">
        <v>2909630</v>
      </c>
      <c r="CH767" t="s">
        <v>1681</v>
      </c>
      <c r="CI767" s="10">
        <v>549950</v>
      </c>
      <c r="CJ767" s="7">
        <v>38446</v>
      </c>
    </row>
    <row r="768" spans="1:88">
      <c r="A768">
        <v>27216145</v>
      </c>
      <c r="B768" s="2" t="str">
        <f>HYPERLINK("http://www.redfin.com/stingray/do/printable-listing?listing-id=1363126","Active")</f>
        <v>Active</v>
      </c>
      <c r="D768" t="s">
        <v>5626</v>
      </c>
      <c r="E768" t="s">
        <v>5623</v>
      </c>
      <c r="F768">
        <v>978750</v>
      </c>
      <c r="G768">
        <v>2000</v>
      </c>
      <c r="H768">
        <v>3800</v>
      </c>
      <c r="I768">
        <v>0</v>
      </c>
      <c r="J768">
        <v>4</v>
      </c>
      <c r="K768">
        <v>3.5</v>
      </c>
      <c r="M768" s="2" t="str">
        <f>HYPERLINK("http://maps.live.com/default.aspx?v=2&amp;lvl=15&amp;sp=Point.47.52637_-122.145123_14530 SE 85TH St&amp;cp=47.52637~-122.145123","Map")</f>
        <v>Map</v>
      </c>
      <c r="N768" s="2" t="str">
        <f>HYPERLINK("http://i-0.rfimg.us/photo/1/bigphoto/145/27216145_2.jpg","Photo")</f>
        <v>Photo</v>
      </c>
      <c r="AG768">
        <v>47.52637</v>
      </c>
      <c r="AH768">
        <v>-122.145123</v>
      </c>
      <c r="AI768" t="s">
        <v>3885</v>
      </c>
      <c r="AJ768">
        <v>98059</v>
      </c>
      <c r="AN768">
        <v>799000</v>
      </c>
      <c r="BC768" s="22">
        <v>39444.517650462964</v>
      </c>
      <c r="BI768" s="22">
        <v>39549.294907407406</v>
      </c>
      <c r="BL768">
        <v>19575</v>
      </c>
      <c r="BM768">
        <v>1363126</v>
      </c>
      <c r="BN768" t="s">
        <v>2444</v>
      </c>
      <c r="BO768" s="17">
        <f t="shared" ca="1" si="11"/>
        <v>104.79175543981546</v>
      </c>
      <c r="BP768" t="b">
        <v>0</v>
      </c>
      <c r="BQ768">
        <v>1</v>
      </c>
      <c r="BR768" t="s">
        <v>1686</v>
      </c>
      <c r="BS768" t="s">
        <v>5624</v>
      </c>
      <c r="BT768" t="b">
        <v>0</v>
      </c>
      <c r="BU768" t="s">
        <v>3856</v>
      </c>
      <c r="BV768" t="s">
        <v>1668</v>
      </c>
      <c r="BW768">
        <v>14530</v>
      </c>
      <c r="BY768">
        <v>413554</v>
      </c>
      <c r="BZ768" t="s">
        <v>5625</v>
      </c>
      <c r="CA768">
        <v>1</v>
      </c>
      <c r="CB768" t="b">
        <v>1</v>
      </c>
      <c r="CC768">
        <v>0</v>
      </c>
      <c r="CD768" t="b">
        <v>0</v>
      </c>
      <c r="CE768" t="b">
        <v>0</v>
      </c>
      <c r="CF768" t="b">
        <v>1</v>
      </c>
      <c r="CG768">
        <v>426308</v>
      </c>
      <c r="CH768" t="s">
        <v>1681</v>
      </c>
      <c r="CI768" s="10">
        <v>978750</v>
      </c>
      <c r="CJ768" s="7">
        <v>37098</v>
      </c>
    </row>
    <row r="769" spans="1:88">
      <c r="A769">
        <v>27216462</v>
      </c>
      <c r="B769" s="15" t="str">
        <f>HYPERLINK("http://www.redfin.com/stingray/do/printable-listing?listing-id=1364915","Subject To Inspection")</f>
        <v>Subject To Inspection</v>
      </c>
      <c r="D769" t="s">
        <v>2850</v>
      </c>
      <c r="E769" t="s">
        <v>4525</v>
      </c>
      <c r="F769">
        <v>525000</v>
      </c>
      <c r="G769">
        <v>1988</v>
      </c>
      <c r="H769">
        <v>1900</v>
      </c>
      <c r="I769">
        <v>7911</v>
      </c>
      <c r="J769">
        <v>3</v>
      </c>
      <c r="K769">
        <v>2.5</v>
      </c>
      <c r="M769" s="2" t="str">
        <f>HYPERLINK("http://maps.live.com/default.aspx?v=2&amp;lvl=15&amp;sp=Point.47.716623_-122.213341_12924 95th Pl NE&amp;cp=47.716623~-122.213341","Map")</f>
        <v>Map</v>
      </c>
      <c r="N769" s="2" t="str">
        <f>HYPERLINK("http://i-0.rfimg.us/photo/1/bigphoto/462/27216462_0.jpg","Photo")</f>
        <v>Photo</v>
      </c>
      <c r="AG769">
        <v>47.716622999999998</v>
      </c>
      <c r="AH769">
        <v>-122.213341</v>
      </c>
      <c r="AI769" t="s">
        <v>1058</v>
      </c>
      <c r="AJ769">
        <v>98034</v>
      </c>
      <c r="AN769">
        <v>255000</v>
      </c>
      <c r="BC769" s="22">
        <v>39445.837905092594</v>
      </c>
      <c r="BI769" s="22">
        <v>39549.294907407406</v>
      </c>
      <c r="BL769">
        <v>10500</v>
      </c>
      <c r="BM769">
        <v>1364915</v>
      </c>
      <c r="BN769" t="s">
        <v>3611</v>
      </c>
      <c r="BO769" s="17">
        <f t="shared" ca="1" si="11"/>
        <v>103.47150081018481</v>
      </c>
      <c r="BP769" t="b">
        <v>0</v>
      </c>
      <c r="BQ769">
        <v>1</v>
      </c>
      <c r="BR769" t="s">
        <v>1842</v>
      </c>
      <c r="BS769" t="s">
        <v>2722</v>
      </c>
      <c r="BT769" t="b">
        <v>0</v>
      </c>
      <c r="BV769" t="s">
        <v>1668</v>
      </c>
      <c r="BW769">
        <v>12924</v>
      </c>
      <c r="BX769" t="s">
        <v>1738</v>
      </c>
      <c r="BY769">
        <v>278214</v>
      </c>
      <c r="BZ769" t="s">
        <v>1713</v>
      </c>
      <c r="CA769">
        <v>1</v>
      </c>
      <c r="CB769" t="b">
        <v>1</v>
      </c>
      <c r="CC769">
        <v>0</v>
      </c>
      <c r="CD769" t="b">
        <v>0</v>
      </c>
      <c r="CE769" t="b">
        <v>0</v>
      </c>
      <c r="CF769" t="b">
        <v>1</v>
      </c>
      <c r="CG769">
        <v>2384656</v>
      </c>
      <c r="CH769" t="s">
        <v>1681</v>
      </c>
      <c r="CI769" s="10">
        <v>525000</v>
      </c>
      <c r="CJ769" s="7">
        <v>36208</v>
      </c>
    </row>
    <row r="770" spans="1:88">
      <c r="A770">
        <v>27216609</v>
      </c>
      <c r="B770" s="15" t="str">
        <f>HYPERLINK("http://www.redfin.com/stingray/do/printable-listing?listing-id=1372594","Subject To Inspection")</f>
        <v>Subject To Inspection</v>
      </c>
      <c r="D770" t="s">
        <v>88</v>
      </c>
      <c r="E770" t="s">
        <v>2376</v>
      </c>
      <c r="F770" s="19">
        <v>549950</v>
      </c>
      <c r="G770">
        <v>1924</v>
      </c>
      <c r="H770">
        <v>2030</v>
      </c>
      <c r="I770">
        <v>3774</v>
      </c>
      <c r="J770">
        <v>4</v>
      </c>
      <c r="K770">
        <v>2</v>
      </c>
      <c r="M770" s="2" t="str">
        <f>HYPERLINK("http://maps.live.com/default.aspx?v=2&amp;lvl=15&amp;sp=Point.47.68889_-122.353257_345 N 83rd St&amp;cp=47.68889~-122.353257","Map")</f>
        <v>Map</v>
      </c>
      <c r="N770" s="2" t="str">
        <f>HYPERLINK("http://i-0.rfimg.us/photo/1/bigphoto/609/27216609_0.jpg","Photo")</f>
        <v>Photo</v>
      </c>
      <c r="AG770">
        <v>47.688890000000001</v>
      </c>
      <c r="AH770">
        <v>-122.353257</v>
      </c>
      <c r="AI770" t="s">
        <v>66</v>
      </c>
      <c r="AJ770">
        <v>98103</v>
      </c>
      <c r="AN770">
        <v>450000</v>
      </c>
      <c r="BC770" s="22">
        <v>39450.841921296298</v>
      </c>
      <c r="BI770" s="22">
        <v>39545.917314814818</v>
      </c>
      <c r="BL770">
        <v>11499</v>
      </c>
      <c r="BM770">
        <v>1372594</v>
      </c>
      <c r="BN770" t="s">
        <v>1688</v>
      </c>
      <c r="BO770" s="17">
        <f t="shared" ref="BO770:BO833" ca="1" si="12">NOW()-BC770</f>
        <v>98.467484722219524</v>
      </c>
      <c r="BP770" t="b">
        <v>0</v>
      </c>
      <c r="BQ770">
        <v>1</v>
      </c>
      <c r="BR770" t="s">
        <v>1686</v>
      </c>
      <c r="BS770" t="s">
        <v>1867</v>
      </c>
      <c r="BT770" t="b">
        <v>0</v>
      </c>
      <c r="BU770" t="s">
        <v>1712</v>
      </c>
      <c r="BV770" t="s">
        <v>1668</v>
      </c>
      <c r="BW770">
        <v>345</v>
      </c>
      <c r="BY770">
        <v>301634</v>
      </c>
      <c r="BZ770" t="s">
        <v>1676</v>
      </c>
      <c r="CA770">
        <v>1</v>
      </c>
      <c r="CB770" t="b">
        <v>1</v>
      </c>
      <c r="CC770">
        <v>0</v>
      </c>
      <c r="CD770" t="b">
        <v>0</v>
      </c>
      <c r="CE770" t="b">
        <v>0</v>
      </c>
      <c r="CF770" t="b">
        <v>1</v>
      </c>
      <c r="CG770">
        <v>2570469</v>
      </c>
      <c r="CH770" t="s">
        <v>1681</v>
      </c>
      <c r="CI770" s="10">
        <v>574950</v>
      </c>
      <c r="CJ770" s="7">
        <v>38884</v>
      </c>
    </row>
    <row r="771" spans="1:88">
      <c r="A771">
        <v>27216690</v>
      </c>
      <c r="B771" s="2" t="str">
        <f>HYPERLINK("http://www.redfin.com/stingray/do/printable-listing?listing-id=1365857","Active")</f>
        <v>Active</v>
      </c>
      <c r="D771" t="s">
        <v>1058</v>
      </c>
      <c r="E771" t="s">
        <v>4536</v>
      </c>
      <c r="F771">
        <v>425950</v>
      </c>
      <c r="G771">
        <v>1960</v>
      </c>
      <c r="H771">
        <v>0</v>
      </c>
      <c r="I771">
        <v>9500</v>
      </c>
      <c r="J771">
        <v>3</v>
      </c>
      <c r="K771">
        <v>1.5</v>
      </c>
      <c r="M771" s="2" t="str">
        <f>HYPERLINK("http://maps.live.com/default.aspx?v=2&amp;lvl=15&amp;sp=Point.47.699315_-122.175341_12404 NE 110th Pl&amp;cp=47.699315~-122.175341","Map")</f>
        <v>Map</v>
      </c>
      <c r="N771" s="2" t="str">
        <f>HYPERLINK("http://i-0.rfimg.us/photo/1/bigphoto/690/27216690_1.jpg","Photo")</f>
        <v>Photo</v>
      </c>
      <c r="AG771">
        <v>47.699314999999999</v>
      </c>
      <c r="AH771">
        <v>-122.175341</v>
      </c>
      <c r="AI771" t="s">
        <v>1058</v>
      </c>
      <c r="AJ771">
        <v>98033</v>
      </c>
      <c r="AN771">
        <v>343450</v>
      </c>
      <c r="BC771" s="22">
        <v>39447.516759259262</v>
      </c>
      <c r="BI771" s="7">
        <v>39539</v>
      </c>
      <c r="BL771">
        <v>8519</v>
      </c>
      <c r="BM771">
        <v>1365857</v>
      </c>
      <c r="BN771" t="s">
        <v>1737</v>
      </c>
      <c r="BO771" s="17">
        <f t="shared" ca="1" si="12"/>
        <v>101.79264664351649</v>
      </c>
      <c r="BP771" t="b">
        <v>0</v>
      </c>
      <c r="BQ771">
        <v>1</v>
      </c>
      <c r="BR771" t="s">
        <v>1842</v>
      </c>
      <c r="BS771" t="s">
        <v>4369</v>
      </c>
      <c r="BT771" t="b">
        <v>0</v>
      </c>
      <c r="BU771" t="s">
        <v>1738</v>
      </c>
      <c r="BV771" t="s">
        <v>1668</v>
      </c>
      <c r="BW771">
        <v>12404</v>
      </c>
      <c r="BY771">
        <v>513274</v>
      </c>
      <c r="BZ771" t="s">
        <v>1709</v>
      </c>
      <c r="CA771">
        <v>1</v>
      </c>
      <c r="CB771" t="b">
        <v>1</v>
      </c>
      <c r="CC771">
        <v>0</v>
      </c>
      <c r="CD771" t="b">
        <v>0</v>
      </c>
      <c r="CE771" t="b">
        <v>0</v>
      </c>
      <c r="CF771" t="b">
        <v>1</v>
      </c>
      <c r="CG771">
        <v>2937570</v>
      </c>
      <c r="CH771" t="s">
        <v>1681</v>
      </c>
      <c r="CI771" s="10">
        <v>425950</v>
      </c>
      <c r="CJ771" s="7">
        <v>38743</v>
      </c>
    </row>
    <row r="772" spans="1:88">
      <c r="A772">
        <v>27216724</v>
      </c>
      <c r="B772" s="2" t="str">
        <f>HYPERLINK("http://www.redfin.com/stingray/do/printable-listing?listing-id=1376070","Active")</f>
        <v>Active</v>
      </c>
      <c r="D772" t="s">
        <v>2552</v>
      </c>
      <c r="E772" t="s">
        <v>3389</v>
      </c>
      <c r="F772">
        <v>745000</v>
      </c>
      <c r="G772">
        <v>1955</v>
      </c>
      <c r="H772">
        <v>2410</v>
      </c>
      <c r="I772">
        <v>4000</v>
      </c>
      <c r="J772">
        <v>3</v>
      </c>
      <c r="K772">
        <v>2.25</v>
      </c>
      <c r="M772" s="2" t="str">
        <f>HYPERLINK("http://maps.live.com/default.aspx?v=2&amp;lvl=15&amp;sp=Point.47.637543_-122.390675_2601 W Crockett St&amp;cp=47.637543~-122.390675","Map")</f>
        <v>Map</v>
      </c>
      <c r="N772" s="2" t="str">
        <f>HYPERLINK("http://i-0.rfimg.us/photo/1/bigphoto/724/27216724_1.jpg","Photo")</f>
        <v>Photo</v>
      </c>
      <c r="AG772">
        <v>47.637543000000001</v>
      </c>
      <c r="AH772">
        <v>-122.390675</v>
      </c>
      <c r="AI772" t="s">
        <v>66</v>
      </c>
      <c r="AJ772">
        <v>98199</v>
      </c>
      <c r="AN772">
        <v>745000</v>
      </c>
      <c r="BC772" s="22">
        <v>39451.86383101852</v>
      </c>
      <c r="BI772" s="7">
        <v>39532</v>
      </c>
      <c r="BL772">
        <v>14900</v>
      </c>
      <c r="BM772">
        <v>1376070</v>
      </c>
      <c r="BN772" t="s">
        <v>1697</v>
      </c>
      <c r="BO772" s="17">
        <f t="shared" ca="1" si="12"/>
        <v>97.445574884259258</v>
      </c>
      <c r="BP772" t="b">
        <v>0</v>
      </c>
      <c r="BQ772">
        <v>1</v>
      </c>
      <c r="BR772" t="s">
        <v>1686</v>
      </c>
      <c r="BS772" t="s">
        <v>3390</v>
      </c>
      <c r="BT772" t="b">
        <v>0</v>
      </c>
      <c r="BU772" t="s">
        <v>2423</v>
      </c>
      <c r="BV772" t="s">
        <v>1668</v>
      </c>
      <c r="BW772">
        <v>2601</v>
      </c>
      <c r="BY772">
        <v>123831</v>
      </c>
      <c r="BZ772" t="s">
        <v>1704</v>
      </c>
      <c r="CA772">
        <v>1</v>
      </c>
      <c r="CB772" t="b">
        <v>1</v>
      </c>
      <c r="CC772">
        <v>0</v>
      </c>
      <c r="CD772" t="b">
        <v>0</v>
      </c>
      <c r="CE772" t="b">
        <v>0</v>
      </c>
      <c r="CF772" t="b">
        <v>1</v>
      </c>
      <c r="CG772">
        <v>2621791</v>
      </c>
      <c r="CH772" t="s">
        <v>1681</v>
      </c>
      <c r="CI772" s="10">
        <v>745000</v>
      </c>
      <c r="CJ772" s="7">
        <v>39136</v>
      </c>
    </row>
    <row r="773" spans="1:88">
      <c r="A773">
        <v>27216765</v>
      </c>
      <c r="B773" s="2" t="str">
        <f>HYPERLINK("http://www.redfin.com/stingray/do/printable-listing?listing-id=1367581","Active")</f>
        <v>Active</v>
      </c>
      <c r="D773" t="s">
        <v>4663</v>
      </c>
      <c r="E773" t="s">
        <v>4945</v>
      </c>
      <c r="F773">
        <v>899000</v>
      </c>
      <c r="G773">
        <v>1971</v>
      </c>
      <c r="H773">
        <v>2460</v>
      </c>
      <c r="I773">
        <v>18034</v>
      </c>
      <c r="J773">
        <v>4</v>
      </c>
      <c r="K773">
        <v>2.5</v>
      </c>
      <c r="M773" s="2" t="str">
        <f>HYPERLINK("http://maps.live.com/default.aspx?v=2&amp;lvl=15&amp;sp=Point.47.642295_-122.169339_12804 NE 35th Pl&amp;cp=47.642295~-122.169339","Map")</f>
        <v>Map</v>
      </c>
      <c r="N773" s="2" t="str">
        <f>HYPERLINK("http://i-0.rfimg.us/photo/1/bigphoto/765/27216765_0.jpg","Photo")</f>
        <v>Photo</v>
      </c>
      <c r="AG773">
        <v>47.642294999999997</v>
      </c>
      <c r="AH773">
        <v>-122.16933899999999</v>
      </c>
      <c r="AI773" t="s">
        <v>369</v>
      </c>
      <c r="AJ773">
        <v>98005</v>
      </c>
      <c r="AN773">
        <v>565000</v>
      </c>
      <c r="BC773" s="22">
        <v>39449.401284722226</v>
      </c>
      <c r="BI773" s="22">
        <v>39549.294907407406</v>
      </c>
      <c r="BL773">
        <v>17980</v>
      </c>
      <c r="BM773">
        <v>1367581</v>
      </c>
      <c r="BN773" t="s">
        <v>2777</v>
      </c>
      <c r="BO773" s="17">
        <f t="shared" ca="1" si="12"/>
        <v>99.90812118055328</v>
      </c>
      <c r="BP773" t="b">
        <v>0</v>
      </c>
      <c r="BQ773">
        <v>1</v>
      </c>
      <c r="BR773" t="s">
        <v>1842</v>
      </c>
      <c r="BS773" t="s">
        <v>2920</v>
      </c>
      <c r="BT773" t="b">
        <v>0</v>
      </c>
      <c r="BU773" t="s">
        <v>1738</v>
      </c>
      <c r="BV773" t="s">
        <v>1668</v>
      </c>
      <c r="BW773">
        <v>12804</v>
      </c>
      <c r="BY773">
        <v>431108</v>
      </c>
      <c r="BZ773" t="s">
        <v>1701</v>
      </c>
      <c r="CA773">
        <v>1</v>
      </c>
      <c r="CB773" t="b">
        <v>1</v>
      </c>
      <c r="CC773">
        <v>0</v>
      </c>
      <c r="CD773" t="b">
        <v>0</v>
      </c>
      <c r="CE773" t="b">
        <v>0</v>
      </c>
      <c r="CF773" t="b">
        <v>1</v>
      </c>
      <c r="CG773">
        <v>2837570</v>
      </c>
      <c r="CH773" t="s">
        <v>1681</v>
      </c>
      <c r="CI773" s="10">
        <v>899000</v>
      </c>
      <c r="CJ773" s="7">
        <v>38611</v>
      </c>
    </row>
    <row r="774" spans="1:88">
      <c r="A774">
        <v>27216784</v>
      </c>
      <c r="B774" s="2" t="str">
        <f>HYPERLINK("http://www.redfin.com/stingray/do/printable-listing?listing-id=1366290","Active")</f>
        <v>Active</v>
      </c>
      <c r="D774" t="s">
        <v>3681</v>
      </c>
      <c r="E774" t="s">
        <v>3812</v>
      </c>
      <c r="F774">
        <v>629000</v>
      </c>
      <c r="G774">
        <v>1949</v>
      </c>
      <c r="H774">
        <v>1400</v>
      </c>
      <c r="I774">
        <v>5470</v>
      </c>
      <c r="J774">
        <v>3</v>
      </c>
      <c r="K774">
        <v>1.75</v>
      </c>
      <c r="M774" s="2" t="str">
        <f>HYPERLINK("http://maps.live.com/default.aspx?v=2&amp;lvl=15&amp;sp=Point.47.642454_-122.315897_2545 Boyer Ave E&amp;cp=47.642454~-122.315897","Map")</f>
        <v>Map</v>
      </c>
      <c r="N774" s="2" t="str">
        <f>HYPERLINK("http://i-0.rfimg.us/photo/1/bigphoto/784/27216784_O.jpg","Photo")</f>
        <v>Photo</v>
      </c>
      <c r="AG774">
        <v>47.642454000000001</v>
      </c>
      <c r="AH774">
        <v>-122.31589700000001</v>
      </c>
      <c r="AI774" t="s">
        <v>66</v>
      </c>
      <c r="AJ774">
        <v>98102</v>
      </c>
      <c r="AN774">
        <v>92900</v>
      </c>
      <c r="BC774" s="22">
        <v>39447.829444444447</v>
      </c>
      <c r="BI774" s="22">
        <v>39549.294907407406</v>
      </c>
      <c r="BL774">
        <v>12580</v>
      </c>
      <c r="BM774">
        <v>1366290</v>
      </c>
      <c r="BN774" t="s">
        <v>1776</v>
      </c>
      <c r="BO774" s="17">
        <f t="shared" ca="1" si="12"/>
        <v>101.47996145833167</v>
      </c>
      <c r="BP774" t="b">
        <v>0</v>
      </c>
      <c r="BQ774">
        <v>1</v>
      </c>
      <c r="BR774" t="s">
        <v>1667</v>
      </c>
      <c r="BS774" t="s">
        <v>3689</v>
      </c>
      <c r="BT774" t="b">
        <v>0</v>
      </c>
      <c r="BV774" t="s">
        <v>1668</v>
      </c>
      <c r="BW774">
        <v>2545</v>
      </c>
      <c r="BX774" t="s">
        <v>2436</v>
      </c>
      <c r="BY774">
        <v>138102</v>
      </c>
      <c r="BZ774" t="s">
        <v>3813</v>
      </c>
      <c r="CA774">
        <v>1</v>
      </c>
      <c r="CB774" t="b">
        <v>1</v>
      </c>
      <c r="CC774">
        <v>0</v>
      </c>
      <c r="CD774" t="b">
        <v>0</v>
      </c>
      <c r="CE774" t="b">
        <v>0</v>
      </c>
      <c r="CF774" t="b">
        <v>1</v>
      </c>
      <c r="CG774">
        <v>2363445</v>
      </c>
      <c r="CH774" t="s">
        <v>1681</v>
      </c>
      <c r="CI774" s="10">
        <v>629000</v>
      </c>
      <c r="CJ774" s="7">
        <v>32332</v>
      </c>
    </row>
    <row r="775" spans="1:88">
      <c r="A775">
        <v>28000019</v>
      </c>
      <c r="B775" s="2" t="str">
        <f>HYPERLINK("http://www.redfin.com/stingray/do/printable-listing?listing-id=1366453","Active")</f>
        <v>Active</v>
      </c>
      <c r="D775" t="s">
        <v>3064</v>
      </c>
      <c r="E775" t="s">
        <v>3876</v>
      </c>
      <c r="F775">
        <v>929800</v>
      </c>
      <c r="G775">
        <v>2007</v>
      </c>
      <c r="H775">
        <v>4373</v>
      </c>
      <c r="I775">
        <v>8111</v>
      </c>
      <c r="J775">
        <v>5</v>
      </c>
      <c r="K775">
        <v>4</v>
      </c>
      <c r="M775" s="2" t="str">
        <f>HYPERLINK("http://maps.live.com/default.aspx?v=2&amp;lvl=15&amp;sp=adr.5610 NE First Pl nLot 6 (Unable to map),98059","Map")</f>
        <v>Map</v>
      </c>
      <c r="N775" s="2" t="str">
        <f>HYPERLINK("http://i-0.rfimg.us/photo/1/bigphoto/019/28000019_1.jpg","Photo")</f>
        <v>Photo</v>
      </c>
      <c r="AI775" t="s">
        <v>1077</v>
      </c>
      <c r="AJ775">
        <v>98059</v>
      </c>
      <c r="AM775" t="s">
        <v>3059</v>
      </c>
      <c r="BC775" s="22">
        <v>39448.087546296294</v>
      </c>
      <c r="BI775" s="7">
        <v>39539</v>
      </c>
      <c r="BL775">
        <v>18596</v>
      </c>
      <c r="BM775">
        <v>1366453</v>
      </c>
      <c r="BN775" t="s">
        <v>3236</v>
      </c>
      <c r="BO775" s="17">
        <f t="shared" ca="1" si="12"/>
        <v>101.22185960648494</v>
      </c>
      <c r="BP775" t="b">
        <v>0</v>
      </c>
      <c r="BQ775">
        <v>1</v>
      </c>
      <c r="BR775" t="s">
        <v>1842</v>
      </c>
      <c r="BS775" t="s">
        <v>3877</v>
      </c>
      <c r="BT775" t="b">
        <v>0</v>
      </c>
      <c r="BU775" t="s">
        <v>1738</v>
      </c>
      <c r="BV775" t="s">
        <v>1668</v>
      </c>
      <c r="BW775">
        <v>5610</v>
      </c>
      <c r="BY775">
        <v>0</v>
      </c>
      <c r="BZ775" t="s">
        <v>1704</v>
      </c>
      <c r="CA775">
        <v>1</v>
      </c>
      <c r="CB775" t="b">
        <v>1</v>
      </c>
      <c r="CC775">
        <v>0</v>
      </c>
      <c r="CD775" t="b">
        <v>0</v>
      </c>
      <c r="CE775" t="b">
        <v>0</v>
      </c>
      <c r="CF775" t="b">
        <v>1</v>
      </c>
      <c r="CG775" t="s">
        <v>1870</v>
      </c>
      <c r="CH775" t="s">
        <v>1681</v>
      </c>
      <c r="CI775" s="10">
        <v>929800</v>
      </c>
    </row>
    <row r="776" spans="1:88">
      <c r="A776">
        <v>28000047</v>
      </c>
      <c r="B776" s="2" t="str">
        <f>HYPERLINK("http://www.redfin.com/stingray/do/printable-listing?listing-id=1366576","Active")</f>
        <v>Active</v>
      </c>
      <c r="D776" t="s">
        <v>2552</v>
      </c>
      <c r="E776" t="s">
        <v>3544</v>
      </c>
      <c r="F776" s="19">
        <v>695000</v>
      </c>
      <c r="G776">
        <v>1930</v>
      </c>
      <c r="H776">
        <v>2590</v>
      </c>
      <c r="I776">
        <v>5750</v>
      </c>
      <c r="J776">
        <v>4</v>
      </c>
      <c r="K776">
        <v>2.25</v>
      </c>
      <c r="M776" s="2" t="str">
        <f>HYPERLINK("http://maps.live.com/default.aspx?v=2&amp;lvl=15&amp;sp=Point.47.63346_-122.391468_1536 Thorndyke Ave W&amp;cp=47.63346~-122.391468","Map")</f>
        <v>Map</v>
      </c>
      <c r="N776" s="2" t="str">
        <f>HYPERLINK("http://i-0.rfimg.us/photo/1/bigphoto/047/28000047_6.jpg","Photo")</f>
        <v>Photo</v>
      </c>
      <c r="AG776">
        <v>47.633459999999999</v>
      </c>
      <c r="AH776">
        <v>-122.391468</v>
      </c>
      <c r="AI776" t="s">
        <v>66</v>
      </c>
      <c r="AJ776">
        <v>98199</v>
      </c>
      <c r="BC776" s="22">
        <v>39448.358506944445</v>
      </c>
      <c r="BI776" s="22">
        <v>39549.294907407406</v>
      </c>
      <c r="BL776">
        <v>14300</v>
      </c>
      <c r="BM776">
        <v>1366576</v>
      </c>
      <c r="BN776" t="s">
        <v>1674</v>
      </c>
      <c r="BO776" s="17">
        <f t="shared" ca="1" si="12"/>
        <v>100.95089895833371</v>
      </c>
      <c r="BP776" t="b">
        <v>0</v>
      </c>
      <c r="BQ776">
        <v>1</v>
      </c>
      <c r="BR776" t="s">
        <v>1667</v>
      </c>
      <c r="BS776" t="s">
        <v>3505</v>
      </c>
      <c r="BT776" t="b">
        <v>0</v>
      </c>
      <c r="BV776" t="s">
        <v>1668</v>
      </c>
      <c r="BW776">
        <v>1536</v>
      </c>
      <c r="BX776" t="s">
        <v>2423</v>
      </c>
      <c r="BY776">
        <v>125351</v>
      </c>
      <c r="BZ776" t="s">
        <v>3545</v>
      </c>
      <c r="CA776">
        <v>1</v>
      </c>
      <c r="CB776" t="b">
        <v>1</v>
      </c>
      <c r="CC776">
        <v>0</v>
      </c>
      <c r="CD776" t="b">
        <v>0</v>
      </c>
      <c r="CE776" t="b">
        <v>0</v>
      </c>
      <c r="CF776" t="b">
        <v>1</v>
      </c>
      <c r="CG776">
        <v>2672251</v>
      </c>
      <c r="CH776" t="s">
        <v>1681</v>
      </c>
      <c r="CI776" s="10">
        <v>715000</v>
      </c>
    </row>
    <row r="777" spans="1:88">
      <c r="A777">
        <v>28000049</v>
      </c>
      <c r="B777" s="2" t="str">
        <f>HYPERLINK("http://www.redfin.com/stingray/do/printable-listing?listing-id=1366577","Active")</f>
        <v>Active</v>
      </c>
      <c r="D777" t="s">
        <v>1023</v>
      </c>
      <c r="E777" t="s">
        <v>1211</v>
      </c>
      <c r="F777">
        <v>594950</v>
      </c>
      <c r="G777">
        <v>1940</v>
      </c>
      <c r="H777">
        <v>2300</v>
      </c>
      <c r="I777">
        <v>4756</v>
      </c>
      <c r="J777">
        <v>4</v>
      </c>
      <c r="K777">
        <v>2.5</v>
      </c>
      <c r="M777" s="2" t="str">
        <f>HYPERLINK("http://maps.live.com/default.aspx?v=2&amp;lvl=15&amp;sp=Point.47.687778_-122.396108_8035 30th Ave NW&amp;cp=47.687778~-122.396108","Map")</f>
        <v>Map</v>
      </c>
      <c r="N777" s="2" t="str">
        <f>HYPERLINK("http://i-0.rfimg.us/photo/1/bigphoto/049/28000049_3.jpg","Photo")</f>
        <v>Photo</v>
      </c>
      <c r="AG777">
        <v>47.687778000000002</v>
      </c>
      <c r="AH777">
        <v>-122.396108</v>
      </c>
      <c r="AI777" t="s">
        <v>66</v>
      </c>
      <c r="AJ777">
        <v>98117</v>
      </c>
      <c r="BC777" s="22">
        <v>39448.358518518522</v>
      </c>
      <c r="BI777" s="22">
        <v>39549.294907407406</v>
      </c>
      <c r="BL777">
        <v>11899</v>
      </c>
      <c r="BM777">
        <v>1366577</v>
      </c>
      <c r="BN777" t="s">
        <v>1913</v>
      </c>
      <c r="BO777" s="17">
        <f t="shared" ca="1" si="12"/>
        <v>100.95088749999559</v>
      </c>
      <c r="BP777" t="b">
        <v>0</v>
      </c>
      <c r="BQ777">
        <v>1</v>
      </c>
      <c r="BR777" t="s">
        <v>1667</v>
      </c>
      <c r="BS777" t="s">
        <v>1818</v>
      </c>
      <c r="BT777" t="b">
        <v>0</v>
      </c>
      <c r="BV777" t="s">
        <v>1668</v>
      </c>
      <c r="BW777">
        <v>8035</v>
      </c>
      <c r="BX777" t="s">
        <v>1669</v>
      </c>
      <c r="BY777">
        <v>163656</v>
      </c>
      <c r="BZ777" t="s">
        <v>1914</v>
      </c>
      <c r="CA777">
        <v>1</v>
      </c>
      <c r="CB777" t="b">
        <v>1</v>
      </c>
      <c r="CC777">
        <v>0</v>
      </c>
      <c r="CD777" t="b">
        <v>0</v>
      </c>
      <c r="CE777" t="b">
        <v>0</v>
      </c>
      <c r="CF777" t="b">
        <v>1</v>
      </c>
      <c r="CG777">
        <v>2633976</v>
      </c>
      <c r="CH777" t="s">
        <v>1681</v>
      </c>
      <c r="CI777" s="10">
        <v>594950</v>
      </c>
    </row>
    <row r="778" spans="1:88">
      <c r="A778">
        <v>28000073</v>
      </c>
      <c r="B778" s="2" t="str">
        <f>HYPERLINK("http://www.redfin.com/stingray/do/printable-listing?listing-id=1366607","Active")</f>
        <v>Active</v>
      </c>
      <c r="D778" t="s">
        <v>5191</v>
      </c>
      <c r="E778" t="s">
        <v>5948</v>
      </c>
      <c r="F778">
        <v>834900</v>
      </c>
      <c r="G778">
        <v>1981</v>
      </c>
      <c r="H778">
        <v>3650</v>
      </c>
      <c r="I778">
        <v>10149</v>
      </c>
      <c r="J778">
        <v>5</v>
      </c>
      <c r="K778">
        <v>4</v>
      </c>
      <c r="M778" s="2" t="str">
        <f>HYPERLINK("http://maps.live.com/default.aspx?v=2&amp;lvl=15&amp;sp=Point.47.549518_-122.148342_5995 145th Ave SE&amp;cp=47.549518~-122.148342","Map")</f>
        <v>Map</v>
      </c>
      <c r="N778" s="2" t="str">
        <f>HYPERLINK("http://i-0.rfimg.us/photo/1/bigphoto/073/28000073_2.jpg","Photo")</f>
        <v>Photo</v>
      </c>
      <c r="AG778">
        <v>47.549517999999999</v>
      </c>
      <c r="AH778">
        <v>-122.148342</v>
      </c>
      <c r="AI778" t="s">
        <v>369</v>
      </c>
      <c r="AJ778">
        <v>98006</v>
      </c>
      <c r="AN778">
        <v>222500</v>
      </c>
      <c r="BC778" s="22">
        <v>39448.389768518522</v>
      </c>
      <c r="BI778" s="22">
        <v>39549.294907407406</v>
      </c>
      <c r="BL778">
        <v>16698</v>
      </c>
      <c r="BM778">
        <v>1366607</v>
      </c>
      <c r="BN778" t="s">
        <v>1688</v>
      </c>
      <c r="BO778" s="17">
        <f t="shared" ca="1" si="12"/>
        <v>100.91963738425693</v>
      </c>
      <c r="BP778" t="b">
        <v>0</v>
      </c>
      <c r="BQ778">
        <v>1</v>
      </c>
      <c r="BR778" t="s">
        <v>1667</v>
      </c>
      <c r="BS778" t="s">
        <v>4646</v>
      </c>
      <c r="BT778" t="b">
        <v>0</v>
      </c>
      <c r="BV778" t="s">
        <v>1668</v>
      </c>
      <c r="BW778">
        <v>5995</v>
      </c>
      <c r="BX778" t="s">
        <v>3856</v>
      </c>
      <c r="BY778">
        <v>240022</v>
      </c>
      <c r="BZ778" t="s">
        <v>2651</v>
      </c>
      <c r="CA778">
        <v>1</v>
      </c>
      <c r="CB778" t="b">
        <v>1</v>
      </c>
      <c r="CC778">
        <v>0</v>
      </c>
      <c r="CD778" t="b">
        <v>0</v>
      </c>
      <c r="CE778" t="b">
        <v>0</v>
      </c>
      <c r="CF778" t="b">
        <v>1</v>
      </c>
      <c r="CG778">
        <v>2699818</v>
      </c>
      <c r="CH778" t="s">
        <v>1681</v>
      </c>
      <c r="CI778" s="10">
        <v>834900</v>
      </c>
      <c r="CJ778" s="7">
        <v>32090</v>
      </c>
    </row>
    <row r="779" spans="1:88">
      <c r="A779">
        <v>28000085</v>
      </c>
      <c r="B779" s="2" t="str">
        <f>HYPERLINK("http://www.redfin.com/stingray/do/printable-listing?listing-id=1366639","Active")</f>
        <v>Active</v>
      </c>
      <c r="D779" t="s">
        <v>2552</v>
      </c>
      <c r="E779" t="s">
        <v>3442</v>
      </c>
      <c r="F779" s="19">
        <v>699000</v>
      </c>
      <c r="G779">
        <v>1959</v>
      </c>
      <c r="H779">
        <v>2940</v>
      </c>
      <c r="I779">
        <v>6960</v>
      </c>
      <c r="J779">
        <v>4</v>
      </c>
      <c r="K779">
        <v>3.5</v>
      </c>
      <c r="M779" s="2" t="str">
        <f>HYPERLINK("http://maps.live.com/default.aspx?v=2&amp;lvl=15&amp;sp=Point.47.643217_-122.390008_2580 26th Ave W&amp;cp=47.643217~-122.390008","Map")</f>
        <v>Map</v>
      </c>
      <c r="N779" s="2" t="str">
        <f>HYPERLINK("http://i-0.rfimg.us/photo/1/bigphoto/085/28000085_1.jpg","Photo")</f>
        <v>Photo</v>
      </c>
      <c r="AG779">
        <v>47.643217</v>
      </c>
      <c r="AH779">
        <v>-122.39000799999999</v>
      </c>
      <c r="AI779" t="s">
        <v>66</v>
      </c>
      <c r="AJ779">
        <v>98199</v>
      </c>
      <c r="BC779" s="22">
        <v>39448.410567129627</v>
      </c>
      <c r="BI779" s="22">
        <v>39549.294907407406</v>
      </c>
      <c r="BL779">
        <v>14300</v>
      </c>
      <c r="BM779">
        <v>1366639</v>
      </c>
      <c r="BN779" t="s">
        <v>1674</v>
      </c>
      <c r="BO779" s="17">
        <f t="shared" ca="1" si="12"/>
        <v>100.89883877315151</v>
      </c>
      <c r="BP779" t="b">
        <v>0</v>
      </c>
      <c r="BQ779">
        <v>1</v>
      </c>
      <c r="BR779" t="s">
        <v>1667</v>
      </c>
      <c r="BS779" t="s">
        <v>1769</v>
      </c>
      <c r="BT779" t="b">
        <v>0</v>
      </c>
      <c r="BV779" t="s">
        <v>1668</v>
      </c>
      <c r="BW779">
        <v>2580</v>
      </c>
      <c r="BX779" t="s">
        <v>2423</v>
      </c>
      <c r="BY779">
        <v>124918</v>
      </c>
      <c r="BZ779" t="s">
        <v>3443</v>
      </c>
      <c r="CA779">
        <v>1</v>
      </c>
      <c r="CB779" t="b">
        <v>1</v>
      </c>
      <c r="CC779">
        <v>0</v>
      </c>
      <c r="CD779" t="b">
        <v>0</v>
      </c>
      <c r="CE779" t="b">
        <v>0</v>
      </c>
      <c r="CF779" t="b">
        <v>1</v>
      </c>
      <c r="CG779">
        <v>2774401</v>
      </c>
      <c r="CH779" t="s">
        <v>1681</v>
      </c>
      <c r="CI779" s="10">
        <v>715000</v>
      </c>
    </row>
    <row r="780" spans="1:88">
      <c r="A780">
        <v>28000103</v>
      </c>
      <c r="B780" s="2" t="str">
        <f>HYPERLINK("http://www.redfin.com/stingray/do/printable-listing?listing-id=1366691","Subject To Inspection")</f>
        <v>Subject To Inspection</v>
      </c>
      <c r="D780" t="s">
        <v>2552</v>
      </c>
      <c r="E780" t="s">
        <v>3469</v>
      </c>
      <c r="F780">
        <v>555000</v>
      </c>
      <c r="G780">
        <v>2006</v>
      </c>
      <c r="H780">
        <v>2000</v>
      </c>
      <c r="I780">
        <v>1750</v>
      </c>
      <c r="J780">
        <v>4</v>
      </c>
      <c r="K780">
        <v>3.25</v>
      </c>
      <c r="M780" s="2" t="str">
        <f>HYPERLINK("http://maps.live.com/default.aspx?v=2&amp;lvl=15&amp;sp=Point.47.650437_-122.386201_2300 W Bertona St&amp;cp=47.650437~-122.386201","Map")</f>
        <v>Map</v>
      </c>
      <c r="N780" s="2" t="str">
        <f>HYPERLINK("http://i-0.rfimg.us/photo/1/bigphoto/103/28000103_0.jpg","Photo")</f>
        <v>Photo</v>
      </c>
      <c r="AG780">
        <v>47.650436999999997</v>
      </c>
      <c r="AH780">
        <v>-122.386201</v>
      </c>
      <c r="AI780" t="s">
        <v>66</v>
      </c>
      <c r="AJ780">
        <v>98199</v>
      </c>
      <c r="AN780">
        <v>525815</v>
      </c>
      <c r="BC780" s="22">
        <v>39448.45244212963</v>
      </c>
      <c r="BI780" s="7">
        <v>39540</v>
      </c>
      <c r="BL780">
        <v>11100</v>
      </c>
      <c r="BM780">
        <v>1366691</v>
      </c>
      <c r="BN780" t="s">
        <v>1735</v>
      </c>
      <c r="BO780" s="17">
        <f t="shared" ca="1" si="12"/>
        <v>100.85696377314889</v>
      </c>
      <c r="BP780" t="b">
        <v>0</v>
      </c>
      <c r="BQ780">
        <v>2</v>
      </c>
      <c r="BR780" t="s">
        <v>1686</v>
      </c>
      <c r="BS780" t="s">
        <v>3470</v>
      </c>
      <c r="BT780" t="b">
        <v>0</v>
      </c>
      <c r="BU780" t="s">
        <v>2423</v>
      </c>
      <c r="BV780" t="s">
        <v>1668</v>
      </c>
      <c r="BW780">
        <v>2300</v>
      </c>
      <c r="BY780">
        <v>124395</v>
      </c>
      <c r="BZ780" t="s">
        <v>1743</v>
      </c>
      <c r="CA780">
        <v>1</v>
      </c>
      <c r="CB780" t="b">
        <v>1</v>
      </c>
      <c r="CC780">
        <v>0</v>
      </c>
      <c r="CD780" t="b">
        <v>0</v>
      </c>
      <c r="CE780" t="b">
        <v>0</v>
      </c>
      <c r="CF780" t="b">
        <v>1</v>
      </c>
      <c r="CG780">
        <v>2828080</v>
      </c>
      <c r="CH780" t="s">
        <v>1681</v>
      </c>
      <c r="CI780" s="10">
        <v>555000</v>
      </c>
      <c r="CJ780" s="7">
        <v>39437</v>
      </c>
    </row>
    <row r="781" spans="1:88">
      <c r="A781">
        <v>28000144</v>
      </c>
      <c r="B781" s="2" t="str">
        <f>HYPERLINK("http://www.redfin.com/stingray/do/printable-listing?listing-id=1366728","Active")</f>
        <v>Active</v>
      </c>
      <c r="D781" t="s">
        <v>3885</v>
      </c>
      <c r="E781" t="s">
        <v>5990</v>
      </c>
      <c r="F781">
        <v>849950</v>
      </c>
      <c r="G781">
        <v>2008</v>
      </c>
      <c r="H781">
        <v>3608</v>
      </c>
      <c r="I781">
        <v>5810</v>
      </c>
      <c r="J781">
        <v>4</v>
      </c>
      <c r="K781">
        <v>3.25</v>
      </c>
      <c r="M781" s="2" t="str">
        <f>HYPERLINK("http://maps.live.com/default.aspx?v=2&amp;lvl=15&amp;sp=adr.11302 SE 79th Pl (Unable to map),98056","Map")</f>
        <v>Map</v>
      </c>
      <c r="N781" s="2" t="str">
        <f>HYPERLINK("http://i-0.rfimg.us/photo/1/bigphoto/144/28000144_0.jpg","Photo")</f>
        <v>Photo</v>
      </c>
      <c r="AI781" t="s">
        <v>3885</v>
      </c>
      <c r="AJ781">
        <v>98056</v>
      </c>
      <c r="BC781" s="22">
        <v>39448.473263888889</v>
      </c>
      <c r="BI781" s="22">
        <v>39549.294907407406</v>
      </c>
      <c r="BL781">
        <v>16999</v>
      </c>
      <c r="BM781">
        <v>1366728</v>
      </c>
      <c r="BN781" t="s">
        <v>2136</v>
      </c>
      <c r="BO781" s="17">
        <f t="shared" ca="1" si="12"/>
        <v>100.83614201388991</v>
      </c>
      <c r="BP781" t="b">
        <v>0</v>
      </c>
      <c r="BQ781">
        <v>1</v>
      </c>
      <c r="BR781" t="s">
        <v>1842</v>
      </c>
      <c r="BS781" t="s">
        <v>3206</v>
      </c>
      <c r="BT781" t="b">
        <v>0</v>
      </c>
      <c r="BU781" t="s">
        <v>3856</v>
      </c>
      <c r="BV781" t="s">
        <v>1668</v>
      </c>
      <c r="BW781">
        <v>11302</v>
      </c>
      <c r="BY781">
        <v>0</v>
      </c>
      <c r="BZ781" t="s">
        <v>1696</v>
      </c>
      <c r="CA781">
        <v>1</v>
      </c>
      <c r="CB781" t="b">
        <v>1</v>
      </c>
      <c r="CC781">
        <v>0</v>
      </c>
      <c r="CD781" t="b">
        <v>0</v>
      </c>
      <c r="CE781" t="b">
        <v>0</v>
      </c>
      <c r="CF781" t="b">
        <v>1</v>
      </c>
      <c r="CG781" t="s">
        <v>1870</v>
      </c>
      <c r="CH781" t="s">
        <v>1681</v>
      </c>
      <c r="CI781" s="10">
        <v>849950</v>
      </c>
    </row>
    <row r="782" spans="1:88">
      <c r="A782">
        <v>28000146</v>
      </c>
      <c r="B782" s="2" t="str">
        <f>HYPERLINK("http://www.redfin.com/stingray/do/printable-listing?listing-id=1366740","Active")</f>
        <v>Active</v>
      </c>
      <c r="D782" t="s">
        <v>3885</v>
      </c>
      <c r="E782" t="s">
        <v>5988</v>
      </c>
      <c r="F782">
        <v>699950</v>
      </c>
      <c r="G782">
        <v>2008</v>
      </c>
      <c r="H782">
        <v>3040</v>
      </c>
      <c r="I782">
        <v>5410</v>
      </c>
      <c r="J782">
        <v>4</v>
      </c>
      <c r="K782">
        <v>2.5</v>
      </c>
      <c r="M782" s="2" t="str">
        <f>HYPERLINK("http://maps.live.com/default.aspx?v=2&amp;lvl=15&amp;sp=adr.11310 SE 79th Pl (Unable to map),98056","Map")</f>
        <v>Map</v>
      </c>
      <c r="N782" s="2" t="str">
        <f>HYPERLINK("http://i-0.rfimg.us/photo/1/bigphoto/146/28000146_0.jpg","Photo")</f>
        <v>Photo</v>
      </c>
      <c r="AI782" t="s">
        <v>3885</v>
      </c>
      <c r="AJ782">
        <v>98056</v>
      </c>
      <c r="BC782" s="22">
        <v>39448.483854166669</v>
      </c>
      <c r="BI782" s="22">
        <v>39549.294907407406</v>
      </c>
      <c r="BL782">
        <v>13999</v>
      </c>
      <c r="BM782">
        <v>1366740</v>
      </c>
      <c r="BN782" t="s">
        <v>2136</v>
      </c>
      <c r="BO782" s="17">
        <f t="shared" ca="1" si="12"/>
        <v>100.82555173611036</v>
      </c>
      <c r="BP782" t="b">
        <v>0</v>
      </c>
      <c r="BQ782">
        <v>1</v>
      </c>
      <c r="BR782" t="s">
        <v>1842</v>
      </c>
      <c r="BS782" t="s">
        <v>3206</v>
      </c>
      <c r="BT782" t="b">
        <v>0</v>
      </c>
      <c r="BU782" t="s">
        <v>3856</v>
      </c>
      <c r="BV782" t="s">
        <v>1668</v>
      </c>
      <c r="BW782">
        <v>11310</v>
      </c>
      <c r="BY782">
        <v>0</v>
      </c>
      <c r="BZ782" t="s">
        <v>1801</v>
      </c>
      <c r="CA782">
        <v>1</v>
      </c>
      <c r="CB782" t="b">
        <v>1</v>
      </c>
      <c r="CC782">
        <v>0</v>
      </c>
      <c r="CD782" t="b">
        <v>0</v>
      </c>
      <c r="CE782" t="b">
        <v>0</v>
      </c>
      <c r="CF782" t="b">
        <v>1</v>
      </c>
      <c r="CG782" t="s">
        <v>1870</v>
      </c>
      <c r="CH782" t="s">
        <v>1681</v>
      </c>
      <c r="CI782" s="10">
        <v>699950</v>
      </c>
    </row>
    <row r="783" spans="1:88">
      <c r="A783">
        <v>28000147</v>
      </c>
      <c r="B783" s="2" t="str">
        <f>HYPERLINK("http://www.redfin.com/stingray/do/printable-listing?listing-id=1366739","Active")</f>
        <v>Active</v>
      </c>
      <c r="D783" t="s">
        <v>3885</v>
      </c>
      <c r="E783" t="s">
        <v>5991</v>
      </c>
      <c r="F783">
        <v>949950</v>
      </c>
      <c r="G783">
        <v>2008</v>
      </c>
      <c r="H783">
        <v>3780</v>
      </c>
      <c r="I783">
        <v>8978</v>
      </c>
      <c r="J783">
        <v>4</v>
      </c>
      <c r="K783">
        <v>2.5</v>
      </c>
      <c r="M783" s="2" t="str">
        <f>HYPERLINK("http://maps.live.com/default.aspx?v=2&amp;lvl=15&amp;sp=adr.11324 SE 79th Pl (Unable to map),98056","Map")</f>
        <v>Map</v>
      </c>
      <c r="N783" s="2" t="str">
        <f>HYPERLINK("http://i-0.rfimg.us/photo/1/bigphoto/147/28000147_0.jpg","Photo")</f>
        <v>Photo</v>
      </c>
      <c r="AI783" t="s">
        <v>3885</v>
      </c>
      <c r="AJ783">
        <v>98056</v>
      </c>
      <c r="BC783" s="22">
        <v>39448.483854166669</v>
      </c>
      <c r="BI783" s="22">
        <v>39549.294907407406</v>
      </c>
      <c r="BL783">
        <v>18999</v>
      </c>
      <c r="BM783">
        <v>1366739</v>
      </c>
      <c r="BN783" t="s">
        <v>2136</v>
      </c>
      <c r="BO783" s="17">
        <f t="shared" ca="1" si="12"/>
        <v>100.82555173611036</v>
      </c>
      <c r="BP783" t="b">
        <v>0</v>
      </c>
      <c r="BQ783">
        <v>1</v>
      </c>
      <c r="BR783" t="s">
        <v>1842</v>
      </c>
      <c r="BS783" t="s">
        <v>3206</v>
      </c>
      <c r="BT783" t="b">
        <v>0</v>
      </c>
      <c r="BU783" t="s">
        <v>3856</v>
      </c>
      <c r="BV783" t="s">
        <v>1668</v>
      </c>
      <c r="BW783">
        <v>11324</v>
      </c>
      <c r="BY783">
        <v>0</v>
      </c>
      <c r="BZ783" t="s">
        <v>1801</v>
      </c>
      <c r="CA783">
        <v>1</v>
      </c>
      <c r="CB783" t="b">
        <v>1</v>
      </c>
      <c r="CC783">
        <v>0</v>
      </c>
      <c r="CD783" t="b">
        <v>0</v>
      </c>
      <c r="CE783" t="b">
        <v>0</v>
      </c>
      <c r="CF783" t="b">
        <v>1</v>
      </c>
      <c r="CG783" t="s">
        <v>1870</v>
      </c>
      <c r="CH783" t="s">
        <v>1681</v>
      </c>
      <c r="CI783" s="10">
        <v>949950</v>
      </c>
    </row>
    <row r="784" spans="1:88">
      <c r="A784">
        <v>28000149</v>
      </c>
      <c r="B784" s="2" t="str">
        <f>HYPERLINK("http://www.redfin.com/stingray/do/printable-listing?listing-id=1366864","Active")</f>
        <v>Active</v>
      </c>
      <c r="D784" t="s">
        <v>4611</v>
      </c>
      <c r="E784" t="s">
        <v>5470</v>
      </c>
      <c r="F784">
        <v>569900</v>
      </c>
      <c r="G784">
        <v>1987</v>
      </c>
      <c r="H784">
        <v>1620</v>
      </c>
      <c r="I784">
        <v>8276</v>
      </c>
      <c r="J784">
        <v>4</v>
      </c>
      <c r="K784">
        <v>3</v>
      </c>
      <c r="M784" s="2" t="str">
        <f>HYPERLINK("http://maps.live.com/default.aspx?v=2&amp;lvl=15&amp;sp=Point.47.58427_-122.112684_17108 SE 29th Ct&amp;cp=47.58427~-122.112684","Map")</f>
        <v>Map</v>
      </c>
      <c r="N784" s="2" t="str">
        <f>HYPERLINK("http://i-0.rfimg.us/photo/1/bigphoto/149/28000149_3.jpg","Photo")</f>
        <v>Photo</v>
      </c>
      <c r="AG784">
        <v>47.584269999999997</v>
      </c>
      <c r="AH784">
        <v>-122.112684</v>
      </c>
      <c r="AI784" t="s">
        <v>369</v>
      </c>
      <c r="AJ784">
        <v>98008</v>
      </c>
      <c r="AN784">
        <v>250000</v>
      </c>
      <c r="BC784" s="22">
        <v>39448.598310185182</v>
      </c>
      <c r="BI784" s="22">
        <v>39549.294907407406</v>
      </c>
      <c r="BL784">
        <v>11398</v>
      </c>
      <c r="BM784">
        <v>1366864</v>
      </c>
      <c r="BN784" t="s">
        <v>1768</v>
      </c>
      <c r="BO784" s="17">
        <f t="shared" ca="1" si="12"/>
        <v>100.71109571759735</v>
      </c>
      <c r="BP784" t="b">
        <v>0</v>
      </c>
      <c r="BQ784">
        <v>1</v>
      </c>
      <c r="BR784" t="s">
        <v>3768</v>
      </c>
      <c r="BS784" t="s">
        <v>1772</v>
      </c>
      <c r="BT784" t="b">
        <v>0</v>
      </c>
      <c r="BU784" t="s">
        <v>3856</v>
      </c>
      <c r="BV784" t="s">
        <v>1668</v>
      </c>
      <c r="BW784">
        <v>17108</v>
      </c>
      <c r="BY784">
        <v>429094</v>
      </c>
      <c r="BZ784" t="s">
        <v>5471</v>
      </c>
      <c r="CA784">
        <v>1</v>
      </c>
      <c r="CB784" t="b">
        <v>1</v>
      </c>
      <c r="CC784">
        <v>0</v>
      </c>
      <c r="CD784" t="b">
        <v>0</v>
      </c>
      <c r="CE784" t="b">
        <v>0</v>
      </c>
      <c r="CF784" t="b">
        <v>1</v>
      </c>
      <c r="CG784">
        <v>2931816</v>
      </c>
      <c r="CH784" t="s">
        <v>1681</v>
      </c>
      <c r="CI784" s="10">
        <v>569900</v>
      </c>
      <c r="CJ784" s="7">
        <v>37454</v>
      </c>
    </row>
    <row r="785" spans="1:90">
      <c r="A785">
        <v>28000162</v>
      </c>
      <c r="B785" s="2" t="str">
        <f>HYPERLINK("http://www.redfin.com/stingray/do/printable-listing?listing-id=1366755","Active")</f>
        <v>Active</v>
      </c>
      <c r="D785" t="s">
        <v>3885</v>
      </c>
      <c r="E785" t="s">
        <v>6006</v>
      </c>
      <c r="F785">
        <v>799950</v>
      </c>
      <c r="G785">
        <v>2008</v>
      </c>
      <c r="H785">
        <v>3593</v>
      </c>
      <c r="I785">
        <v>5990</v>
      </c>
      <c r="J785">
        <v>4</v>
      </c>
      <c r="K785">
        <v>3.25</v>
      </c>
      <c r="M785" s="2" t="str">
        <f>HYPERLINK("http://maps.live.com/default.aspx?v=2&amp;lvl=15&amp;sp=adr.11328 SE 79th Pl (Unable to map),98056","Map")</f>
        <v>Map</v>
      </c>
      <c r="N785" s="2" t="str">
        <f>HYPERLINK("http://i-0.rfimg.us/photo/1/bigphoto/162/28000162_1.jpg","Photo")</f>
        <v>Photo</v>
      </c>
      <c r="AI785" t="s">
        <v>3885</v>
      </c>
      <c r="AJ785">
        <v>98056</v>
      </c>
      <c r="BC785" s="22">
        <v>39448.494097222225</v>
      </c>
      <c r="BI785" s="22">
        <v>39549.294907407406</v>
      </c>
      <c r="BL785">
        <v>15999</v>
      </c>
      <c r="BM785">
        <v>1366755</v>
      </c>
      <c r="BN785" t="s">
        <v>2136</v>
      </c>
      <c r="BO785" s="17">
        <f t="shared" ca="1" si="12"/>
        <v>100.81530868055415</v>
      </c>
      <c r="BP785" t="b">
        <v>0</v>
      </c>
      <c r="BQ785">
        <v>1</v>
      </c>
      <c r="BR785" t="s">
        <v>1842</v>
      </c>
      <c r="BS785" t="s">
        <v>3206</v>
      </c>
      <c r="BT785" t="b">
        <v>0</v>
      </c>
      <c r="BU785" t="s">
        <v>3856</v>
      </c>
      <c r="BV785" t="s">
        <v>1668</v>
      </c>
      <c r="BW785">
        <v>11328</v>
      </c>
      <c r="BY785">
        <v>0</v>
      </c>
      <c r="BZ785" t="s">
        <v>1748</v>
      </c>
      <c r="CA785">
        <v>1</v>
      </c>
      <c r="CB785" t="b">
        <v>1</v>
      </c>
      <c r="CC785">
        <v>0</v>
      </c>
      <c r="CD785" t="b">
        <v>0</v>
      </c>
      <c r="CE785" t="b">
        <v>0</v>
      </c>
      <c r="CF785" t="b">
        <v>1</v>
      </c>
      <c r="CG785" t="s">
        <v>1870</v>
      </c>
      <c r="CH785" t="s">
        <v>1681</v>
      </c>
      <c r="CI785" s="10">
        <v>799950</v>
      </c>
    </row>
    <row r="786" spans="1:90">
      <c r="A786">
        <v>28000167</v>
      </c>
      <c r="B786" s="2" t="str">
        <f>HYPERLINK("http://www.redfin.com/stingray/do/printable-listing?listing-id=1366772","Active")</f>
        <v>Active</v>
      </c>
      <c r="D786" t="s">
        <v>3885</v>
      </c>
      <c r="E786" t="s">
        <v>5986</v>
      </c>
      <c r="F786">
        <v>699950</v>
      </c>
      <c r="G786">
        <v>2008</v>
      </c>
      <c r="H786">
        <v>3040</v>
      </c>
      <c r="I786">
        <v>5410</v>
      </c>
      <c r="J786">
        <v>4</v>
      </c>
      <c r="K786">
        <v>2.5</v>
      </c>
      <c r="M786" s="2" t="str">
        <f>HYPERLINK("http://maps.live.com/default.aspx?v=2&amp;lvl=15&amp;sp=adr.11318 SE 79th Pl (Unable to map),98056","Map")</f>
        <v>Map</v>
      </c>
      <c r="N786" s="2" t="str">
        <f>HYPERLINK("http://i-0.rfimg.us/photo/1/bigphoto/167/28000167_4.jpg","Photo")</f>
        <v>Photo</v>
      </c>
      <c r="AI786" t="s">
        <v>3885</v>
      </c>
      <c r="AJ786">
        <v>98056</v>
      </c>
      <c r="BC786" s="22">
        <v>39448.504791666666</v>
      </c>
      <c r="BI786" s="22">
        <v>39549.294907407406</v>
      </c>
      <c r="BL786">
        <v>13999</v>
      </c>
      <c r="BM786">
        <v>1366772</v>
      </c>
      <c r="BN786" t="s">
        <v>2136</v>
      </c>
      <c r="BO786" s="17">
        <f t="shared" ca="1" si="12"/>
        <v>100.80461423611268</v>
      </c>
      <c r="BP786" t="b">
        <v>0</v>
      </c>
      <c r="BQ786">
        <v>1</v>
      </c>
      <c r="BR786" t="s">
        <v>1842</v>
      </c>
      <c r="BS786" t="s">
        <v>3206</v>
      </c>
      <c r="BT786" t="b">
        <v>0</v>
      </c>
      <c r="BU786" t="s">
        <v>3856</v>
      </c>
      <c r="BV786" t="s">
        <v>1668</v>
      </c>
      <c r="BW786">
        <v>11318</v>
      </c>
      <c r="BY786">
        <v>0</v>
      </c>
      <c r="BZ786" t="s">
        <v>5987</v>
      </c>
      <c r="CA786">
        <v>1</v>
      </c>
      <c r="CB786" t="b">
        <v>1</v>
      </c>
      <c r="CC786">
        <v>0</v>
      </c>
      <c r="CD786" t="b">
        <v>0</v>
      </c>
      <c r="CE786" t="b">
        <v>0</v>
      </c>
      <c r="CF786" t="b">
        <v>1</v>
      </c>
      <c r="CG786" t="s">
        <v>1870</v>
      </c>
      <c r="CH786" t="s">
        <v>1681</v>
      </c>
      <c r="CI786" s="10">
        <v>699950</v>
      </c>
    </row>
    <row r="787" spans="1:90">
      <c r="A787">
        <v>28000168</v>
      </c>
      <c r="B787" s="2" t="str">
        <f>HYPERLINK("http://www.redfin.com/stingray/do/printable-listing?listing-id=1366773","Active")</f>
        <v>Active</v>
      </c>
      <c r="D787" t="s">
        <v>3885</v>
      </c>
      <c r="E787" t="s">
        <v>5989</v>
      </c>
      <c r="F787">
        <v>799950</v>
      </c>
      <c r="G787">
        <v>2007</v>
      </c>
      <c r="H787">
        <v>3472</v>
      </c>
      <c r="I787">
        <v>7189</v>
      </c>
      <c r="J787">
        <v>4</v>
      </c>
      <c r="K787">
        <v>2.5</v>
      </c>
      <c r="M787" s="2" t="str">
        <f>HYPERLINK("http://maps.live.com/default.aspx?v=2&amp;lvl=15&amp;sp=adr.11313 SE 79th Pl (Unable to map),98056","Map")</f>
        <v>Map</v>
      </c>
      <c r="N787" s="2" t="str">
        <f>HYPERLINK("http://i-0.rfimg.us/photo/1/bigphoto/168/28000168_1.jpg","Photo")</f>
        <v>Photo</v>
      </c>
      <c r="AI787" t="s">
        <v>3885</v>
      </c>
      <c r="AJ787">
        <v>98056</v>
      </c>
      <c r="BC787" s="22">
        <v>39448.504791666666</v>
      </c>
      <c r="BI787" s="22">
        <v>39549.294907407406</v>
      </c>
      <c r="BL787">
        <v>15999</v>
      </c>
      <c r="BM787">
        <v>1366773</v>
      </c>
      <c r="BN787" t="s">
        <v>2136</v>
      </c>
      <c r="BO787" s="17">
        <f t="shared" ca="1" si="12"/>
        <v>100.80461423611268</v>
      </c>
      <c r="BP787" t="b">
        <v>0</v>
      </c>
      <c r="BQ787">
        <v>1</v>
      </c>
      <c r="BR787" t="s">
        <v>1842</v>
      </c>
      <c r="BS787" t="s">
        <v>3206</v>
      </c>
      <c r="BT787" t="b">
        <v>0</v>
      </c>
      <c r="BU787" t="s">
        <v>3856</v>
      </c>
      <c r="BV787" t="s">
        <v>1668</v>
      </c>
      <c r="BW787">
        <v>11313</v>
      </c>
      <c r="BY787">
        <v>0</v>
      </c>
      <c r="BZ787" t="s">
        <v>1748</v>
      </c>
      <c r="CA787">
        <v>1</v>
      </c>
      <c r="CB787" t="b">
        <v>1</v>
      </c>
      <c r="CC787">
        <v>0</v>
      </c>
      <c r="CD787" t="b">
        <v>0</v>
      </c>
      <c r="CE787" t="b">
        <v>0</v>
      </c>
      <c r="CF787" t="b">
        <v>1</v>
      </c>
      <c r="CG787" t="s">
        <v>1870</v>
      </c>
      <c r="CH787" t="s">
        <v>1681</v>
      </c>
      <c r="CI787" s="10">
        <v>799950</v>
      </c>
    </row>
    <row r="788" spans="1:90">
      <c r="A788">
        <v>28000170</v>
      </c>
      <c r="B788" s="2" t="str">
        <f>HYPERLINK("http://www.redfin.com/stingray/do/printable-listing?listing-id=1366776","Active")</f>
        <v>Active</v>
      </c>
      <c r="D788" t="s">
        <v>5490</v>
      </c>
      <c r="E788" t="s">
        <v>5650</v>
      </c>
      <c r="F788">
        <v>898000</v>
      </c>
      <c r="G788">
        <v>1993</v>
      </c>
      <c r="H788">
        <v>3001</v>
      </c>
      <c r="I788">
        <v>10194</v>
      </c>
      <c r="J788">
        <v>4</v>
      </c>
      <c r="K788">
        <v>2.5</v>
      </c>
      <c r="M788" s="2" t="str">
        <f>HYPERLINK("http://maps.live.com/default.aspx?v=2&amp;lvl=15&amp;sp=Point.47.55148_-122.119647_16495 SE 57th Pl&amp;cp=47.55148~-122.119647","Map")</f>
        <v>Map</v>
      </c>
      <c r="N788" s="2" t="str">
        <f>HYPERLINK("http://i-0.rfimg.us/photo/1/bigphoto/170/28000170_1.jpg","Photo")</f>
        <v>Photo</v>
      </c>
      <c r="AG788">
        <v>47.551479999999998</v>
      </c>
      <c r="AH788">
        <v>-122.119647</v>
      </c>
      <c r="AI788" t="s">
        <v>369</v>
      </c>
      <c r="AJ788">
        <v>98006</v>
      </c>
      <c r="AN788">
        <v>887500</v>
      </c>
      <c r="BC788" s="22">
        <v>39448.505023148151</v>
      </c>
      <c r="BI788" s="22">
        <v>39549.294907407406</v>
      </c>
      <c r="BL788">
        <v>17960</v>
      </c>
      <c r="BM788">
        <v>1366776</v>
      </c>
      <c r="BN788" t="s">
        <v>2419</v>
      </c>
      <c r="BO788" s="17">
        <f t="shared" ca="1" si="12"/>
        <v>100.80438275462802</v>
      </c>
      <c r="BP788" t="b">
        <v>0</v>
      </c>
      <c r="BQ788">
        <v>1</v>
      </c>
      <c r="BR788" t="s">
        <v>1842</v>
      </c>
      <c r="BS788" t="s">
        <v>1687</v>
      </c>
      <c r="BT788" t="b">
        <v>0</v>
      </c>
      <c r="BU788" t="s">
        <v>3856</v>
      </c>
      <c r="BV788" t="s">
        <v>1668</v>
      </c>
      <c r="BW788">
        <v>16495</v>
      </c>
      <c r="BY788">
        <v>418499</v>
      </c>
      <c r="BZ788" t="s">
        <v>1704</v>
      </c>
      <c r="CA788">
        <v>1</v>
      </c>
      <c r="CB788" t="b">
        <v>1</v>
      </c>
      <c r="CC788">
        <v>0</v>
      </c>
      <c r="CD788" t="b">
        <v>0</v>
      </c>
      <c r="CE788" t="b">
        <v>0</v>
      </c>
      <c r="CF788" t="b">
        <v>1</v>
      </c>
      <c r="CG788">
        <v>2569665</v>
      </c>
      <c r="CH788" t="s">
        <v>1681</v>
      </c>
      <c r="CI788" s="10">
        <v>898000</v>
      </c>
      <c r="CJ788" s="7">
        <v>39197</v>
      </c>
    </row>
    <row r="789" spans="1:90">
      <c r="A789">
        <v>28000223</v>
      </c>
      <c r="B789" s="2" t="str">
        <f>HYPERLINK("http://www.redfin.com/stingray/do/printable-listing?listing-id=1366854","Active")</f>
        <v>Active</v>
      </c>
      <c r="D789" t="s">
        <v>60</v>
      </c>
      <c r="E789" t="s">
        <v>2614</v>
      </c>
      <c r="F789">
        <v>1300000</v>
      </c>
      <c r="G789">
        <v>2008</v>
      </c>
      <c r="H789">
        <v>4225</v>
      </c>
      <c r="I789">
        <v>6420</v>
      </c>
      <c r="J789">
        <v>4</v>
      </c>
      <c r="K789">
        <v>3.5</v>
      </c>
      <c r="M789" s="2" t="str">
        <f>HYPERLINK("http://maps.live.com/default.aspx?v=2&amp;lvl=15&amp;sp=Point.47.668453_-122.338732_1511 N 55th St&amp;cp=47.668453~-122.338732","Map")</f>
        <v>Map</v>
      </c>
      <c r="N789" s="2" t="str">
        <f>HYPERLINK("http://i-0.rfimg.us/photo/1/bigphoto/223/28000223_1.jpg","Photo")</f>
        <v>Photo</v>
      </c>
      <c r="AG789">
        <v>47.668453</v>
      </c>
      <c r="AH789">
        <v>-122.33873199999999</v>
      </c>
      <c r="AI789" t="s">
        <v>66</v>
      </c>
      <c r="AJ789">
        <v>98103</v>
      </c>
      <c r="AN789">
        <v>610000</v>
      </c>
      <c r="BC789" s="22">
        <v>39448.577592592592</v>
      </c>
      <c r="BI789" s="22">
        <v>39549.294907407406</v>
      </c>
      <c r="BL789">
        <v>26000</v>
      </c>
      <c r="BM789">
        <v>1366854</v>
      </c>
      <c r="BN789" t="s">
        <v>2613</v>
      </c>
      <c r="BO789" s="17">
        <f t="shared" ca="1" si="12"/>
        <v>100.73181342592579</v>
      </c>
      <c r="BP789" t="b">
        <v>0</v>
      </c>
      <c r="BQ789">
        <v>1</v>
      </c>
      <c r="BR789" t="s">
        <v>1686</v>
      </c>
      <c r="BS789" t="s">
        <v>2514</v>
      </c>
      <c r="BT789" t="b">
        <v>0</v>
      </c>
      <c r="BU789" t="s">
        <v>1712</v>
      </c>
      <c r="BV789" t="s">
        <v>1668</v>
      </c>
      <c r="BW789">
        <v>1511</v>
      </c>
      <c r="BY789">
        <v>306014</v>
      </c>
      <c r="BZ789" t="s">
        <v>1845</v>
      </c>
      <c r="CA789">
        <v>1</v>
      </c>
      <c r="CB789" t="b">
        <v>1</v>
      </c>
      <c r="CC789">
        <v>0</v>
      </c>
      <c r="CD789" t="b">
        <v>0</v>
      </c>
      <c r="CE789" t="b">
        <v>0</v>
      </c>
      <c r="CF789" t="b">
        <v>1</v>
      </c>
      <c r="CG789">
        <v>2432457</v>
      </c>
      <c r="CH789" t="s">
        <v>1681</v>
      </c>
      <c r="CI789" s="10">
        <v>1300000</v>
      </c>
      <c r="CJ789" s="7">
        <v>39294</v>
      </c>
    </row>
    <row r="790" spans="1:90">
      <c r="A790">
        <v>28000246</v>
      </c>
      <c r="B790" s="2" t="str">
        <f>HYPERLINK("http://www.redfin.com/stingray/do/printable-listing?listing-id=1366965","Active")</f>
        <v>Active</v>
      </c>
      <c r="D790" t="s">
        <v>3066</v>
      </c>
      <c r="E790" t="s">
        <v>4912</v>
      </c>
      <c r="F790">
        <v>499000</v>
      </c>
      <c r="G790">
        <v>1966</v>
      </c>
      <c r="H790">
        <v>1700</v>
      </c>
      <c r="I790">
        <v>7725</v>
      </c>
      <c r="J790">
        <v>3</v>
      </c>
      <c r="K790">
        <v>1.75</v>
      </c>
      <c r="M790" s="2" t="str">
        <f>HYPERLINK("http://maps.live.com/default.aspx?v=2&amp;lvl=15&amp;sp=Point.47.668997_-122.161142_7112 134th Ave NE&amp;cp=47.668997~-122.161142","Map")</f>
        <v>Map</v>
      </c>
      <c r="N790" s="2" t="str">
        <f>HYPERLINK("http://i-0.rfimg.us/photo/1/bigphoto/246/28000246_1.jpg","Photo")</f>
        <v>Photo</v>
      </c>
      <c r="AG790">
        <v>47.668996999999997</v>
      </c>
      <c r="AH790">
        <v>-122.161142</v>
      </c>
      <c r="AI790" t="s">
        <v>4363</v>
      </c>
      <c r="AJ790">
        <v>98052</v>
      </c>
      <c r="AN790">
        <v>435000</v>
      </c>
      <c r="BC790" s="22">
        <v>39448.692013888889</v>
      </c>
      <c r="BI790" s="22">
        <v>39549.294907407406</v>
      </c>
      <c r="BL790">
        <v>9980</v>
      </c>
      <c r="BM790">
        <v>1366965</v>
      </c>
      <c r="BN790" t="s">
        <v>1735</v>
      </c>
      <c r="BO790" s="17">
        <f t="shared" ca="1" si="12"/>
        <v>100.61739201388991</v>
      </c>
      <c r="BP790" t="b">
        <v>0</v>
      </c>
      <c r="BQ790">
        <v>1</v>
      </c>
      <c r="BR790" t="s">
        <v>1667</v>
      </c>
      <c r="BS790" t="s">
        <v>2855</v>
      </c>
      <c r="BT790" t="b">
        <v>0</v>
      </c>
      <c r="BV790" t="s">
        <v>1668</v>
      </c>
      <c r="BW790">
        <v>7112</v>
      </c>
      <c r="BX790" t="s">
        <v>1738</v>
      </c>
      <c r="BY790">
        <v>514865</v>
      </c>
      <c r="BZ790" t="s">
        <v>1836</v>
      </c>
      <c r="CA790">
        <v>1</v>
      </c>
      <c r="CB790" t="b">
        <v>1</v>
      </c>
      <c r="CC790">
        <v>0</v>
      </c>
      <c r="CD790" t="b">
        <v>0</v>
      </c>
      <c r="CE790" t="b">
        <v>0</v>
      </c>
      <c r="CF790" t="b">
        <v>1</v>
      </c>
      <c r="CG790">
        <v>2472863</v>
      </c>
      <c r="CH790" t="s">
        <v>1681</v>
      </c>
      <c r="CI790" s="10">
        <v>499000</v>
      </c>
      <c r="CJ790" s="7">
        <v>39000</v>
      </c>
    </row>
    <row r="791" spans="1:90">
      <c r="A791">
        <v>28000280</v>
      </c>
      <c r="B791" s="2" t="str">
        <f>HYPERLINK("http://www.redfin.com/stingray/do/printable-listing?listing-id=1366996","Active")</f>
        <v>Active</v>
      </c>
      <c r="D791" t="s">
        <v>5198</v>
      </c>
      <c r="E791" t="s">
        <v>5752</v>
      </c>
      <c r="F791">
        <v>429950</v>
      </c>
      <c r="G791">
        <v>1980</v>
      </c>
      <c r="H791">
        <v>1500</v>
      </c>
      <c r="I791">
        <v>7680</v>
      </c>
      <c r="J791">
        <v>3</v>
      </c>
      <c r="K791">
        <v>2.5</v>
      </c>
      <c r="M791" s="2" t="str">
        <f>HYPERLINK("http://maps.live.com/default.aspx?v=2&amp;lvl=15&amp;sp=Point.47.558364_-122.083336_19226 SE 48th Pl&amp;cp=47.558364~-122.083336","Map")</f>
        <v>Map</v>
      </c>
      <c r="N791" s="2" t="str">
        <f>HYPERLINK("http://i-0.rfimg.us/photo/1/bigphoto/280/28000280_1.jpg","Photo")</f>
        <v>Photo</v>
      </c>
      <c r="AG791">
        <v>47.558363999999997</v>
      </c>
      <c r="AH791">
        <v>-122.083336</v>
      </c>
      <c r="AI791" t="s">
        <v>5280</v>
      </c>
      <c r="AJ791">
        <v>98027</v>
      </c>
      <c r="AN791">
        <v>289950</v>
      </c>
      <c r="BC791" s="22">
        <v>39448.723344907405</v>
      </c>
      <c r="BI791" s="22">
        <v>39549.294907407406</v>
      </c>
      <c r="BL791">
        <v>8599</v>
      </c>
      <c r="BM791">
        <v>1366996</v>
      </c>
      <c r="BN791" t="s">
        <v>2444</v>
      </c>
      <c r="BO791" s="17">
        <f t="shared" ca="1" si="12"/>
        <v>100.58606099537428</v>
      </c>
      <c r="BP791" t="b">
        <v>0</v>
      </c>
      <c r="BQ791">
        <v>1</v>
      </c>
      <c r="BR791" t="s">
        <v>1842</v>
      </c>
      <c r="BS791" t="s">
        <v>2443</v>
      </c>
      <c r="BT791" t="b">
        <v>0</v>
      </c>
      <c r="BU791" t="s">
        <v>3856</v>
      </c>
      <c r="BV791" t="s">
        <v>1668</v>
      </c>
      <c r="BW791">
        <v>19226</v>
      </c>
      <c r="BY791">
        <v>325967</v>
      </c>
      <c r="BZ791" t="s">
        <v>5753</v>
      </c>
      <c r="CA791">
        <v>1</v>
      </c>
      <c r="CB791" t="b">
        <v>1</v>
      </c>
      <c r="CC791">
        <v>0</v>
      </c>
      <c r="CD791" t="b">
        <v>0</v>
      </c>
      <c r="CE791" t="b">
        <v>0</v>
      </c>
      <c r="CF791" t="b">
        <v>1</v>
      </c>
      <c r="CG791">
        <v>2868557</v>
      </c>
      <c r="CH791" t="s">
        <v>1681</v>
      </c>
      <c r="CI791" s="10">
        <v>429950</v>
      </c>
      <c r="CJ791" s="7">
        <v>37848</v>
      </c>
    </row>
    <row r="792" spans="1:90">
      <c r="A792">
        <v>28000354</v>
      </c>
      <c r="B792" s="2" t="str">
        <f>HYPERLINK("http://www.redfin.com/stingray/do/printable-listing?listing-id=1367046","Active")</f>
        <v>Active</v>
      </c>
      <c r="D792" t="s">
        <v>1129</v>
      </c>
      <c r="E792" t="s">
        <v>1142</v>
      </c>
      <c r="F792">
        <v>439950</v>
      </c>
      <c r="G792">
        <v>1949</v>
      </c>
      <c r="H792">
        <v>1290</v>
      </c>
      <c r="I792">
        <v>10048</v>
      </c>
      <c r="J792">
        <v>2</v>
      </c>
      <c r="K792">
        <v>1.5</v>
      </c>
      <c r="M792" s="2" t="str">
        <f>HYPERLINK("http://maps.live.com/default.aspx?v=2&amp;lvl=15&amp;sp=Point.47.71135_-122.281864_11333 Sand Point Way NE&amp;cp=47.71135~-122.281864","Map")</f>
        <v>Map</v>
      </c>
      <c r="N792" s="2" t="str">
        <f>HYPERLINK("http://i-0.rfimg.us/photo/1/bigphoto/354/28000354_0.jpg","Photo")</f>
        <v>Photo</v>
      </c>
      <c r="AG792">
        <v>47.711350000000003</v>
      </c>
      <c r="AH792">
        <v>-122.281864</v>
      </c>
      <c r="AI792" t="s">
        <v>66</v>
      </c>
      <c r="AJ792">
        <v>98125</v>
      </c>
      <c r="AN792">
        <v>410000</v>
      </c>
      <c r="BC792" s="22">
        <v>39448.796354166669</v>
      </c>
      <c r="BI792" s="22">
        <v>39549.294907407406</v>
      </c>
      <c r="BL792">
        <v>8799</v>
      </c>
      <c r="BM792">
        <v>1367046</v>
      </c>
      <c r="BN792" t="s">
        <v>1688</v>
      </c>
      <c r="BO792" s="17">
        <f t="shared" ca="1" si="12"/>
        <v>100.51305173611036</v>
      </c>
      <c r="BP792" t="b">
        <v>0</v>
      </c>
      <c r="BQ792">
        <v>1</v>
      </c>
      <c r="BR792" t="s">
        <v>2463</v>
      </c>
      <c r="BS792" t="s">
        <v>1129</v>
      </c>
      <c r="BT792" t="b">
        <v>0</v>
      </c>
      <c r="BV792" t="s">
        <v>1668</v>
      </c>
      <c r="BW792">
        <v>11333</v>
      </c>
      <c r="BX792" t="s">
        <v>1738</v>
      </c>
      <c r="BY792">
        <v>111049</v>
      </c>
      <c r="BZ792" t="s">
        <v>1741</v>
      </c>
      <c r="CA792">
        <v>1</v>
      </c>
      <c r="CB792" t="b">
        <v>1</v>
      </c>
      <c r="CC792">
        <v>0</v>
      </c>
      <c r="CD792" t="b">
        <v>0</v>
      </c>
      <c r="CE792" t="b">
        <v>0</v>
      </c>
      <c r="CF792" t="b">
        <v>1</v>
      </c>
      <c r="CG792">
        <v>2778813</v>
      </c>
      <c r="CH792" t="s">
        <v>1681</v>
      </c>
      <c r="CI792" s="10">
        <v>439950</v>
      </c>
      <c r="CJ792" s="7">
        <v>39293</v>
      </c>
    </row>
    <row r="793" spans="1:90">
      <c r="A793">
        <v>28000383</v>
      </c>
      <c r="B793" s="2" t="str">
        <f>HYPERLINK("http://www.redfin.com/stingray/do/printable-listing?listing-id=1367620","Active")</f>
        <v>Active</v>
      </c>
      <c r="D793" t="s">
        <v>5113</v>
      </c>
      <c r="E793" t="s">
        <v>5311</v>
      </c>
      <c r="F793" s="19">
        <v>535000</v>
      </c>
      <c r="G793">
        <v>1966</v>
      </c>
      <c r="H793">
        <v>1860</v>
      </c>
      <c r="I793">
        <v>7659</v>
      </c>
      <c r="J793">
        <v>4</v>
      </c>
      <c r="K793">
        <v>2.5</v>
      </c>
      <c r="M793" s="2" t="str">
        <f>HYPERLINK("http://maps.live.com/default.aspx?v=2&amp;lvl=15&amp;sp=Point.47.622806_-122.104307_1426 176th Pl NE&amp;cp=47.622806~-122.104307","Map")</f>
        <v>Map</v>
      </c>
      <c r="N793" s="2" t="str">
        <f>HYPERLINK("http://i-0.rfimg.us/photo/1/bigphoto/383/28000383_1.jpg","Photo")</f>
        <v>Photo</v>
      </c>
      <c r="AG793">
        <v>47.622805999999997</v>
      </c>
      <c r="AH793">
        <v>-122.10430700000001</v>
      </c>
      <c r="AI793" t="s">
        <v>369</v>
      </c>
      <c r="AJ793">
        <v>98008</v>
      </c>
      <c r="BC793" s="22">
        <v>39449.411006944443</v>
      </c>
      <c r="BI793" s="22">
        <v>39549.294907407406</v>
      </c>
      <c r="BL793">
        <v>10999</v>
      </c>
      <c r="BM793">
        <v>1367620</v>
      </c>
      <c r="BN793" t="s">
        <v>1768</v>
      </c>
      <c r="BO793" s="17">
        <f t="shared" ca="1" si="12"/>
        <v>99.898398958335747</v>
      </c>
      <c r="BP793" t="b">
        <v>0</v>
      </c>
      <c r="BQ793">
        <v>1</v>
      </c>
      <c r="BR793" t="s">
        <v>1842</v>
      </c>
      <c r="BS793" t="s">
        <v>5312</v>
      </c>
      <c r="BT793" t="b">
        <v>0</v>
      </c>
      <c r="BV793" t="s">
        <v>1668</v>
      </c>
      <c r="BW793">
        <v>1426</v>
      </c>
      <c r="BX793" t="s">
        <v>1738</v>
      </c>
      <c r="BY793">
        <v>502928</v>
      </c>
      <c r="BZ793" t="s">
        <v>1742</v>
      </c>
      <c r="CA793">
        <v>1</v>
      </c>
      <c r="CB793" t="b">
        <v>1</v>
      </c>
      <c r="CC793">
        <v>0</v>
      </c>
      <c r="CD793" t="b">
        <v>0</v>
      </c>
      <c r="CE793" t="b">
        <v>0</v>
      </c>
      <c r="CF793" t="b">
        <v>1</v>
      </c>
      <c r="CG793">
        <v>2419333</v>
      </c>
      <c r="CH793" t="s">
        <v>1681</v>
      </c>
      <c r="CI793" s="10">
        <v>549950</v>
      </c>
    </row>
    <row r="794" spans="1:90">
      <c r="A794">
        <v>28000387</v>
      </c>
      <c r="B794" s="2" t="str">
        <f>HYPERLINK("http://www.redfin.com/stingray/do/printable-listing?listing-id=1367164","Active")</f>
        <v>Active</v>
      </c>
      <c r="D794" t="s">
        <v>101</v>
      </c>
      <c r="E794" t="s">
        <v>1257</v>
      </c>
      <c r="F794">
        <v>729000</v>
      </c>
      <c r="G794">
        <v>1946</v>
      </c>
      <c r="H794">
        <v>2240</v>
      </c>
      <c r="I794">
        <v>7094</v>
      </c>
      <c r="J794">
        <v>3</v>
      </c>
      <c r="K794">
        <v>2</v>
      </c>
      <c r="M794" s="2" t="str">
        <f>HYPERLINK("http://maps.live.com/default.aspx?v=2&amp;lvl=15&amp;sp=Point.47.700262_-122.38922_2511 NW North Beach Dr&amp;cp=47.700262~-122.38922","Map")</f>
        <v>Map</v>
      </c>
      <c r="N794" s="2" t="str">
        <f>HYPERLINK("http://i-0.rfimg.us/photo/1/bigphoto/387/28000387_1.jpg","Photo")</f>
        <v>Photo</v>
      </c>
      <c r="AG794">
        <v>47.700262000000002</v>
      </c>
      <c r="AH794">
        <v>-122.38921999999999</v>
      </c>
      <c r="AI794" t="s">
        <v>66</v>
      </c>
      <c r="AJ794">
        <v>98117</v>
      </c>
      <c r="AN794">
        <v>540750</v>
      </c>
      <c r="BC794" s="22">
        <v>39448.838055555556</v>
      </c>
      <c r="BI794" s="7">
        <v>39539</v>
      </c>
      <c r="BL794">
        <v>14580</v>
      </c>
      <c r="BM794">
        <v>1367164</v>
      </c>
      <c r="BN794" t="s">
        <v>1939</v>
      </c>
      <c r="BO794" s="17">
        <f t="shared" ca="1" si="12"/>
        <v>100.47135046296171</v>
      </c>
      <c r="BP794" t="b">
        <v>0</v>
      </c>
      <c r="BQ794">
        <v>1</v>
      </c>
      <c r="BR794" t="s">
        <v>1816</v>
      </c>
      <c r="BS794" t="s">
        <v>101</v>
      </c>
      <c r="BT794" t="b">
        <v>0</v>
      </c>
      <c r="BU794" t="s">
        <v>1669</v>
      </c>
      <c r="BV794" t="s">
        <v>1668</v>
      </c>
      <c r="BW794">
        <v>2511</v>
      </c>
      <c r="BY794">
        <v>289929</v>
      </c>
      <c r="BZ794" t="s">
        <v>1843</v>
      </c>
      <c r="CA794">
        <v>1</v>
      </c>
      <c r="CB794" t="b">
        <v>1</v>
      </c>
      <c r="CC794">
        <v>0</v>
      </c>
      <c r="CD794" t="b">
        <v>0</v>
      </c>
      <c r="CE794" t="b">
        <v>0</v>
      </c>
      <c r="CF794" t="b">
        <v>1</v>
      </c>
      <c r="CG794">
        <v>2701736</v>
      </c>
      <c r="CH794" t="s">
        <v>1681</v>
      </c>
      <c r="CI794" s="10">
        <v>729000</v>
      </c>
      <c r="CJ794" s="7">
        <v>39232</v>
      </c>
    </row>
    <row r="795" spans="1:90">
      <c r="A795">
        <v>28000412</v>
      </c>
      <c r="B795" s="2" t="str">
        <f>HYPERLINK("http://www.redfin.com/stingray/do/printable-listing?listing-id=1369527","Active")</f>
        <v>Active</v>
      </c>
      <c r="D795" t="s">
        <v>5629</v>
      </c>
      <c r="E795" t="s">
        <v>5761</v>
      </c>
      <c r="F795">
        <v>598500</v>
      </c>
      <c r="G795">
        <v>1995</v>
      </c>
      <c r="H795">
        <v>2380</v>
      </c>
      <c r="I795">
        <v>19860</v>
      </c>
      <c r="J795">
        <v>4</v>
      </c>
      <c r="K795">
        <v>2.5</v>
      </c>
      <c r="M795" s="2" t="str">
        <f>HYPERLINK("http://maps.live.com/default.aspx?v=2&amp;lvl=15&amp;sp=Point.47.525421_-122.172927_8525 126th Pl SE&amp;cp=47.525421~-122.172927","Map")</f>
        <v>Map</v>
      </c>
      <c r="N795" s="2" t="str">
        <f>HYPERLINK("http://i-0.rfimg.us/photo/1/bigphoto/412/28000412_1.jpg","Photo")</f>
        <v>Photo</v>
      </c>
      <c r="AG795">
        <v>47.525421000000001</v>
      </c>
      <c r="AH795">
        <v>-122.172927</v>
      </c>
      <c r="AI795" t="s">
        <v>3885</v>
      </c>
      <c r="AJ795">
        <v>98056</v>
      </c>
      <c r="AN795">
        <v>650000</v>
      </c>
      <c r="BC795" s="22">
        <v>39449.812835648147</v>
      </c>
      <c r="BI795" s="22">
        <v>39549.294907407406</v>
      </c>
      <c r="BL795">
        <v>11970</v>
      </c>
      <c r="BM795">
        <v>1369527</v>
      </c>
      <c r="BN795" t="s">
        <v>1673</v>
      </c>
      <c r="BO795" s="17">
        <f t="shared" ca="1" si="12"/>
        <v>99.496570254632388</v>
      </c>
      <c r="BP795" t="b">
        <v>0</v>
      </c>
      <c r="BQ795">
        <v>1</v>
      </c>
      <c r="BR795" t="s">
        <v>1842</v>
      </c>
      <c r="BS795" t="s">
        <v>4544</v>
      </c>
      <c r="BT795" t="b">
        <v>0</v>
      </c>
      <c r="BV795" t="s">
        <v>1668</v>
      </c>
      <c r="BW795">
        <v>8525</v>
      </c>
      <c r="BX795" t="s">
        <v>3856</v>
      </c>
      <c r="BY795">
        <v>417840</v>
      </c>
      <c r="BZ795" t="s">
        <v>5762</v>
      </c>
      <c r="CA795">
        <v>1</v>
      </c>
      <c r="CB795" t="b">
        <v>1</v>
      </c>
      <c r="CC795">
        <v>0</v>
      </c>
      <c r="CD795" t="b">
        <v>0</v>
      </c>
      <c r="CE795" t="b">
        <v>0</v>
      </c>
      <c r="CF795" t="b">
        <v>1</v>
      </c>
      <c r="CG795">
        <v>2853413</v>
      </c>
      <c r="CH795" t="s">
        <v>1681</v>
      </c>
      <c r="CI795" s="10">
        <v>598500</v>
      </c>
      <c r="CJ795" s="7">
        <v>38959</v>
      </c>
    </row>
    <row r="796" spans="1:90">
      <c r="A796">
        <v>28000492</v>
      </c>
      <c r="B796" s="2" t="str">
        <f>HYPERLINK("http://www.redfin.com/stingray/do/printable-listing?listing-id=1367548","Active")</f>
        <v>Active</v>
      </c>
      <c r="D796" t="s">
        <v>3064</v>
      </c>
      <c r="E796" t="s">
        <v>4364</v>
      </c>
      <c r="F796">
        <v>699900</v>
      </c>
      <c r="G796">
        <v>1996</v>
      </c>
      <c r="H796">
        <v>3210</v>
      </c>
      <c r="I796">
        <v>9583</v>
      </c>
      <c r="J796">
        <v>4</v>
      </c>
      <c r="K796">
        <v>3.5</v>
      </c>
      <c r="M796" s="2" t="str">
        <f>HYPERLINK("http://maps.live.com/default.aspx?v=2&amp;lvl=15&amp;sp=Point.47.695782_-122.186841_11518 NE 107 Pl&amp;cp=47.695782~-122.186841","Map")</f>
        <v>Map</v>
      </c>
      <c r="N796" s="2" t="str">
        <f>HYPERLINK("http://i-0.rfimg.us/photo/1/bigphoto/492/28000492_1.jpg","Photo")</f>
        <v>Photo</v>
      </c>
      <c r="AG796">
        <v>47.695782000000001</v>
      </c>
      <c r="AH796">
        <v>-122.186841</v>
      </c>
      <c r="AI796" t="s">
        <v>1058</v>
      </c>
      <c r="AJ796">
        <v>98033</v>
      </c>
      <c r="AN796">
        <v>283000</v>
      </c>
      <c r="BC796" s="22">
        <v>39449.400543981479</v>
      </c>
      <c r="BI796" s="22">
        <v>39549.294907407406</v>
      </c>
      <c r="BL796">
        <v>13998</v>
      </c>
      <c r="BM796">
        <v>1367548</v>
      </c>
      <c r="BN796" t="s">
        <v>1688</v>
      </c>
      <c r="BO796" s="17">
        <f t="shared" ca="1" si="12"/>
        <v>99.908861921299831</v>
      </c>
      <c r="BP796" t="b">
        <v>0</v>
      </c>
      <c r="BQ796">
        <v>1</v>
      </c>
      <c r="BR796" t="s">
        <v>1842</v>
      </c>
      <c r="BS796">
        <v>107</v>
      </c>
      <c r="BT796" t="b">
        <v>0</v>
      </c>
      <c r="BU796" t="s">
        <v>1738</v>
      </c>
      <c r="BV796" t="s">
        <v>1668</v>
      </c>
      <c r="BW796">
        <v>11518</v>
      </c>
      <c r="BY796">
        <v>461620</v>
      </c>
      <c r="BZ796" t="s">
        <v>4365</v>
      </c>
      <c r="CA796">
        <v>1</v>
      </c>
      <c r="CB796" t="b">
        <v>1</v>
      </c>
      <c r="CC796">
        <v>0</v>
      </c>
      <c r="CD796" t="b">
        <v>0</v>
      </c>
      <c r="CE796" t="b">
        <v>0</v>
      </c>
      <c r="CF796" t="b">
        <v>1</v>
      </c>
      <c r="CG796">
        <v>2745179</v>
      </c>
      <c r="CH796" t="s">
        <v>1681</v>
      </c>
      <c r="CI796" s="10">
        <v>699900</v>
      </c>
      <c r="CJ796" s="7">
        <v>35132</v>
      </c>
    </row>
    <row r="797" spans="1:90">
      <c r="A797">
        <v>28000515</v>
      </c>
      <c r="B797" s="2" t="str">
        <f>HYPERLINK("http://www.redfin.com/stingray/do/printable-listing?listing-id=1367535","Active")</f>
        <v>Active</v>
      </c>
      <c r="D797" t="s">
        <v>3961</v>
      </c>
      <c r="E797" t="s">
        <v>4243</v>
      </c>
      <c r="F797">
        <v>669000</v>
      </c>
      <c r="G797">
        <v>1931</v>
      </c>
      <c r="H797">
        <v>1850</v>
      </c>
      <c r="I797">
        <v>3000</v>
      </c>
      <c r="J797">
        <v>3</v>
      </c>
      <c r="K797">
        <v>1.5</v>
      </c>
      <c r="M797" s="2" t="str">
        <f>HYPERLINK("http://maps.live.com/default.aspx?v=2&amp;lvl=15&amp;sp=Point.47.602078_-122.291053_112 32nd Ave&amp;cp=47.602078~-122.291053","Map")</f>
        <v>Map</v>
      </c>
      <c r="N797" s="2" t="str">
        <f>HYPERLINK("http://i-0.rfimg.us/photo/1/bigphoto/515/28000515_L.jpg","Photo")</f>
        <v>Photo</v>
      </c>
      <c r="AG797">
        <v>47.602077999999999</v>
      </c>
      <c r="AH797">
        <v>-122.29105300000001</v>
      </c>
      <c r="AI797" t="s">
        <v>66</v>
      </c>
      <c r="AJ797">
        <v>98122</v>
      </c>
      <c r="AN797">
        <v>390000</v>
      </c>
      <c r="BC797" s="22">
        <v>39449.390127314815</v>
      </c>
      <c r="BI797" s="22">
        <v>39549.294907407406</v>
      </c>
      <c r="BL797">
        <v>13380</v>
      </c>
      <c r="BM797">
        <v>1367535</v>
      </c>
      <c r="BN797" t="s">
        <v>1688</v>
      </c>
      <c r="BO797" s="17">
        <f t="shared" ca="1" si="12"/>
        <v>99.919278587964072</v>
      </c>
      <c r="BP797" t="b">
        <v>0</v>
      </c>
      <c r="BQ797">
        <v>1</v>
      </c>
      <c r="BR797" t="s">
        <v>1667</v>
      </c>
      <c r="BS797" t="s">
        <v>1733</v>
      </c>
      <c r="BT797" t="b">
        <v>0</v>
      </c>
      <c r="BV797" t="s">
        <v>1668</v>
      </c>
      <c r="BW797">
        <v>112</v>
      </c>
      <c r="BY797">
        <v>140473</v>
      </c>
      <c r="BZ797" t="s">
        <v>4244</v>
      </c>
      <c r="CA797">
        <v>1</v>
      </c>
      <c r="CB797" t="b">
        <v>1</v>
      </c>
      <c r="CC797">
        <v>0</v>
      </c>
      <c r="CD797" t="b">
        <v>0</v>
      </c>
      <c r="CE797" t="b">
        <v>0</v>
      </c>
      <c r="CF797" t="b">
        <v>1</v>
      </c>
      <c r="CG797">
        <v>2893273</v>
      </c>
      <c r="CH797" t="s">
        <v>1681</v>
      </c>
      <c r="CI797" s="10">
        <v>669000</v>
      </c>
      <c r="CJ797" s="7">
        <v>37831</v>
      </c>
    </row>
    <row r="798" spans="1:90">
      <c r="A798">
        <v>28000527</v>
      </c>
      <c r="B798" s="2" t="str">
        <f>HYPERLINK("http://www.redfin.com/stingray/do/printable-listing?listing-id=1367549","Active")</f>
        <v>Active</v>
      </c>
      <c r="D798" t="s">
        <v>63</v>
      </c>
      <c r="E798" t="s">
        <v>2564</v>
      </c>
      <c r="F798">
        <v>425000</v>
      </c>
      <c r="G798">
        <v>2001</v>
      </c>
      <c r="H798">
        <v>1750</v>
      </c>
      <c r="I798">
        <v>0</v>
      </c>
      <c r="J798">
        <v>3</v>
      </c>
      <c r="K798">
        <v>2.5</v>
      </c>
      <c r="M798" s="2" t="str">
        <f>HYPERLINK("http://maps.live.com/default.aspx?v=2&amp;lvl=15&amp;sp=Point.47.673955_-122.367279_826 NW 62nd St&amp;cp=47.673955~-122.367279","Map")</f>
        <v>Map</v>
      </c>
      <c r="N798" s="2" t="str">
        <f>HYPERLINK("http://i-0.rfimg.us/photo/1/bigphoto/527/28000527_1.jpg","Photo")</f>
        <v>Photo</v>
      </c>
      <c r="AG798">
        <v>47.673954999999999</v>
      </c>
      <c r="AH798">
        <v>-122.367279</v>
      </c>
      <c r="AI798" t="s">
        <v>66</v>
      </c>
      <c r="AJ798">
        <v>98107</v>
      </c>
      <c r="BC798" s="22">
        <v>39449.400590277779</v>
      </c>
      <c r="BI798" s="22">
        <v>39549.294907407406</v>
      </c>
      <c r="BL798">
        <v>8500</v>
      </c>
      <c r="BM798">
        <v>1367549</v>
      </c>
      <c r="BN798" t="s">
        <v>1725</v>
      </c>
      <c r="BO798" s="17">
        <f t="shared" ca="1" si="12"/>
        <v>99.908815740738646</v>
      </c>
      <c r="BP798" t="b">
        <v>0</v>
      </c>
      <c r="BQ798">
        <v>1</v>
      </c>
      <c r="BR798" t="s">
        <v>1686</v>
      </c>
      <c r="BS798" t="s">
        <v>2565</v>
      </c>
      <c r="BT798" t="b">
        <v>0</v>
      </c>
      <c r="BU798" t="s">
        <v>1669</v>
      </c>
      <c r="BV798" t="s">
        <v>1668</v>
      </c>
      <c r="BW798">
        <v>826</v>
      </c>
      <c r="BY798">
        <v>12322574</v>
      </c>
      <c r="BZ798" t="s">
        <v>2566</v>
      </c>
      <c r="CA798">
        <v>1</v>
      </c>
      <c r="CB798" t="b">
        <v>1</v>
      </c>
      <c r="CC798">
        <v>0</v>
      </c>
      <c r="CD798" t="b">
        <v>0</v>
      </c>
      <c r="CE798" t="b">
        <v>0</v>
      </c>
      <c r="CF798" t="b">
        <v>1</v>
      </c>
      <c r="CG798">
        <v>15528597</v>
      </c>
      <c r="CH798" t="s">
        <v>1681</v>
      </c>
      <c r="CI798" s="10">
        <v>425000</v>
      </c>
      <c r="CL798" t="s">
        <v>2563</v>
      </c>
    </row>
    <row r="799" spans="1:90">
      <c r="A799">
        <v>28000534</v>
      </c>
      <c r="B799" s="15" t="str">
        <f>HYPERLINK("http://www.redfin.com/stingray/do/printable-listing?listing-id=1367550","Subject To Inspection")</f>
        <v>Subject To Inspection</v>
      </c>
      <c r="D799" t="s">
        <v>1023</v>
      </c>
      <c r="E799" t="s">
        <v>1209</v>
      </c>
      <c r="F799">
        <v>590000</v>
      </c>
      <c r="G799">
        <v>1952</v>
      </c>
      <c r="H799">
        <v>0</v>
      </c>
      <c r="I799">
        <v>7640</v>
      </c>
      <c r="J799">
        <v>3</v>
      </c>
      <c r="K799">
        <v>1.75</v>
      </c>
      <c r="M799" s="2" t="str">
        <f>HYPERLINK("http://maps.live.com/default.aspx?v=2&amp;lvl=15&amp;sp=Point.47.676133_-122.399621_3228 NW 65th St&amp;cp=47.676133~-122.399621","Map")</f>
        <v>Map</v>
      </c>
      <c r="N799" s="2" t="str">
        <f>HYPERLINK("http://i-0.rfimg.us/photo/1/bigphoto/534/28000534_0.jpg","Photo")</f>
        <v>Photo</v>
      </c>
      <c r="AG799">
        <v>47.676133</v>
      </c>
      <c r="AH799">
        <v>-122.399621</v>
      </c>
      <c r="AI799" t="s">
        <v>66</v>
      </c>
      <c r="AJ799">
        <v>98117</v>
      </c>
      <c r="BC799" s="22">
        <v>39449.400601851848</v>
      </c>
      <c r="BI799" s="7">
        <v>39535</v>
      </c>
      <c r="BL799">
        <v>11800</v>
      </c>
      <c r="BM799">
        <v>1367550</v>
      </c>
      <c r="BN799" t="s">
        <v>1725</v>
      </c>
      <c r="BO799" s="17">
        <f t="shared" ca="1" si="12"/>
        <v>99.908804166669142</v>
      </c>
      <c r="BP799" t="b">
        <v>0</v>
      </c>
      <c r="BQ799">
        <v>1</v>
      </c>
      <c r="BR799" t="s">
        <v>1686</v>
      </c>
      <c r="BS799" t="s">
        <v>1708</v>
      </c>
      <c r="BT799" t="b">
        <v>0</v>
      </c>
      <c r="BU799" t="s">
        <v>1669</v>
      </c>
      <c r="BV799" t="s">
        <v>1668</v>
      </c>
      <c r="BW799">
        <v>3228</v>
      </c>
      <c r="BY799">
        <v>290379</v>
      </c>
      <c r="BZ799" t="s">
        <v>1745</v>
      </c>
      <c r="CA799">
        <v>1</v>
      </c>
      <c r="CB799" t="b">
        <v>1</v>
      </c>
      <c r="CC799">
        <v>0</v>
      </c>
      <c r="CD799" t="b">
        <v>0</v>
      </c>
      <c r="CE799" t="b">
        <v>0</v>
      </c>
      <c r="CF799" t="b">
        <v>1</v>
      </c>
      <c r="CG799">
        <v>2706661</v>
      </c>
      <c r="CH799" t="s">
        <v>1681</v>
      </c>
      <c r="CI799" s="10">
        <v>590000</v>
      </c>
      <c r="CK799" t="s">
        <v>2279</v>
      </c>
    </row>
    <row r="800" spans="1:90">
      <c r="A800">
        <v>28000562</v>
      </c>
      <c r="B800" s="15" t="str">
        <f>HYPERLINK("http://www.redfin.com/stingray/do/printable-listing?listing-id=1377993","Subject To Inspection")</f>
        <v>Subject To Inspection</v>
      </c>
      <c r="D800" t="s">
        <v>63</v>
      </c>
      <c r="E800" t="s">
        <v>367</v>
      </c>
      <c r="F800">
        <v>370000</v>
      </c>
      <c r="G800">
        <v>1930</v>
      </c>
      <c r="H800">
        <v>0</v>
      </c>
      <c r="I800">
        <v>4000</v>
      </c>
      <c r="J800">
        <v>2</v>
      </c>
      <c r="K800">
        <v>1</v>
      </c>
      <c r="M800" s="2" t="str">
        <f>HYPERLINK("http://maps.live.com/default.aspx?v=2&amp;lvl=15&amp;sp=Point.47.693767_-122.379259_8745 17th Ave NW&amp;cp=47.693767~-122.379259","Map")</f>
        <v>Map</v>
      </c>
      <c r="N800" s="2" t="str">
        <f>HYPERLINK("http://i-0.rfimg.us/photo/1/bigphoto/562/28000562_S.jpg","Photo")</f>
        <v>Photo</v>
      </c>
      <c r="AG800">
        <v>47.693767000000001</v>
      </c>
      <c r="AH800">
        <v>-122.379259</v>
      </c>
      <c r="AI800" t="s">
        <v>66</v>
      </c>
      <c r="AJ800">
        <v>98117</v>
      </c>
      <c r="AN800">
        <v>65000</v>
      </c>
      <c r="BC800" s="22">
        <v>39452.766770833332</v>
      </c>
      <c r="BI800" s="22">
        <v>39549.294907407406</v>
      </c>
      <c r="BL800">
        <v>7400</v>
      </c>
      <c r="BM800">
        <v>1377993</v>
      </c>
      <c r="BN800" t="s">
        <v>1697</v>
      </c>
      <c r="BO800" s="17">
        <f t="shared" ca="1" si="12"/>
        <v>96.542635185185645</v>
      </c>
      <c r="BP800" t="b">
        <v>0</v>
      </c>
      <c r="BQ800">
        <v>1</v>
      </c>
      <c r="BR800" t="s">
        <v>1667</v>
      </c>
      <c r="BS800" t="s">
        <v>1683</v>
      </c>
      <c r="BT800" t="b">
        <v>0</v>
      </c>
      <c r="BV800" t="s">
        <v>1668</v>
      </c>
      <c r="BW800">
        <v>8745</v>
      </c>
      <c r="BX800" t="s">
        <v>1669</v>
      </c>
      <c r="BY800">
        <v>100021</v>
      </c>
      <c r="BZ800" t="s">
        <v>1698</v>
      </c>
      <c r="CA800">
        <v>1</v>
      </c>
      <c r="CB800" t="b">
        <v>1</v>
      </c>
      <c r="CC800">
        <v>0</v>
      </c>
      <c r="CD800" t="b">
        <v>0</v>
      </c>
      <c r="CE800" t="b">
        <v>0</v>
      </c>
      <c r="CF800" t="b">
        <v>1</v>
      </c>
      <c r="CG800">
        <v>2548414</v>
      </c>
      <c r="CH800" t="s">
        <v>1681</v>
      </c>
      <c r="CI800" s="10">
        <v>370000</v>
      </c>
      <c r="CJ800" s="7">
        <v>30505</v>
      </c>
    </row>
    <row r="801" spans="1:90">
      <c r="A801">
        <v>28000576</v>
      </c>
      <c r="B801" s="2" t="str">
        <f>HYPERLINK("http://www.redfin.com/stingray/do/printable-listing?listing-id=1367651","Active")</f>
        <v>Active</v>
      </c>
      <c r="D801" t="s">
        <v>109</v>
      </c>
      <c r="E801" t="s">
        <v>2399</v>
      </c>
      <c r="F801" s="19">
        <v>799950</v>
      </c>
      <c r="G801">
        <v>1906</v>
      </c>
      <c r="H801">
        <v>2900</v>
      </c>
      <c r="I801">
        <v>3333</v>
      </c>
      <c r="J801">
        <v>3</v>
      </c>
      <c r="K801">
        <v>2.25</v>
      </c>
      <c r="M801" s="2" t="str">
        <f>HYPERLINK("http://maps.live.com/default.aspx?v=2&amp;lvl=15&amp;sp=Point.47.664142_-122.335413_4819 Burke Ave N&amp;cp=47.664142~-122.335413","Map")</f>
        <v>Map</v>
      </c>
      <c r="N801" s="2" t="str">
        <f>HYPERLINK("http://i-0.rfimg.us/photo/1/bigphoto/576/28000576_0.jpg","Photo")</f>
        <v>Photo</v>
      </c>
      <c r="AG801">
        <v>47.664141999999998</v>
      </c>
      <c r="AH801">
        <v>-122.335413</v>
      </c>
      <c r="AI801" t="s">
        <v>66</v>
      </c>
      <c r="AJ801">
        <v>98103</v>
      </c>
      <c r="AN801">
        <v>405000</v>
      </c>
      <c r="BC801" s="22">
        <v>39449.422013888892</v>
      </c>
      <c r="BI801" s="22">
        <v>39549.294907407406</v>
      </c>
      <c r="BL801">
        <v>16599</v>
      </c>
      <c r="BM801">
        <v>1367651</v>
      </c>
      <c r="BN801" t="s">
        <v>1775</v>
      </c>
      <c r="BO801" s="17">
        <f t="shared" ca="1" si="12"/>
        <v>99.887392129625368</v>
      </c>
      <c r="BP801" t="b">
        <v>0</v>
      </c>
      <c r="BQ801">
        <v>1</v>
      </c>
      <c r="BR801" t="s">
        <v>1667</v>
      </c>
      <c r="BS801" t="s">
        <v>2370</v>
      </c>
      <c r="BT801" t="b">
        <v>0</v>
      </c>
      <c r="BV801" t="s">
        <v>1668</v>
      </c>
      <c r="BW801">
        <v>4819</v>
      </c>
      <c r="BX801" t="s">
        <v>1712</v>
      </c>
      <c r="BY801">
        <v>118422</v>
      </c>
      <c r="BZ801" t="s">
        <v>1747</v>
      </c>
      <c r="CA801">
        <v>1</v>
      </c>
      <c r="CB801" t="b">
        <v>1</v>
      </c>
      <c r="CC801">
        <v>0</v>
      </c>
      <c r="CD801" t="b">
        <v>0</v>
      </c>
      <c r="CE801" t="b">
        <v>0</v>
      </c>
      <c r="CF801" t="b">
        <v>1</v>
      </c>
      <c r="CG801">
        <v>2582693</v>
      </c>
      <c r="CH801" t="s">
        <v>1681</v>
      </c>
      <c r="CI801" s="10">
        <v>829950</v>
      </c>
      <c r="CJ801" s="7">
        <v>38747</v>
      </c>
    </row>
    <row r="802" spans="1:90">
      <c r="A802">
        <v>28000577</v>
      </c>
      <c r="B802" s="2" t="str">
        <f>HYPERLINK("http://www.redfin.com/stingray/do/printable-listing?listing-id=1368451","Active")</f>
        <v>Active</v>
      </c>
      <c r="D802" t="s">
        <v>4974</v>
      </c>
      <c r="E802" t="s">
        <v>5095</v>
      </c>
      <c r="F802">
        <v>765000</v>
      </c>
      <c r="G802">
        <v>1955</v>
      </c>
      <c r="H802">
        <v>1210</v>
      </c>
      <c r="I802">
        <v>9900</v>
      </c>
      <c r="J802">
        <v>4</v>
      </c>
      <c r="K802">
        <v>1</v>
      </c>
      <c r="M802" s="2" t="str">
        <f>HYPERLINK("http://maps.live.com/default.aspx?v=2&amp;lvl=15&amp;sp=Point.47.625957_-122.193803_10924 NE 18 Pl&amp;cp=47.625957~-122.193803","Map")</f>
        <v>Map</v>
      </c>
      <c r="N802" s="2" t="str">
        <f>HYPERLINK("http://i-0.rfimg.us/photo/1/bigphoto/577/28000577_0.jpg","Photo")</f>
        <v>Photo</v>
      </c>
      <c r="AG802">
        <v>47.625957</v>
      </c>
      <c r="AH802">
        <v>-122.193803</v>
      </c>
      <c r="AI802" t="s">
        <v>369</v>
      </c>
      <c r="AJ802">
        <v>98004</v>
      </c>
      <c r="AN802">
        <v>315600</v>
      </c>
      <c r="BC802" s="22">
        <v>39449.573958333334</v>
      </c>
      <c r="BI802" s="7">
        <v>39540</v>
      </c>
      <c r="BL802">
        <v>15300</v>
      </c>
      <c r="BM802">
        <v>1368451</v>
      </c>
      <c r="BN802" t="s">
        <v>1768</v>
      </c>
      <c r="BO802" s="17">
        <f t="shared" ca="1" si="12"/>
        <v>99.735447569444659</v>
      </c>
      <c r="BP802" t="b">
        <v>0</v>
      </c>
      <c r="BQ802">
        <v>1</v>
      </c>
      <c r="BR802" t="s">
        <v>1842</v>
      </c>
      <c r="BS802">
        <v>18</v>
      </c>
      <c r="BT802" t="b">
        <v>0</v>
      </c>
      <c r="BU802" t="s">
        <v>1738</v>
      </c>
      <c r="BV802" t="s">
        <v>1668</v>
      </c>
      <c r="BW802">
        <v>10924</v>
      </c>
      <c r="BY802">
        <v>506032</v>
      </c>
      <c r="BZ802" t="s">
        <v>1741</v>
      </c>
      <c r="CA802">
        <v>1</v>
      </c>
      <c r="CB802" t="b">
        <v>1</v>
      </c>
      <c r="CC802">
        <v>0</v>
      </c>
      <c r="CD802" t="b">
        <v>1</v>
      </c>
      <c r="CE802" t="b">
        <v>0</v>
      </c>
      <c r="CF802" t="b">
        <v>1</v>
      </c>
      <c r="CG802">
        <v>2744345</v>
      </c>
      <c r="CH802" t="s">
        <v>1681</v>
      </c>
      <c r="CI802" s="10">
        <v>765000</v>
      </c>
      <c r="CJ802" s="7">
        <v>37802</v>
      </c>
    </row>
    <row r="803" spans="1:90">
      <c r="A803">
        <v>28000597</v>
      </c>
      <c r="B803" s="2" t="str">
        <f>HYPERLINK("http://www.redfin.com/stingray/do/printable-listing?listing-id=1367716","Active")</f>
        <v>Active</v>
      </c>
      <c r="D803" t="s">
        <v>2848</v>
      </c>
      <c r="E803" t="s">
        <v>2858</v>
      </c>
      <c r="F803">
        <v>2150000</v>
      </c>
      <c r="G803">
        <v>2008</v>
      </c>
      <c r="H803">
        <v>5763</v>
      </c>
      <c r="I803">
        <v>11342</v>
      </c>
      <c r="J803">
        <v>5</v>
      </c>
      <c r="K803">
        <v>4.5</v>
      </c>
      <c r="M803" s="2" t="str">
        <f>HYPERLINK("http://maps.live.com/default.aspx?v=2&amp;lvl=15&amp;sp=Point.47.72054_-122.259677_13249 Holmes Pt. Dr NE&amp;cp=47.72054~-122.259677","Map")</f>
        <v>Map</v>
      </c>
      <c r="N803" s="2" t="str">
        <f>HYPERLINK("http://i-0.rfimg.us/photo/1/bigphoto/597/28000597_2.jpg","Photo")</f>
        <v>Photo</v>
      </c>
      <c r="AG803">
        <v>47.72054</v>
      </c>
      <c r="AH803">
        <v>-122.259677</v>
      </c>
      <c r="AI803" t="s">
        <v>1058</v>
      </c>
      <c r="AJ803">
        <v>98034</v>
      </c>
      <c r="AN803">
        <v>900000</v>
      </c>
      <c r="BC803" s="22">
        <v>39449.432280092595</v>
      </c>
      <c r="BI803" s="22">
        <v>39549.294907407406</v>
      </c>
      <c r="BL803">
        <v>43000</v>
      </c>
      <c r="BM803">
        <v>1367716</v>
      </c>
      <c r="BN803" t="s">
        <v>1798</v>
      </c>
      <c r="BO803" s="17">
        <f t="shared" ca="1" si="12"/>
        <v>99.877125810184225</v>
      </c>
      <c r="BP803" t="b">
        <v>0</v>
      </c>
      <c r="BQ803">
        <v>1</v>
      </c>
      <c r="BR803" t="s">
        <v>1816</v>
      </c>
      <c r="BS803" t="s">
        <v>2859</v>
      </c>
      <c r="BT803" t="b">
        <v>0</v>
      </c>
      <c r="BV803" t="s">
        <v>1668</v>
      </c>
      <c r="BW803">
        <v>13249</v>
      </c>
      <c r="BX803" t="s">
        <v>1738</v>
      </c>
      <c r="BY803">
        <v>282213</v>
      </c>
      <c r="BZ803" t="s">
        <v>2064</v>
      </c>
      <c r="CA803">
        <v>1</v>
      </c>
      <c r="CB803" t="b">
        <v>1</v>
      </c>
      <c r="CC803">
        <v>0</v>
      </c>
      <c r="CD803" t="b">
        <v>0</v>
      </c>
      <c r="CE803" t="b">
        <v>0</v>
      </c>
      <c r="CF803" t="b">
        <v>1</v>
      </c>
      <c r="CG803">
        <v>2762032</v>
      </c>
      <c r="CH803" t="s">
        <v>1681</v>
      </c>
      <c r="CI803" s="10">
        <v>2150000</v>
      </c>
      <c r="CJ803" s="7">
        <v>38883</v>
      </c>
    </row>
    <row r="804" spans="1:90">
      <c r="A804">
        <v>28000601</v>
      </c>
      <c r="B804" s="2" t="str">
        <f>HYPERLINK("http://www.redfin.com/stingray/do/printable-listing?listing-id=1367960","Active")</f>
        <v>Active</v>
      </c>
      <c r="D804" t="s">
        <v>5926</v>
      </c>
      <c r="E804" t="s">
        <v>6195</v>
      </c>
      <c r="F804" s="19">
        <v>545888</v>
      </c>
      <c r="G804">
        <v>2007</v>
      </c>
      <c r="H804">
        <v>2695</v>
      </c>
      <c r="I804">
        <v>8756</v>
      </c>
      <c r="J804">
        <v>4</v>
      </c>
      <c r="K804">
        <v>2.5</v>
      </c>
      <c r="M804" s="2" t="str">
        <f>HYPERLINK("http://maps.live.com/default.aspx?v=2&amp;lvl=15&amp;sp=Point.47.508439_-122.190796_1802 Aberdeen Ave NE&amp;cp=47.508439~-122.190796","Map")</f>
        <v>Map</v>
      </c>
      <c r="N804" s="2" t="str">
        <f>HYPERLINK("http://i-0.rfimg.us/photo/1/bigphoto/601/28000601_4.jpg","Photo")</f>
        <v>Photo</v>
      </c>
      <c r="AG804">
        <v>47.508439000000003</v>
      </c>
      <c r="AH804">
        <v>-122.19079600000001</v>
      </c>
      <c r="AI804" t="s">
        <v>1077</v>
      </c>
      <c r="AJ804">
        <v>98056</v>
      </c>
      <c r="AN804">
        <v>230000</v>
      </c>
      <c r="BC804" s="22">
        <v>39449.497314814813</v>
      </c>
      <c r="BI804" s="22">
        <v>39549.294907407406</v>
      </c>
      <c r="BL804">
        <v>10998</v>
      </c>
      <c r="BM804">
        <v>1367960</v>
      </c>
      <c r="BN804" t="s">
        <v>3907</v>
      </c>
      <c r="BO804" s="17">
        <f t="shared" ca="1" si="12"/>
        <v>99.81209108796611</v>
      </c>
      <c r="BP804" t="b">
        <v>0</v>
      </c>
      <c r="BQ804">
        <v>1</v>
      </c>
      <c r="BR804" t="s">
        <v>1667</v>
      </c>
      <c r="BS804" t="s">
        <v>5766</v>
      </c>
      <c r="BT804" t="b">
        <v>0</v>
      </c>
      <c r="BV804" t="s">
        <v>1668</v>
      </c>
      <c r="BW804">
        <v>1802</v>
      </c>
      <c r="BX804" t="s">
        <v>1738</v>
      </c>
      <c r="BY804">
        <v>411092</v>
      </c>
      <c r="BZ804" t="s">
        <v>6196</v>
      </c>
      <c r="CA804">
        <v>1</v>
      </c>
      <c r="CB804" t="b">
        <v>1</v>
      </c>
      <c r="CC804">
        <v>0</v>
      </c>
      <c r="CD804" t="b">
        <v>0</v>
      </c>
      <c r="CE804" t="b">
        <v>0</v>
      </c>
      <c r="CF804" t="b">
        <v>1</v>
      </c>
      <c r="CG804">
        <v>2578426</v>
      </c>
      <c r="CH804" t="s">
        <v>1681</v>
      </c>
      <c r="CI804" s="10">
        <v>549888</v>
      </c>
      <c r="CJ804" s="7">
        <v>38625</v>
      </c>
      <c r="CL804" s="19" t="s">
        <v>6582</v>
      </c>
    </row>
    <row r="805" spans="1:90">
      <c r="A805">
        <v>28000608</v>
      </c>
      <c r="B805" s="2" t="str">
        <f>HYPERLINK("http://www.redfin.com/stingray/do/printable-listing?listing-id=1367720","Active")</f>
        <v>Active</v>
      </c>
      <c r="D805" t="s">
        <v>88</v>
      </c>
      <c r="E805" t="s">
        <v>1200</v>
      </c>
      <c r="F805" s="19">
        <v>550000</v>
      </c>
      <c r="G805">
        <v>1911</v>
      </c>
      <c r="H805">
        <v>0</v>
      </c>
      <c r="I805">
        <v>0</v>
      </c>
      <c r="J805">
        <v>3</v>
      </c>
      <c r="K805">
        <v>2</v>
      </c>
      <c r="M805" s="2" t="str">
        <f>HYPERLINK("http://maps.live.com/default.aspx?v=2&amp;lvl=15&amp;sp=Point.47.684966_-122.358523_110 NW 77th St&amp;cp=47.684966~-122.358523","Map")</f>
        <v>Map</v>
      </c>
      <c r="N805" s="2" t="str">
        <f>HYPERLINK("http://i-0.rfimg.us/photo/1/bigphoto/608/28000608_0.jpg","Photo")</f>
        <v>Photo</v>
      </c>
      <c r="AG805">
        <v>47.684966000000003</v>
      </c>
      <c r="AH805">
        <v>-122.35852300000001</v>
      </c>
      <c r="AI805" t="s">
        <v>66</v>
      </c>
      <c r="AJ805">
        <v>98117</v>
      </c>
      <c r="AN805">
        <v>460000</v>
      </c>
      <c r="BC805" s="22">
        <v>39449.432534722226</v>
      </c>
      <c r="BI805" s="7">
        <v>39541</v>
      </c>
      <c r="BL805">
        <v>11500</v>
      </c>
      <c r="BM805">
        <v>1367720</v>
      </c>
      <c r="BN805" t="s">
        <v>1725</v>
      </c>
      <c r="BO805" s="17">
        <f t="shared" ca="1" si="12"/>
        <v>99.876871296291938</v>
      </c>
      <c r="BP805" t="b">
        <v>0</v>
      </c>
      <c r="BQ805">
        <v>1</v>
      </c>
      <c r="BR805" t="s">
        <v>1686</v>
      </c>
      <c r="BS805" t="s">
        <v>1714</v>
      </c>
      <c r="BT805" t="b">
        <v>0</v>
      </c>
      <c r="BU805" t="s">
        <v>1669</v>
      </c>
      <c r="BV805" t="s">
        <v>1668</v>
      </c>
      <c r="BW805">
        <v>110</v>
      </c>
      <c r="BY805">
        <v>495055</v>
      </c>
      <c r="BZ805" t="s">
        <v>1745</v>
      </c>
      <c r="CA805">
        <v>1</v>
      </c>
      <c r="CB805" t="b">
        <v>1</v>
      </c>
      <c r="CC805">
        <v>0</v>
      </c>
      <c r="CD805" t="b">
        <v>0</v>
      </c>
      <c r="CE805" t="b">
        <v>0</v>
      </c>
      <c r="CF805" t="b">
        <v>1</v>
      </c>
      <c r="CG805">
        <v>2770904</v>
      </c>
      <c r="CH805" t="s">
        <v>1681</v>
      </c>
      <c r="CI805" s="10">
        <v>575000</v>
      </c>
      <c r="CJ805" s="7">
        <v>38531</v>
      </c>
    </row>
    <row r="806" spans="1:90">
      <c r="A806">
        <v>28000620</v>
      </c>
      <c r="B806" s="2" t="str">
        <f>HYPERLINK("http://www.redfin.com/stingray/do/printable-listing?listing-id=1374453","Active")</f>
        <v>Active</v>
      </c>
      <c r="D806" t="s">
        <v>194</v>
      </c>
      <c r="E806" t="s">
        <v>2864</v>
      </c>
      <c r="F806">
        <v>299000</v>
      </c>
      <c r="G806">
        <v>2006</v>
      </c>
      <c r="H806">
        <v>750</v>
      </c>
      <c r="I806">
        <v>0</v>
      </c>
      <c r="J806">
        <v>2</v>
      </c>
      <c r="K806">
        <v>1.5</v>
      </c>
      <c r="M806" s="2" t="str">
        <f>HYPERLINK("http://maps.live.com/default.aspx?v=2&amp;lvl=15&amp;sp=Point.47.69544_-122.304363_9131 23rd Ave NE nB&amp;cp=47.69544~-122.304363","Map")</f>
        <v>Map</v>
      </c>
      <c r="N806" s="2" t="str">
        <f>HYPERLINK("http://i-0.rfimg.us/photo/1/bigphoto/620/28000620_1.jpg","Photo")</f>
        <v>Photo</v>
      </c>
      <c r="AG806">
        <v>47.695439999999998</v>
      </c>
      <c r="AH806">
        <v>-122.304363</v>
      </c>
      <c r="AI806" t="s">
        <v>66</v>
      </c>
      <c r="AJ806">
        <v>98115</v>
      </c>
      <c r="AM806" t="s">
        <v>1699</v>
      </c>
      <c r="BC806" s="22">
        <v>39451.453969907408</v>
      </c>
      <c r="BI806" s="7">
        <v>39539</v>
      </c>
      <c r="BL806">
        <v>5970</v>
      </c>
      <c r="BM806">
        <v>1374453</v>
      </c>
      <c r="BN806" t="s">
        <v>1680</v>
      </c>
      <c r="BO806" s="17">
        <f t="shared" ca="1" si="12"/>
        <v>97.855435995370499</v>
      </c>
      <c r="BP806" t="b">
        <v>0</v>
      </c>
      <c r="BQ806">
        <v>1</v>
      </c>
      <c r="BR806" t="s">
        <v>1667</v>
      </c>
      <c r="BS806" t="s">
        <v>1839</v>
      </c>
      <c r="BT806" t="b">
        <v>0</v>
      </c>
      <c r="BV806" t="s">
        <v>1668</v>
      </c>
      <c r="BW806">
        <v>9131</v>
      </c>
      <c r="BX806" t="s">
        <v>1738</v>
      </c>
      <c r="BY806">
        <v>12327609</v>
      </c>
      <c r="BZ806" t="s">
        <v>2865</v>
      </c>
      <c r="CA806">
        <v>1</v>
      </c>
      <c r="CB806" t="b">
        <v>1</v>
      </c>
      <c r="CC806">
        <v>0</v>
      </c>
      <c r="CD806" t="b">
        <v>0</v>
      </c>
      <c r="CE806" t="b">
        <v>0</v>
      </c>
      <c r="CF806" t="b">
        <v>1</v>
      </c>
      <c r="CG806">
        <v>15533619</v>
      </c>
      <c r="CH806" t="s">
        <v>1681</v>
      </c>
      <c r="CI806" s="10">
        <v>299000</v>
      </c>
    </row>
    <row r="807" spans="1:90">
      <c r="A807">
        <v>28000633</v>
      </c>
      <c r="B807" s="2" t="str">
        <f>HYPERLINK("http://www.redfin.com/stingray/do/printable-listing?listing-id=1378936","Active")</f>
        <v>Active</v>
      </c>
      <c r="D807" t="s">
        <v>3704</v>
      </c>
      <c r="E807" t="s">
        <v>4183</v>
      </c>
      <c r="F807">
        <v>5850000</v>
      </c>
      <c r="G807">
        <v>1910</v>
      </c>
      <c r="H807">
        <v>8920</v>
      </c>
      <c r="I807">
        <v>22613</v>
      </c>
      <c r="J807">
        <v>5</v>
      </c>
      <c r="K807">
        <v>5</v>
      </c>
      <c r="M807" s="2" t="str">
        <f>HYPERLINK("http://maps.live.com/default.aspx?v=2&amp;lvl=15&amp;sp=Point.47.629075_-122.323722_1105 Boylston Ave E&amp;cp=47.629075~-122.323722","Map")</f>
        <v>Map</v>
      </c>
      <c r="N807" s="2" t="str">
        <f>HYPERLINK("http://i-0.rfimg.us/photo/1/bigphoto/633/28000633_2.jpg","Photo")</f>
        <v>Photo</v>
      </c>
      <c r="AG807">
        <v>47.629075</v>
      </c>
      <c r="AH807">
        <v>-122.323722</v>
      </c>
      <c r="AI807" t="s">
        <v>66</v>
      </c>
      <c r="AJ807">
        <v>98102</v>
      </c>
      <c r="AN807">
        <v>1570000</v>
      </c>
      <c r="BC807" s="22">
        <v>39453.703703703701</v>
      </c>
      <c r="BI807" s="22">
        <v>39549.294907407406</v>
      </c>
      <c r="BL807">
        <v>117000</v>
      </c>
      <c r="BM807">
        <v>1378936</v>
      </c>
      <c r="BN807" t="s">
        <v>1710</v>
      </c>
      <c r="BO807" s="17">
        <f t="shared" ca="1" si="12"/>
        <v>95.605702199078223</v>
      </c>
      <c r="BP807" t="b">
        <v>0</v>
      </c>
      <c r="BQ807">
        <v>1</v>
      </c>
      <c r="BR807" t="s">
        <v>1667</v>
      </c>
      <c r="BS807" t="s">
        <v>4184</v>
      </c>
      <c r="BT807" t="b">
        <v>0</v>
      </c>
      <c r="BV807" t="s">
        <v>1668</v>
      </c>
      <c r="BW807">
        <v>1105</v>
      </c>
      <c r="BX807" t="s">
        <v>2436</v>
      </c>
      <c r="BY807">
        <v>137214</v>
      </c>
      <c r="BZ807" t="s">
        <v>2577</v>
      </c>
      <c r="CA807">
        <v>1</v>
      </c>
      <c r="CB807" t="b">
        <v>1</v>
      </c>
      <c r="CC807">
        <v>0</v>
      </c>
      <c r="CD807" t="b">
        <v>0</v>
      </c>
      <c r="CE807" t="b">
        <v>0</v>
      </c>
      <c r="CF807" t="b">
        <v>1</v>
      </c>
      <c r="CG807">
        <v>2500605</v>
      </c>
      <c r="CH807" t="s">
        <v>1681</v>
      </c>
      <c r="CI807" s="10">
        <v>5850000</v>
      </c>
      <c r="CJ807" s="7">
        <v>35460</v>
      </c>
    </row>
    <row r="808" spans="1:90">
      <c r="A808">
        <v>28000655</v>
      </c>
      <c r="B808" s="2" t="str">
        <f>HYPERLINK("http://www.redfin.com/stingray/do/printable-listing?listing-id=1367871","Active")</f>
        <v>Active</v>
      </c>
      <c r="D808" t="s">
        <v>4004</v>
      </c>
      <c r="E808" t="s">
        <v>4016</v>
      </c>
      <c r="F808">
        <v>1590000</v>
      </c>
      <c r="G808">
        <v>1927</v>
      </c>
      <c r="H808">
        <v>2400</v>
      </c>
      <c r="I808">
        <v>5080</v>
      </c>
      <c r="J808">
        <v>3</v>
      </c>
      <c r="K808">
        <v>2.5</v>
      </c>
      <c r="M808" s="2" t="str">
        <f>HYPERLINK("http://maps.live.com/default.aspx?v=2&amp;lvl=15&amp;sp=Point.47.614739_-122.28194_1508 40 Ave&amp;cp=47.614739~-122.28194","Map")</f>
        <v>Map</v>
      </c>
      <c r="N808" s="2" t="str">
        <f>HYPERLINK("http://i-0.rfimg.us/photo/1/bigphoto/655/28000655_0.jpg","Photo")</f>
        <v>Photo</v>
      </c>
      <c r="AG808">
        <v>47.614739</v>
      </c>
      <c r="AH808">
        <v>-122.28194000000001</v>
      </c>
      <c r="AI808" t="s">
        <v>66</v>
      </c>
      <c r="AJ808">
        <v>98122</v>
      </c>
      <c r="AN808">
        <v>560500</v>
      </c>
      <c r="BC808" s="22">
        <v>39449.476493055554</v>
      </c>
      <c r="BI808" s="22">
        <v>39549.294907407406</v>
      </c>
      <c r="BL808">
        <v>31800</v>
      </c>
      <c r="BM808">
        <v>1367871</v>
      </c>
      <c r="BN808" t="s">
        <v>2556</v>
      </c>
      <c r="BO808" s="17">
        <f t="shared" ca="1" si="12"/>
        <v>99.832912847225089</v>
      </c>
      <c r="BP808" t="b">
        <v>0</v>
      </c>
      <c r="BQ808">
        <v>1</v>
      </c>
      <c r="BR808" t="s">
        <v>1667</v>
      </c>
      <c r="BS808">
        <v>40</v>
      </c>
      <c r="BT808" t="b">
        <v>0</v>
      </c>
      <c r="BV808" t="s">
        <v>1668</v>
      </c>
      <c r="BW808">
        <v>1508</v>
      </c>
      <c r="BY808">
        <v>140377</v>
      </c>
      <c r="BZ808" t="s">
        <v>1745</v>
      </c>
      <c r="CA808">
        <v>1</v>
      </c>
      <c r="CB808" t="b">
        <v>1</v>
      </c>
      <c r="CC808">
        <v>0</v>
      </c>
      <c r="CD808" t="b">
        <v>0</v>
      </c>
      <c r="CE808" t="b">
        <v>0</v>
      </c>
      <c r="CF808" t="b">
        <v>1</v>
      </c>
      <c r="CG808">
        <v>2930856</v>
      </c>
      <c r="CH808" t="s">
        <v>1681</v>
      </c>
      <c r="CI808" s="10">
        <v>1590000</v>
      </c>
      <c r="CJ808" s="7">
        <v>36361</v>
      </c>
    </row>
    <row r="809" spans="1:90">
      <c r="A809">
        <v>28000688</v>
      </c>
      <c r="B809" s="2" t="str">
        <f>HYPERLINK("http://www.redfin.com/stingray/do/printable-listing?listing-id=1367872","Active")</f>
        <v>Active</v>
      </c>
      <c r="D809" t="s">
        <v>1023</v>
      </c>
      <c r="E809" t="s">
        <v>1296</v>
      </c>
      <c r="F809" s="19">
        <v>1150000</v>
      </c>
      <c r="G809">
        <v>1998</v>
      </c>
      <c r="H809">
        <v>3930</v>
      </c>
      <c r="I809">
        <v>4800</v>
      </c>
      <c r="J809">
        <v>5</v>
      </c>
      <c r="K809">
        <v>4</v>
      </c>
      <c r="M809" s="2" t="str">
        <f>HYPERLINK("http://maps.live.com/default.aspx?v=2&amp;lvl=15&amp;sp=Point.47.676685_-122.401885_3422 NW 66th St&amp;cp=47.676685~-122.401885","Map")</f>
        <v>Map</v>
      </c>
      <c r="N809" s="2" t="str">
        <f>HYPERLINK("http://i-0.rfimg.us/photo/1/bigphoto/688/28000688_1.jpg","Photo")</f>
        <v>Photo</v>
      </c>
      <c r="AG809">
        <v>47.676684999999999</v>
      </c>
      <c r="AH809">
        <v>-122.40188499999999</v>
      </c>
      <c r="AI809" t="s">
        <v>66</v>
      </c>
      <c r="AJ809">
        <v>98117</v>
      </c>
      <c r="BC809" s="22">
        <v>39449.476504629631</v>
      </c>
      <c r="BI809" s="22">
        <v>39549.294907407406</v>
      </c>
      <c r="BL809">
        <v>25000</v>
      </c>
      <c r="BM809">
        <v>1367872</v>
      </c>
      <c r="BN809" t="s">
        <v>1725</v>
      </c>
      <c r="BO809" s="17">
        <f t="shared" ca="1" si="12"/>
        <v>99.832901388886967</v>
      </c>
      <c r="BP809" t="b">
        <v>0</v>
      </c>
      <c r="BQ809">
        <v>1</v>
      </c>
      <c r="BR809" t="s">
        <v>1686</v>
      </c>
      <c r="BS809" t="s">
        <v>1915</v>
      </c>
      <c r="BT809" t="b">
        <v>0</v>
      </c>
      <c r="BU809" t="s">
        <v>1669</v>
      </c>
      <c r="BV809" t="s">
        <v>1668</v>
      </c>
      <c r="BW809">
        <v>3422</v>
      </c>
      <c r="BY809">
        <v>290464</v>
      </c>
      <c r="BZ809" t="s">
        <v>1704</v>
      </c>
      <c r="CA809">
        <v>1</v>
      </c>
      <c r="CB809" t="b">
        <v>1</v>
      </c>
      <c r="CC809">
        <v>0</v>
      </c>
      <c r="CD809" t="b">
        <v>0</v>
      </c>
      <c r="CE809" t="b">
        <v>0</v>
      </c>
      <c r="CF809" t="b">
        <v>1</v>
      </c>
      <c r="CG809">
        <v>2685326</v>
      </c>
      <c r="CH809" t="s">
        <v>1681</v>
      </c>
      <c r="CI809" s="10">
        <v>1250000</v>
      </c>
      <c r="CL809" t="s">
        <v>6999</v>
      </c>
    </row>
    <row r="810" spans="1:90">
      <c r="A810">
        <v>28000694</v>
      </c>
      <c r="B810" s="15" t="str">
        <f>HYPERLINK("http://www.redfin.com/stingray/do/printable-listing?listing-id=1367897","Subject To Inspection")</f>
        <v>Subject To Inspection</v>
      </c>
      <c r="D810" t="s">
        <v>70</v>
      </c>
      <c r="E810" t="s">
        <v>591</v>
      </c>
      <c r="F810">
        <v>369950</v>
      </c>
      <c r="G810">
        <v>1999</v>
      </c>
      <c r="H810">
        <v>1720</v>
      </c>
      <c r="I810">
        <v>3247</v>
      </c>
      <c r="J810">
        <v>3</v>
      </c>
      <c r="K810">
        <v>2.5</v>
      </c>
      <c r="M810" s="2" t="str">
        <f>HYPERLINK("http://maps.live.com/default.aspx?v=2&amp;lvl=15&amp;sp=Point.47.703273_-122.361567_317 NW 103rd&amp;cp=47.703273~-122.361567","Map")</f>
        <v>Map</v>
      </c>
      <c r="N810" s="2" t="str">
        <f>HYPERLINK("http://i-0.rfimg.us/photo/1/bigphoto/694/28000694_6.jpg","Photo")</f>
        <v>Photo</v>
      </c>
      <c r="AG810">
        <v>47.703273000000003</v>
      </c>
      <c r="AH810">
        <v>-122.36156699999999</v>
      </c>
      <c r="AI810" t="s">
        <v>66</v>
      </c>
      <c r="AJ810">
        <v>98177</v>
      </c>
      <c r="AN810">
        <v>261000</v>
      </c>
      <c r="BC810" s="22">
        <v>39449.486678240741</v>
      </c>
      <c r="BI810" s="22">
        <v>39547.913935185185</v>
      </c>
      <c r="BL810">
        <v>7399</v>
      </c>
      <c r="BM810">
        <v>1367897</v>
      </c>
      <c r="BN810" t="s">
        <v>1700</v>
      </c>
      <c r="BO810" s="17">
        <f t="shared" ca="1" si="12"/>
        <v>99.82272777777689</v>
      </c>
      <c r="BP810" t="b">
        <v>0</v>
      </c>
      <c r="BQ810">
        <v>1</v>
      </c>
      <c r="BS810" t="s">
        <v>2691</v>
      </c>
      <c r="BT810" t="b">
        <v>0</v>
      </c>
      <c r="BU810" t="s">
        <v>1669</v>
      </c>
      <c r="BV810" t="s">
        <v>1668</v>
      </c>
      <c r="BW810">
        <v>317</v>
      </c>
      <c r="BY810">
        <v>95491</v>
      </c>
      <c r="BZ810" t="s">
        <v>2763</v>
      </c>
      <c r="CA810">
        <v>1</v>
      </c>
      <c r="CB810" t="b">
        <v>1</v>
      </c>
      <c r="CC810">
        <v>0</v>
      </c>
      <c r="CD810" t="b">
        <v>0</v>
      </c>
      <c r="CE810" t="b">
        <v>0</v>
      </c>
      <c r="CF810" t="b">
        <v>1</v>
      </c>
      <c r="CG810">
        <v>2791382</v>
      </c>
      <c r="CH810" t="s">
        <v>1681</v>
      </c>
      <c r="CI810" s="10">
        <v>369950</v>
      </c>
      <c r="CJ810" s="7">
        <v>38134</v>
      </c>
    </row>
    <row r="811" spans="1:90">
      <c r="A811">
        <v>28000797</v>
      </c>
      <c r="B811" s="2" t="str">
        <f>HYPERLINK("http://www.redfin.com/stingray/do/printable-listing?listing-id=1367970","Active")</f>
        <v>Active</v>
      </c>
      <c r="D811" t="s">
        <v>3839</v>
      </c>
      <c r="E811" t="s">
        <v>6109</v>
      </c>
      <c r="F811">
        <v>1099950</v>
      </c>
      <c r="G811">
        <v>2007</v>
      </c>
      <c r="H811">
        <v>4775</v>
      </c>
      <c r="I811">
        <v>11120</v>
      </c>
      <c r="J811">
        <v>6</v>
      </c>
      <c r="K811">
        <v>3.5</v>
      </c>
      <c r="M811" s="2" t="str">
        <f>HYPERLINK("http://maps.live.com/default.aspx?v=2&amp;lvl=15&amp;sp=Point.47.5003_-122.1512_1725 Mt Baker Ave NE&amp;cp=47.5003~-122.1512","Map")</f>
        <v>Map</v>
      </c>
      <c r="N811" s="2" t="str">
        <f>HYPERLINK("http://i-0.rfimg.us/photo/1/bigphoto/797/28000797_0.jpg","Photo")</f>
        <v>Photo</v>
      </c>
      <c r="AG811">
        <v>47.500300000000003</v>
      </c>
      <c r="AH811">
        <v>-122.1512</v>
      </c>
      <c r="AI811" t="s">
        <v>1077</v>
      </c>
      <c r="AJ811">
        <v>98059</v>
      </c>
      <c r="BC811" s="22">
        <v>39449.507638888892</v>
      </c>
      <c r="BI811" s="22">
        <v>39549.294907407406</v>
      </c>
      <c r="BL811">
        <v>21999</v>
      </c>
      <c r="BM811">
        <v>1367970</v>
      </c>
      <c r="BN811" t="s">
        <v>3236</v>
      </c>
      <c r="BO811" s="17">
        <f t="shared" ca="1" si="12"/>
        <v>99.801767013887002</v>
      </c>
      <c r="BP811" t="b">
        <v>0</v>
      </c>
      <c r="BQ811">
        <v>1</v>
      </c>
      <c r="BR811" t="s">
        <v>1667</v>
      </c>
      <c r="BS811" t="s">
        <v>6108</v>
      </c>
      <c r="BT811" t="b">
        <v>0</v>
      </c>
      <c r="BV811" t="s">
        <v>1668</v>
      </c>
      <c r="BW811">
        <v>1725</v>
      </c>
      <c r="BX811" t="s">
        <v>1738</v>
      </c>
      <c r="BY811">
        <v>12322639</v>
      </c>
      <c r="BZ811" t="s">
        <v>1670</v>
      </c>
      <c r="CA811">
        <v>1</v>
      </c>
      <c r="CB811" t="b">
        <v>1</v>
      </c>
      <c r="CC811">
        <v>0</v>
      </c>
      <c r="CD811" t="b">
        <v>0</v>
      </c>
      <c r="CE811" t="b">
        <v>0</v>
      </c>
      <c r="CF811" t="b">
        <v>1</v>
      </c>
      <c r="CG811">
        <v>15535161</v>
      </c>
      <c r="CH811" t="s">
        <v>1681</v>
      </c>
      <c r="CI811" s="10">
        <v>1099950</v>
      </c>
    </row>
    <row r="812" spans="1:90">
      <c r="A812">
        <v>28000815</v>
      </c>
      <c r="B812" s="2" t="str">
        <f>HYPERLINK("http://www.redfin.com/stingray/do/printable-listing?listing-id=1368062","Active")</f>
        <v>Active</v>
      </c>
      <c r="D812" t="s">
        <v>226</v>
      </c>
      <c r="E812" t="s">
        <v>3178</v>
      </c>
      <c r="F812">
        <v>499000</v>
      </c>
      <c r="G812">
        <v>2007</v>
      </c>
      <c r="H812">
        <v>1803</v>
      </c>
      <c r="I812">
        <v>0</v>
      </c>
      <c r="J812">
        <v>3</v>
      </c>
      <c r="K812">
        <v>2.5</v>
      </c>
      <c r="M812" s="2" t="str">
        <f>HYPERLINK("http://maps.live.com/default.aspx?v=2&amp;lvl=15&amp;sp=Point.47.666079_-122.315403_5035 12th Ave NE&amp;cp=47.666079~-122.315403","Map")</f>
        <v>Map</v>
      </c>
      <c r="N812" s="2" t="str">
        <f>HYPERLINK("http://i-0.rfimg.us/photo/1/bigphoto/815/28000815_4.jpg","Photo")</f>
        <v>Photo</v>
      </c>
      <c r="AG812">
        <v>47.666079000000003</v>
      </c>
      <c r="AH812">
        <v>-122.315403</v>
      </c>
      <c r="AI812" t="s">
        <v>66</v>
      </c>
      <c r="AJ812">
        <v>98105</v>
      </c>
      <c r="AN812">
        <v>590434</v>
      </c>
      <c r="BC812" s="22">
        <v>39449.519571759258</v>
      </c>
      <c r="BI812" s="22">
        <v>39549.294907407406</v>
      </c>
      <c r="BL812">
        <v>9980</v>
      </c>
      <c r="BM812">
        <v>1368062</v>
      </c>
      <c r="BN812" t="s">
        <v>3175</v>
      </c>
      <c r="BO812" s="17">
        <f t="shared" ca="1" si="12"/>
        <v>99.789834143521148</v>
      </c>
      <c r="BP812" t="b">
        <v>0</v>
      </c>
      <c r="BQ812">
        <v>1</v>
      </c>
      <c r="BR812" t="s">
        <v>1667</v>
      </c>
      <c r="BS812" t="s">
        <v>1803</v>
      </c>
      <c r="BT812" t="b">
        <v>0</v>
      </c>
      <c r="BV812" t="s">
        <v>1668</v>
      </c>
      <c r="BW812">
        <v>5035</v>
      </c>
      <c r="BX812" t="s">
        <v>1738</v>
      </c>
      <c r="BY812">
        <v>2061654</v>
      </c>
      <c r="BZ812" t="s">
        <v>2379</v>
      </c>
      <c r="CA812">
        <v>1</v>
      </c>
      <c r="CB812" t="b">
        <v>1</v>
      </c>
      <c r="CC812">
        <v>0</v>
      </c>
      <c r="CD812" t="b">
        <v>0</v>
      </c>
      <c r="CE812" t="b">
        <v>0</v>
      </c>
      <c r="CF812" t="b">
        <v>1</v>
      </c>
      <c r="CG812">
        <v>2384231</v>
      </c>
      <c r="CH812" t="s">
        <v>1681</v>
      </c>
      <c r="CI812" s="10">
        <v>499000</v>
      </c>
      <c r="CJ812" s="7">
        <v>38434</v>
      </c>
    </row>
    <row r="813" spans="1:90">
      <c r="A813">
        <v>28000989</v>
      </c>
      <c r="B813" s="2" t="str">
        <f>HYPERLINK("http://www.redfin.com/stingray/do/printable-listing?listing-id=1368579","Active")</f>
        <v>Active</v>
      </c>
      <c r="D813" t="s">
        <v>967</v>
      </c>
      <c r="E813" t="s">
        <v>2919</v>
      </c>
      <c r="F813" s="19">
        <v>305888</v>
      </c>
      <c r="G813">
        <v>2007</v>
      </c>
      <c r="H813">
        <v>1335</v>
      </c>
      <c r="I813">
        <v>0</v>
      </c>
      <c r="J813">
        <v>3</v>
      </c>
      <c r="K813">
        <v>3</v>
      </c>
      <c r="M813" s="2" t="str">
        <f>HYPERLINK("http://maps.live.com/default.aspx?v=2&amp;lvl=15&amp;sp=Point.47.719762_-122.290913_12723 35th Ave NE&amp;cp=47.719762~-122.290913","Map")</f>
        <v>Map</v>
      </c>
      <c r="N813" s="2" t="str">
        <f>HYPERLINK("http://i-0.rfimg.us/photo/1/bigphoto/989/28000989_0.jpg","Photo")</f>
        <v>Photo</v>
      </c>
      <c r="AG813">
        <v>47.719762000000003</v>
      </c>
      <c r="AH813">
        <v>-122.290913</v>
      </c>
      <c r="AI813" t="s">
        <v>66</v>
      </c>
      <c r="AJ813">
        <v>98125</v>
      </c>
      <c r="BC813" s="22">
        <v>39449.604548611111</v>
      </c>
      <c r="BI813" s="22">
        <v>39549.294907407406</v>
      </c>
      <c r="BL813">
        <v>6318</v>
      </c>
      <c r="BM813">
        <v>1368579</v>
      </c>
      <c r="BN813" t="s">
        <v>1674</v>
      </c>
      <c r="BO813" s="17">
        <f t="shared" ca="1" si="12"/>
        <v>99.704857291668304</v>
      </c>
      <c r="BP813" t="b">
        <v>0</v>
      </c>
      <c r="BQ813">
        <v>1</v>
      </c>
      <c r="BR813" t="s">
        <v>1667</v>
      </c>
      <c r="BS813" t="s">
        <v>2920</v>
      </c>
      <c r="BT813" t="b">
        <v>0</v>
      </c>
      <c r="BV813" t="s">
        <v>1668</v>
      </c>
      <c r="BW813">
        <v>12723</v>
      </c>
      <c r="BX813" t="s">
        <v>1738</v>
      </c>
      <c r="BY813">
        <v>12111025</v>
      </c>
      <c r="BZ813" t="s">
        <v>1762</v>
      </c>
      <c r="CA813">
        <v>1</v>
      </c>
      <c r="CB813" t="b">
        <v>1</v>
      </c>
      <c r="CC813">
        <v>0</v>
      </c>
      <c r="CD813" t="b">
        <v>0</v>
      </c>
      <c r="CE813" t="b">
        <v>0</v>
      </c>
      <c r="CF813" t="b">
        <v>1</v>
      </c>
      <c r="CG813">
        <v>15364086</v>
      </c>
      <c r="CH813" t="s">
        <v>1681</v>
      </c>
      <c r="CI813" s="10">
        <v>315888</v>
      </c>
    </row>
    <row r="814" spans="1:90">
      <c r="A814">
        <v>28001040</v>
      </c>
      <c r="B814" s="2" t="str">
        <f>HYPERLINK("http://www.redfin.com/stingray/do/printable-listing?listing-id=1368589","Active")</f>
        <v>Active</v>
      </c>
      <c r="D814" t="s">
        <v>5586</v>
      </c>
      <c r="E814" t="s">
        <v>5829</v>
      </c>
      <c r="F814">
        <v>749900</v>
      </c>
      <c r="G814">
        <v>1988</v>
      </c>
      <c r="H814">
        <v>2470</v>
      </c>
      <c r="I814">
        <v>9018</v>
      </c>
      <c r="J814">
        <v>4</v>
      </c>
      <c r="K814">
        <v>2.5</v>
      </c>
      <c r="M814" s="2" t="str">
        <f>HYPERLINK("http://maps.live.com/default.aspx?v=2&amp;lvl=15&amp;sp=Point.47.544008_-122.14604_14719 SE 66th St&amp;cp=47.544008~-122.14604","Map")</f>
        <v>Map</v>
      </c>
      <c r="N814" s="2" t="str">
        <f>HYPERLINK("http://i-0.rfimg.us/photo/1/bigphoto/040/28001040_4.jpg","Photo")</f>
        <v>Photo</v>
      </c>
      <c r="AG814">
        <v>47.544007999999998</v>
      </c>
      <c r="AH814">
        <v>-122.14604</v>
      </c>
      <c r="AI814" t="s">
        <v>369</v>
      </c>
      <c r="AJ814">
        <v>98006</v>
      </c>
      <c r="AN814">
        <v>182990</v>
      </c>
      <c r="BC814" s="22">
        <v>39449.604780092595</v>
      </c>
      <c r="BI814" s="22">
        <v>39549.294907407406</v>
      </c>
      <c r="BL814">
        <v>14998</v>
      </c>
      <c r="BM814">
        <v>1368589</v>
      </c>
      <c r="BN814" t="s">
        <v>5828</v>
      </c>
      <c r="BO814" s="17">
        <f t="shared" ca="1" si="12"/>
        <v>99.704625810183643</v>
      </c>
      <c r="BP814" t="b">
        <v>0</v>
      </c>
      <c r="BQ814">
        <v>1</v>
      </c>
      <c r="BR814" t="s">
        <v>1686</v>
      </c>
      <c r="BS814" t="s">
        <v>1915</v>
      </c>
      <c r="BT814" t="b">
        <v>0</v>
      </c>
      <c r="BU814" t="s">
        <v>3856</v>
      </c>
      <c r="BV814" t="s">
        <v>1668</v>
      </c>
      <c r="BW814">
        <v>14719</v>
      </c>
      <c r="BY814">
        <v>237143</v>
      </c>
      <c r="BZ814" t="s">
        <v>5830</v>
      </c>
      <c r="CA814">
        <v>1</v>
      </c>
      <c r="CB814" t="b">
        <v>1</v>
      </c>
      <c r="CC814">
        <v>0</v>
      </c>
      <c r="CD814" t="b">
        <v>0</v>
      </c>
      <c r="CE814" t="b">
        <v>0</v>
      </c>
      <c r="CF814" t="b">
        <v>1</v>
      </c>
      <c r="CG814">
        <v>2730539</v>
      </c>
      <c r="CH814" t="s">
        <v>1681</v>
      </c>
      <c r="CI814" s="10">
        <v>749900</v>
      </c>
      <c r="CJ814" s="7">
        <v>34164</v>
      </c>
    </row>
    <row r="815" spans="1:90">
      <c r="A815">
        <v>28001061</v>
      </c>
      <c r="B815" s="2" t="str">
        <f>HYPERLINK("http://www.redfin.com/stingray/do/printable-listing?listing-id=1368709","Active")</f>
        <v>Active</v>
      </c>
      <c r="D815" t="s">
        <v>5926</v>
      </c>
      <c r="E815" t="s">
        <v>6143</v>
      </c>
      <c r="F815" s="19">
        <v>399000</v>
      </c>
      <c r="G815">
        <v>1980</v>
      </c>
      <c r="H815">
        <v>1920</v>
      </c>
      <c r="I815">
        <v>10757</v>
      </c>
      <c r="J815">
        <v>4</v>
      </c>
      <c r="K815">
        <v>2</v>
      </c>
      <c r="M815" s="2" t="str">
        <f>HYPERLINK("http://maps.live.com/default.aspx?v=2&amp;lvl=15&amp;sp=Point.47.507162_-122.193546_1901 NE 17th Pl&amp;cp=47.507162~-122.193546","Map")</f>
        <v>Map</v>
      </c>
      <c r="N815" s="2" t="str">
        <f>HYPERLINK("http://i-0.rfimg.us/photo/1/bigphoto/061/28001061_1.jpg","Photo")</f>
        <v>Photo</v>
      </c>
      <c r="AG815">
        <v>47.507162000000001</v>
      </c>
      <c r="AH815">
        <v>-122.193546</v>
      </c>
      <c r="AI815" t="s">
        <v>1077</v>
      </c>
      <c r="AJ815">
        <v>98056</v>
      </c>
      <c r="AN815">
        <v>251000</v>
      </c>
      <c r="BC815" s="22">
        <v>39449.62773148148</v>
      </c>
      <c r="BI815" s="22">
        <v>39549.294907407406</v>
      </c>
      <c r="BL815">
        <v>8199</v>
      </c>
      <c r="BM815">
        <v>1368709</v>
      </c>
      <c r="BN815" t="s">
        <v>1688</v>
      </c>
      <c r="BO815" s="17">
        <f t="shared" ca="1" si="12"/>
        <v>99.681674421299249</v>
      </c>
      <c r="BP815" t="b">
        <v>0</v>
      </c>
      <c r="BQ815">
        <v>1</v>
      </c>
      <c r="BR815" t="s">
        <v>1842</v>
      </c>
      <c r="BS815" t="s">
        <v>1683</v>
      </c>
      <c r="BT815" t="b">
        <v>0</v>
      </c>
      <c r="BU815" t="s">
        <v>1738</v>
      </c>
      <c r="BV815" t="s">
        <v>1668</v>
      </c>
      <c r="BW815">
        <v>1901</v>
      </c>
      <c r="BY815">
        <v>410292</v>
      </c>
      <c r="BZ815" t="s">
        <v>1911</v>
      </c>
      <c r="CA815">
        <v>1</v>
      </c>
      <c r="CB815" t="b">
        <v>1</v>
      </c>
      <c r="CC815">
        <v>0</v>
      </c>
      <c r="CD815" t="b">
        <v>0</v>
      </c>
      <c r="CE815" t="b">
        <v>0</v>
      </c>
      <c r="CF815" t="b">
        <v>1</v>
      </c>
      <c r="CG815">
        <v>2822820</v>
      </c>
      <c r="CH815" t="s">
        <v>1681</v>
      </c>
      <c r="CI815" s="10">
        <v>409950</v>
      </c>
      <c r="CJ815" s="7">
        <v>37770</v>
      </c>
    </row>
    <row r="816" spans="1:90">
      <c r="A816">
        <v>28001091</v>
      </c>
      <c r="B816" s="2" t="str">
        <f>HYPERLINK("http://www.redfin.com/stingray/do/printable-listing?listing-id=1375331","Active")</f>
        <v>Active</v>
      </c>
      <c r="D816" t="s">
        <v>1058</v>
      </c>
      <c r="E816" t="s">
        <v>4938</v>
      </c>
      <c r="F816">
        <v>1249000</v>
      </c>
      <c r="G816">
        <v>2007</v>
      </c>
      <c r="H816">
        <v>2781</v>
      </c>
      <c r="I816">
        <v>11904</v>
      </c>
      <c r="J816">
        <v>4</v>
      </c>
      <c r="K816">
        <v>3.5</v>
      </c>
      <c r="M816" s="2" t="str">
        <f>HYPERLINK("http://maps.live.com/default.aspx?v=2&amp;lvl=15&amp;sp=Point.47.662063_-122.205849_10141 NE 62nd St&amp;cp=47.662063~-122.205849","Map")</f>
        <v>Map</v>
      </c>
      <c r="N816" s="2" t="str">
        <f>HYPERLINK("http://i-0.rfimg.us/photo/1/bigphoto/091/28001091_0.jpg","Photo")</f>
        <v>Photo</v>
      </c>
      <c r="AG816">
        <v>47.662063000000003</v>
      </c>
      <c r="AH816">
        <v>-122.205849</v>
      </c>
      <c r="AI816" t="s">
        <v>1058</v>
      </c>
      <c r="AJ816">
        <v>98033</v>
      </c>
      <c r="AN816">
        <v>1192602</v>
      </c>
      <c r="BC816" s="22">
        <v>39451.652777777781</v>
      </c>
      <c r="BI816" s="22">
        <v>39549.294907407406</v>
      </c>
      <c r="BL816">
        <v>24980</v>
      </c>
      <c r="BM816">
        <v>1375331</v>
      </c>
      <c r="BN816" t="s">
        <v>1768</v>
      </c>
      <c r="BO816" s="17">
        <f t="shared" ca="1" si="12"/>
        <v>97.656628124997951</v>
      </c>
      <c r="BP816" t="b">
        <v>0</v>
      </c>
      <c r="BQ816">
        <v>1</v>
      </c>
      <c r="BR816" t="s">
        <v>1686</v>
      </c>
      <c r="BS816" t="s">
        <v>2565</v>
      </c>
      <c r="BT816" t="b">
        <v>0</v>
      </c>
      <c r="BU816" t="s">
        <v>1738</v>
      </c>
      <c r="BV816" t="s">
        <v>1668</v>
      </c>
      <c r="BW816">
        <v>10141</v>
      </c>
      <c r="BY816">
        <v>2068199</v>
      </c>
      <c r="BZ816" t="s">
        <v>1676</v>
      </c>
      <c r="CA816">
        <v>1</v>
      </c>
      <c r="CB816" t="b">
        <v>1</v>
      </c>
      <c r="CC816">
        <v>0</v>
      </c>
      <c r="CD816" t="b">
        <v>0</v>
      </c>
      <c r="CE816" t="b">
        <v>0</v>
      </c>
      <c r="CF816" t="b">
        <v>1</v>
      </c>
      <c r="CG816">
        <v>2494379</v>
      </c>
      <c r="CH816" t="s">
        <v>1681</v>
      </c>
      <c r="CI816" s="10">
        <v>1249000</v>
      </c>
      <c r="CJ816" s="7">
        <v>39295</v>
      </c>
    </row>
    <row r="817" spans="1:88">
      <c r="A817">
        <v>28001101</v>
      </c>
      <c r="B817" s="2" t="str">
        <f>HYPERLINK("http://www.redfin.com/stingray/do/printable-listing?listing-id=1368706","Active")</f>
        <v>Active</v>
      </c>
      <c r="D817" t="s">
        <v>3839</v>
      </c>
      <c r="E817" t="s">
        <v>6141</v>
      </c>
      <c r="F817" s="19">
        <v>999950</v>
      </c>
      <c r="G817">
        <v>2007</v>
      </c>
      <c r="H817">
        <v>4382</v>
      </c>
      <c r="I817">
        <v>10860</v>
      </c>
      <c r="J817">
        <v>5</v>
      </c>
      <c r="K817">
        <v>3.5</v>
      </c>
      <c r="M817" s="2" t="str">
        <f>HYPERLINK("http://maps.live.com/default.aspx?v=2&amp;lvl=15&amp;sp=Point.47.506537_-122.148899_5350 NE 16th St&amp;cp=47.506537~-122.148899","Map")</f>
        <v>Map</v>
      </c>
      <c r="N817" s="2" t="str">
        <f>HYPERLINK("http://i-0.rfimg.us/photo/1/bigphoto/101/28001101_B.jpg","Photo")</f>
        <v>Photo</v>
      </c>
      <c r="AG817">
        <v>47.506537000000002</v>
      </c>
      <c r="AH817">
        <v>-122.148899</v>
      </c>
      <c r="AI817" t="s">
        <v>1077</v>
      </c>
      <c r="AJ817">
        <v>98059</v>
      </c>
      <c r="BC817" s="22">
        <v>39449.627245370371</v>
      </c>
      <c r="BI817" s="22">
        <v>39549.294907407406</v>
      </c>
      <c r="BL817">
        <v>19799</v>
      </c>
      <c r="BM817">
        <v>1368706</v>
      </c>
      <c r="BN817" t="s">
        <v>3236</v>
      </c>
      <c r="BO817" s="17">
        <f t="shared" ca="1" si="12"/>
        <v>99.682160532407579</v>
      </c>
      <c r="BP817" t="b">
        <v>0</v>
      </c>
      <c r="BQ817">
        <v>1</v>
      </c>
      <c r="BR817" t="s">
        <v>1686</v>
      </c>
      <c r="BS817" t="s">
        <v>1695</v>
      </c>
      <c r="BT817" t="b">
        <v>0</v>
      </c>
      <c r="BU817" t="s">
        <v>1738</v>
      </c>
      <c r="BV817" t="s">
        <v>1668</v>
      </c>
      <c r="BW817">
        <v>5350</v>
      </c>
      <c r="BY817">
        <v>12322689</v>
      </c>
      <c r="BZ817" t="s">
        <v>6142</v>
      </c>
      <c r="CA817">
        <v>1</v>
      </c>
      <c r="CB817" t="b">
        <v>1</v>
      </c>
      <c r="CC817">
        <v>0</v>
      </c>
      <c r="CD817" t="b">
        <v>0</v>
      </c>
      <c r="CE817" t="b">
        <v>0</v>
      </c>
      <c r="CF817" t="b">
        <v>1</v>
      </c>
      <c r="CG817">
        <v>15528712</v>
      </c>
      <c r="CH817" t="s">
        <v>1681</v>
      </c>
      <c r="CI817" s="10">
        <v>989950</v>
      </c>
    </row>
    <row r="818" spans="1:88">
      <c r="A818">
        <v>28001129</v>
      </c>
      <c r="B818" s="2" t="str">
        <f>HYPERLINK("http://www.redfin.com/stingray/do/printable-listing?listing-id=1372132","Active")</f>
        <v>Active</v>
      </c>
      <c r="D818" t="s">
        <v>5291</v>
      </c>
      <c r="E818" t="s">
        <v>5329</v>
      </c>
      <c r="F818" s="19">
        <v>599990</v>
      </c>
      <c r="G818">
        <v>1967</v>
      </c>
      <c r="H818">
        <v>2660</v>
      </c>
      <c r="I818">
        <v>9480</v>
      </c>
      <c r="J818">
        <v>3</v>
      </c>
      <c r="K818">
        <v>2.5</v>
      </c>
      <c r="M818" s="2" t="str">
        <f>HYPERLINK("http://maps.live.com/default.aspx?v=2&amp;lvl=15&amp;sp=Point.47.571036_-122.125521_16119 SE 42nd St&amp;cp=47.571036~-122.125521","Map")</f>
        <v>Map</v>
      </c>
      <c r="N818" s="2" t="str">
        <f>HYPERLINK("http://i-0.rfimg.us/photo/1/bigphoto/129/28001129_1.jpg","Photo")</f>
        <v>Photo</v>
      </c>
      <c r="AG818">
        <v>47.571035999999999</v>
      </c>
      <c r="AH818">
        <v>-122.12552100000001</v>
      </c>
      <c r="AI818" t="s">
        <v>369</v>
      </c>
      <c r="AJ818">
        <v>98006</v>
      </c>
      <c r="BC818" s="22">
        <v>39450.732511574075</v>
      </c>
      <c r="BI818" s="22">
        <v>39549.294907407406</v>
      </c>
      <c r="BL818">
        <v>12200</v>
      </c>
      <c r="BM818">
        <v>1372132</v>
      </c>
      <c r="BN818" t="s">
        <v>1688</v>
      </c>
      <c r="BO818" s="17">
        <f t="shared" ca="1" si="12"/>
        <v>98.576894328703929</v>
      </c>
      <c r="BP818" t="b">
        <v>0</v>
      </c>
      <c r="BQ818">
        <v>1</v>
      </c>
      <c r="BR818" t="s">
        <v>1686</v>
      </c>
      <c r="BS818" t="s">
        <v>3371</v>
      </c>
      <c r="BT818" t="b">
        <v>0</v>
      </c>
      <c r="BU818" t="s">
        <v>3856</v>
      </c>
      <c r="BV818" t="s">
        <v>1668</v>
      </c>
      <c r="BW818">
        <v>16119</v>
      </c>
      <c r="BY818">
        <v>235453</v>
      </c>
      <c r="BZ818" t="s">
        <v>1756</v>
      </c>
      <c r="CA818">
        <v>1</v>
      </c>
      <c r="CB818" t="b">
        <v>1</v>
      </c>
      <c r="CC818">
        <v>0</v>
      </c>
      <c r="CD818" t="b">
        <v>0</v>
      </c>
      <c r="CE818" t="b">
        <v>0</v>
      </c>
      <c r="CF818" t="b">
        <v>1</v>
      </c>
      <c r="CG818">
        <v>2809607</v>
      </c>
      <c r="CH818" t="s">
        <v>1681</v>
      </c>
      <c r="CI818" s="10">
        <v>609990</v>
      </c>
    </row>
    <row r="819" spans="1:88">
      <c r="A819">
        <v>28001139</v>
      </c>
      <c r="B819" s="2" t="str">
        <f>HYPERLINK("http://www.redfin.com/stingray/do/printable-listing?listing-id=1369702","Active")</f>
        <v>Active</v>
      </c>
      <c r="D819" t="s">
        <v>1058</v>
      </c>
      <c r="E819" t="s">
        <v>2966</v>
      </c>
      <c r="F819">
        <v>12800000</v>
      </c>
      <c r="G819">
        <v>2006</v>
      </c>
      <c r="H819">
        <v>9930</v>
      </c>
      <c r="I819">
        <v>54720</v>
      </c>
      <c r="J819">
        <v>6</v>
      </c>
      <c r="K819">
        <v>7</v>
      </c>
      <c r="M819" s="2" t="str">
        <f>HYPERLINK("http://maps.live.com/default.aspx?v=2&amp;lvl=15&amp;sp=Point.47.720389_-122.259892_13245 Holmes Pt Dr&amp;cp=47.720389~-122.259892","Map")</f>
        <v>Map</v>
      </c>
      <c r="N819" s="2" t="str">
        <f>HYPERLINK("http://i-0.rfimg.us/photo/1/bigphoto/139/28001139_1.jpg","Photo")</f>
        <v>Photo</v>
      </c>
      <c r="AG819">
        <v>47.720388999999997</v>
      </c>
      <c r="AH819">
        <v>-122.25989199999999</v>
      </c>
      <c r="AI819" t="s">
        <v>1058</v>
      </c>
      <c r="AJ819">
        <v>98033</v>
      </c>
      <c r="AN819">
        <v>1050000</v>
      </c>
      <c r="BC819" s="22">
        <v>39449.89261574074</v>
      </c>
      <c r="BI819" s="22">
        <v>39549.294907407406</v>
      </c>
      <c r="BL819">
        <v>256000</v>
      </c>
      <c r="BM819">
        <v>1369702</v>
      </c>
      <c r="BN819" t="s">
        <v>1768</v>
      </c>
      <c r="BO819" s="17">
        <f t="shared" ca="1" si="12"/>
        <v>99.416790162038524</v>
      </c>
      <c r="BP819" t="b">
        <v>0</v>
      </c>
      <c r="BQ819">
        <v>1</v>
      </c>
      <c r="BR819" t="s">
        <v>1816</v>
      </c>
      <c r="BS819" t="s">
        <v>2967</v>
      </c>
      <c r="BT819" t="b">
        <v>0</v>
      </c>
      <c r="BV819" t="s">
        <v>1668</v>
      </c>
      <c r="BW819">
        <v>13245</v>
      </c>
      <c r="BY819">
        <v>280201</v>
      </c>
      <c r="BZ819" t="s">
        <v>2968</v>
      </c>
      <c r="CA819">
        <v>1</v>
      </c>
      <c r="CB819" t="b">
        <v>1</v>
      </c>
      <c r="CC819">
        <v>0</v>
      </c>
      <c r="CD819" t="b">
        <v>0</v>
      </c>
      <c r="CE819" t="b">
        <v>0</v>
      </c>
      <c r="CF819" t="b">
        <v>1</v>
      </c>
      <c r="CG819">
        <v>2875210</v>
      </c>
      <c r="CH819" t="s">
        <v>1681</v>
      </c>
      <c r="CI819" s="10">
        <v>12800000</v>
      </c>
      <c r="CJ819" s="7">
        <v>38125</v>
      </c>
    </row>
    <row r="820" spans="1:88">
      <c r="A820">
        <v>28001155</v>
      </c>
      <c r="B820" s="2" t="str">
        <f>HYPERLINK("http://www.redfin.com/stingray/do/printable-listing?listing-id=1368905","Active")</f>
        <v>Active</v>
      </c>
      <c r="D820" t="s">
        <v>5565</v>
      </c>
      <c r="E820" t="s">
        <v>5803</v>
      </c>
      <c r="F820" s="19">
        <v>649500</v>
      </c>
      <c r="G820">
        <v>1966</v>
      </c>
      <c r="H820">
        <v>3050</v>
      </c>
      <c r="I820">
        <v>9000</v>
      </c>
      <c r="J820">
        <v>5</v>
      </c>
      <c r="K820">
        <v>2.75</v>
      </c>
      <c r="M820" s="2" t="str">
        <f>HYPERLINK("http://maps.live.com/default.aspx?v=2&amp;lvl=15&amp;sp=Point.47.559799_-122.172786_12522 SE 48th Pl&amp;cp=47.559799~-122.172786","Map")</f>
        <v>Map</v>
      </c>
      <c r="N820" s="2" t="str">
        <f>HYPERLINK("http://i-0.rfimg.us/photo/1/bigphoto/155/28001155_1.jpg","Photo")</f>
        <v>Photo</v>
      </c>
      <c r="AG820">
        <v>47.559798999999998</v>
      </c>
      <c r="AH820">
        <v>-122.172786</v>
      </c>
      <c r="AI820" t="s">
        <v>369</v>
      </c>
      <c r="AJ820">
        <v>98006</v>
      </c>
      <c r="BC820" s="22">
        <v>39449.659803240742</v>
      </c>
      <c r="BI820" s="22">
        <v>39549.294907407406</v>
      </c>
      <c r="BL820">
        <v>13490</v>
      </c>
      <c r="BM820">
        <v>1368905</v>
      </c>
      <c r="BN820" t="s">
        <v>1768</v>
      </c>
      <c r="BO820" s="17">
        <f t="shared" ca="1" si="12"/>
        <v>99.649602662037069</v>
      </c>
      <c r="BP820" t="b">
        <v>0</v>
      </c>
      <c r="BQ820">
        <v>1</v>
      </c>
      <c r="BR820" t="s">
        <v>1842</v>
      </c>
      <c r="BS820" t="s">
        <v>2443</v>
      </c>
      <c r="BT820" t="b">
        <v>0</v>
      </c>
      <c r="BU820" t="s">
        <v>3856</v>
      </c>
      <c r="BV820" t="s">
        <v>1668</v>
      </c>
      <c r="BW820">
        <v>12522</v>
      </c>
      <c r="BY820">
        <v>415238</v>
      </c>
      <c r="BZ820" t="s">
        <v>3795</v>
      </c>
      <c r="CA820">
        <v>1</v>
      </c>
      <c r="CB820" t="b">
        <v>1</v>
      </c>
      <c r="CC820">
        <v>0</v>
      </c>
      <c r="CD820" t="b">
        <v>0</v>
      </c>
      <c r="CE820" t="b">
        <v>0</v>
      </c>
      <c r="CF820" t="b">
        <v>1</v>
      </c>
      <c r="CG820">
        <v>2587147</v>
      </c>
      <c r="CH820" t="s">
        <v>1681</v>
      </c>
      <c r="CI820" s="10">
        <v>674500</v>
      </c>
    </row>
    <row r="821" spans="1:88">
      <c r="A821">
        <v>28001162</v>
      </c>
      <c r="B821" s="15" t="str">
        <f>HYPERLINK("http://www.redfin.com/stingray/do/printable-listing?listing-id=1369253","Contingent")</f>
        <v>Contingent</v>
      </c>
      <c r="D821" t="s">
        <v>2850</v>
      </c>
      <c r="E821" t="s">
        <v>4368</v>
      </c>
      <c r="F821">
        <v>825000</v>
      </c>
      <c r="G821">
        <v>1968</v>
      </c>
      <c r="H821">
        <v>3130</v>
      </c>
      <c r="I821">
        <v>13140</v>
      </c>
      <c r="J821">
        <v>4</v>
      </c>
      <c r="K821">
        <v>3.75</v>
      </c>
      <c r="M821" s="2" t="str">
        <f>HYPERLINK("http://maps.live.com/default.aspx?v=2&amp;lvl=15&amp;sp=Point.47.699171_-122.231606_8237 NE 110th Pl&amp;cp=47.699171~-122.231606","Map")</f>
        <v>Map</v>
      </c>
      <c r="N821" s="2" t="str">
        <f>HYPERLINK("http://i-0.rfimg.us/photo/1/bigphoto/162/28001162_2.jpg","Photo")</f>
        <v>Photo</v>
      </c>
      <c r="AG821">
        <v>47.699171</v>
      </c>
      <c r="AH821">
        <v>-122.231606</v>
      </c>
      <c r="AI821" t="s">
        <v>1058</v>
      </c>
      <c r="AJ821">
        <v>98034</v>
      </c>
      <c r="AN821">
        <v>600000</v>
      </c>
      <c r="BC821" s="22">
        <v>39449.732511574075</v>
      </c>
      <c r="BI821" s="22">
        <v>39549.294907407406</v>
      </c>
      <c r="BL821">
        <v>16500</v>
      </c>
      <c r="BM821">
        <v>1369253</v>
      </c>
      <c r="BN821" t="s">
        <v>1735</v>
      </c>
      <c r="BO821" s="17">
        <f t="shared" ca="1" si="12"/>
        <v>99.576894328703929</v>
      </c>
      <c r="BP821" t="b">
        <v>0</v>
      </c>
      <c r="BQ821">
        <v>1</v>
      </c>
      <c r="BR821" t="s">
        <v>1842</v>
      </c>
      <c r="BS821" t="s">
        <v>4369</v>
      </c>
      <c r="BT821" t="b">
        <v>0</v>
      </c>
      <c r="BU821" t="s">
        <v>1738</v>
      </c>
      <c r="BV821" t="s">
        <v>1668</v>
      </c>
      <c r="BW821">
        <v>8237</v>
      </c>
      <c r="BY821">
        <v>281135</v>
      </c>
      <c r="BZ821" t="s">
        <v>2064</v>
      </c>
      <c r="CA821">
        <v>1</v>
      </c>
      <c r="CB821" t="b">
        <v>1</v>
      </c>
      <c r="CC821">
        <v>0</v>
      </c>
      <c r="CD821" t="b">
        <v>0</v>
      </c>
      <c r="CE821" t="b">
        <v>0</v>
      </c>
      <c r="CF821" t="b">
        <v>1</v>
      </c>
      <c r="CG821">
        <v>2510479</v>
      </c>
      <c r="CH821" t="s">
        <v>1681</v>
      </c>
      <c r="CI821" s="10">
        <v>825000</v>
      </c>
      <c r="CJ821" s="7">
        <v>38217</v>
      </c>
    </row>
    <row r="822" spans="1:88">
      <c r="A822">
        <v>28001179</v>
      </c>
      <c r="B822" s="2" t="str">
        <f>HYPERLINK("http://www.redfin.com/stingray/do/printable-listing?listing-id=1368902","Active")</f>
        <v>Active</v>
      </c>
      <c r="D822" t="s">
        <v>3839</v>
      </c>
      <c r="E822" t="s">
        <v>6182</v>
      </c>
      <c r="F822">
        <v>969950</v>
      </c>
      <c r="G822">
        <v>2007</v>
      </c>
      <c r="H822">
        <v>3685</v>
      </c>
      <c r="I822">
        <v>8070</v>
      </c>
      <c r="J822">
        <v>5</v>
      </c>
      <c r="K822">
        <v>3.5</v>
      </c>
      <c r="M822" s="2" t="str">
        <f>HYPERLINK("http://maps.live.com/default.aspx?v=2&amp;lvl=15&amp;sp=Point.47.506537_-122.148875_5362 NE 16th St&amp;cp=47.506537~-122.148875","Map")</f>
        <v>Map</v>
      </c>
      <c r="N822" s="2" t="str">
        <f>HYPERLINK("http://i-0.rfimg.us/photo/1/bigphoto/179/28001179_0.jpg","Photo")</f>
        <v>Photo</v>
      </c>
      <c r="AG822">
        <v>47.506537000000002</v>
      </c>
      <c r="AH822">
        <v>-122.148875</v>
      </c>
      <c r="AI822" t="s">
        <v>1077</v>
      </c>
      <c r="AJ822">
        <v>98059</v>
      </c>
      <c r="BC822" s="22">
        <v>39449.659745370373</v>
      </c>
      <c r="BI822" s="22">
        <v>39549.294907407406</v>
      </c>
      <c r="BL822">
        <v>19399</v>
      </c>
      <c r="BM822">
        <v>1368902</v>
      </c>
      <c r="BN822" t="s">
        <v>3236</v>
      </c>
      <c r="BO822" s="17">
        <f t="shared" ca="1" si="12"/>
        <v>99.649660532406415</v>
      </c>
      <c r="BP822" t="b">
        <v>0</v>
      </c>
      <c r="BQ822">
        <v>1</v>
      </c>
      <c r="BR822" t="s">
        <v>1686</v>
      </c>
      <c r="BS822" t="s">
        <v>1695</v>
      </c>
      <c r="BT822" t="b">
        <v>0</v>
      </c>
      <c r="BU822" t="s">
        <v>1738</v>
      </c>
      <c r="BV822" t="s">
        <v>1668</v>
      </c>
      <c r="BW822">
        <v>5362</v>
      </c>
      <c r="BY822">
        <v>12322723</v>
      </c>
      <c r="BZ822" t="s">
        <v>1696</v>
      </c>
      <c r="CA822">
        <v>1</v>
      </c>
      <c r="CB822" t="b">
        <v>1</v>
      </c>
      <c r="CC822">
        <v>0</v>
      </c>
      <c r="CD822" t="b">
        <v>0</v>
      </c>
      <c r="CE822" t="b">
        <v>0</v>
      </c>
      <c r="CF822" t="b">
        <v>1</v>
      </c>
      <c r="CG822">
        <v>15528746</v>
      </c>
      <c r="CH822" t="s">
        <v>1681</v>
      </c>
      <c r="CI822" s="10">
        <v>969950</v>
      </c>
    </row>
    <row r="823" spans="1:88">
      <c r="A823">
        <v>28001195</v>
      </c>
      <c r="B823" s="2" t="str">
        <f>HYPERLINK("http://www.redfin.com/stingray/do/printable-listing?listing-id=1375325","Active")</f>
        <v>Active</v>
      </c>
      <c r="D823" t="s">
        <v>369</v>
      </c>
      <c r="E823" t="s">
        <v>5386</v>
      </c>
      <c r="F823">
        <v>919900</v>
      </c>
      <c r="G823">
        <v>2008</v>
      </c>
      <c r="H823">
        <v>3188</v>
      </c>
      <c r="I823">
        <v>7913</v>
      </c>
      <c r="J823">
        <v>4</v>
      </c>
      <c r="K823">
        <v>2.5</v>
      </c>
      <c r="M823" s="2" t="str">
        <f>HYPERLINK("http://maps.live.com/default.aspx?v=2&amp;lvl=15&amp;sp=Point.47.593943_-122.147579_1726 145th Pl SE&amp;cp=47.593943~-122.147579","Map")</f>
        <v>Map</v>
      </c>
      <c r="N823" s="2" t="str">
        <f>HYPERLINK("http://i-0.rfimg.us/photo/1/bigphoto/195/28001195_2.jpg","Photo")</f>
        <v>Photo</v>
      </c>
      <c r="AG823">
        <v>47.593943000000003</v>
      </c>
      <c r="AH823">
        <v>-122.14757899999999</v>
      </c>
      <c r="AI823" t="s">
        <v>369</v>
      </c>
      <c r="AJ823">
        <v>98007</v>
      </c>
      <c r="AN823">
        <v>1300000</v>
      </c>
      <c r="BC823" s="22">
        <v>39451.652615740742</v>
      </c>
      <c r="BI823" s="22">
        <v>39549.294907407406</v>
      </c>
      <c r="BL823">
        <v>18398</v>
      </c>
      <c r="BM823">
        <v>1375325</v>
      </c>
      <c r="BN823" t="s">
        <v>1674</v>
      </c>
      <c r="BO823" s="17">
        <f t="shared" ca="1" si="12"/>
        <v>97.656790162036486</v>
      </c>
      <c r="BP823" t="b">
        <v>0</v>
      </c>
      <c r="BQ823">
        <v>1</v>
      </c>
      <c r="BR823" t="s">
        <v>1842</v>
      </c>
      <c r="BS823" t="s">
        <v>4646</v>
      </c>
      <c r="BT823" t="b">
        <v>0</v>
      </c>
      <c r="BV823" t="s">
        <v>1668</v>
      </c>
      <c r="BW823">
        <v>1726</v>
      </c>
      <c r="BX823" t="s">
        <v>3856</v>
      </c>
      <c r="BY823">
        <v>426085</v>
      </c>
      <c r="BZ823" t="s">
        <v>6437</v>
      </c>
      <c r="CA823">
        <v>1</v>
      </c>
      <c r="CB823" t="b">
        <v>1</v>
      </c>
      <c r="CC823">
        <v>0</v>
      </c>
      <c r="CD823" t="b">
        <v>0</v>
      </c>
      <c r="CE823" t="b">
        <v>0</v>
      </c>
      <c r="CF823" t="b">
        <v>1</v>
      </c>
      <c r="CG823">
        <v>2991083</v>
      </c>
      <c r="CH823" t="s">
        <v>1681</v>
      </c>
      <c r="CI823" s="10">
        <v>919900</v>
      </c>
      <c r="CJ823" s="7">
        <v>39087</v>
      </c>
    </row>
    <row r="824" spans="1:88">
      <c r="A824">
        <v>28001212</v>
      </c>
      <c r="B824" s="2" t="str">
        <f>HYPERLINK("http://www.redfin.com/stingray/do/printable-listing?listing-id=1369096","Active")</f>
        <v>Active</v>
      </c>
      <c r="D824" t="s">
        <v>4474</v>
      </c>
      <c r="E824" t="s">
        <v>4640</v>
      </c>
      <c r="F824">
        <v>829950</v>
      </c>
      <c r="G824">
        <v>2007</v>
      </c>
      <c r="H824">
        <v>3502</v>
      </c>
      <c r="I824">
        <v>8402</v>
      </c>
      <c r="J824">
        <v>4</v>
      </c>
      <c r="K824">
        <v>2.75</v>
      </c>
      <c r="M824" s="2" t="str">
        <f>HYPERLINK("http://maps.live.com/default.aspx?v=2&amp;lvl=15&amp;sp=adr.10312 NE 194th St nLot 4 (Unable to map),98011","Map")</f>
        <v>Map</v>
      </c>
      <c r="N824" s="2" t="str">
        <f>HYPERLINK("http://i-0.rfimg.us/photo/1/bigphoto/212/28001212_1.jpg","Photo")</f>
        <v>Photo</v>
      </c>
      <c r="AI824" t="s">
        <v>4474</v>
      </c>
      <c r="AJ824">
        <v>98011</v>
      </c>
      <c r="AM824" t="s">
        <v>3841</v>
      </c>
      <c r="BC824" s="22">
        <v>39449.705138888887</v>
      </c>
      <c r="BI824" s="22">
        <v>39549.294907407406</v>
      </c>
      <c r="BL824">
        <v>16599</v>
      </c>
      <c r="BM824">
        <v>1369096</v>
      </c>
      <c r="BN824" t="s">
        <v>1737</v>
      </c>
      <c r="BO824" s="17">
        <f t="shared" ca="1" si="12"/>
        <v>99.60426701389224</v>
      </c>
      <c r="BP824" t="b">
        <v>0</v>
      </c>
      <c r="BQ824">
        <v>1</v>
      </c>
      <c r="BR824" t="s">
        <v>1686</v>
      </c>
      <c r="BS824" t="s">
        <v>4641</v>
      </c>
      <c r="BT824" t="b">
        <v>0</v>
      </c>
      <c r="BU824" t="s">
        <v>1738</v>
      </c>
      <c r="BV824" t="s">
        <v>1668</v>
      </c>
      <c r="BW824">
        <v>10312</v>
      </c>
      <c r="BY824">
        <v>0</v>
      </c>
      <c r="BZ824" t="s">
        <v>2133</v>
      </c>
      <c r="CA824">
        <v>1</v>
      </c>
      <c r="CB824" t="b">
        <v>1</v>
      </c>
      <c r="CC824">
        <v>0</v>
      </c>
      <c r="CD824" t="b">
        <v>0</v>
      </c>
      <c r="CE824" t="b">
        <v>0</v>
      </c>
      <c r="CF824" t="b">
        <v>1</v>
      </c>
      <c r="CG824" t="s">
        <v>1870</v>
      </c>
      <c r="CH824" t="s">
        <v>1681</v>
      </c>
      <c r="CI824" s="10">
        <v>829950</v>
      </c>
    </row>
    <row r="825" spans="1:88">
      <c r="A825">
        <v>28001244</v>
      </c>
      <c r="B825" s="2" t="str">
        <f>HYPERLINK("http://www.redfin.com/stingray/do/printable-listing?listing-id=1369068","Active")</f>
        <v>Active</v>
      </c>
      <c r="D825" t="s">
        <v>60</v>
      </c>
      <c r="E825" t="s">
        <v>2525</v>
      </c>
      <c r="F825">
        <v>849000</v>
      </c>
      <c r="G825">
        <v>1991</v>
      </c>
      <c r="H825">
        <v>2906</v>
      </c>
      <c r="I825">
        <v>4080</v>
      </c>
      <c r="J825">
        <v>3</v>
      </c>
      <c r="K825">
        <v>2</v>
      </c>
      <c r="M825" s="2" t="str">
        <f>HYPERLINK("http://maps.live.com/default.aspx?v=2&amp;lvl=15&amp;sp=Point.47.669843_-122.324844_315 NE 57th St&amp;cp=47.669843~-122.324844","Map")</f>
        <v>Map</v>
      </c>
      <c r="N825" s="2" t="str">
        <f>HYPERLINK("http://i-0.rfimg.us/photo/1/bigphoto/244/28001244_1.jpg","Photo")</f>
        <v>Photo</v>
      </c>
      <c r="AG825">
        <v>47.669843</v>
      </c>
      <c r="AH825">
        <v>-122.324844</v>
      </c>
      <c r="AI825" t="s">
        <v>66</v>
      </c>
      <c r="AJ825">
        <v>98105</v>
      </c>
      <c r="AN825">
        <v>94800</v>
      </c>
      <c r="BC825" s="22">
        <v>39449.701909722222</v>
      </c>
      <c r="BI825" s="22">
        <v>39549.294907407406</v>
      </c>
      <c r="BL825">
        <v>16980</v>
      </c>
      <c r="BM825">
        <v>1369068</v>
      </c>
      <c r="BN825" t="s">
        <v>1823</v>
      </c>
      <c r="BO825" s="17">
        <f t="shared" ca="1" si="12"/>
        <v>99.607496296295722</v>
      </c>
      <c r="BP825" t="b">
        <v>0</v>
      </c>
      <c r="BQ825">
        <v>1</v>
      </c>
      <c r="BR825" t="s">
        <v>1686</v>
      </c>
      <c r="BS825" t="s">
        <v>1687</v>
      </c>
      <c r="BT825" t="b">
        <v>0</v>
      </c>
      <c r="BU825" t="s">
        <v>1738</v>
      </c>
      <c r="BV825" t="s">
        <v>1668</v>
      </c>
      <c r="BW825">
        <v>315</v>
      </c>
      <c r="BY825">
        <v>305166</v>
      </c>
      <c r="BZ825" t="s">
        <v>1704</v>
      </c>
      <c r="CA825">
        <v>1</v>
      </c>
      <c r="CB825" t="b">
        <v>1</v>
      </c>
      <c r="CC825">
        <v>0</v>
      </c>
      <c r="CD825" t="b">
        <v>0</v>
      </c>
      <c r="CE825" t="b">
        <v>0</v>
      </c>
      <c r="CF825" t="b">
        <v>1</v>
      </c>
      <c r="CG825">
        <v>2975564</v>
      </c>
      <c r="CH825" t="s">
        <v>1681</v>
      </c>
      <c r="CI825" s="10">
        <v>849000</v>
      </c>
      <c r="CJ825" s="7">
        <v>38034</v>
      </c>
    </row>
    <row r="826" spans="1:88">
      <c r="A826">
        <v>28001362</v>
      </c>
      <c r="B826" s="15" t="str">
        <f>HYPERLINK("http://www.redfin.com/stingray/do/printable-listing?listing-id=1369391","Active")</f>
        <v>Active</v>
      </c>
      <c r="D826" t="s">
        <v>5204</v>
      </c>
      <c r="E826" t="s">
        <v>5294</v>
      </c>
      <c r="F826">
        <v>449000</v>
      </c>
      <c r="G826">
        <v>1956</v>
      </c>
      <c r="H826">
        <v>2240</v>
      </c>
      <c r="I826">
        <v>8680</v>
      </c>
      <c r="J826">
        <v>4</v>
      </c>
      <c r="K826">
        <v>2.5</v>
      </c>
      <c r="M826" s="2" t="str">
        <f>HYPERLINK("http://maps.live.com/default.aspx?v=2&amp;lvl=15&amp;sp=Point.47.603669_-122.118038_16628 SE 8th St&amp;cp=47.603669~-122.118038","Map")</f>
        <v>Map</v>
      </c>
      <c r="N826" s="2" t="str">
        <f>HYPERLINK("http://i-0.rfimg.us/photo/1/bigphoto/362/28001362_0.jpg","Photo")</f>
        <v>Photo</v>
      </c>
      <c r="AG826">
        <v>47.603668999999996</v>
      </c>
      <c r="AH826">
        <v>-122.118038</v>
      </c>
      <c r="AI826" t="s">
        <v>369</v>
      </c>
      <c r="AJ826">
        <v>98008</v>
      </c>
      <c r="AN826">
        <v>304800</v>
      </c>
      <c r="BC826" s="22">
        <v>39449.7503125</v>
      </c>
      <c r="BI826" s="22">
        <v>39549.294907407406</v>
      </c>
      <c r="BL826">
        <v>8980</v>
      </c>
      <c r="BM826">
        <v>1369391</v>
      </c>
      <c r="BN826" t="s">
        <v>5293</v>
      </c>
      <c r="BO826" s="17">
        <f t="shared" ca="1" si="12"/>
        <v>99.559093402778672</v>
      </c>
      <c r="BP826" t="b">
        <v>0</v>
      </c>
      <c r="BQ826">
        <v>1</v>
      </c>
      <c r="BR826" t="s">
        <v>1686</v>
      </c>
      <c r="BS826" t="s">
        <v>1723</v>
      </c>
      <c r="BT826" t="b">
        <v>0</v>
      </c>
      <c r="BU826" t="s">
        <v>3856</v>
      </c>
      <c r="BV826" t="s">
        <v>1668</v>
      </c>
      <c r="BW826">
        <v>16628</v>
      </c>
      <c r="BY826">
        <v>428280</v>
      </c>
      <c r="BZ826" t="s">
        <v>1743</v>
      </c>
      <c r="CA826">
        <v>1</v>
      </c>
      <c r="CB826" t="b">
        <v>1</v>
      </c>
      <c r="CC826">
        <v>0</v>
      </c>
      <c r="CD826" t="b">
        <v>0</v>
      </c>
      <c r="CE826" t="b">
        <v>0</v>
      </c>
      <c r="CF826" t="b">
        <v>1</v>
      </c>
      <c r="CG826">
        <v>2731677</v>
      </c>
      <c r="CH826" t="s">
        <v>1681</v>
      </c>
      <c r="CI826" s="10">
        <v>449000</v>
      </c>
      <c r="CJ826" s="7">
        <v>37741</v>
      </c>
    </row>
    <row r="827" spans="1:88">
      <c r="A827">
        <v>28001400</v>
      </c>
      <c r="B827" s="2" t="str">
        <f>HYPERLINK("http://www.redfin.com/stingray/do/printable-listing?listing-id=1369545","Active")</f>
        <v>Active</v>
      </c>
      <c r="D827" t="s">
        <v>2850</v>
      </c>
      <c r="E827" t="s">
        <v>4475</v>
      </c>
      <c r="F827">
        <v>599950</v>
      </c>
      <c r="G827">
        <v>1914</v>
      </c>
      <c r="H827">
        <v>3100</v>
      </c>
      <c r="I827">
        <v>17297</v>
      </c>
      <c r="J827">
        <v>3</v>
      </c>
      <c r="K827">
        <v>1.75</v>
      </c>
      <c r="M827" s="2" t="str">
        <f>HYPERLINK("http://maps.live.com/default.aspx?v=2&amp;lvl=15&amp;sp=Point.47.722594_-122.204945_13612 Juanita-Woodinville Way NE&amp;cp=47.722594~-122.204945","Map")</f>
        <v>Map</v>
      </c>
      <c r="N827" s="2" t="str">
        <f>HYPERLINK("http://i-0.rfimg.us/photo/1/bigphoto/400/28001400_1.jpg","Photo")</f>
        <v>Photo</v>
      </c>
      <c r="AG827">
        <v>47.722594000000001</v>
      </c>
      <c r="AH827">
        <v>-122.204945</v>
      </c>
      <c r="AI827" t="s">
        <v>1058</v>
      </c>
      <c r="AJ827">
        <v>98034</v>
      </c>
      <c r="AN827">
        <v>459500</v>
      </c>
      <c r="BC827" s="22">
        <v>39449.830891203703</v>
      </c>
      <c r="BI827" s="22">
        <v>39549.294907407406</v>
      </c>
      <c r="BL827">
        <v>11999</v>
      </c>
      <c r="BM827">
        <v>1369545</v>
      </c>
      <c r="BN827" t="s">
        <v>2419</v>
      </c>
      <c r="BO827" s="17">
        <f t="shared" ca="1" si="12"/>
        <v>99.478514699076186</v>
      </c>
      <c r="BP827" t="b">
        <v>0</v>
      </c>
      <c r="BQ827">
        <v>1</v>
      </c>
      <c r="BR827" t="s">
        <v>2463</v>
      </c>
      <c r="BS827" t="s">
        <v>4476</v>
      </c>
      <c r="BT827" t="b">
        <v>0</v>
      </c>
      <c r="BV827" t="s">
        <v>1668</v>
      </c>
      <c r="BW827">
        <v>13612</v>
      </c>
      <c r="BX827" t="s">
        <v>1738</v>
      </c>
      <c r="BY827">
        <v>458003</v>
      </c>
      <c r="BZ827" t="s">
        <v>2871</v>
      </c>
      <c r="CA827">
        <v>1</v>
      </c>
      <c r="CB827" t="b">
        <v>1</v>
      </c>
      <c r="CC827">
        <v>0</v>
      </c>
      <c r="CD827" t="b">
        <v>0</v>
      </c>
      <c r="CE827" t="b">
        <v>0</v>
      </c>
      <c r="CF827" t="b">
        <v>1</v>
      </c>
      <c r="CG827">
        <v>2698799</v>
      </c>
      <c r="CH827" t="s">
        <v>1681</v>
      </c>
      <c r="CI827" s="10">
        <v>599950</v>
      </c>
      <c r="CJ827" s="7">
        <v>39164</v>
      </c>
    </row>
    <row r="828" spans="1:88">
      <c r="A828">
        <v>28001455</v>
      </c>
      <c r="B828" s="2" t="str">
        <f>HYPERLINK("http://www.redfin.com/stingray/do/printable-listing?listing-id=1371045","Active")</f>
        <v>Active</v>
      </c>
      <c r="D828" t="s">
        <v>5139</v>
      </c>
      <c r="E828" t="s">
        <v>5735</v>
      </c>
      <c r="F828">
        <v>769500</v>
      </c>
      <c r="G828">
        <v>1969</v>
      </c>
      <c r="H828">
        <v>1930</v>
      </c>
      <c r="I828">
        <v>12980</v>
      </c>
      <c r="J828">
        <v>3</v>
      </c>
      <c r="K828">
        <v>2.25</v>
      </c>
      <c r="M828" s="2" t="str">
        <f>HYPERLINK("http://maps.live.com/default.aspx?v=2&amp;lvl=15&amp;sp=Point.47.559308_-122.218601_4859 90th Pl SE&amp;cp=47.559308~-122.218601","Map")</f>
        <v>Map</v>
      </c>
      <c r="N828" s="2" t="str">
        <f>HYPERLINK("http://i-0.rfimg.us/photo/1/bigphoto/455/28001455_4.jpg","Photo")</f>
        <v>Photo</v>
      </c>
      <c r="AG828">
        <v>47.559308000000001</v>
      </c>
      <c r="AH828">
        <v>-122.21860100000001</v>
      </c>
      <c r="AI828" t="s">
        <v>5139</v>
      </c>
      <c r="AJ828">
        <v>98040</v>
      </c>
      <c r="BC828" s="22">
        <v>39450.486006944448</v>
      </c>
      <c r="BI828" s="22">
        <v>39549.294907407406</v>
      </c>
      <c r="BL828">
        <v>15390</v>
      </c>
      <c r="BM828">
        <v>1371045</v>
      </c>
      <c r="BN828" t="s">
        <v>1688</v>
      </c>
      <c r="BO828" s="17">
        <f t="shared" ca="1" si="12"/>
        <v>98.823398958331381</v>
      </c>
      <c r="BP828" t="b">
        <v>0</v>
      </c>
      <c r="BQ828">
        <v>1</v>
      </c>
      <c r="BR828" t="s">
        <v>1842</v>
      </c>
      <c r="BS828" t="s">
        <v>1761</v>
      </c>
      <c r="BT828" t="b">
        <v>0</v>
      </c>
      <c r="BV828" t="s">
        <v>1668</v>
      </c>
      <c r="BW828">
        <v>4859</v>
      </c>
      <c r="BX828" t="s">
        <v>3856</v>
      </c>
      <c r="BY828">
        <v>256690</v>
      </c>
      <c r="BZ828" t="s">
        <v>5736</v>
      </c>
      <c r="CA828">
        <v>1</v>
      </c>
      <c r="CB828" t="b">
        <v>1</v>
      </c>
      <c r="CC828">
        <v>0</v>
      </c>
      <c r="CD828" t="b">
        <v>0</v>
      </c>
      <c r="CE828" t="b">
        <v>0</v>
      </c>
      <c r="CF828" t="b">
        <v>1</v>
      </c>
      <c r="CG828">
        <v>2739002</v>
      </c>
      <c r="CH828" t="s">
        <v>1681</v>
      </c>
      <c r="CI828" s="10">
        <v>769500</v>
      </c>
    </row>
    <row r="829" spans="1:88">
      <c r="A829">
        <v>28001470</v>
      </c>
      <c r="B829" s="2" t="str">
        <f>HYPERLINK("http://www.redfin.com/stingray/do/printable-listing?listing-id=1369765","Active")</f>
        <v>Active</v>
      </c>
      <c r="D829" t="s">
        <v>88</v>
      </c>
      <c r="E829" t="s">
        <v>2442</v>
      </c>
      <c r="F829" s="19">
        <v>660000</v>
      </c>
      <c r="G829">
        <v>1954</v>
      </c>
      <c r="H829">
        <v>2180</v>
      </c>
      <c r="I829">
        <v>3750</v>
      </c>
      <c r="J829">
        <v>4</v>
      </c>
      <c r="K829">
        <v>2</v>
      </c>
      <c r="M829" s="2" t="str">
        <f>HYPERLINK("http://maps.live.com/default.aspx?v=2&amp;lvl=15&amp;sp=Point.47.663807_-122.360069_226 NW 48th St&amp;cp=47.663807~-122.360069","Map")</f>
        <v>Map</v>
      </c>
      <c r="N829" s="2" t="str">
        <f>HYPERLINK("http://i-0.rfimg.us/photo/1/bigphoto/470/28001470_0.jpg","Photo")</f>
        <v>Photo</v>
      </c>
      <c r="AG829">
        <v>47.663806999999998</v>
      </c>
      <c r="AH829">
        <v>-122.360069</v>
      </c>
      <c r="AI829" t="s">
        <v>66</v>
      </c>
      <c r="AJ829">
        <v>98107</v>
      </c>
      <c r="AN829">
        <v>491394</v>
      </c>
      <c r="BC829" s="22">
        <v>39449.933645833335</v>
      </c>
      <c r="BI829" s="22">
        <v>39549.294907407406</v>
      </c>
      <c r="BL829">
        <v>13400</v>
      </c>
      <c r="BM829">
        <v>1369765</v>
      </c>
      <c r="BN829" t="s">
        <v>2441</v>
      </c>
      <c r="BO829" s="17">
        <f t="shared" ca="1" si="12"/>
        <v>99.375760185183026</v>
      </c>
      <c r="BP829" t="b">
        <v>0</v>
      </c>
      <c r="BQ829">
        <v>1</v>
      </c>
      <c r="BR829" t="s">
        <v>1686</v>
      </c>
      <c r="BS829" t="s">
        <v>2443</v>
      </c>
      <c r="BT829" t="b">
        <v>0</v>
      </c>
      <c r="BU829" t="s">
        <v>1669</v>
      </c>
      <c r="BV829" t="s">
        <v>1668</v>
      </c>
      <c r="BW829">
        <v>226</v>
      </c>
      <c r="BY829">
        <v>302636</v>
      </c>
      <c r="BZ829" t="s">
        <v>1747</v>
      </c>
      <c r="CA829">
        <v>1</v>
      </c>
      <c r="CB829" t="b">
        <v>1</v>
      </c>
      <c r="CC829">
        <v>0</v>
      </c>
      <c r="CD829" t="b">
        <v>0</v>
      </c>
      <c r="CE829" t="b">
        <v>0</v>
      </c>
      <c r="CF829" t="b">
        <v>1</v>
      </c>
      <c r="CG829">
        <v>2523393</v>
      </c>
      <c r="CH829" t="s">
        <v>1681</v>
      </c>
      <c r="CI829" s="10">
        <v>670000</v>
      </c>
      <c r="CJ829" s="7">
        <v>39272</v>
      </c>
    </row>
    <row r="830" spans="1:88">
      <c r="A830">
        <v>28001625</v>
      </c>
      <c r="B830" s="2" t="str">
        <f>HYPERLINK("http://www.redfin.com/stingray/do/printable-listing?listing-id=1371598","Active")</f>
        <v>Active</v>
      </c>
      <c r="D830" s="19" t="s">
        <v>3064</v>
      </c>
      <c r="E830" t="s">
        <v>4731</v>
      </c>
      <c r="F830">
        <v>659000</v>
      </c>
      <c r="G830">
        <v>2005</v>
      </c>
      <c r="H830">
        <v>2558</v>
      </c>
      <c r="I830">
        <v>6592</v>
      </c>
      <c r="J830">
        <v>3</v>
      </c>
      <c r="K830">
        <v>2.5</v>
      </c>
      <c r="M830" s="2" t="str">
        <f>HYPERLINK("http://maps.live.com/default.aspx?v=2&amp;lvl=15&amp;sp=Point.47.680563_-122.187378_11409 NE 87th St&amp;cp=47.680563~-122.187378","Map")</f>
        <v>Map</v>
      </c>
      <c r="N830" s="2" t="str">
        <f>HYPERLINK("http://i-0.rfimg.us/photo/1/bigphoto/625/28001625_3.jpg","Photo")</f>
        <v>Photo</v>
      </c>
      <c r="AG830">
        <v>47.680562999999999</v>
      </c>
      <c r="AH830">
        <v>-122.187378</v>
      </c>
      <c r="AI830" t="s">
        <v>1058</v>
      </c>
      <c r="AJ830">
        <v>98033</v>
      </c>
      <c r="AN830">
        <v>592000</v>
      </c>
      <c r="BC830" s="22">
        <v>39450.601539351854</v>
      </c>
      <c r="BI830" s="22">
        <v>39549.294907407406</v>
      </c>
      <c r="BL830">
        <v>13180</v>
      </c>
      <c r="BM830">
        <v>1371598</v>
      </c>
      <c r="BN830" t="s">
        <v>1768</v>
      </c>
      <c r="BO830" s="17">
        <f t="shared" ca="1" si="12"/>
        <v>98.707866550925246</v>
      </c>
      <c r="BP830" t="b">
        <v>0</v>
      </c>
      <c r="BQ830">
        <v>1</v>
      </c>
      <c r="BR830" t="s">
        <v>1686</v>
      </c>
      <c r="BS830" t="s">
        <v>1856</v>
      </c>
      <c r="BT830" t="b">
        <v>0</v>
      </c>
      <c r="BU830" t="s">
        <v>1738</v>
      </c>
      <c r="BV830" t="s">
        <v>1668</v>
      </c>
      <c r="BW830">
        <v>11409</v>
      </c>
      <c r="BY830">
        <v>2074190</v>
      </c>
      <c r="BZ830" t="s">
        <v>4732</v>
      </c>
      <c r="CA830">
        <v>1</v>
      </c>
      <c r="CB830" t="b">
        <v>1</v>
      </c>
      <c r="CC830">
        <v>0</v>
      </c>
      <c r="CD830" t="b">
        <v>0</v>
      </c>
      <c r="CE830" t="b">
        <v>0</v>
      </c>
      <c r="CF830" t="b">
        <v>1</v>
      </c>
      <c r="CG830">
        <v>2601137</v>
      </c>
      <c r="CH830" t="s">
        <v>1681</v>
      </c>
      <c r="CI830" s="10">
        <v>659000</v>
      </c>
      <c r="CJ830" s="7">
        <v>38582</v>
      </c>
    </row>
    <row r="831" spans="1:88">
      <c r="A831">
        <v>28001634</v>
      </c>
      <c r="B831" s="2" t="str">
        <f>HYPERLINK("http://www.redfin.com/stingray/do/printable-listing?listing-id=1370806","Active")</f>
        <v>Active</v>
      </c>
      <c r="D831" t="s">
        <v>5119</v>
      </c>
      <c r="E831" t="s">
        <v>5508</v>
      </c>
      <c r="F831">
        <v>625000</v>
      </c>
      <c r="G831">
        <v>1956</v>
      </c>
      <c r="H831">
        <v>2100</v>
      </c>
      <c r="I831">
        <v>16000</v>
      </c>
      <c r="J831">
        <v>4</v>
      </c>
      <c r="K831">
        <v>2.25</v>
      </c>
      <c r="M831" s="2" t="str">
        <f>HYPERLINK("http://maps.live.com/default.aspx?v=2&amp;lvl=15&amp;sp=Point.47.590192_-122.170611_2314 127th Ave SE&amp;cp=47.590192~-122.170611","Map")</f>
        <v>Map</v>
      </c>
      <c r="N831" s="2" t="str">
        <f>HYPERLINK("http://i-0.rfimg.us/photo/1/bigphoto/634/28001634_6.jpg","Photo")</f>
        <v>Photo</v>
      </c>
      <c r="AG831">
        <v>47.590192000000002</v>
      </c>
      <c r="AH831">
        <v>-122.17061099999999</v>
      </c>
      <c r="AI831" t="s">
        <v>369</v>
      </c>
      <c r="AJ831">
        <v>98005</v>
      </c>
      <c r="AN831">
        <v>165000</v>
      </c>
      <c r="BC831" s="22">
        <v>39450.421793981484</v>
      </c>
      <c r="BI831" s="22">
        <v>39549.294907407406</v>
      </c>
      <c r="BL831">
        <v>12500</v>
      </c>
      <c r="BM831">
        <v>1370806</v>
      </c>
      <c r="BN831" t="s">
        <v>1674</v>
      </c>
      <c r="BO831" s="17">
        <f t="shared" ca="1" si="12"/>
        <v>98.887611921294592</v>
      </c>
      <c r="BP831" t="b">
        <v>0</v>
      </c>
      <c r="BQ831">
        <v>1</v>
      </c>
      <c r="BR831" t="s">
        <v>1667</v>
      </c>
      <c r="BS831" t="s">
        <v>2698</v>
      </c>
      <c r="BT831" t="b">
        <v>0</v>
      </c>
      <c r="BV831" t="s">
        <v>1668</v>
      </c>
      <c r="BW831">
        <v>2314</v>
      </c>
      <c r="BX831" t="s">
        <v>3856</v>
      </c>
      <c r="BY831">
        <v>507338</v>
      </c>
      <c r="BZ831" t="s">
        <v>5509</v>
      </c>
      <c r="CA831">
        <v>1</v>
      </c>
      <c r="CB831" t="b">
        <v>1</v>
      </c>
      <c r="CC831">
        <v>0</v>
      </c>
      <c r="CD831" t="b">
        <v>0</v>
      </c>
      <c r="CE831" t="b">
        <v>0</v>
      </c>
      <c r="CF831" t="b">
        <v>1</v>
      </c>
      <c r="CG831">
        <v>2630355</v>
      </c>
      <c r="CH831" t="s">
        <v>1681</v>
      </c>
      <c r="CI831" s="10">
        <v>625000</v>
      </c>
      <c r="CJ831" s="7">
        <v>33368</v>
      </c>
    </row>
    <row r="832" spans="1:88">
      <c r="A832">
        <v>28001761</v>
      </c>
      <c r="B832" s="2" t="str">
        <f>HYPERLINK("http://www.redfin.com/stingray/do/printable-listing?listing-id=1374185","Active")</f>
        <v>Active</v>
      </c>
      <c r="D832" t="s">
        <v>3061</v>
      </c>
      <c r="E832" t="s">
        <v>4409</v>
      </c>
      <c r="F832">
        <v>509950</v>
      </c>
      <c r="G832">
        <v>1974</v>
      </c>
      <c r="H832">
        <v>2250</v>
      </c>
      <c r="I832">
        <v>11326</v>
      </c>
      <c r="J832">
        <v>4</v>
      </c>
      <c r="K832">
        <v>2.5</v>
      </c>
      <c r="M832" s="2" t="str">
        <f>HYPERLINK("http://maps.live.com/default.aspx?v=2&amp;lvl=15&amp;sp=Point.47.721837_-122.166803_12930 NE 136th St&amp;cp=47.721837~-122.166803","Map")</f>
        <v>Map</v>
      </c>
      <c r="N832" s="2" t="str">
        <f>HYPERLINK("http://i-0.rfimg.us/photo/1/bigphoto/761/28001761_0.jpg","Photo")</f>
        <v>Photo</v>
      </c>
      <c r="AG832">
        <v>47.721837000000001</v>
      </c>
      <c r="AH832">
        <v>-122.166803</v>
      </c>
      <c r="AI832" t="s">
        <v>1058</v>
      </c>
      <c r="AJ832">
        <v>98034</v>
      </c>
      <c r="AN832">
        <v>450000</v>
      </c>
      <c r="BC832" s="22">
        <v>39451.37972222222</v>
      </c>
      <c r="BI832" s="7">
        <v>39543</v>
      </c>
      <c r="BL832">
        <v>10199</v>
      </c>
      <c r="BM832">
        <v>1374185</v>
      </c>
      <c r="BN832" t="s">
        <v>1768</v>
      </c>
      <c r="BO832" s="17">
        <f t="shared" ca="1" si="12"/>
        <v>97.92968368055881</v>
      </c>
      <c r="BP832" t="b">
        <v>0</v>
      </c>
      <c r="BQ832">
        <v>1</v>
      </c>
      <c r="BR832" t="s">
        <v>1686</v>
      </c>
      <c r="BS832" t="s">
        <v>4403</v>
      </c>
      <c r="BT832" t="b">
        <v>0</v>
      </c>
      <c r="BU832" t="s">
        <v>1738</v>
      </c>
      <c r="BV832" t="s">
        <v>1668</v>
      </c>
      <c r="BW832">
        <v>12930</v>
      </c>
      <c r="BY832">
        <v>456292</v>
      </c>
      <c r="BZ832" t="s">
        <v>1672</v>
      </c>
      <c r="CA832">
        <v>1</v>
      </c>
      <c r="CB832" t="b">
        <v>1</v>
      </c>
      <c r="CC832">
        <v>0</v>
      </c>
      <c r="CD832" t="b">
        <v>0</v>
      </c>
      <c r="CE832" t="b">
        <v>0</v>
      </c>
      <c r="CF832" t="b">
        <v>1</v>
      </c>
      <c r="CG832">
        <v>2699815</v>
      </c>
      <c r="CH832" t="s">
        <v>1681</v>
      </c>
      <c r="CI832" s="10">
        <v>509950</v>
      </c>
      <c r="CJ832" s="7">
        <v>38803</v>
      </c>
    </row>
    <row r="833" spans="1:88">
      <c r="A833">
        <v>28001764</v>
      </c>
      <c r="B833" s="15" t="str">
        <f>HYPERLINK("http://www.redfin.com/stingray/do/printable-listing?listing-id=1371047","Subject To Inspection")</f>
        <v>Subject To Inspection</v>
      </c>
      <c r="D833" t="s">
        <v>967</v>
      </c>
      <c r="E833" t="s">
        <v>2927</v>
      </c>
      <c r="F833">
        <v>349950</v>
      </c>
      <c r="G833">
        <v>2007</v>
      </c>
      <c r="H833">
        <v>1762</v>
      </c>
      <c r="I833">
        <v>0</v>
      </c>
      <c r="J833">
        <v>3</v>
      </c>
      <c r="K833">
        <v>2</v>
      </c>
      <c r="M833" s="2" t="str">
        <f>HYPERLINK("http://maps.live.com/default.aspx?v=2&amp;lvl=15&amp;sp=Point.47.718684_-122.292495_12316 33 Ave NE nC&amp;cp=47.718684~-122.292495","Map")</f>
        <v>Map</v>
      </c>
      <c r="N833" s="2" t="str">
        <f>HYPERLINK("http://i-0.rfimg.us/photo/1/bigphoto/764/28001764_D.jpg","Photo")</f>
        <v>Photo</v>
      </c>
      <c r="AG833">
        <v>47.718684000000003</v>
      </c>
      <c r="AH833">
        <v>-122.292495</v>
      </c>
      <c r="AI833" t="s">
        <v>66</v>
      </c>
      <c r="AJ833">
        <v>98125</v>
      </c>
      <c r="AM833" t="s">
        <v>2341</v>
      </c>
      <c r="BC833" s="22">
        <v>39450.486041666663</v>
      </c>
      <c r="BI833" s="22">
        <v>39549.294907407406</v>
      </c>
      <c r="BL833">
        <v>6999</v>
      </c>
      <c r="BM833">
        <v>1371047</v>
      </c>
      <c r="BN833" t="s">
        <v>1744</v>
      </c>
      <c r="BO833" s="17">
        <f t="shared" ca="1" si="12"/>
        <v>98.823364236115594</v>
      </c>
      <c r="BP833" t="b">
        <v>0</v>
      </c>
      <c r="BQ833">
        <v>1</v>
      </c>
      <c r="BR833" t="s">
        <v>1667</v>
      </c>
      <c r="BS833">
        <v>33</v>
      </c>
      <c r="BT833" t="b">
        <v>0</v>
      </c>
      <c r="BV833" t="s">
        <v>1668</v>
      </c>
      <c r="BW833">
        <v>12316</v>
      </c>
      <c r="BX833" t="s">
        <v>1738</v>
      </c>
      <c r="BY833">
        <v>12265757</v>
      </c>
      <c r="BZ833" t="s">
        <v>2928</v>
      </c>
      <c r="CA833">
        <v>1</v>
      </c>
      <c r="CB833" t="b">
        <v>1</v>
      </c>
      <c r="CC833">
        <v>0</v>
      </c>
      <c r="CD833" t="b">
        <v>0</v>
      </c>
      <c r="CE833" t="b">
        <v>0</v>
      </c>
      <c r="CF833" t="b">
        <v>1</v>
      </c>
      <c r="CG833">
        <v>15488089</v>
      </c>
      <c r="CH833" t="s">
        <v>1681</v>
      </c>
      <c r="CI833" s="10">
        <v>349950</v>
      </c>
    </row>
    <row r="834" spans="1:88">
      <c r="A834">
        <v>28001787</v>
      </c>
      <c r="B834" s="2" t="str">
        <f>HYPERLINK("http://www.redfin.com/stingray/do/printable-listing?listing-id=1371040","Active")</f>
        <v>Active</v>
      </c>
      <c r="D834" t="s">
        <v>3839</v>
      </c>
      <c r="E834" t="s">
        <v>6183</v>
      </c>
      <c r="F834">
        <v>949950</v>
      </c>
      <c r="G834">
        <v>2007</v>
      </c>
      <c r="H834">
        <v>3540</v>
      </c>
      <c r="I834">
        <v>8070</v>
      </c>
      <c r="J834">
        <v>4</v>
      </c>
      <c r="K834">
        <v>2.5</v>
      </c>
      <c r="M834" s="2" t="str">
        <f>HYPERLINK("http://maps.live.com/default.aspx?v=2&amp;lvl=15&amp;sp=Point.47.506537_-122.148887_5356 NE 16th St&amp;cp=47.506537~-122.148887","Map")</f>
        <v>Map</v>
      </c>
      <c r="N834" s="2" t="str">
        <f>HYPERLINK("http://i-0.rfimg.us/photo/1/bigphoto/787/28001787_1.jpg","Photo")</f>
        <v>Photo</v>
      </c>
      <c r="AG834">
        <v>47.506537000000002</v>
      </c>
      <c r="AH834">
        <v>-122.148887</v>
      </c>
      <c r="AI834" t="s">
        <v>1077</v>
      </c>
      <c r="AJ834">
        <v>98059</v>
      </c>
      <c r="BC834" s="22">
        <v>39450.485833333332</v>
      </c>
      <c r="BI834" s="7">
        <v>39537</v>
      </c>
      <c r="BL834">
        <v>18999</v>
      </c>
      <c r="BM834">
        <v>1371040</v>
      </c>
      <c r="BN834" t="s">
        <v>3236</v>
      </c>
      <c r="BO834" s="17">
        <f t="shared" ref="BO834:BO897" ca="1" si="13">NOW()-BC834</f>
        <v>98.823572569446696</v>
      </c>
      <c r="BP834" t="b">
        <v>0</v>
      </c>
      <c r="BQ834">
        <v>1</v>
      </c>
      <c r="BR834" t="s">
        <v>1686</v>
      </c>
      <c r="BS834" t="s">
        <v>1695</v>
      </c>
      <c r="BT834" t="b">
        <v>0</v>
      </c>
      <c r="BU834" t="s">
        <v>1738</v>
      </c>
      <c r="BV834" t="s">
        <v>1668</v>
      </c>
      <c r="BW834">
        <v>5356</v>
      </c>
      <c r="BY834">
        <v>12323049</v>
      </c>
      <c r="BZ834" t="s">
        <v>2133</v>
      </c>
      <c r="CA834">
        <v>1</v>
      </c>
      <c r="CB834" t="b">
        <v>1</v>
      </c>
      <c r="CC834">
        <v>0</v>
      </c>
      <c r="CD834" t="b">
        <v>0</v>
      </c>
      <c r="CE834" t="b">
        <v>0</v>
      </c>
      <c r="CF834" t="b">
        <v>1</v>
      </c>
      <c r="CG834">
        <v>15529070</v>
      </c>
      <c r="CH834" t="s">
        <v>1681</v>
      </c>
      <c r="CI834" s="10">
        <v>949950</v>
      </c>
    </row>
    <row r="835" spans="1:88">
      <c r="A835">
        <v>28001855</v>
      </c>
      <c r="B835" s="2" t="str">
        <f>HYPERLINK("http://www.redfin.com/stingray/do/printable-listing?listing-id=1371435","Active")</f>
        <v>Active</v>
      </c>
      <c r="D835" t="s">
        <v>63</v>
      </c>
      <c r="E835" t="s">
        <v>886</v>
      </c>
      <c r="F835">
        <v>475000</v>
      </c>
      <c r="G835">
        <v>1944</v>
      </c>
      <c r="H835">
        <v>1890</v>
      </c>
      <c r="I835">
        <v>5000</v>
      </c>
      <c r="J835">
        <v>3</v>
      </c>
      <c r="K835">
        <v>1.75</v>
      </c>
      <c r="M835" s="2" t="str">
        <f>HYPERLINK("http://maps.live.com/default.aspx?v=2&amp;lvl=15&amp;sp=Point.47.668935_-122.369509_918 NW Market St&amp;cp=47.668935~-122.369509","Map")</f>
        <v>Map</v>
      </c>
      <c r="N835" s="2" t="str">
        <f>HYPERLINK("http://i-0.rfimg.us/photo/1/bigphoto/855/28001855_0.jpg","Photo")</f>
        <v>Photo</v>
      </c>
      <c r="AG835">
        <v>47.668934999999998</v>
      </c>
      <c r="AH835">
        <v>-122.36950899999999</v>
      </c>
      <c r="AI835" t="s">
        <v>66</v>
      </c>
      <c r="AJ835">
        <v>98107</v>
      </c>
      <c r="AN835">
        <v>350000</v>
      </c>
      <c r="BC835" s="22">
        <v>39450.561620370368</v>
      </c>
      <c r="BI835" s="22">
        <v>39549.294907407406</v>
      </c>
      <c r="BL835">
        <v>9500</v>
      </c>
      <c r="BM835">
        <v>1371435</v>
      </c>
      <c r="BN835" t="s">
        <v>2593</v>
      </c>
      <c r="BO835" s="17">
        <f t="shared" ca="1" si="13"/>
        <v>98.747785648149147</v>
      </c>
      <c r="BP835" t="b">
        <v>0</v>
      </c>
      <c r="BQ835">
        <v>1</v>
      </c>
      <c r="BR835" t="s">
        <v>1686</v>
      </c>
      <c r="BS835" t="s">
        <v>2555</v>
      </c>
      <c r="BT835" t="b">
        <v>0</v>
      </c>
      <c r="BU835" t="s">
        <v>1669</v>
      </c>
      <c r="BV835" t="s">
        <v>1668</v>
      </c>
      <c r="BW835">
        <v>918</v>
      </c>
      <c r="BY835">
        <v>493364</v>
      </c>
      <c r="BZ835" t="s">
        <v>1670</v>
      </c>
      <c r="CA835">
        <v>1</v>
      </c>
      <c r="CB835" t="b">
        <v>1</v>
      </c>
      <c r="CC835">
        <v>0</v>
      </c>
      <c r="CD835" t="b">
        <v>0</v>
      </c>
      <c r="CE835" t="b">
        <v>0</v>
      </c>
      <c r="CF835" t="b">
        <v>1</v>
      </c>
      <c r="CG835">
        <v>2416315</v>
      </c>
      <c r="CH835" t="s">
        <v>1681</v>
      </c>
      <c r="CI835" s="10">
        <v>475000</v>
      </c>
      <c r="CJ835" s="7">
        <v>38401</v>
      </c>
    </row>
    <row r="836" spans="1:88">
      <c r="A836">
        <v>28002016</v>
      </c>
      <c r="B836" s="2" t="str">
        <f>HYPERLINK("http://www.redfin.com/stingray/do/printable-listing?listing-id=1371608","Contingent")</f>
        <v>Contingent</v>
      </c>
      <c r="D836" t="s">
        <v>3064</v>
      </c>
      <c r="E836" t="s">
        <v>4371</v>
      </c>
      <c r="F836">
        <v>722000</v>
      </c>
      <c r="G836">
        <v>1995</v>
      </c>
      <c r="H836">
        <v>2810</v>
      </c>
      <c r="I836">
        <v>9756</v>
      </c>
      <c r="J836">
        <v>4</v>
      </c>
      <c r="K836">
        <v>3.5</v>
      </c>
      <c r="M836" s="2" t="str">
        <f>HYPERLINK("http://maps.live.com/default.aspx?v=2&amp;lvl=15&amp;sp=Point.47.695652_-122.18785_11510 NE 107th Pl&amp;cp=47.695652~-122.18785","Map")</f>
        <v>Map</v>
      </c>
      <c r="N836" s="2" t="str">
        <f>HYPERLINK("http://i-0.rfimg.us/photo/1/bigphoto/016/28002016_X.jpg","Photo")</f>
        <v>Photo</v>
      </c>
      <c r="AG836">
        <v>47.695652000000003</v>
      </c>
      <c r="AH836">
        <v>-122.18785</v>
      </c>
      <c r="AI836" t="s">
        <v>1058</v>
      </c>
      <c r="AJ836">
        <v>98033</v>
      </c>
      <c r="AN836">
        <v>271000</v>
      </c>
      <c r="BC836" s="22">
        <v>39450.602303240739</v>
      </c>
      <c r="BI836" s="7">
        <v>39533</v>
      </c>
      <c r="BL836">
        <v>14440</v>
      </c>
      <c r="BM836">
        <v>1371608</v>
      </c>
      <c r="BN836" t="s">
        <v>3329</v>
      </c>
      <c r="BO836" s="17">
        <f t="shared" ca="1" si="13"/>
        <v>98.707102662039688</v>
      </c>
      <c r="BP836" t="b">
        <v>0</v>
      </c>
      <c r="BQ836">
        <v>2</v>
      </c>
      <c r="BR836" t="s">
        <v>1842</v>
      </c>
      <c r="BS836" t="s">
        <v>2678</v>
      </c>
      <c r="BT836" t="b">
        <v>0</v>
      </c>
      <c r="BU836" t="s">
        <v>1738</v>
      </c>
      <c r="BV836" t="s">
        <v>1668</v>
      </c>
      <c r="BW836">
        <v>11510</v>
      </c>
      <c r="BY836">
        <v>462655</v>
      </c>
      <c r="BZ836" t="s">
        <v>4372</v>
      </c>
      <c r="CA836">
        <v>1</v>
      </c>
      <c r="CB836" t="b">
        <v>1</v>
      </c>
      <c r="CC836">
        <v>0</v>
      </c>
      <c r="CD836" t="b">
        <v>0</v>
      </c>
      <c r="CE836" t="b">
        <v>0</v>
      </c>
      <c r="CF836" t="b">
        <v>1</v>
      </c>
      <c r="CG836">
        <v>2781122</v>
      </c>
      <c r="CH836" t="s">
        <v>1681</v>
      </c>
      <c r="CI836" s="10">
        <v>722000</v>
      </c>
      <c r="CJ836" s="7">
        <v>34753</v>
      </c>
    </row>
    <row r="837" spans="1:88">
      <c r="A837">
        <v>28002024</v>
      </c>
      <c r="B837" s="15" t="str">
        <f>HYPERLINK("http://www.redfin.com/stingray/do/printable-listing?listing-id=1376023","Subject To Inspection")</f>
        <v>Subject To Inspection</v>
      </c>
      <c r="D837" t="s">
        <v>3064</v>
      </c>
      <c r="E837" t="s">
        <v>6177</v>
      </c>
      <c r="F837">
        <v>549888</v>
      </c>
      <c r="G837">
        <v>2006</v>
      </c>
      <c r="H837">
        <v>2750</v>
      </c>
      <c r="I837">
        <v>6142</v>
      </c>
      <c r="J837">
        <v>4</v>
      </c>
      <c r="K837">
        <v>2.5</v>
      </c>
      <c r="M837" s="2" t="str">
        <f>HYPERLINK("http://maps.live.com/default.aspx?v=2&amp;lvl=15&amp;sp=Point.47.508_-122.1497_4509 NE 18th Cir&amp;cp=47.508~-122.1497","Map")</f>
        <v>Map</v>
      </c>
      <c r="N837" s="2" t="str">
        <f>HYPERLINK("http://i-0.rfimg.us/photo/1/bigphoto/024/28002024_3.jpg","Photo")</f>
        <v>Photo</v>
      </c>
      <c r="AG837">
        <v>47.508000000000003</v>
      </c>
      <c r="AH837">
        <v>-122.1497</v>
      </c>
      <c r="AI837" t="s">
        <v>1077</v>
      </c>
      <c r="AJ837">
        <v>98059</v>
      </c>
      <c r="BC837" s="22">
        <v>39451.812002314815</v>
      </c>
      <c r="BI837" s="7">
        <v>39540</v>
      </c>
      <c r="BL837">
        <v>10998</v>
      </c>
      <c r="BM837">
        <v>1376023</v>
      </c>
      <c r="BN837" t="s">
        <v>3907</v>
      </c>
      <c r="BO837" s="17">
        <f t="shared" ca="1" si="13"/>
        <v>97.497403587964072</v>
      </c>
      <c r="BP837" t="b">
        <v>0</v>
      </c>
      <c r="BQ837">
        <v>1</v>
      </c>
      <c r="BR837" t="s">
        <v>6178</v>
      </c>
      <c r="BS837" t="s">
        <v>1909</v>
      </c>
      <c r="BT837" t="b">
        <v>0</v>
      </c>
      <c r="BU837" t="s">
        <v>1738</v>
      </c>
      <c r="BV837" t="s">
        <v>1668</v>
      </c>
      <c r="BW837">
        <v>4509</v>
      </c>
      <c r="BY837">
        <v>11896713</v>
      </c>
      <c r="BZ837" t="s">
        <v>6179</v>
      </c>
      <c r="CA837">
        <v>1</v>
      </c>
      <c r="CB837" t="b">
        <v>1</v>
      </c>
      <c r="CC837">
        <v>0</v>
      </c>
      <c r="CD837" t="b">
        <v>0</v>
      </c>
      <c r="CE837" t="b">
        <v>0</v>
      </c>
      <c r="CF837" t="b">
        <v>1</v>
      </c>
      <c r="CG837">
        <v>15150938</v>
      </c>
      <c r="CH837" t="s">
        <v>1681</v>
      </c>
      <c r="CI837" s="10">
        <v>549888</v>
      </c>
    </row>
    <row r="838" spans="1:88">
      <c r="A838">
        <v>28002090</v>
      </c>
      <c r="B838" s="2" t="str">
        <f>HYPERLINK("http://www.redfin.com/stingray/do/printable-listing?listing-id=1372195","Active")</f>
        <v>Active</v>
      </c>
      <c r="D838" t="s">
        <v>202</v>
      </c>
      <c r="E838" t="s">
        <v>2954</v>
      </c>
      <c r="F838">
        <v>813500</v>
      </c>
      <c r="G838">
        <v>2008</v>
      </c>
      <c r="H838">
        <v>3462</v>
      </c>
      <c r="I838">
        <v>0</v>
      </c>
      <c r="J838">
        <v>5</v>
      </c>
      <c r="K838">
        <v>3.5</v>
      </c>
      <c r="M838" s="2" t="str">
        <f>HYPERLINK("http://maps.live.com/default.aspx?v=2&amp;lvl=15&amp;sp=Point.47.707876_-122.308625_10745 19th Ave NE&amp;cp=47.707876~-122.308625","Map")</f>
        <v>Map</v>
      </c>
      <c r="N838" s="2" t="str">
        <f>HYPERLINK("http://i-0.rfimg.us/photo/1/bigphoto/090/28002090_0.jpg","Photo")</f>
        <v>Photo</v>
      </c>
      <c r="AG838">
        <v>47.707875999999999</v>
      </c>
      <c r="AH838">
        <v>-122.30862500000001</v>
      </c>
      <c r="AI838" t="s">
        <v>66</v>
      </c>
      <c r="AJ838">
        <v>98125</v>
      </c>
      <c r="AN838">
        <v>474000</v>
      </c>
      <c r="BC838" s="22">
        <v>39450.7343287037</v>
      </c>
      <c r="BI838" s="22">
        <v>39549.294907407406</v>
      </c>
      <c r="BL838">
        <v>16270</v>
      </c>
      <c r="BM838">
        <v>1372195</v>
      </c>
      <c r="BN838" t="s">
        <v>1725</v>
      </c>
      <c r="BO838" s="17">
        <f t="shared" ca="1" si="13"/>
        <v>98.575077199078805</v>
      </c>
      <c r="BP838" t="b">
        <v>0</v>
      </c>
      <c r="BQ838">
        <v>1</v>
      </c>
      <c r="BR838" t="s">
        <v>1667</v>
      </c>
      <c r="BS838" t="s">
        <v>1906</v>
      </c>
      <c r="BT838" t="b">
        <v>0</v>
      </c>
      <c r="BV838" t="s">
        <v>1668</v>
      </c>
      <c r="BW838">
        <v>10745</v>
      </c>
      <c r="BX838" t="s">
        <v>1738</v>
      </c>
      <c r="BY838">
        <v>108062</v>
      </c>
      <c r="BZ838" t="s">
        <v>1696</v>
      </c>
      <c r="CA838">
        <v>1</v>
      </c>
      <c r="CB838" t="b">
        <v>1</v>
      </c>
      <c r="CC838">
        <v>0</v>
      </c>
      <c r="CD838" t="b">
        <v>0</v>
      </c>
      <c r="CE838" t="b">
        <v>0</v>
      </c>
      <c r="CF838" t="b">
        <v>1</v>
      </c>
      <c r="CG838">
        <v>2647069</v>
      </c>
      <c r="CH838" t="s">
        <v>1681</v>
      </c>
      <c r="CI838" s="10">
        <v>813500</v>
      </c>
      <c r="CJ838" s="7">
        <v>38455</v>
      </c>
    </row>
    <row r="839" spans="1:88">
      <c r="A839">
        <v>28002277</v>
      </c>
      <c r="B839" s="2" t="str">
        <f>HYPERLINK("http://www.redfin.com/stingray/do/printable-listing?listing-id=1372491","Active")</f>
        <v>Active</v>
      </c>
      <c r="D839" t="s">
        <v>2850</v>
      </c>
      <c r="E839" t="s">
        <v>4491</v>
      </c>
      <c r="F839">
        <v>929950</v>
      </c>
      <c r="G839">
        <v>2008</v>
      </c>
      <c r="H839">
        <v>2882</v>
      </c>
      <c r="I839">
        <v>0</v>
      </c>
      <c r="J839">
        <v>4</v>
      </c>
      <c r="K839">
        <v>3.5</v>
      </c>
      <c r="M839" s="2" t="str">
        <f>HYPERLINK("http://maps.live.com/default.aspx?v=2&amp;lvl=15&amp;sp=Point.47.706635_-122.223078_11831 89th Pl NE nB&amp;cp=47.706635~-122.223078","Map")</f>
        <v>Map</v>
      </c>
      <c r="N839" s="2" t="str">
        <f>HYPERLINK("http://i-0.rfimg.us/photo/1/bigphoto/277/28002277_1.jpg","Photo")</f>
        <v>Photo</v>
      </c>
      <c r="AG839">
        <v>47.706634999999999</v>
      </c>
      <c r="AH839">
        <v>-122.223078</v>
      </c>
      <c r="AI839" t="s">
        <v>1058</v>
      </c>
      <c r="AJ839">
        <v>98034</v>
      </c>
      <c r="AM839" t="s">
        <v>1699</v>
      </c>
      <c r="BC839" s="22">
        <v>39450.79787037037</v>
      </c>
      <c r="BI839" s="22">
        <v>39549.294907407406</v>
      </c>
      <c r="BL839">
        <v>18599</v>
      </c>
      <c r="BM839">
        <v>1372491</v>
      </c>
      <c r="BN839" t="s">
        <v>1768</v>
      </c>
      <c r="BO839" s="17">
        <f t="shared" ca="1" si="13"/>
        <v>98.511535532408743</v>
      </c>
      <c r="BP839" t="b">
        <v>0</v>
      </c>
      <c r="BQ839">
        <v>1</v>
      </c>
      <c r="BR839" t="s">
        <v>1842</v>
      </c>
      <c r="BS839" t="s">
        <v>2741</v>
      </c>
      <c r="BT839" t="b">
        <v>0</v>
      </c>
      <c r="BV839" t="s">
        <v>1668</v>
      </c>
      <c r="BW839">
        <v>11831</v>
      </c>
      <c r="BX839" t="s">
        <v>1738</v>
      </c>
      <c r="BY839">
        <v>12323207</v>
      </c>
      <c r="BZ839" t="s">
        <v>4347</v>
      </c>
      <c r="CA839">
        <v>1</v>
      </c>
      <c r="CB839" t="b">
        <v>1</v>
      </c>
      <c r="CC839">
        <v>0</v>
      </c>
      <c r="CD839" t="b">
        <v>0</v>
      </c>
      <c r="CE839" t="b">
        <v>0</v>
      </c>
      <c r="CF839" t="b">
        <v>1</v>
      </c>
      <c r="CG839">
        <v>15510259</v>
      </c>
      <c r="CH839" t="s">
        <v>1681</v>
      </c>
      <c r="CI839" s="10">
        <v>929950</v>
      </c>
    </row>
    <row r="840" spans="1:88">
      <c r="A840">
        <v>28002372</v>
      </c>
      <c r="B840" s="2" t="str">
        <f>HYPERLINK("http://www.redfin.com/stingray/do/printable-listing?listing-id=1374026","Active")</f>
        <v>Active</v>
      </c>
      <c r="D840" t="s">
        <v>3379</v>
      </c>
      <c r="E840" t="s">
        <v>3428</v>
      </c>
      <c r="F840">
        <v>1277000</v>
      </c>
      <c r="G840">
        <v>1939</v>
      </c>
      <c r="H840">
        <v>3630</v>
      </c>
      <c r="I840">
        <v>5800</v>
      </c>
      <c r="J840">
        <v>4</v>
      </c>
      <c r="K840">
        <v>2.75</v>
      </c>
      <c r="M840" s="2" t="str">
        <f>HYPERLINK("http://maps.live.com/default.aspx?v=2&amp;lvl=15&amp;sp=Point.47.647492_-122.411089_3021 42nd Ave W&amp;cp=47.647492~-122.411089","Map")</f>
        <v>Map</v>
      </c>
      <c r="N840" s="2" t="str">
        <f>HYPERLINK("http://i-0.rfimg.us/photo/1/bigphoto/372/28002372_1.jpg","Photo")</f>
        <v>Photo</v>
      </c>
      <c r="AG840">
        <v>47.647492</v>
      </c>
      <c r="AH840">
        <v>-122.411089</v>
      </c>
      <c r="AI840" t="s">
        <v>66</v>
      </c>
      <c r="AJ840">
        <v>98199</v>
      </c>
      <c r="AN840">
        <v>642000</v>
      </c>
      <c r="BC840" s="22">
        <v>39451.264745370368</v>
      </c>
      <c r="BI840" s="22">
        <v>39549.294907407406</v>
      </c>
      <c r="BL840">
        <v>25540</v>
      </c>
      <c r="BM840">
        <v>1374026</v>
      </c>
      <c r="BN840" t="s">
        <v>2798</v>
      </c>
      <c r="BO840" s="17">
        <f t="shared" ca="1" si="13"/>
        <v>98.044660532410489</v>
      </c>
      <c r="BP840" t="b">
        <v>0</v>
      </c>
      <c r="BQ840">
        <v>1</v>
      </c>
      <c r="BR840" t="s">
        <v>1667</v>
      </c>
      <c r="BS840" t="s">
        <v>3371</v>
      </c>
      <c r="BT840" t="b">
        <v>0</v>
      </c>
      <c r="BV840" t="s">
        <v>1668</v>
      </c>
      <c r="BW840">
        <v>3021</v>
      </c>
      <c r="BX840" t="s">
        <v>2423</v>
      </c>
      <c r="BY840">
        <v>125743</v>
      </c>
      <c r="BZ840" t="s">
        <v>1797</v>
      </c>
      <c r="CA840">
        <v>1</v>
      </c>
      <c r="CB840" t="b">
        <v>1</v>
      </c>
      <c r="CC840">
        <v>0</v>
      </c>
      <c r="CD840" t="b">
        <v>0</v>
      </c>
      <c r="CE840" t="b">
        <v>0</v>
      </c>
      <c r="CF840" t="b">
        <v>1</v>
      </c>
      <c r="CG840">
        <v>2400218</v>
      </c>
      <c r="CH840" t="s">
        <v>1681</v>
      </c>
      <c r="CI840" s="10">
        <v>1277000</v>
      </c>
      <c r="CJ840" s="7">
        <v>38224</v>
      </c>
    </row>
    <row r="841" spans="1:88">
      <c r="A841">
        <v>28002384</v>
      </c>
      <c r="B841" s="15" t="str">
        <f>HYPERLINK("http://www.redfin.com/stingray/do/printable-listing?listing-id=1374255","Contingent")</f>
        <v>Contingent</v>
      </c>
      <c r="D841" t="s">
        <v>5776</v>
      </c>
      <c r="E841" t="s">
        <v>5779</v>
      </c>
      <c r="F841">
        <v>529950</v>
      </c>
      <c r="G841">
        <v>1971</v>
      </c>
      <c r="H841">
        <v>2460</v>
      </c>
      <c r="I841">
        <v>6970</v>
      </c>
      <c r="J841">
        <v>4</v>
      </c>
      <c r="K841">
        <v>2.25</v>
      </c>
      <c r="M841" s="2" t="str">
        <f>HYPERLINK("http://maps.live.com/default.aspx?v=2&amp;lvl=15&amp;sp=Point.47.521852_-122.204175_1105 N 34th St&amp;cp=47.521852~-122.204175","Map")</f>
        <v>Map</v>
      </c>
      <c r="N841" s="2" t="str">
        <f>HYPERLINK("http://i-0.rfimg.us/photo/1/bigphoto/384/28002384_5.jpg","Photo")</f>
        <v>Photo</v>
      </c>
      <c r="AG841">
        <v>47.521852000000003</v>
      </c>
      <c r="AH841">
        <v>-122.20417500000001</v>
      </c>
      <c r="AI841" t="s">
        <v>1077</v>
      </c>
      <c r="AJ841">
        <v>98056</v>
      </c>
      <c r="AN841">
        <v>209990</v>
      </c>
      <c r="BC841" s="22">
        <v>39451.391134259262</v>
      </c>
      <c r="BI841" s="22">
        <v>39549.294907407406</v>
      </c>
      <c r="BL841">
        <v>10599</v>
      </c>
      <c r="BM841">
        <v>1374255</v>
      </c>
      <c r="BN841" t="s">
        <v>3023</v>
      </c>
      <c r="BO841" s="17">
        <f t="shared" ca="1" si="13"/>
        <v>97.918271643517073</v>
      </c>
      <c r="BP841" t="b">
        <v>0</v>
      </c>
      <c r="BQ841">
        <v>1</v>
      </c>
      <c r="BR841" t="s">
        <v>1686</v>
      </c>
      <c r="BS841" t="s">
        <v>2912</v>
      </c>
      <c r="BT841" t="b">
        <v>0</v>
      </c>
      <c r="BU841" t="s">
        <v>1712</v>
      </c>
      <c r="BV841" t="s">
        <v>1668</v>
      </c>
      <c r="BW841">
        <v>1105</v>
      </c>
      <c r="BY841">
        <v>409009</v>
      </c>
      <c r="BZ841" t="s">
        <v>5780</v>
      </c>
      <c r="CA841">
        <v>1</v>
      </c>
      <c r="CB841" t="b">
        <v>1</v>
      </c>
      <c r="CC841">
        <v>0</v>
      </c>
      <c r="CD841" t="b">
        <v>0</v>
      </c>
      <c r="CE841" t="b">
        <v>0</v>
      </c>
      <c r="CF841" t="b">
        <v>1</v>
      </c>
      <c r="CG841">
        <v>2360714</v>
      </c>
      <c r="CH841" t="s">
        <v>1681</v>
      </c>
      <c r="CI841" s="10">
        <v>529950</v>
      </c>
      <c r="CJ841" s="7">
        <v>37007</v>
      </c>
    </row>
    <row r="842" spans="1:88">
      <c r="A842">
        <v>28002409</v>
      </c>
      <c r="B842" s="2" t="str">
        <f>HYPERLINK("http://www.redfin.com/stingray/do/printable-listing?listing-id=1374160","Active")</f>
        <v>Active</v>
      </c>
      <c r="D842" t="s">
        <v>3064</v>
      </c>
      <c r="E842" t="s">
        <v>6013</v>
      </c>
      <c r="F842">
        <v>375000</v>
      </c>
      <c r="G842">
        <v>1947</v>
      </c>
      <c r="H842">
        <v>1600</v>
      </c>
      <c r="I842">
        <v>14825</v>
      </c>
      <c r="J842">
        <v>3</v>
      </c>
      <c r="K842">
        <v>2</v>
      </c>
      <c r="M842" s="2" t="str">
        <f>HYPERLINK("http://maps.live.com/default.aspx?v=2&amp;lvl=15&amp;sp=Point.47.498997164881_-122.15691001312_4637 NE 10th St&amp;cp=47.498997164881~-122.15691001312","Map")</f>
        <v>Map</v>
      </c>
      <c r="N842" s="2" t="str">
        <f>HYPERLINK("http://i-0.rfimg.us/photo/1/bigphoto/409/28002409_3.jpg","Photo")</f>
        <v>Photo</v>
      </c>
      <c r="AG842">
        <v>47.498997164880997</v>
      </c>
      <c r="AH842">
        <v>-122.15691001312</v>
      </c>
      <c r="AI842" t="s">
        <v>1077</v>
      </c>
      <c r="AJ842">
        <v>98059</v>
      </c>
      <c r="AN842">
        <v>185000</v>
      </c>
      <c r="BC842" s="22">
        <v>39451.369444444441</v>
      </c>
      <c r="BI842" s="22">
        <v>39549.294907407406</v>
      </c>
      <c r="BL842">
        <v>7500</v>
      </c>
      <c r="BM842">
        <v>1374160</v>
      </c>
      <c r="BN842" t="s">
        <v>4442</v>
      </c>
      <c r="BO842" s="17">
        <f t="shared" ca="1" si="13"/>
        <v>97.939961458338075</v>
      </c>
      <c r="BP842" t="b">
        <v>0</v>
      </c>
      <c r="BQ842">
        <v>1</v>
      </c>
      <c r="BR842" t="s">
        <v>1686</v>
      </c>
      <c r="BS842" t="s">
        <v>1788</v>
      </c>
      <c r="BT842" t="b">
        <v>0</v>
      </c>
      <c r="BU842" t="s">
        <v>1738</v>
      </c>
      <c r="BV842" t="s">
        <v>1668</v>
      </c>
      <c r="BW842">
        <v>4637</v>
      </c>
      <c r="BY842">
        <v>244210</v>
      </c>
      <c r="BZ842" t="s">
        <v>6014</v>
      </c>
      <c r="CA842">
        <v>1</v>
      </c>
      <c r="CB842" t="b">
        <v>1</v>
      </c>
      <c r="CC842">
        <v>0</v>
      </c>
      <c r="CD842" t="b">
        <v>0</v>
      </c>
      <c r="CE842" t="b">
        <v>0</v>
      </c>
      <c r="CF842" t="b">
        <v>1</v>
      </c>
      <c r="CG842">
        <v>2839573</v>
      </c>
      <c r="CH842" t="s">
        <v>1681</v>
      </c>
      <c r="CI842" s="10">
        <v>375000</v>
      </c>
      <c r="CJ842" s="7">
        <v>36633</v>
      </c>
    </row>
    <row r="843" spans="1:88">
      <c r="A843">
        <v>28002418</v>
      </c>
      <c r="B843" s="2" t="str">
        <f>HYPERLINK("http://www.redfin.com/stingray/do/printable-listing?listing-id=1374188","Active")</f>
        <v>Active</v>
      </c>
      <c r="D843" t="s">
        <v>63</v>
      </c>
      <c r="E843" t="s">
        <v>237</v>
      </c>
      <c r="F843" s="19">
        <v>478900</v>
      </c>
      <c r="G843">
        <v>1913</v>
      </c>
      <c r="H843">
        <v>1780</v>
      </c>
      <c r="I843">
        <v>4608</v>
      </c>
      <c r="J843">
        <v>3</v>
      </c>
      <c r="K843">
        <v>2</v>
      </c>
      <c r="M843" s="2" t="str">
        <f>HYPERLINK("http://maps.live.com/default.aspx?v=2&amp;lvl=15&amp;sp=Point.47.692587_-122.363114_355 NW 88th St&amp;cp=47.692587~-122.363114","Map")</f>
        <v>Map</v>
      </c>
      <c r="N843" s="2" t="str">
        <f>HYPERLINK("http://i-0.rfimg.us/photo/1/bigphoto/418/28002418_2.jpg","Photo")</f>
        <v>Photo</v>
      </c>
      <c r="AG843">
        <v>47.692587000000003</v>
      </c>
      <c r="AH843">
        <v>-122.363114</v>
      </c>
      <c r="AI843" t="s">
        <v>66</v>
      </c>
      <c r="AJ843">
        <v>98117</v>
      </c>
      <c r="AN843">
        <v>225000</v>
      </c>
      <c r="BC843" s="22">
        <v>39451.380069444444</v>
      </c>
      <c r="BI843" s="7">
        <v>39539</v>
      </c>
      <c r="BL843">
        <v>9778</v>
      </c>
      <c r="BM843">
        <v>1374188</v>
      </c>
      <c r="BN843" t="s">
        <v>1718</v>
      </c>
      <c r="BO843" s="17">
        <f t="shared" ca="1" si="13"/>
        <v>97.929336574074114</v>
      </c>
      <c r="BP843" t="b">
        <v>0</v>
      </c>
      <c r="BQ843">
        <v>1</v>
      </c>
      <c r="BR843" t="s">
        <v>1686</v>
      </c>
      <c r="BS843" t="s">
        <v>1719</v>
      </c>
      <c r="BT843" t="b">
        <v>0</v>
      </c>
      <c r="BU843" t="s">
        <v>1669</v>
      </c>
      <c r="BV843" t="s">
        <v>1668</v>
      </c>
      <c r="BW843">
        <v>355</v>
      </c>
      <c r="BY843">
        <v>100100</v>
      </c>
      <c r="BZ843" t="s">
        <v>1912</v>
      </c>
      <c r="CA843">
        <v>1</v>
      </c>
      <c r="CB843" t="b">
        <v>1</v>
      </c>
      <c r="CC843">
        <v>0</v>
      </c>
      <c r="CD843" t="b">
        <v>0</v>
      </c>
      <c r="CE843" t="b">
        <v>0</v>
      </c>
      <c r="CF843" t="b">
        <v>1</v>
      </c>
      <c r="CG843">
        <v>2848996</v>
      </c>
      <c r="CH843" t="s">
        <v>1681</v>
      </c>
      <c r="CI843" s="10">
        <v>488888</v>
      </c>
      <c r="CJ843" s="7">
        <v>38905</v>
      </c>
    </row>
    <row r="844" spans="1:88">
      <c r="A844">
        <v>28002427</v>
      </c>
      <c r="B844" s="2" t="str">
        <f>HYPERLINK("http://www.redfin.com/stingray/do/printable-listing?listing-id=1374243","Active")</f>
        <v>Active</v>
      </c>
      <c r="D844" t="s">
        <v>66</v>
      </c>
      <c r="E844" t="s">
        <v>4302</v>
      </c>
      <c r="F844">
        <v>749950</v>
      </c>
      <c r="G844">
        <v>1949</v>
      </c>
      <c r="H844">
        <v>2100</v>
      </c>
      <c r="I844">
        <v>7100</v>
      </c>
      <c r="J844">
        <v>3</v>
      </c>
      <c r="K844">
        <v>2</v>
      </c>
      <c r="M844" s="2" t="str">
        <f>HYPERLINK("http://maps.live.com/default.aspx?v=2&amp;lvl=15&amp;sp=Point.47.621854_-122.288914_317 34th Ave E&amp;cp=47.621854~-122.288914","Map")</f>
        <v>Map</v>
      </c>
      <c r="N844" s="2" t="str">
        <f>HYPERLINK("http://i-0.rfimg.us/photo/1/bigphoto/427/28002427_0.jpg","Photo")</f>
        <v>Photo</v>
      </c>
      <c r="AG844">
        <v>47.621853999999999</v>
      </c>
      <c r="AH844">
        <v>-122.28891400000001</v>
      </c>
      <c r="AI844" t="s">
        <v>66</v>
      </c>
      <c r="AJ844">
        <v>98112</v>
      </c>
      <c r="AN844">
        <v>750000</v>
      </c>
      <c r="BC844" s="22">
        <v>39451.390509259261</v>
      </c>
      <c r="BI844" s="7">
        <v>39543</v>
      </c>
      <c r="BL844">
        <v>14999</v>
      </c>
      <c r="BM844">
        <v>1374243</v>
      </c>
      <c r="BN844" t="s">
        <v>1812</v>
      </c>
      <c r="BO844" s="17">
        <f t="shared" ca="1" si="13"/>
        <v>97.918896643517655</v>
      </c>
      <c r="BP844" t="b">
        <v>0</v>
      </c>
      <c r="BQ844">
        <v>1</v>
      </c>
      <c r="BR844" t="s">
        <v>1667</v>
      </c>
      <c r="BS844" t="s">
        <v>2912</v>
      </c>
      <c r="BT844" t="b">
        <v>0</v>
      </c>
      <c r="BV844" t="s">
        <v>1668</v>
      </c>
      <c r="BW844">
        <v>317</v>
      </c>
      <c r="BX844" t="s">
        <v>2436</v>
      </c>
      <c r="BY844">
        <v>140742</v>
      </c>
      <c r="BZ844" t="s">
        <v>1745</v>
      </c>
      <c r="CA844">
        <v>1</v>
      </c>
      <c r="CB844" t="b">
        <v>1</v>
      </c>
      <c r="CC844">
        <v>0</v>
      </c>
      <c r="CD844" t="b">
        <v>0</v>
      </c>
      <c r="CE844" t="b">
        <v>0</v>
      </c>
      <c r="CF844" t="b">
        <v>1</v>
      </c>
      <c r="CG844">
        <v>2844777</v>
      </c>
      <c r="CH844" t="s">
        <v>1681</v>
      </c>
      <c r="CI844" s="10">
        <v>749950</v>
      </c>
      <c r="CJ844" s="7">
        <v>39254</v>
      </c>
    </row>
    <row r="845" spans="1:88">
      <c r="A845">
        <v>28002433</v>
      </c>
      <c r="B845" s="15" t="str">
        <f>HYPERLINK("http://www.redfin.com/stingray/do/printable-listing?listing-id=1374281","Subject To Inspection")</f>
        <v>Subject To Inspection</v>
      </c>
      <c r="D845" t="s">
        <v>3249</v>
      </c>
      <c r="E845" t="s">
        <v>3577</v>
      </c>
      <c r="F845">
        <v>999500</v>
      </c>
      <c r="G845">
        <v>1931</v>
      </c>
      <c r="H845">
        <v>3020</v>
      </c>
      <c r="I845">
        <v>3600</v>
      </c>
      <c r="J845">
        <v>4</v>
      </c>
      <c r="K845">
        <v>2.75</v>
      </c>
      <c r="M845" s="2" t="str">
        <f>HYPERLINK("http://maps.live.com/default.aspx?v=2&amp;lvl=15&amp;sp=Point.47.641719_-122.367284_2534 8th Ave W&amp;cp=47.641719~-122.367284","Map")</f>
        <v>Map</v>
      </c>
      <c r="N845" s="2" t="str">
        <f>HYPERLINK("http://i-0.rfimg.us/photo/1/bigphoto/433/28002433_0.jpg","Photo")</f>
        <v>Photo</v>
      </c>
      <c r="AG845">
        <v>47.641719000000002</v>
      </c>
      <c r="AH845">
        <v>-122.367284</v>
      </c>
      <c r="AI845" t="s">
        <v>66</v>
      </c>
      <c r="AJ845">
        <v>98119</v>
      </c>
      <c r="AN845">
        <v>675000</v>
      </c>
      <c r="BC845" s="22">
        <v>39451.401134259257</v>
      </c>
      <c r="BI845" s="22">
        <v>39549.294907407406</v>
      </c>
      <c r="BL845">
        <v>19990</v>
      </c>
      <c r="BM845">
        <v>1374281</v>
      </c>
      <c r="BN845" t="s">
        <v>1678</v>
      </c>
      <c r="BO845" s="17">
        <f t="shared" ca="1" si="13"/>
        <v>97.908271643522312</v>
      </c>
      <c r="BP845" t="b">
        <v>0</v>
      </c>
      <c r="BQ845">
        <v>1</v>
      </c>
      <c r="BR845" t="s">
        <v>1667</v>
      </c>
      <c r="BS845" t="s">
        <v>1723</v>
      </c>
      <c r="BT845" t="b">
        <v>0</v>
      </c>
      <c r="BV845" t="s">
        <v>1668</v>
      </c>
      <c r="BW845">
        <v>2534</v>
      </c>
      <c r="BX845" t="s">
        <v>2423</v>
      </c>
      <c r="BY845">
        <v>131284</v>
      </c>
      <c r="BZ845" t="s">
        <v>1672</v>
      </c>
      <c r="CA845">
        <v>1</v>
      </c>
      <c r="CB845" t="b">
        <v>1</v>
      </c>
      <c r="CC845">
        <v>0</v>
      </c>
      <c r="CD845" t="b">
        <v>0</v>
      </c>
      <c r="CE845" t="b">
        <v>0</v>
      </c>
      <c r="CF845" t="b">
        <v>1</v>
      </c>
      <c r="CG845">
        <v>2594287</v>
      </c>
      <c r="CH845" t="s">
        <v>1681</v>
      </c>
      <c r="CI845" s="10">
        <v>999500</v>
      </c>
      <c r="CJ845" s="7">
        <v>38134</v>
      </c>
    </row>
    <row r="846" spans="1:88">
      <c r="A846">
        <v>28002466</v>
      </c>
      <c r="B846" s="2" t="str">
        <f>HYPERLINK("http://www.redfin.com/stingray/do/printable-listing?listing-id=1374320","Active")</f>
        <v>Active</v>
      </c>
      <c r="D846" t="s">
        <v>5125</v>
      </c>
      <c r="E846" t="s">
        <v>5374</v>
      </c>
      <c r="F846">
        <v>748000</v>
      </c>
      <c r="G846">
        <v>1968</v>
      </c>
      <c r="H846">
        <v>2860</v>
      </c>
      <c r="I846">
        <v>0</v>
      </c>
      <c r="J846">
        <v>5</v>
      </c>
      <c r="K846">
        <v>2.5</v>
      </c>
      <c r="M846" s="2" t="str">
        <f>HYPERLINK("http://maps.live.com/default.aspx?v=2&amp;lvl=15&amp;sp=Point.47.60081_-122.191236_1014 111 Pl SE&amp;cp=47.60081~-122.191236","Map")</f>
        <v>Map</v>
      </c>
      <c r="N846" s="2" t="str">
        <f>HYPERLINK("http://i-0.rfimg.us/photo/1/bigphoto/466/28002466_0.jpg","Photo")</f>
        <v>Photo</v>
      </c>
      <c r="AG846">
        <v>47.600810000000003</v>
      </c>
      <c r="AH846">
        <v>-122.191236</v>
      </c>
      <c r="AI846" t="s">
        <v>369</v>
      </c>
      <c r="AJ846">
        <v>98004</v>
      </c>
      <c r="BC846" s="22">
        <v>39451.421388888892</v>
      </c>
      <c r="BI846" s="22">
        <v>39549.294907407406</v>
      </c>
      <c r="BL846">
        <v>14960</v>
      </c>
      <c r="BM846">
        <v>1374320</v>
      </c>
      <c r="BN846" t="s">
        <v>4597</v>
      </c>
      <c r="BO846" s="17">
        <f t="shared" ca="1" si="13"/>
        <v>97.888017013887293</v>
      </c>
      <c r="BP846" t="b">
        <v>0</v>
      </c>
      <c r="BQ846">
        <v>1</v>
      </c>
      <c r="BR846" t="s">
        <v>1842</v>
      </c>
      <c r="BS846">
        <v>111</v>
      </c>
      <c r="BT846" t="b">
        <v>0</v>
      </c>
      <c r="BV846" t="s">
        <v>1668</v>
      </c>
      <c r="BW846">
        <v>1014</v>
      </c>
      <c r="BX846" t="s">
        <v>3856</v>
      </c>
      <c r="BY846">
        <v>510324</v>
      </c>
      <c r="BZ846" t="s">
        <v>1747</v>
      </c>
      <c r="CA846">
        <v>1</v>
      </c>
      <c r="CB846" t="b">
        <v>1</v>
      </c>
      <c r="CC846">
        <v>0</v>
      </c>
      <c r="CD846" t="b">
        <v>0</v>
      </c>
      <c r="CE846" t="b">
        <v>0</v>
      </c>
      <c r="CF846" t="b">
        <v>1</v>
      </c>
      <c r="CG846">
        <v>2526786</v>
      </c>
      <c r="CH846" t="s">
        <v>1681</v>
      </c>
      <c r="CI846" s="10">
        <v>748000</v>
      </c>
    </row>
    <row r="847" spans="1:88">
      <c r="A847">
        <v>28002468</v>
      </c>
      <c r="B847" s="15" t="str">
        <f>HYPERLINK("http://www.redfin.com/stingray/do/printable-listing?listing-id=1374323","Subject To Inspection")</f>
        <v>Subject To Inspection</v>
      </c>
      <c r="D847" t="s">
        <v>4611</v>
      </c>
      <c r="E847" t="s">
        <v>4993</v>
      </c>
      <c r="F847">
        <v>798000</v>
      </c>
      <c r="G847">
        <v>1987</v>
      </c>
      <c r="H847">
        <v>2520</v>
      </c>
      <c r="I847">
        <v>7444</v>
      </c>
      <c r="J847">
        <v>4</v>
      </c>
      <c r="K847">
        <v>2.5</v>
      </c>
      <c r="M847" s="2" t="str">
        <f>HYPERLINK("http://maps.live.com/default.aspx?v=2&amp;lvl=15&amp;sp=Point.47.660213_-122.144582_5825 147th Ave NE&amp;cp=47.660213~-122.144582","Map")</f>
        <v>Map</v>
      </c>
      <c r="N847" s="2" t="str">
        <f>HYPERLINK("http://i-0.rfimg.us/photo/1/bigphoto/468/28002468_0.jpg","Photo")</f>
        <v>Photo</v>
      </c>
      <c r="AG847">
        <v>47.660212999999999</v>
      </c>
      <c r="AH847">
        <v>-122.144582</v>
      </c>
      <c r="AI847" t="s">
        <v>369</v>
      </c>
      <c r="AJ847">
        <v>98007</v>
      </c>
      <c r="AN847">
        <v>325000</v>
      </c>
      <c r="BC847" s="22">
        <v>39451.42150462963</v>
      </c>
      <c r="BI847" s="22">
        <v>39549.294907407406</v>
      </c>
      <c r="BL847">
        <v>15960</v>
      </c>
      <c r="BM847">
        <v>1374323</v>
      </c>
      <c r="BN847" t="s">
        <v>1768</v>
      </c>
      <c r="BO847" s="17">
        <f t="shared" ca="1" si="13"/>
        <v>97.8879012731486</v>
      </c>
      <c r="BP847" t="b">
        <v>0</v>
      </c>
      <c r="BQ847">
        <v>1</v>
      </c>
      <c r="BR847" t="s">
        <v>1667</v>
      </c>
      <c r="BS847" t="s">
        <v>4610</v>
      </c>
      <c r="BT847" t="b">
        <v>0</v>
      </c>
      <c r="BV847" t="s">
        <v>1668</v>
      </c>
      <c r="BW847">
        <v>5825</v>
      </c>
      <c r="BX847" t="s">
        <v>1738</v>
      </c>
      <c r="BY847">
        <v>430565</v>
      </c>
      <c r="BZ847" t="s">
        <v>1672</v>
      </c>
      <c r="CA847">
        <v>1</v>
      </c>
      <c r="CB847" t="b">
        <v>1</v>
      </c>
      <c r="CC847">
        <v>0</v>
      </c>
      <c r="CD847" t="b">
        <v>0</v>
      </c>
      <c r="CE847" t="b">
        <v>0</v>
      </c>
      <c r="CF847" t="b">
        <v>1</v>
      </c>
      <c r="CG847">
        <v>2646705</v>
      </c>
      <c r="CH847" t="s">
        <v>1681</v>
      </c>
      <c r="CI847" s="10">
        <v>798000</v>
      </c>
      <c r="CJ847" s="7">
        <v>33025</v>
      </c>
    </row>
    <row r="848" spans="1:88">
      <c r="A848">
        <v>28002533</v>
      </c>
      <c r="B848" s="2" t="str">
        <f>HYPERLINK("http://www.redfin.com/stingray/do/printable-listing?listing-id=1374496","Active")</f>
        <v>Active</v>
      </c>
      <c r="D848" t="s">
        <v>5125</v>
      </c>
      <c r="E848" t="s">
        <v>5517</v>
      </c>
      <c r="F848">
        <v>674000</v>
      </c>
      <c r="G848">
        <v>1959</v>
      </c>
      <c r="H848">
        <v>1310</v>
      </c>
      <c r="I848">
        <v>8273</v>
      </c>
      <c r="J848">
        <v>3</v>
      </c>
      <c r="K848">
        <v>1.75</v>
      </c>
      <c r="M848" s="2" t="str">
        <f>HYPERLINK("http://maps.live.com/default.aspx?v=2&amp;lvl=15&amp;sp=Point.47.606698_-122.193888_11003 SE 3rd St&amp;cp=47.606698~-122.193888","Map")</f>
        <v>Map</v>
      </c>
      <c r="N848" s="2" t="str">
        <f>HYPERLINK("http://i-0.rfimg.us/photo/1/bigphoto/533/28002533_0.jpg","Photo")</f>
        <v>Photo</v>
      </c>
      <c r="AG848">
        <v>47.606698000000002</v>
      </c>
      <c r="AH848">
        <v>-122.193888</v>
      </c>
      <c r="AI848" t="s">
        <v>369</v>
      </c>
      <c r="AJ848">
        <v>98004</v>
      </c>
      <c r="AN848">
        <v>305500</v>
      </c>
      <c r="BC848" s="22">
        <v>39451.465509259258</v>
      </c>
      <c r="BI848" s="7">
        <v>39543</v>
      </c>
      <c r="BL848">
        <v>13480</v>
      </c>
      <c r="BM848">
        <v>1374496</v>
      </c>
      <c r="BN848" t="s">
        <v>2365</v>
      </c>
      <c r="BO848" s="17">
        <f t="shared" ca="1" si="13"/>
        <v>97.843896643520566</v>
      </c>
      <c r="BP848" t="b">
        <v>0</v>
      </c>
      <c r="BQ848">
        <v>1</v>
      </c>
      <c r="BR848" t="s">
        <v>1686</v>
      </c>
      <c r="BS848" t="s">
        <v>1796</v>
      </c>
      <c r="BT848" t="b">
        <v>0</v>
      </c>
      <c r="BU848" t="s">
        <v>3856</v>
      </c>
      <c r="BV848" t="s">
        <v>1668</v>
      </c>
      <c r="BW848">
        <v>11003</v>
      </c>
      <c r="BY848">
        <v>510138</v>
      </c>
      <c r="BZ848" t="s">
        <v>1747</v>
      </c>
      <c r="CA848">
        <v>1</v>
      </c>
      <c r="CB848" t="b">
        <v>1</v>
      </c>
      <c r="CC848">
        <v>0</v>
      </c>
      <c r="CD848" t="b">
        <v>0</v>
      </c>
      <c r="CE848" t="b">
        <v>0</v>
      </c>
      <c r="CF848" t="b">
        <v>1</v>
      </c>
      <c r="CG848">
        <v>2418694</v>
      </c>
      <c r="CH848" t="s">
        <v>1681</v>
      </c>
      <c r="CI848" s="10">
        <v>674000</v>
      </c>
      <c r="CJ848" s="7">
        <v>36874</v>
      </c>
    </row>
    <row r="849" spans="1:88">
      <c r="A849">
        <v>28002546</v>
      </c>
      <c r="B849" s="2" t="str">
        <f>HYPERLINK("http://www.redfin.com/stingray/do/printable-listing?listing-id=1374491","Active")</f>
        <v>Active</v>
      </c>
      <c r="D849" t="s">
        <v>1077</v>
      </c>
      <c r="E849" t="s">
        <v>1657</v>
      </c>
      <c r="F849">
        <v>609000</v>
      </c>
      <c r="G849">
        <v>2000</v>
      </c>
      <c r="H849">
        <v>3510</v>
      </c>
      <c r="I849">
        <v>11325</v>
      </c>
      <c r="J849">
        <v>9</v>
      </c>
      <c r="K849">
        <v>4.75</v>
      </c>
      <c r="M849" s="2" t="str">
        <f>HYPERLINK("http://maps.live.com/default.aspx?v=2&amp;lvl=15&amp;sp=adr.Undisclosed,98056","Map")</f>
        <v>Map</v>
      </c>
      <c r="N849" s="2" t="str">
        <f>HYPERLINK("http://i-0.rfimg.us/photo/1/bigphoto/546/28002546_0.jpg","Photo")</f>
        <v>Photo</v>
      </c>
      <c r="AI849" t="s">
        <v>1077</v>
      </c>
      <c r="AJ849">
        <v>98056</v>
      </c>
      <c r="BC849" s="22">
        <v>39451.465381944443</v>
      </c>
      <c r="BI849" s="22">
        <v>39549.294907407406</v>
      </c>
      <c r="BL849">
        <v>12180</v>
      </c>
      <c r="BM849">
        <v>1374491</v>
      </c>
      <c r="BN849" t="s">
        <v>3236</v>
      </c>
      <c r="BO849" s="17">
        <f t="shared" ca="1" si="13"/>
        <v>97.844023958336038</v>
      </c>
      <c r="BP849" t="b">
        <v>0</v>
      </c>
      <c r="BQ849">
        <v>1</v>
      </c>
      <c r="BT849" t="b">
        <v>1</v>
      </c>
      <c r="BV849" t="s">
        <v>1668</v>
      </c>
      <c r="BY849">
        <v>0</v>
      </c>
      <c r="BZ849" t="s">
        <v>1813</v>
      </c>
      <c r="CA849">
        <v>1</v>
      </c>
      <c r="CB849" t="b">
        <v>1</v>
      </c>
      <c r="CC849">
        <v>0</v>
      </c>
      <c r="CD849" t="b">
        <v>0</v>
      </c>
      <c r="CE849" t="b">
        <v>0</v>
      </c>
      <c r="CF849" t="b">
        <v>1</v>
      </c>
      <c r="CG849" t="s">
        <v>1870</v>
      </c>
      <c r="CH849" t="s">
        <v>1681</v>
      </c>
      <c r="CI849" s="10">
        <v>609000</v>
      </c>
    </row>
    <row r="850" spans="1:88">
      <c r="A850">
        <v>28002584</v>
      </c>
      <c r="B850" s="2" t="str">
        <f>HYPERLINK("http://www.redfin.com/stingray/do/printable-listing?listing-id=1374798","Active")</f>
        <v>Active</v>
      </c>
      <c r="D850" t="s">
        <v>1058</v>
      </c>
      <c r="E850" t="s">
        <v>4884</v>
      </c>
      <c r="F850">
        <v>879950</v>
      </c>
      <c r="G850">
        <v>2007</v>
      </c>
      <c r="H850">
        <v>2272</v>
      </c>
      <c r="I850">
        <v>0</v>
      </c>
      <c r="J850">
        <v>3</v>
      </c>
      <c r="K850">
        <v>3</v>
      </c>
      <c r="M850" s="2" t="str">
        <f>HYPERLINK("http://maps.live.com/default.aspx?v=2&amp;lvl=15&amp;sp=Point.47.676193_-122.192915_811 Kirkland Way&amp;cp=47.676193~-122.192915","Map")</f>
        <v>Map</v>
      </c>
      <c r="N850" s="2" t="str">
        <f>HYPERLINK("http://i-0.rfimg.us/photo/1/bigphoto/584/28002584_1.jpg","Photo")</f>
        <v>Photo</v>
      </c>
      <c r="AG850">
        <v>47.676192999999998</v>
      </c>
      <c r="AH850">
        <v>-122.192915</v>
      </c>
      <c r="AI850" t="s">
        <v>1058</v>
      </c>
      <c r="AJ850">
        <v>98033</v>
      </c>
      <c r="BC850" s="22">
        <v>39451.539594907408</v>
      </c>
      <c r="BI850" s="22">
        <v>39549.294907407406</v>
      </c>
      <c r="BL850">
        <v>17599</v>
      </c>
      <c r="BM850">
        <v>1374798</v>
      </c>
      <c r="BN850" t="s">
        <v>1674</v>
      </c>
      <c r="BO850" s="17">
        <f t="shared" ca="1" si="13"/>
        <v>97.76981099537079</v>
      </c>
      <c r="BP850" t="b">
        <v>0</v>
      </c>
      <c r="BQ850">
        <v>1</v>
      </c>
      <c r="BR850" t="s">
        <v>2463</v>
      </c>
      <c r="BS850" t="s">
        <v>1058</v>
      </c>
      <c r="BT850" t="b">
        <v>0</v>
      </c>
      <c r="BV850" t="s">
        <v>1668</v>
      </c>
      <c r="BW850">
        <v>811</v>
      </c>
      <c r="BY850">
        <v>11896344</v>
      </c>
      <c r="BZ850" t="s">
        <v>1836</v>
      </c>
      <c r="CA850">
        <v>1</v>
      </c>
      <c r="CB850" t="b">
        <v>1</v>
      </c>
      <c r="CC850">
        <v>0</v>
      </c>
      <c r="CD850" t="b">
        <v>0</v>
      </c>
      <c r="CE850" t="b">
        <v>0</v>
      </c>
      <c r="CF850" t="b">
        <v>1</v>
      </c>
      <c r="CG850">
        <v>15150569</v>
      </c>
      <c r="CH850" t="s">
        <v>1681</v>
      </c>
      <c r="CI850" s="10">
        <v>879950</v>
      </c>
    </row>
    <row r="851" spans="1:88">
      <c r="A851">
        <v>28002598</v>
      </c>
      <c r="B851" s="2" t="str">
        <f>HYPERLINK("http://www.redfin.com/stingray/do/printable-listing?listing-id=1374631","Active")</f>
        <v>Active</v>
      </c>
      <c r="D851" t="s">
        <v>109</v>
      </c>
      <c r="E851" t="s">
        <v>3622</v>
      </c>
      <c r="F851">
        <v>639950</v>
      </c>
      <c r="G851">
        <v>1913</v>
      </c>
      <c r="H851">
        <v>2020</v>
      </c>
      <c r="I851">
        <v>4332</v>
      </c>
      <c r="J851">
        <v>3</v>
      </c>
      <c r="K851">
        <v>2</v>
      </c>
      <c r="M851" s="2" t="str">
        <f>HYPERLINK("http://maps.live.com/default.aspx?v=2&amp;lvl=15&amp;sp=Point.47.653654_-122.331828_3817 Corliss Ave N&amp;cp=47.653654~-122.331828","Map")</f>
        <v>Map</v>
      </c>
      <c r="N851" s="2" t="str">
        <f>HYPERLINK("http://i-0.rfimg.us/photo/1/bigphoto/598/28002598_0.jpg","Photo")</f>
        <v>Photo</v>
      </c>
      <c r="AG851">
        <v>47.653654000000003</v>
      </c>
      <c r="AH851">
        <v>-122.331828</v>
      </c>
      <c r="AI851" t="s">
        <v>66</v>
      </c>
      <c r="AJ851">
        <v>98103</v>
      </c>
      <c r="AN851">
        <v>570000</v>
      </c>
      <c r="BC851" s="22">
        <v>39451.497395833336</v>
      </c>
      <c r="BI851" s="7">
        <v>39536</v>
      </c>
      <c r="BL851">
        <v>12799</v>
      </c>
      <c r="BM851">
        <v>1374631</v>
      </c>
      <c r="BN851" t="s">
        <v>1735</v>
      </c>
      <c r="BO851" s="17">
        <f t="shared" ca="1" si="13"/>
        <v>97.812010069443204</v>
      </c>
      <c r="BP851" t="b">
        <v>0</v>
      </c>
      <c r="BQ851">
        <v>1</v>
      </c>
      <c r="BR851" t="s">
        <v>1667</v>
      </c>
      <c r="BS851" t="s">
        <v>2388</v>
      </c>
      <c r="BT851" t="b">
        <v>0</v>
      </c>
      <c r="BV851" t="s">
        <v>1668</v>
      </c>
      <c r="BW851">
        <v>3817</v>
      </c>
      <c r="BX851" t="s">
        <v>1712</v>
      </c>
      <c r="BY851">
        <v>119894</v>
      </c>
      <c r="BZ851" t="s">
        <v>1676</v>
      </c>
      <c r="CA851">
        <v>1</v>
      </c>
      <c r="CB851" t="b">
        <v>1</v>
      </c>
      <c r="CC851">
        <v>0</v>
      </c>
      <c r="CD851" t="b">
        <v>0</v>
      </c>
      <c r="CE851" t="b">
        <v>0</v>
      </c>
      <c r="CF851" t="b">
        <v>1</v>
      </c>
      <c r="CG851">
        <v>2556665</v>
      </c>
      <c r="CH851" t="s">
        <v>1681</v>
      </c>
      <c r="CI851" s="10">
        <v>639950</v>
      </c>
      <c r="CJ851" s="7">
        <v>39093</v>
      </c>
    </row>
    <row r="852" spans="1:88">
      <c r="A852">
        <v>28002669</v>
      </c>
      <c r="B852" s="2" t="str">
        <f>HYPERLINK("http://www.redfin.com/stingray/do/printable-listing?listing-id=1374829","Active")</f>
        <v>Active</v>
      </c>
      <c r="D852" t="s">
        <v>3066</v>
      </c>
      <c r="E852" t="s">
        <v>4903</v>
      </c>
      <c r="F852">
        <v>998800</v>
      </c>
      <c r="G852">
        <v>2007</v>
      </c>
      <c r="H852">
        <v>3267</v>
      </c>
      <c r="I852">
        <v>7998</v>
      </c>
      <c r="J852">
        <v>4</v>
      </c>
      <c r="K852">
        <v>3.25</v>
      </c>
      <c r="M852" s="2" t="str">
        <f>HYPERLINK("http://maps.live.com/default.aspx?v=2&amp;lvl=15&amp;sp=Point.47.6701_-122.1639_12311 NE 73rd Pl&amp;cp=47.6701~-122.1639","Map")</f>
        <v>Map</v>
      </c>
      <c r="N852" s="2" t="str">
        <f>HYPERLINK("http://i-0.rfimg.us/photo/1/bigphoto/669/28002669_3.jpg","Photo")</f>
        <v>Photo</v>
      </c>
      <c r="AG852">
        <v>47.670099999999998</v>
      </c>
      <c r="AH852">
        <v>-122.1639</v>
      </c>
      <c r="AI852" t="s">
        <v>1058</v>
      </c>
      <c r="AJ852">
        <v>98033</v>
      </c>
      <c r="BC852" s="22">
        <v>39451.550046296295</v>
      </c>
      <c r="BI852" s="7">
        <v>39542</v>
      </c>
      <c r="BL852">
        <v>19976</v>
      </c>
      <c r="BM852">
        <v>1374829</v>
      </c>
      <c r="BN852" t="s">
        <v>3329</v>
      </c>
      <c r="BO852" s="17">
        <f t="shared" ca="1" si="13"/>
        <v>97.759359606483486</v>
      </c>
      <c r="BP852" t="b">
        <v>0</v>
      </c>
      <c r="BQ852">
        <v>1</v>
      </c>
      <c r="BR852" t="s">
        <v>1842</v>
      </c>
      <c r="BS852" t="s">
        <v>1828</v>
      </c>
      <c r="BT852" t="b">
        <v>0</v>
      </c>
      <c r="BU852" t="s">
        <v>1738</v>
      </c>
      <c r="BV852" t="s">
        <v>1668</v>
      </c>
      <c r="BW852">
        <v>12311</v>
      </c>
      <c r="BY852">
        <v>11903115</v>
      </c>
      <c r="BZ852" t="s">
        <v>2013</v>
      </c>
      <c r="CA852">
        <v>1</v>
      </c>
      <c r="CB852" t="b">
        <v>1</v>
      </c>
      <c r="CC852">
        <v>0</v>
      </c>
      <c r="CD852" t="b">
        <v>0</v>
      </c>
      <c r="CE852" t="b">
        <v>0</v>
      </c>
      <c r="CF852" t="b">
        <v>1</v>
      </c>
      <c r="CG852">
        <v>15157340</v>
      </c>
      <c r="CH852" t="s">
        <v>1681</v>
      </c>
      <c r="CI852" s="10">
        <v>998800</v>
      </c>
    </row>
    <row r="853" spans="1:88">
      <c r="A853">
        <v>28002673</v>
      </c>
      <c r="B853" s="2" t="str">
        <f>HYPERLINK("http://www.redfin.com/stingray/do/printable-listing?listing-id=1374835","Active")</f>
        <v>Active</v>
      </c>
      <c r="D853" t="s">
        <v>1058</v>
      </c>
      <c r="E853" t="s">
        <v>4711</v>
      </c>
      <c r="F853">
        <v>879950</v>
      </c>
      <c r="G853">
        <v>2007</v>
      </c>
      <c r="H853">
        <v>2291</v>
      </c>
      <c r="I853">
        <v>0</v>
      </c>
      <c r="J853">
        <v>2</v>
      </c>
      <c r="K853">
        <v>3</v>
      </c>
      <c r="M853" s="2" t="str">
        <f>HYPERLINK("http://maps.live.com/default.aspx?v=2&amp;lvl=15&amp;sp=Point.47.676199_-122.192934_809 Kirkland Way&amp;cp=47.676199~-122.192934","Map")</f>
        <v>Map</v>
      </c>
      <c r="N853" s="2" t="str">
        <f>HYPERLINK("http://i-0.rfimg.us/photo/1/bigphoto/673/28002673_0.jpg","Photo")</f>
        <v>Photo</v>
      </c>
      <c r="AG853">
        <v>47.676198999999997</v>
      </c>
      <c r="AH853">
        <v>-122.19293399999999</v>
      </c>
      <c r="AI853" t="s">
        <v>1058</v>
      </c>
      <c r="AJ853">
        <v>98033</v>
      </c>
      <c r="BC853" s="22">
        <v>39451.550393518519</v>
      </c>
      <c r="BI853" s="22">
        <v>39549.294907407406</v>
      </c>
      <c r="BL853">
        <v>17599</v>
      </c>
      <c r="BM853">
        <v>1374835</v>
      </c>
      <c r="BN853" t="s">
        <v>1674</v>
      </c>
      <c r="BO853" s="17">
        <f t="shared" ca="1" si="13"/>
        <v>97.759012384260132</v>
      </c>
      <c r="BP853" t="b">
        <v>0</v>
      </c>
      <c r="BQ853">
        <v>1</v>
      </c>
      <c r="BR853" t="s">
        <v>2463</v>
      </c>
      <c r="BS853" t="s">
        <v>1058</v>
      </c>
      <c r="BT853" t="b">
        <v>0</v>
      </c>
      <c r="BV853" t="s">
        <v>1668</v>
      </c>
      <c r="BW853">
        <v>809</v>
      </c>
      <c r="BY853">
        <v>12320526</v>
      </c>
      <c r="BZ853" t="s">
        <v>1713</v>
      </c>
      <c r="CA853">
        <v>1</v>
      </c>
      <c r="CB853" t="b">
        <v>1</v>
      </c>
      <c r="CC853">
        <v>0</v>
      </c>
      <c r="CD853" t="b">
        <v>0</v>
      </c>
      <c r="CE853" t="b">
        <v>0</v>
      </c>
      <c r="CF853" t="b">
        <v>1</v>
      </c>
      <c r="CG853">
        <v>15526562</v>
      </c>
      <c r="CH853" t="s">
        <v>1681</v>
      </c>
      <c r="CI853" s="10">
        <v>879950</v>
      </c>
    </row>
    <row r="854" spans="1:88">
      <c r="A854">
        <v>28002687</v>
      </c>
      <c r="B854" s="2" t="str">
        <f>HYPERLINK("http://www.redfin.com/stingray/do/printable-listing?listing-id=1375326","Active")</f>
        <v>Active</v>
      </c>
      <c r="D854" t="s">
        <v>369</v>
      </c>
      <c r="E854" t="s">
        <v>5386</v>
      </c>
      <c r="F854" s="19">
        <v>949900</v>
      </c>
      <c r="G854">
        <v>2008</v>
      </c>
      <c r="H854">
        <v>3452</v>
      </c>
      <c r="I854">
        <v>7385</v>
      </c>
      <c r="J854">
        <v>4</v>
      </c>
      <c r="K854">
        <v>2.5</v>
      </c>
      <c r="M854" s="2" t="str">
        <f>HYPERLINK("http://maps.live.com/default.aspx?v=2&amp;lvl=15&amp;sp=Point.47.593943_-122.147579_1726 145th Pl SE&amp;cp=47.593943~-122.147579","Map")</f>
        <v>Map</v>
      </c>
      <c r="N854" s="2" t="str">
        <f>HYPERLINK("http://i-0.rfimg.us/photo/1/bigphoto/687/28002687_2.jpg","Photo")</f>
        <v>Photo</v>
      </c>
      <c r="AG854" s="19">
        <v>47.594102999999997</v>
      </c>
      <c r="AH854" s="19">
        <v>-122.148419</v>
      </c>
      <c r="AI854" t="s">
        <v>369</v>
      </c>
      <c r="AJ854">
        <v>98007</v>
      </c>
      <c r="AN854">
        <v>1300000</v>
      </c>
      <c r="BC854" s="22">
        <v>39451.652615740742</v>
      </c>
      <c r="BI854" s="22">
        <v>39549.294907407406</v>
      </c>
      <c r="BL854">
        <v>18980</v>
      </c>
      <c r="BM854">
        <v>1375326</v>
      </c>
      <c r="BN854" t="s">
        <v>1674</v>
      </c>
      <c r="BO854" s="17">
        <f t="shared" ca="1" si="13"/>
        <v>97.656790162036486</v>
      </c>
      <c r="BP854" t="b">
        <v>0</v>
      </c>
      <c r="BQ854">
        <v>1</v>
      </c>
      <c r="BR854" t="s">
        <v>1842</v>
      </c>
      <c r="BS854" t="s">
        <v>4646</v>
      </c>
      <c r="BT854" t="b">
        <v>0</v>
      </c>
      <c r="BV854" t="s">
        <v>1668</v>
      </c>
      <c r="BW854">
        <v>1726</v>
      </c>
      <c r="BX854" t="s">
        <v>3856</v>
      </c>
      <c r="BY854">
        <v>426085</v>
      </c>
      <c r="BZ854" t="s">
        <v>5387</v>
      </c>
      <c r="CA854">
        <v>1</v>
      </c>
      <c r="CB854" t="b">
        <v>1</v>
      </c>
      <c r="CC854">
        <v>0</v>
      </c>
      <c r="CD854" t="b">
        <v>0</v>
      </c>
      <c r="CE854" t="b">
        <v>0</v>
      </c>
      <c r="CF854" t="b">
        <v>1</v>
      </c>
      <c r="CG854">
        <v>2991083</v>
      </c>
      <c r="CH854" t="s">
        <v>1681</v>
      </c>
      <c r="CI854" s="10">
        <v>949000</v>
      </c>
      <c r="CJ854" s="7">
        <v>39087</v>
      </c>
    </row>
    <row r="855" spans="1:88">
      <c r="A855">
        <v>28002721</v>
      </c>
      <c r="B855" s="2" t="str">
        <f>HYPERLINK("http://www.redfin.com/stingray/do/printable-listing?listing-id=1375332","Active")</f>
        <v>Active</v>
      </c>
      <c r="D855" t="s">
        <v>63</v>
      </c>
      <c r="E855" t="s">
        <v>148</v>
      </c>
      <c r="F855">
        <v>439000</v>
      </c>
      <c r="G855">
        <v>1916</v>
      </c>
      <c r="H855">
        <v>1520</v>
      </c>
      <c r="I855">
        <v>4000</v>
      </c>
      <c r="J855">
        <v>3</v>
      </c>
      <c r="K855">
        <v>1.75</v>
      </c>
      <c r="M855" s="2" t="str">
        <f>HYPERLINK("http://maps.live.com/default.aspx?v=2&amp;lvl=15&amp;sp=Point.47.675619_-122.364333_6249 6th Ave NW&amp;cp=47.675619~-122.364333","Map")</f>
        <v>Map</v>
      </c>
      <c r="N855" s="2" t="str">
        <f>HYPERLINK("http://i-0.rfimg.us/photo/1/bigphoto/721/28002721_1.jpg","Photo")</f>
        <v>Photo</v>
      </c>
      <c r="AG855">
        <v>47.675618999999998</v>
      </c>
      <c r="AH855">
        <v>-122.364333</v>
      </c>
      <c r="AI855" t="s">
        <v>66</v>
      </c>
      <c r="AJ855">
        <v>98107</v>
      </c>
      <c r="AN855">
        <v>400000</v>
      </c>
      <c r="BC855" s="22">
        <v>39451.652800925927</v>
      </c>
      <c r="BI855" s="22">
        <v>39549.294907407406</v>
      </c>
      <c r="BL855">
        <v>8780</v>
      </c>
      <c r="BM855">
        <v>1375332</v>
      </c>
      <c r="BN855" t="s">
        <v>2530</v>
      </c>
      <c r="BO855" s="17">
        <f t="shared" ca="1" si="13"/>
        <v>97.656605092590326</v>
      </c>
      <c r="BP855" t="b">
        <v>0</v>
      </c>
      <c r="BQ855">
        <v>1</v>
      </c>
      <c r="BR855" t="s">
        <v>1667</v>
      </c>
      <c r="BS855" t="s">
        <v>1739</v>
      </c>
      <c r="BT855" t="b">
        <v>0</v>
      </c>
      <c r="BV855" t="s">
        <v>1668</v>
      </c>
      <c r="BW855">
        <v>6249</v>
      </c>
      <c r="BX855" t="s">
        <v>1669</v>
      </c>
      <c r="BY855">
        <v>494704</v>
      </c>
      <c r="BZ855" t="s">
        <v>1748</v>
      </c>
      <c r="CA855">
        <v>1</v>
      </c>
      <c r="CB855" t="b">
        <v>1</v>
      </c>
      <c r="CC855">
        <v>0</v>
      </c>
      <c r="CD855" t="b">
        <v>0</v>
      </c>
      <c r="CE855" t="b">
        <v>0</v>
      </c>
      <c r="CF855" t="b">
        <v>1</v>
      </c>
      <c r="CG855">
        <v>2372893</v>
      </c>
      <c r="CH855" t="s">
        <v>1681</v>
      </c>
      <c r="CI855" s="10">
        <v>439000</v>
      </c>
      <c r="CJ855" s="7">
        <v>38903</v>
      </c>
    </row>
    <row r="856" spans="1:88">
      <c r="A856">
        <v>28002725</v>
      </c>
      <c r="B856" s="2" t="str">
        <f>HYPERLINK("http://www.redfin.com/stingray/do/printable-listing?listing-id=1374987","Active")</f>
        <v>Active</v>
      </c>
      <c r="D856" t="s">
        <v>4948</v>
      </c>
      <c r="E856" t="s">
        <v>4975</v>
      </c>
      <c r="F856">
        <v>925000</v>
      </c>
      <c r="G856">
        <v>1949</v>
      </c>
      <c r="H856">
        <v>1480</v>
      </c>
      <c r="I856">
        <v>6240</v>
      </c>
      <c r="J856">
        <v>4</v>
      </c>
      <c r="K856">
        <v>2</v>
      </c>
      <c r="M856" s="2" t="str">
        <f>HYPERLINK("http://maps.live.com/default.aspx?v=2&amp;lvl=15&amp;sp=Point.47.649709_-122.216627_4437 94th Ave NE&amp;cp=47.649709~-122.216627","Map")</f>
        <v>Map</v>
      </c>
      <c r="N856" s="2" t="str">
        <f>HYPERLINK("http://i-0.rfimg.us/photo/1/bigphoto/725/28002725_0.jpg","Photo")</f>
        <v>Photo</v>
      </c>
      <c r="AG856">
        <v>47.649709000000001</v>
      </c>
      <c r="AH856">
        <v>-122.216627</v>
      </c>
      <c r="AI856" t="s">
        <v>4948</v>
      </c>
      <c r="AJ856">
        <v>98004</v>
      </c>
      <c r="BC856" s="22">
        <v>39451.58116898148</v>
      </c>
      <c r="BI856" s="7">
        <v>39540</v>
      </c>
      <c r="BL856">
        <v>18500</v>
      </c>
      <c r="BM856">
        <v>1374987</v>
      </c>
      <c r="BN856" t="s">
        <v>3611</v>
      </c>
      <c r="BO856" s="17">
        <f t="shared" ca="1" si="13"/>
        <v>97.728236921298958</v>
      </c>
      <c r="BP856" t="b">
        <v>0</v>
      </c>
      <c r="BQ856">
        <v>1</v>
      </c>
      <c r="BR856" t="s">
        <v>1667</v>
      </c>
      <c r="BS856" t="s">
        <v>2716</v>
      </c>
      <c r="BT856" t="b">
        <v>0</v>
      </c>
      <c r="BV856" t="s">
        <v>1668</v>
      </c>
      <c r="BW856">
        <v>4437</v>
      </c>
      <c r="BX856" t="s">
        <v>1738</v>
      </c>
      <c r="BY856">
        <v>12097577</v>
      </c>
      <c r="BZ856" t="s">
        <v>1672</v>
      </c>
      <c r="CA856">
        <v>1</v>
      </c>
      <c r="CB856" t="b">
        <v>1</v>
      </c>
      <c r="CC856">
        <v>0</v>
      </c>
      <c r="CD856" t="b">
        <v>0</v>
      </c>
      <c r="CE856" t="b">
        <v>0</v>
      </c>
      <c r="CF856" t="b">
        <v>1</v>
      </c>
      <c r="CG856">
        <v>15351129</v>
      </c>
      <c r="CH856" t="s">
        <v>1681</v>
      </c>
      <c r="CI856" s="10">
        <v>925000</v>
      </c>
    </row>
    <row r="857" spans="1:88">
      <c r="A857">
        <v>28002730</v>
      </c>
      <c r="B857" s="2" t="str">
        <f>HYPERLINK("http://www.redfin.com/stingray/do/printable-listing?listing-id=1375014","Active")</f>
        <v>Active</v>
      </c>
      <c r="D857" t="s">
        <v>2552</v>
      </c>
      <c r="E857" t="s">
        <v>3405</v>
      </c>
      <c r="F857">
        <v>485000</v>
      </c>
      <c r="G857">
        <v>1941</v>
      </c>
      <c r="H857">
        <v>1010</v>
      </c>
      <c r="I857">
        <v>4250</v>
      </c>
      <c r="J857">
        <v>2</v>
      </c>
      <c r="K857">
        <v>1</v>
      </c>
      <c r="M857" s="2" t="str">
        <f>HYPERLINK("http://maps.live.com/default.aspx?v=2&amp;lvl=15&amp;sp=Point.47.652628_-122.410277_3611 41st Ave W&amp;cp=47.652628~-122.410277","Map")</f>
        <v>Map</v>
      </c>
      <c r="N857" s="2" t="str">
        <f>HYPERLINK("http://i-0.rfimg.us/photo/1/bigphoto/730/28002730_0.jpg","Photo")</f>
        <v>Photo</v>
      </c>
      <c r="AG857">
        <v>47.652628</v>
      </c>
      <c r="AH857">
        <v>-122.41027699999999</v>
      </c>
      <c r="AI857" t="s">
        <v>66</v>
      </c>
      <c r="AJ857">
        <v>98199</v>
      </c>
      <c r="AN857">
        <v>468000</v>
      </c>
      <c r="BC857" s="22">
        <v>39451.590509259258</v>
      </c>
      <c r="BI857" s="22">
        <v>39549.294907407406</v>
      </c>
      <c r="BL857">
        <v>9700</v>
      </c>
      <c r="BM857">
        <v>1375014</v>
      </c>
      <c r="BN857" t="s">
        <v>1812</v>
      </c>
      <c r="BO857" s="17">
        <f t="shared" ca="1" si="13"/>
        <v>97.718896643520566</v>
      </c>
      <c r="BP857" t="b">
        <v>0</v>
      </c>
      <c r="BQ857">
        <v>1</v>
      </c>
      <c r="BR857" t="s">
        <v>1667</v>
      </c>
      <c r="BS857" t="s">
        <v>3222</v>
      </c>
      <c r="BT857" t="b">
        <v>0</v>
      </c>
      <c r="BV857" t="s">
        <v>1668</v>
      </c>
      <c r="BW857">
        <v>3611</v>
      </c>
      <c r="BX857" t="s">
        <v>2423</v>
      </c>
      <c r="BY857">
        <v>128602</v>
      </c>
      <c r="BZ857" t="s">
        <v>1747</v>
      </c>
      <c r="CA857">
        <v>1</v>
      </c>
      <c r="CB857" t="b">
        <v>1</v>
      </c>
      <c r="CC857">
        <v>0</v>
      </c>
      <c r="CD857" t="b">
        <v>0</v>
      </c>
      <c r="CE857" t="b">
        <v>0</v>
      </c>
      <c r="CF857" t="b">
        <v>1</v>
      </c>
      <c r="CG857">
        <v>2473763</v>
      </c>
      <c r="CH857" t="s">
        <v>1681</v>
      </c>
      <c r="CI857" s="10">
        <v>485000</v>
      </c>
      <c r="CJ857" s="7">
        <v>38996</v>
      </c>
    </row>
    <row r="858" spans="1:88">
      <c r="A858">
        <v>28002768</v>
      </c>
      <c r="B858" s="2" t="str">
        <f>HYPERLINK("http://www.redfin.com/stingray/do/printable-listing?listing-id=1375062","Active")</f>
        <v>Active</v>
      </c>
      <c r="D858" t="s">
        <v>5926</v>
      </c>
      <c r="E858" t="s">
        <v>6154</v>
      </c>
      <c r="F858">
        <v>359500</v>
      </c>
      <c r="G858">
        <v>1963</v>
      </c>
      <c r="H858">
        <v>1300</v>
      </c>
      <c r="I858">
        <v>8072</v>
      </c>
      <c r="J858">
        <v>3</v>
      </c>
      <c r="K858">
        <v>1.75</v>
      </c>
      <c r="M858" s="2" t="str">
        <f>HYPERLINK("http://maps.live.com/default.aspx?v=2&amp;lvl=15&amp;sp=Point.47.507779_-122.183907_2625 NE 18th St&amp;cp=47.507779~-122.183907","Map")</f>
        <v>Map</v>
      </c>
      <c r="N858" s="2" t="str">
        <f>HYPERLINK("http://i-0.rfimg.us/photo/1/bigphoto/768/28002768_1.jpg","Photo")</f>
        <v>Photo</v>
      </c>
      <c r="AG858">
        <v>47.507778999999999</v>
      </c>
      <c r="AH858">
        <v>-122.183907</v>
      </c>
      <c r="AI858" t="s">
        <v>1077</v>
      </c>
      <c r="AJ858">
        <v>98056</v>
      </c>
      <c r="AN858">
        <v>137900</v>
      </c>
      <c r="BC858" s="22">
        <v>39451.59983796296</v>
      </c>
      <c r="BI858" s="22">
        <v>39546.925937499997</v>
      </c>
      <c r="BL858">
        <v>7190</v>
      </c>
      <c r="BM858">
        <v>1375062</v>
      </c>
      <c r="BN858" t="s">
        <v>2590</v>
      </c>
      <c r="BO858" s="17">
        <f t="shared" ca="1" si="13"/>
        <v>97.709567939818953</v>
      </c>
      <c r="BP858" t="b">
        <v>0</v>
      </c>
      <c r="BQ858">
        <v>1</v>
      </c>
      <c r="BR858" t="s">
        <v>1686</v>
      </c>
      <c r="BS858" t="s">
        <v>1909</v>
      </c>
      <c r="BT858" t="b">
        <v>0</v>
      </c>
      <c r="BU858" t="s">
        <v>1738</v>
      </c>
      <c r="BV858" t="s">
        <v>1668</v>
      </c>
      <c r="BW858">
        <v>2625</v>
      </c>
      <c r="BY858">
        <v>412336</v>
      </c>
      <c r="BZ858" t="s">
        <v>1756</v>
      </c>
      <c r="CA858">
        <v>1</v>
      </c>
      <c r="CB858" t="b">
        <v>1</v>
      </c>
      <c r="CC858">
        <v>0</v>
      </c>
      <c r="CD858" t="b">
        <v>0</v>
      </c>
      <c r="CE858" t="b">
        <v>0</v>
      </c>
      <c r="CF858" t="b">
        <v>1</v>
      </c>
      <c r="CG858">
        <v>2687948</v>
      </c>
      <c r="CH858" t="s">
        <v>1681</v>
      </c>
      <c r="CI858" s="10">
        <v>359500</v>
      </c>
      <c r="CJ858" s="7">
        <v>34816</v>
      </c>
    </row>
    <row r="859" spans="1:88">
      <c r="A859">
        <v>28002771</v>
      </c>
      <c r="B859" s="2" t="str">
        <f>HYPERLINK("http://www.redfin.com/stingray/do/printable-listing?listing-id=1375090","Active")</f>
        <v>Active</v>
      </c>
      <c r="D859" t="s">
        <v>3704</v>
      </c>
      <c r="E859" t="s">
        <v>4143</v>
      </c>
      <c r="F859">
        <v>780000</v>
      </c>
      <c r="G859">
        <v>2007</v>
      </c>
      <c r="H859">
        <v>1304</v>
      </c>
      <c r="I859">
        <v>0</v>
      </c>
      <c r="J859">
        <v>2</v>
      </c>
      <c r="K859">
        <v>2.5</v>
      </c>
      <c r="M859" s="2" t="str">
        <f>HYPERLINK("http://maps.live.com/default.aspx?v=2&amp;lvl=15&amp;sp=Point.47.622363_-122.315903_427 13th Ave E&amp;cp=47.622363~-122.315903","Map")</f>
        <v>Map</v>
      </c>
      <c r="N859" s="2" t="str">
        <f>HYPERLINK("http://i-0.rfimg.us/photo/1/bigphoto/771/28002771_0.jpg","Photo")</f>
        <v>Photo</v>
      </c>
      <c r="AG859">
        <v>47.622363</v>
      </c>
      <c r="AH859">
        <v>-122.31590300000001</v>
      </c>
      <c r="AI859" t="s">
        <v>66</v>
      </c>
      <c r="AJ859">
        <v>98102</v>
      </c>
      <c r="BC859" s="22">
        <v>39451.610324074078</v>
      </c>
      <c r="BI859" s="7">
        <v>39539</v>
      </c>
      <c r="BL859">
        <v>15600</v>
      </c>
      <c r="BM859">
        <v>1375090</v>
      </c>
      <c r="BN859" t="s">
        <v>4142</v>
      </c>
      <c r="BO859" s="17">
        <f t="shared" ca="1" si="13"/>
        <v>97.69908182870131</v>
      </c>
      <c r="BP859" t="b">
        <v>0</v>
      </c>
      <c r="BQ859">
        <v>1</v>
      </c>
      <c r="BR859" t="s">
        <v>1667</v>
      </c>
      <c r="BS859" t="s">
        <v>1809</v>
      </c>
      <c r="BT859" t="b">
        <v>0</v>
      </c>
      <c r="BV859" t="s">
        <v>1668</v>
      </c>
      <c r="BW859">
        <v>427</v>
      </c>
      <c r="BX859" t="s">
        <v>2436</v>
      </c>
      <c r="BY859">
        <v>12311505</v>
      </c>
      <c r="BZ859" s="21">
        <v>0</v>
      </c>
      <c r="CA859">
        <v>1</v>
      </c>
      <c r="CB859" t="b">
        <v>1</v>
      </c>
      <c r="CC859">
        <v>0</v>
      </c>
      <c r="CD859" t="b">
        <v>0</v>
      </c>
      <c r="CE859" t="b">
        <v>0</v>
      </c>
      <c r="CF859" t="b">
        <v>1</v>
      </c>
      <c r="CG859">
        <v>15518085</v>
      </c>
      <c r="CH859" t="s">
        <v>1681</v>
      </c>
      <c r="CI859" s="10">
        <v>780000</v>
      </c>
    </row>
    <row r="860" spans="1:88">
      <c r="A860">
        <v>28002799</v>
      </c>
      <c r="B860" s="15" t="str">
        <f>HYPERLINK("http://www.redfin.com/stingray/do/printable-listing?listing-id=1391386","Subject To Inspection")</f>
        <v>Subject To Inspection</v>
      </c>
      <c r="D860" t="s">
        <v>1077</v>
      </c>
      <c r="E860" t="s">
        <v>3910</v>
      </c>
      <c r="F860">
        <v>729888</v>
      </c>
      <c r="G860">
        <v>2008</v>
      </c>
      <c r="H860">
        <v>3445</v>
      </c>
      <c r="I860">
        <v>6825</v>
      </c>
      <c r="J860">
        <v>4</v>
      </c>
      <c r="K860">
        <v>2.5</v>
      </c>
      <c r="M860" s="2" t="str">
        <f>HYPERLINK("http://maps.live.com/default.aspx?v=2&amp;lvl=15&amp;sp=adr.15939 SE 135th Pl (Unable to map),98059","Map")</f>
        <v>Map</v>
      </c>
      <c r="N860" s="2" t="str">
        <f>HYPERLINK("http://i-0.rfimg.us/photo/1/bigphoto/799/28002799_8.jpg","Photo")</f>
        <v>Photo</v>
      </c>
      <c r="AI860" t="s">
        <v>1077</v>
      </c>
      <c r="AJ860">
        <v>98059</v>
      </c>
      <c r="BC860" s="22">
        <v>39457.872303240743</v>
      </c>
      <c r="BI860" s="22">
        <v>39549.294907407406</v>
      </c>
      <c r="BL860">
        <v>14598</v>
      </c>
      <c r="BM860">
        <v>1391386</v>
      </c>
      <c r="BN860" t="s">
        <v>3907</v>
      </c>
      <c r="BO860" s="17">
        <f t="shared" ca="1" si="13"/>
        <v>91.437102662035613</v>
      </c>
      <c r="BP860" t="b">
        <v>0</v>
      </c>
      <c r="BQ860">
        <v>1</v>
      </c>
      <c r="BR860" t="s">
        <v>1842</v>
      </c>
      <c r="BS860" t="s">
        <v>3909</v>
      </c>
      <c r="BT860" t="b">
        <v>0</v>
      </c>
      <c r="BU860" t="s">
        <v>3856</v>
      </c>
      <c r="BV860" t="s">
        <v>1668</v>
      </c>
      <c r="BW860">
        <v>15939</v>
      </c>
      <c r="BY860">
        <v>0</v>
      </c>
      <c r="BZ860" t="s">
        <v>3911</v>
      </c>
      <c r="CA860">
        <v>1</v>
      </c>
      <c r="CB860" t="b">
        <v>1</v>
      </c>
      <c r="CC860">
        <v>0</v>
      </c>
      <c r="CD860" t="b">
        <v>0</v>
      </c>
      <c r="CE860" t="b">
        <v>0</v>
      </c>
      <c r="CF860" t="b">
        <v>1</v>
      </c>
      <c r="CG860" t="s">
        <v>1870</v>
      </c>
      <c r="CH860" t="s">
        <v>1681</v>
      </c>
      <c r="CI860" s="10">
        <v>729888</v>
      </c>
    </row>
    <row r="861" spans="1:88">
      <c r="A861">
        <v>28002809</v>
      </c>
      <c r="B861" s="2" t="str">
        <f>HYPERLINK("http://www.redfin.com/stingray/do/printable-listing?listing-id=1391443","Active")</f>
        <v>Active</v>
      </c>
      <c r="D861" t="s">
        <v>1077</v>
      </c>
      <c r="E861" t="s">
        <v>3944</v>
      </c>
      <c r="F861">
        <v>654888</v>
      </c>
      <c r="G861">
        <v>2008</v>
      </c>
      <c r="H861">
        <v>3150</v>
      </c>
      <c r="I861">
        <v>6500</v>
      </c>
      <c r="J861">
        <v>4</v>
      </c>
      <c r="K861">
        <v>3</v>
      </c>
      <c r="M861" s="2" t="str">
        <f>HYPERLINK("http://maps.live.com/default.aspx?v=2&amp;lvl=15&amp;sp=adr.15988 SE 135th Pl (Unable to map),98059","Map")</f>
        <v>Map</v>
      </c>
      <c r="N861" s="2" t="str">
        <f>HYPERLINK("http://i-0.rfimg.us/photo/1/bigphoto/809/28002809_8.jpg","Photo")</f>
        <v>Photo</v>
      </c>
      <c r="AI861" t="s">
        <v>1077</v>
      </c>
      <c r="AJ861">
        <v>98059</v>
      </c>
      <c r="BC861" s="22">
        <v>39457.902916666666</v>
      </c>
      <c r="BI861" s="22">
        <v>39549.294907407406</v>
      </c>
      <c r="BL861">
        <v>13098</v>
      </c>
      <c r="BM861">
        <v>1391443</v>
      </c>
      <c r="BN861" t="s">
        <v>3907</v>
      </c>
      <c r="BO861" s="17">
        <f t="shared" ca="1" si="13"/>
        <v>91.406489236112975</v>
      </c>
      <c r="BP861" t="b">
        <v>0</v>
      </c>
      <c r="BQ861">
        <v>1</v>
      </c>
      <c r="BR861" t="s">
        <v>1842</v>
      </c>
      <c r="BS861" t="s">
        <v>3909</v>
      </c>
      <c r="BT861" t="b">
        <v>0</v>
      </c>
      <c r="BU861" t="s">
        <v>3856</v>
      </c>
      <c r="BV861" t="s">
        <v>1668</v>
      </c>
      <c r="BW861">
        <v>15988</v>
      </c>
      <c r="BY861">
        <v>0</v>
      </c>
      <c r="BZ861" t="s">
        <v>3945</v>
      </c>
      <c r="CA861">
        <v>1</v>
      </c>
      <c r="CB861" t="b">
        <v>1</v>
      </c>
      <c r="CC861">
        <v>0</v>
      </c>
      <c r="CD861" t="b">
        <v>0</v>
      </c>
      <c r="CE861" t="b">
        <v>0</v>
      </c>
      <c r="CF861" t="b">
        <v>1</v>
      </c>
      <c r="CG861" t="s">
        <v>1870</v>
      </c>
      <c r="CH861" t="s">
        <v>1681</v>
      </c>
      <c r="CI861" s="10">
        <v>654888</v>
      </c>
    </row>
    <row r="862" spans="1:88">
      <c r="A862">
        <v>28002814</v>
      </c>
      <c r="B862" s="2" t="str">
        <f>HYPERLINK("http://www.redfin.com/stingray/do/printable-listing?listing-id=1375255","Active")</f>
        <v>Active</v>
      </c>
      <c r="D862" t="s">
        <v>3704</v>
      </c>
      <c r="E862" t="s">
        <v>4222</v>
      </c>
      <c r="F862">
        <v>780000</v>
      </c>
      <c r="G862">
        <v>2007</v>
      </c>
      <c r="H862">
        <v>1388</v>
      </c>
      <c r="I862">
        <v>0</v>
      </c>
      <c r="J862">
        <v>2</v>
      </c>
      <c r="K862">
        <v>2.5</v>
      </c>
      <c r="M862" s="2" t="str">
        <f>HYPERLINK("http://maps.live.com/default.aspx?v=2&amp;lvl=15&amp;sp=Point.47.622346_-122.315903_425 13th Ave E&amp;cp=47.622346~-122.315903","Map")</f>
        <v>Map</v>
      </c>
      <c r="N862" s="2" t="str">
        <f>HYPERLINK("http://i-0.rfimg.us/photo/1/bigphoto/814/28002814_0.jpg","Photo")</f>
        <v>Photo</v>
      </c>
      <c r="AG862">
        <v>47.622346</v>
      </c>
      <c r="AH862">
        <v>-122.31590300000001</v>
      </c>
      <c r="AI862" t="s">
        <v>66</v>
      </c>
      <c r="AJ862">
        <v>98102</v>
      </c>
      <c r="BC862" s="22">
        <v>39451.632256944446</v>
      </c>
      <c r="BI862" s="7">
        <v>39539</v>
      </c>
      <c r="BL862">
        <v>15600</v>
      </c>
      <c r="BM862">
        <v>1375255</v>
      </c>
      <c r="BN862" t="s">
        <v>4142</v>
      </c>
      <c r="BO862" s="17">
        <f t="shared" ca="1" si="13"/>
        <v>97.677148958333419</v>
      </c>
      <c r="BP862" t="b">
        <v>0</v>
      </c>
      <c r="BQ862">
        <v>1</v>
      </c>
      <c r="BR862" t="s">
        <v>1667</v>
      </c>
      <c r="BS862" t="s">
        <v>1809</v>
      </c>
      <c r="BT862" t="b">
        <v>0</v>
      </c>
      <c r="BV862" t="s">
        <v>1668</v>
      </c>
      <c r="BW862">
        <v>425</v>
      </c>
      <c r="BX862" t="s">
        <v>2436</v>
      </c>
      <c r="BY862">
        <v>12311506</v>
      </c>
      <c r="BZ862" s="21">
        <v>0</v>
      </c>
      <c r="CA862">
        <v>1</v>
      </c>
      <c r="CB862" t="b">
        <v>1</v>
      </c>
      <c r="CC862">
        <v>0</v>
      </c>
      <c r="CD862" t="b">
        <v>0</v>
      </c>
      <c r="CE862" t="b">
        <v>0</v>
      </c>
      <c r="CF862" t="b">
        <v>1</v>
      </c>
      <c r="CG862">
        <v>15518086</v>
      </c>
      <c r="CH862" t="s">
        <v>1681</v>
      </c>
      <c r="CI862" s="10">
        <v>780000</v>
      </c>
    </row>
    <row r="863" spans="1:88">
      <c r="A863">
        <v>28002846</v>
      </c>
      <c r="B863" s="2" t="str">
        <f>HYPERLINK("http://www.redfin.com/stingray/do/printable-listing?listing-id=1375328","Active")</f>
        <v>Active</v>
      </c>
      <c r="D863" t="s">
        <v>60</v>
      </c>
      <c r="E863" t="s">
        <v>2400</v>
      </c>
      <c r="F863">
        <v>739950</v>
      </c>
      <c r="G863">
        <v>2007</v>
      </c>
      <c r="H863">
        <v>1800</v>
      </c>
      <c r="I863">
        <v>0</v>
      </c>
      <c r="J863">
        <v>3</v>
      </c>
      <c r="K863">
        <v>3.5</v>
      </c>
      <c r="M863" s="2" t="str">
        <f>HYPERLINK("http://maps.live.com/default.aspx?v=2&amp;lvl=15&amp;sp=Point.47.685807_-122.336088_7815 Stroud Ave N&amp;cp=47.685807~-122.336088","Map")</f>
        <v>Map</v>
      </c>
      <c r="N863" s="2" t="str">
        <f>HYPERLINK("http://i-0.rfimg.us/photo/1/bigphoto/846/28002846_1.jpg","Photo")</f>
        <v>Photo</v>
      </c>
      <c r="AG863">
        <v>47.685806999999997</v>
      </c>
      <c r="AH863">
        <v>-122.336088</v>
      </c>
      <c r="AI863" t="s">
        <v>66</v>
      </c>
      <c r="AJ863">
        <v>98103</v>
      </c>
      <c r="BC863" s="22">
        <v>39451.652685185189</v>
      </c>
      <c r="BI863" s="22">
        <v>39549.294907407406</v>
      </c>
      <c r="BL863">
        <v>14799</v>
      </c>
      <c r="BM863">
        <v>1375328</v>
      </c>
      <c r="BN863" t="s">
        <v>1775</v>
      </c>
      <c r="BO863" s="17">
        <f t="shared" ca="1" si="13"/>
        <v>97.656720833329018</v>
      </c>
      <c r="BP863" t="b">
        <v>0</v>
      </c>
      <c r="BQ863">
        <v>1</v>
      </c>
      <c r="BR863" t="s">
        <v>1667</v>
      </c>
      <c r="BS863" t="s">
        <v>2401</v>
      </c>
      <c r="BT863" t="b">
        <v>0</v>
      </c>
      <c r="BV863" t="s">
        <v>1668</v>
      </c>
      <c r="BW863">
        <v>7815</v>
      </c>
      <c r="BX863" t="s">
        <v>1712</v>
      </c>
      <c r="BY863">
        <v>12196586</v>
      </c>
      <c r="BZ863" t="s">
        <v>2402</v>
      </c>
      <c r="CA863">
        <v>1</v>
      </c>
      <c r="CB863" t="b">
        <v>1</v>
      </c>
      <c r="CC863">
        <v>0</v>
      </c>
      <c r="CD863" t="b">
        <v>0</v>
      </c>
      <c r="CE863" t="b">
        <v>0</v>
      </c>
      <c r="CF863" t="b">
        <v>1</v>
      </c>
      <c r="CG863">
        <v>15425877</v>
      </c>
      <c r="CH863" t="s">
        <v>1681</v>
      </c>
      <c r="CI863" s="10">
        <v>739950</v>
      </c>
    </row>
    <row r="864" spans="1:88">
      <c r="A864">
        <v>28002858</v>
      </c>
      <c r="B864" s="2" t="str">
        <f>HYPERLINK("http://www.redfin.com/stingray/do/printable-listing?listing-id=1375330","Active")</f>
        <v>Active</v>
      </c>
      <c r="D864" t="s">
        <v>4777</v>
      </c>
      <c r="E864" t="s">
        <v>4799</v>
      </c>
      <c r="F864">
        <v>839950</v>
      </c>
      <c r="G864">
        <v>1917</v>
      </c>
      <c r="H864">
        <v>2400</v>
      </c>
      <c r="I864">
        <v>9900</v>
      </c>
      <c r="J864">
        <v>3</v>
      </c>
      <c r="K864">
        <v>2</v>
      </c>
      <c r="M864" s="2" t="str">
        <f>HYPERLINK("http://maps.live.com/default.aspx?v=2&amp;lvl=15&amp;sp=Point.47.67439_-122.187904_152 Slater St S&amp;cp=47.67439~-122.187904","Map")</f>
        <v>Map</v>
      </c>
      <c r="N864" s="2" t="str">
        <f>HYPERLINK("http://i-0.rfimg.us/photo/1/bigphoto/858/28002858_C.jpg","Photo")</f>
        <v>Photo</v>
      </c>
      <c r="AG864">
        <v>47.674390000000002</v>
      </c>
      <c r="AH864">
        <v>-122.187904</v>
      </c>
      <c r="AI864" t="s">
        <v>1058</v>
      </c>
      <c r="AJ864">
        <v>98033</v>
      </c>
      <c r="AN864">
        <v>240000</v>
      </c>
      <c r="BC864" s="22">
        <v>39451.652766203704</v>
      </c>
      <c r="BI864" s="7">
        <v>39543</v>
      </c>
      <c r="BL864">
        <v>16799</v>
      </c>
      <c r="BM864">
        <v>1375330</v>
      </c>
      <c r="BN864" t="s">
        <v>1768</v>
      </c>
      <c r="BO864" s="17">
        <f t="shared" ca="1" si="13"/>
        <v>97.656639699074731</v>
      </c>
      <c r="BP864" t="b">
        <v>0</v>
      </c>
      <c r="BQ864">
        <v>1</v>
      </c>
      <c r="BR864" t="s">
        <v>1686</v>
      </c>
      <c r="BS864" t="s">
        <v>4800</v>
      </c>
      <c r="BT864" t="b">
        <v>0</v>
      </c>
      <c r="BV864" t="s">
        <v>1668</v>
      </c>
      <c r="BW864">
        <v>152</v>
      </c>
      <c r="BX864" t="s">
        <v>1881</v>
      </c>
      <c r="BY864">
        <v>462281</v>
      </c>
      <c r="BZ864" t="s">
        <v>4801</v>
      </c>
      <c r="CA864">
        <v>1</v>
      </c>
      <c r="CB864" t="b">
        <v>1</v>
      </c>
      <c r="CC864">
        <v>0</v>
      </c>
      <c r="CD864" t="b">
        <v>0</v>
      </c>
      <c r="CE864" t="b">
        <v>0</v>
      </c>
      <c r="CF864" t="b">
        <v>1</v>
      </c>
      <c r="CG864">
        <v>2873014</v>
      </c>
      <c r="CH864" t="s">
        <v>1681</v>
      </c>
      <c r="CI864" s="10">
        <v>839950</v>
      </c>
      <c r="CJ864" s="7">
        <v>34926</v>
      </c>
    </row>
    <row r="865" spans="1:88">
      <c r="A865">
        <v>28002861</v>
      </c>
      <c r="B865" s="2" t="str">
        <f>HYPERLINK("http://www.redfin.com/stingray/do/printable-listing?listing-id=1384454","Active")</f>
        <v>Active</v>
      </c>
      <c r="D865" t="s">
        <v>3066</v>
      </c>
      <c r="E865" t="s">
        <v>1657</v>
      </c>
      <c r="F865">
        <v>624900</v>
      </c>
      <c r="G865">
        <v>1997</v>
      </c>
      <c r="H865">
        <v>1810</v>
      </c>
      <c r="I865">
        <v>5568</v>
      </c>
      <c r="J865">
        <v>4</v>
      </c>
      <c r="K865">
        <v>2.5</v>
      </c>
      <c r="M865" s="2" t="str">
        <f>HYPERLINK("http://maps.live.com/default.aspx?v=2&amp;lvl=15&amp;sp=adr.Undisclosed,98033","Map")</f>
        <v>Map</v>
      </c>
      <c r="N865" s="2" t="str">
        <f>HYPERLINK("http://i-0.rfimg.us/photo/1/bigphoto/861/28002861_1.jpg","Photo")</f>
        <v>Photo</v>
      </c>
      <c r="AI865" t="s">
        <v>1058</v>
      </c>
      <c r="AJ865">
        <v>98033</v>
      </c>
      <c r="BC865" s="22">
        <v>39455.735567129632</v>
      </c>
      <c r="BI865" s="22">
        <v>39549.294907407406</v>
      </c>
      <c r="BL865">
        <v>12498</v>
      </c>
      <c r="BM865">
        <v>1384454</v>
      </c>
      <c r="BN865" t="s">
        <v>1725</v>
      </c>
      <c r="BO865" s="17">
        <f t="shared" ca="1" si="13"/>
        <v>93.573838773147145</v>
      </c>
      <c r="BP865" t="b">
        <v>0</v>
      </c>
      <c r="BQ865">
        <v>1</v>
      </c>
      <c r="BT865" t="b">
        <v>1</v>
      </c>
      <c r="BV865" t="s">
        <v>1668</v>
      </c>
      <c r="BY865">
        <v>0</v>
      </c>
      <c r="BZ865" t="s">
        <v>3065</v>
      </c>
      <c r="CA865">
        <v>1</v>
      </c>
      <c r="CB865" t="b">
        <v>1</v>
      </c>
      <c r="CC865">
        <v>0</v>
      </c>
      <c r="CD865" t="b">
        <v>0</v>
      </c>
      <c r="CE865" t="b">
        <v>0</v>
      </c>
      <c r="CF865" t="b">
        <v>1</v>
      </c>
      <c r="CG865" t="s">
        <v>1870</v>
      </c>
      <c r="CH865" t="s">
        <v>1681</v>
      </c>
      <c r="CI865" s="10">
        <v>624900</v>
      </c>
    </row>
    <row r="866" spans="1:88">
      <c r="A866">
        <v>28002876</v>
      </c>
      <c r="B866" s="2" t="str">
        <f>HYPERLINK("http://www.redfin.com/stingray/do/printable-listing?listing-id=1375329","Active")</f>
        <v>Active</v>
      </c>
      <c r="D866" t="s">
        <v>60</v>
      </c>
      <c r="E866" t="s">
        <v>2400</v>
      </c>
      <c r="F866" s="19">
        <v>719950</v>
      </c>
      <c r="G866">
        <v>2007</v>
      </c>
      <c r="H866">
        <v>1800</v>
      </c>
      <c r="I866">
        <v>0</v>
      </c>
      <c r="J866">
        <v>3</v>
      </c>
      <c r="K866">
        <v>3.5</v>
      </c>
      <c r="M866" s="2" t="str">
        <f>HYPERLINK("http://maps.live.com/default.aspx?v=2&amp;lvl=15&amp;sp=Point.47.685807_-122.336088_7815 Stroud Ave N&amp;cp=47.685807~-122.336088","Map")</f>
        <v>Map</v>
      </c>
      <c r="N866" s="2" t="str">
        <f>HYPERLINK("http://i-0.rfimg.us/photo/1/bigphoto/876/28002876_1.jpg","Photo")</f>
        <v>Photo</v>
      </c>
      <c r="AG866">
        <v>47.685806999999997</v>
      </c>
      <c r="AH866">
        <v>-122.336088</v>
      </c>
      <c r="AI866" t="s">
        <v>66</v>
      </c>
      <c r="AJ866">
        <v>98103</v>
      </c>
      <c r="BC866" s="22">
        <v>39451.652696759258</v>
      </c>
      <c r="BI866" s="22">
        <v>39549.294907407406</v>
      </c>
      <c r="BL866">
        <v>14699</v>
      </c>
      <c r="BM866">
        <v>1375329</v>
      </c>
      <c r="BN866" t="s">
        <v>1775</v>
      </c>
      <c r="BO866" s="17">
        <f t="shared" ca="1" si="13"/>
        <v>97.656709143520857</v>
      </c>
      <c r="BP866" t="b">
        <v>0</v>
      </c>
      <c r="BQ866">
        <v>1</v>
      </c>
      <c r="BR866" t="s">
        <v>1667</v>
      </c>
      <c r="BS866" t="s">
        <v>2401</v>
      </c>
      <c r="BT866" t="b">
        <v>0</v>
      </c>
      <c r="BV866" t="s">
        <v>1668</v>
      </c>
      <c r="BW866">
        <v>7815</v>
      </c>
      <c r="BX866" t="s">
        <v>1712</v>
      </c>
      <c r="BY866">
        <v>12196586</v>
      </c>
      <c r="BZ866" t="s">
        <v>2373</v>
      </c>
      <c r="CA866">
        <v>1</v>
      </c>
      <c r="CB866" t="b">
        <v>1</v>
      </c>
      <c r="CC866">
        <v>0</v>
      </c>
      <c r="CD866" t="b">
        <v>0</v>
      </c>
      <c r="CE866" t="b">
        <v>0</v>
      </c>
      <c r="CF866" t="b">
        <v>1</v>
      </c>
      <c r="CG866">
        <v>15425877</v>
      </c>
      <c r="CH866" t="s">
        <v>1681</v>
      </c>
      <c r="CI866" s="10">
        <v>734950</v>
      </c>
    </row>
    <row r="867" spans="1:88">
      <c r="A867">
        <v>28002880</v>
      </c>
      <c r="B867" s="2" t="str">
        <f>HYPERLINK("http://www.redfin.com/stingray/do/printable-listing?listing-id=1375419","Active")</f>
        <v>Active</v>
      </c>
      <c r="D867" t="s">
        <v>60</v>
      </c>
      <c r="E867" t="s">
        <v>2403</v>
      </c>
      <c r="F867" s="19">
        <v>699000</v>
      </c>
      <c r="G867">
        <v>2007</v>
      </c>
      <c r="H867">
        <v>1750</v>
      </c>
      <c r="I867">
        <v>0</v>
      </c>
      <c r="J867">
        <v>3</v>
      </c>
      <c r="K867">
        <v>3</v>
      </c>
      <c r="M867" s="2" t="str">
        <f>HYPERLINK("http://maps.live.com/default.aspx?v=2&amp;lvl=15&amp;sp=Point.47.685941_-122.336063_7813 Stroud Ave N&amp;cp=47.685941~-122.336063","Map")</f>
        <v>Map</v>
      </c>
      <c r="N867" s="2" t="str">
        <f>HYPERLINK("http://i-0.rfimg.us/photo/1/bigphoto/880/28002880_0.jpg","Photo")</f>
        <v>Photo</v>
      </c>
      <c r="AG867">
        <v>47.685941</v>
      </c>
      <c r="AH867">
        <v>-122.336063</v>
      </c>
      <c r="AI867" t="s">
        <v>66</v>
      </c>
      <c r="AJ867">
        <v>98103</v>
      </c>
      <c r="AN867">
        <v>1300000</v>
      </c>
      <c r="BC867" s="22">
        <v>39451.674178240741</v>
      </c>
      <c r="BI867" s="22">
        <v>39549.294907407406</v>
      </c>
      <c r="BL867">
        <v>14399</v>
      </c>
      <c r="BM867">
        <v>1375419</v>
      </c>
      <c r="BN867" t="s">
        <v>1775</v>
      </c>
      <c r="BO867" s="17">
        <f t="shared" ca="1" si="13"/>
        <v>97.63522777777689</v>
      </c>
      <c r="BP867" t="b">
        <v>0</v>
      </c>
      <c r="BQ867">
        <v>1</v>
      </c>
      <c r="BR867" t="s">
        <v>1667</v>
      </c>
      <c r="BS867" t="s">
        <v>2401</v>
      </c>
      <c r="BT867" t="b">
        <v>0</v>
      </c>
      <c r="BV867" t="s">
        <v>1668</v>
      </c>
      <c r="BW867">
        <v>7813</v>
      </c>
      <c r="BX867" t="s">
        <v>1712</v>
      </c>
      <c r="BY867">
        <v>307355</v>
      </c>
      <c r="BZ867" t="s">
        <v>1701</v>
      </c>
      <c r="CA867">
        <v>1</v>
      </c>
      <c r="CB867" t="b">
        <v>1</v>
      </c>
      <c r="CC867">
        <v>0</v>
      </c>
      <c r="CD867" t="b">
        <v>0</v>
      </c>
      <c r="CE867" t="b">
        <v>0</v>
      </c>
      <c r="CF867" t="b">
        <v>1</v>
      </c>
      <c r="CG867">
        <v>2602339</v>
      </c>
      <c r="CH867" t="s">
        <v>1681</v>
      </c>
      <c r="CI867" s="10">
        <v>719950</v>
      </c>
      <c r="CJ867" s="7">
        <v>38904</v>
      </c>
    </row>
    <row r="868" spans="1:88">
      <c r="A868">
        <v>28002900</v>
      </c>
      <c r="B868" s="2" t="str">
        <f>HYPERLINK("http://www.redfin.com/stingray/do/printable-listing?listing-id=1375423","Subject To Inspection")</f>
        <v>Subject To Inspection</v>
      </c>
      <c r="D868" t="s">
        <v>919</v>
      </c>
      <c r="E868" t="s">
        <v>2887</v>
      </c>
      <c r="F868">
        <v>369950</v>
      </c>
      <c r="G868">
        <v>2008</v>
      </c>
      <c r="H868">
        <v>1845</v>
      </c>
      <c r="I868">
        <v>0</v>
      </c>
      <c r="J868">
        <v>3</v>
      </c>
      <c r="K868">
        <v>3.5</v>
      </c>
      <c r="M868" s="2" t="str">
        <f>HYPERLINK("http://maps.live.com/default.aspx?v=2&amp;lvl=15&amp;sp=Point.47.717384_-122.317123_1021 NE 123rd nB&amp;cp=47.717384~-122.317123","Map")</f>
        <v>Map</v>
      </c>
      <c r="N868" s="2" t="str">
        <f>HYPERLINK("http://i-0.rfimg.us/photo/1/bigphoto/900/28002900_2.jpg","Photo")</f>
        <v>Photo</v>
      </c>
      <c r="AG868">
        <v>47.717384000000003</v>
      </c>
      <c r="AH868">
        <v>-122.317123</v>
      </c>
      <c r="AI868" t="s">
        <v>66</v>
      </c>
      <c r="AJ868">
        <v>98125</v>
      </c>
      <c r="AM868" t="s">
        <v>1699</v>
      </c>
      <c r="BC868" s="22">
        <v>39451.674328703702</v>
      </c>
      <c r="BI868" s="22">
        <v>39549.294907407406</v>
      </c>
      <c r="BL868">
        <v>7399</v>
      </c>
      <c r="BM868">
        <v>1375423</v>
      </c>
      <c r="BN868" t="s">
        <v>1675</v>
      </c>
      <c r="BO868" s="17">
        <f t="shared" ca="1" si="13"/>
        <v>97.635077199076477</v>
      </c>
      <c r="BP868" t="b">
        <v>0</v>
      </c>
      <c r="BQ868">
        <v>2</v>
      </c>
      <c r="BS868" t="s">
        <v>2882</v>
      </c>
      <c r="BT868" t="b">
        <v>0</v>
      </c>
      <c r="BU868" t="s">
        <v>1738</v>
      </c>
      <c r="BV868" t="s">
        <v>1668</v>
      </c>
      <c r="BW868">
        <v>1021</v>
      </c>
      <c r="BY868">
        <v>12327733</v>
      </c>
      <c r="BZ868" t="s">
        <v>1734</v>
      </c>
      <c r="CA868">
        <v>1</v>
      </c>
      <c r="CB868" t="b">
        <v>1</v>
      </c>
      <c r="CC868">
        <v>0</v>
      </c>
      <c r="CD868" t="b">
        <v>0</v>
      </c>
      <c r="CE868" t="b">
        <v>0</v>
      </c>
      <c r="CF868" t="b">
        <v>1</v>
      </c>
      <c r="CG868">
        <v>15572922</v>
      </c>
      <c r="CH868" t="s">
        <v>1681</v>
      </c>
      <c r="CI868" s="10">
        <v>369950</v>
      </c>
    </row>
    <row r="869" spans="1:88">
      <c r="A869">
        <v>28002909</v>
      </c>
      <c r="B869" s="2" t="str">
        <f>HYPERLINK("http://www.redfin.com/stingray/do/printable-listing?listing-id=1375421","Active")</f>
        <v>Active</v>
      </c>
      <c r="D869" t="s">
        <v>3685</v>
      </c>
      <c r="E869" t="s">
        <v>3801</v>
      </c>
      <c r="F869">
        <v>1129000</v>
      </c>
      <c r="G869">
        <v>1942</v>
      </c>
      <c r="H869">
        <v>2700</v>
      </c>
      <c r="I869">
        <v>4000</v>
      </c>
      <c r="J869">
        <v>4</v>
      </c>
      <c r="K869">
        <v>3</v>
      </c>
      <c r="M869" s="2" t="str">
        <f>HYPERLINK("http://maps.live.com/default.aspx?v=2&amp;lvl=15&amp;sp=Point.47.638212_-122.281156_2041 Mcgilvra Blvd E&amp;cp=47.638212~-122.281156","Map")</f>
        <v>Map</v>
      </c>
      <c r="N869" s="2" t="str">
        <f>HYPERLINK("http://i-0.rfimg.us/photo/1/bigphoto/909/28002909_1.jpg","Photo")</f>
        <v>Photo</v>
      </c>
      <c r="AG869">
        <v>47.638212000000003</v>
      </c>
      <c r="AH869">
        <v>-122.281156</v>
      </c>
      <c r="AI869" t="s">
        <v>66</v>
      </c>
      <c r="AJ869">
        <v>98112</v>
      </c>
      <c r="AN869">
        <v>315000</v>
      </c>
      <c r="BC869" s="22">
        <v>39451.674293981479</v>
      </c>
      <c r="BI869" s="22">
        <v>39549.294907407406</v>
      </c>
      <c r="BL869">
        <v>22580</v>
      </c>
      <c r="BM869">
        <v>1375421</v>
      </c>
      <c r="BN869" t="s">
        <v>3253</v>
      </c>
      <c r="BO869" s="17">
        <f t="shared" ca="1" si="13"/>
        <v>97.63511192129954</v>
      </c>
      <c r="BP869" t="b">
        <v>0</v>
      </c>
      <c r="BQ869">
        <v>1</v>
      </c>
      <c r="BR869" t="s">
        <v>3141</v>
      </c>
      <c r="BS869" t="s">
        <v>3802</v>
      </c>
      <c r="BT869" t="b">
        <v>0</v>
      </c>
      <c r="BV869" t="s">
        <v>1668</v>
      </c>
      <c r="BW869">
        <v>2041</v>
      </c>
      <c r="BX869" t="s">
        <v>2436</v>
      </c>
      <c r="BY869">
        <v>139197</v>
      </c>
      <c r="BZ869" t="s">
        <v>3229</v>
      </c>
      <c r="CA869">
        <v>1</v>
      </c>
      <c r="CB869" t="b">
        <v>1</v>
      </c>
      <c r="CC869">
        <v>0</v>
      </c>
      <c r="CD869" t="b">
        <v>0</v>
      </c>
      <c r="CE869" t="b">
        <v>0</v>
      </c>
      <c r="CF869" t="b">
        <v>1</v>
      </c>
      <c r="CG869">
        <v>2840396</v>
      </c>
      <c r="CH869" t="s">
        <v>1681</v>
      </c>
      <c r="CI869" s="10">
        <v>1129000</v>
      </c>
      <c r="CJ869" s="7">
        <v>34316</v>
      </c>
    </row>
    <row r="870" spans="1:88">
      <c r="A870">
        <v>28002956</v>
      </c>
      <c r="B870" s="2" t="str">
        <f>HYPERLINK("http://www.redfin.com/stingray/do/printable-listing?listing-id=1375544","Active")</f>
        <v>Active</v>
      </c>
      <c r="D870" t="s">
        <v>3691</v>
      </c>
      <c r="E870" t="s">
        <v>3786</v>
      </c>
      <c r="F870">
        <v>1900000</v>
      </c>
      <c r="G870">
        <v>1922</v>
      </c>
      <c r="H870">
        <v>0</v>
      </c>
      <c r="I870">
        <v>0</v>
      </c>
      <c r="J870">
        <v>4</v>
      </c>
      <c r="K870">
        <v>1.25</v>
      </c>
      <c r="M870" s="2" t="str">
        <f>HYPERLINK("http://maps.live.com/default.aspx?v=2&amp;lvl=15&amp;sp=Point.47.650816_-122.319617_3218 Portage Bay Pl E&amp;cp=47.650816~-122.319617","Map")</f>
        <v>Map</v>
      </c>
      <c r="N870" s="2" t="str">
        <f>HYPERLINK("http://i-0.rfimg.us/photo/1/bigphoto/956/28002956_0.jpg","Photo")</f>
        <v>Photo</v>
      </c>
      <c r="AG870">
        <v>47.650815999999999</v>
      </c>
      <c r="AH870">
        <v>-122.31961699999999</v>
      </c>
      <c r="AI870" t="s">
        <v>66</v>
      </c>
      <c r="AJ870">
        <v>98102</v>
      </c>
      <c r="BC870" s="22">
        <v>39451.700624999998</v>
      </c>
      <c r="BI870" s="7">
        <v>39539</v>
      </c>
      <c r="BL870">
        <v>38000</v>
      </c>
      <c r="BM870">
        <v>1375544</v>
      </c>
      <c r="BN870" t="s">
        <v>1702</v>
      </c>
      <c r="BO870" s="17">
        <f t="shared" ca="1" si="13"/>
        <v>97.608780902781291</v>
      </c>
      <c r="BP870" t="b">
        <v>0</v>
      </c>
      <c r="BQ870">
        <v>1</v>
      </c>
      <c r="BR870" t="s">
        <v>1842</v>
      </c>
      <c r="BS870" t="s">
        <v>3691</v>
      </c>
      <c r="BT870" t="b">
        <v>0</v>
      </c>
      <c r="BV870" t="s">
        <v>1668</v>
      </c>
      <c r="BW870">
        <v>3218</v>
      </c>
      <c r="BX870" t="s">
        <v>2436</v>
      </c>
      <c r="BY870">
        <v>2094907</v>
      </c>
      <c r="BZ870" t="s">
        <v>1672</v>
      </c>
      <c r="CA870">
        <v>1</v>
      </c>
      <c r="CB870" t="b">
        <v>1</v>
      </c>
      <c r="CC870">
        <v>0</v>
      </c>
      <c r="CD870" t="b">
        <v>1</v>
      </c>
      <c r="CE870" t="b">
        <v>0</v>
      </c>
      <c r="CF870" t="b">
        <v>1</v>
      </c>
      <c r="CG870">
        <v>2952545</v>
      </c>
      <c r="CH870" t="s">
        <v>1681</v>
      </c>
      <c r="CI870" s="10">
        <v>1900000</v>
      </c>
    </row>
    <row r="871" spans="1:88">
      <c r="A871">
        <v>28002968</v>
      </c>
      <c r="B871" s="2" t="str">
        <f>HYPERLINK("http://www.redfin.com/stingray/do/printable-listing?listing-id=1375823","Active")</f>
        <v>Active</v>
      </c>
      <c r="D871" t="s">
        <v>3066</v>
      </c>
      <c r="E871" t="s">
        <v>4509</v>
      </c>
      <c r="F871">
        <v>819900</v>
      </c>
      <c r="G871">
        <v>2008</v>
      </c>
      <c r="H871">
        <v>2976</v>
      </c>
      <c r="I871">
        <v>7200</v>
      </c>
      <c r="J871">
        <v>4</v>
      </c>
      <c r="K871">
        <v>2.5</v>
      </c>
      <c r="M871" s="2" t="str">
        <f>HYPERLINK("http://maps.live.com/default.aspx?v=2&amp;lvl=15&amp;sp=Point.47.712211_-122.23345_8109 125th Pl NE&amp;cp=47.712211~-122.23345","Map")</f>
        <v>Map</v>
      </c>
      <c r="N871" s="2" t="str">
        <f>HYPERLINK("http://i-0.rfimg.us/photo/1/bigphoto/968/28002968_0.jpg","Photo")</f>
        <v>Photo</v>
      </c>
      <c r="AG871">
        <v>47.712211000000003</v>
      </c>
      <c r="AH871">
        <v>-122.23345</v>
      </c>
      <c r="AI871" t="s">
        <v>1058</v>
      </c>
      <c r="AJ871">
        <v>98033</v>
      </c>
      <c r="BC871" s="22">
        <v>39451.736608796295</v>
      </c>
      <c r="BI871" s="22">
        <v>39549.294907407406</v>
      </c>
      <c r="BL871">
        <v>16398</v>
      </c>
      <c r="BM871">
        <v>1375823</v>
      </c>
      <c r="BN871" t="s">
        <v>3329</v>
      </c>
      <c r="BO871" s="17">
        <f t="shared" ca="1" si="13"/>
        <v>97.572797106484359</v>
      </c>
      <c r="BP871" t="b">
        <v>0</v>
      </c>
      <c r="BQ871">
        <v>1</v>
      </c>
      <c r="BR871" t="s">
        <v>1842</v>
      </c>
      <c r="BS871" t="s">
        <v>2677</v>
      </c>
      <c r="BT871" t="b">
        <v>0</v>
      </c>
      <c r="BV871" t="s">
        <v>1668</v>
      </c>
      <c r="BW871">
        <v>8109</v>
      </c>
      <c r="BX871" t="s">
        <v>1738</v>
      </c>
      <c r="BY871">
        <v>12385057</v>
      </c>
      <c r="BZ871" s="21">
        <v>0</v>
      </c>
      <c r="CA871">
        <v>1</v>
      </c>
      <c r="CB871" t="b">
        <v>1</v>
      </c>
      <c r="CC871">
        <v>0</v>
      </c>
      <c r="CD871" t="b">
        <v>0</v>
      </c>
      <c r="CE871" t="b">
        <v>0</v>
      </c>
      <c r="CF871" t="b">
        <v>1</v>
      </c>
      <c r="CG871">
        <v>15588805</v>
      </c>
      <c r="CH871" t="s">
        <v>1681</v>
      </c>
      <c r="CI871" s="10">
        <v>819900</v>
      </c>
    </row>
    <row r="872" spans="1:88">
      <c r="A872">
        <v>28002976</v>
      </c>
      <c r="B872" s="2" t="str">
        <f>HYPERLINK("http://www.redfin.com/stingray/do/printable-listing?listing-id=1380527","Active")</f>
        <v>Active</v>
      </c>
      <c r="D872" t="s">
        <v>2850</v>
      </c>
      <c r="E872" t="s">
        <v>4447</v>
      </c>
      <c r="F872">
        <v>699900</v>
      </c>
      <c r="G872">
        <v>2008</v>
      </c>
      <c r="H872">
        <v>2567</v>
      </c>
      <c r="I872">
        <v>1558</v>
      </c>
      <c r="J872">
        <v>3</v>
      </c>
      <c r="K872">
        <v>3.5</v>
      </c>
      <c r="M872" s="2" t="str">
        <f>HYPERLINK("http://maps.live.com/default.aspx?v=2&amp;lvl=15&amp;sp=Point.47.704137_-122.210166_9820 NE 116th St&amp;cp=47.704137~-122.210166","Map")</f>
        <v>Map</v>
      </c>
      <c r="N872" s="2" t="str">
        <f>HYPERLINK("http://i-0.rfimg.us/photo/1/bigphoto/976/28002976_0.jpg","Photo")</f>
        <v>Photo</v>
      </c>
      <c r="AG872">
        <v>47.704137000000003</v>
      </c>
      <c r="AH872">
        <v>-122.210166</v>
      </c>
      <c r="AI872" t="s">
        <v>1058</v>
      </c>
      <c r="AJ872">
        <v>98034</v>
      </c>
      <c r="BC872" s="22">
        <v>39454.583229166667</v>
      </c>
      <c r="BI872" s="22">
        <v>39549.294907407406</v>
      </c>
      <c r="BL872">
        <v>13998</v>
      </c>
      <c r="BM872">
        <v>1380527</v>
      </c>
      <c r="BN872" t="s">
        <v>4442</v>
      </c>
      <c r="BO872" s="17">
        <f t="shared" ca="1" si="13"/>
        <v>94.726176736112393</v>
      </c>
      <c r="BP872" t="b">
        <v>0</v>
      </c>
      <c r="BQ872">
        <v>1</v>
      </c>
      <c r="BR872" t="s">
        <v>1686</v>
      </c>
      <c r="BS872" t="s">
        <v>4441</v>
      </c>
      <c r="BT872" t="b">
        <v>0</v>
      </c>
      <c r="BU872" t="s">
        <v>1738</v>
      </c>
      <c r="BV872" t="s">
        <v>1668</v>
      </c>
      <c r="BW872">
        <v>9820</v>
      </c>
      <c r="BY872">
        <v>12328403</v>
      </c>
      <c r="BZ872" t="s">
        <v>4448</v>
      </c>
      <c r="CA872">
        <v>1</v>
      </c>
      <c r="CB872" t="b">
        <v>1</v>
      </c>
      <c r="CC872">
        <v>0</v>
      </c>
      <c r="CD872" t="b">
        <v>0</v>
      </c>
      <c r="CE872" t="b">
        <v>0</v>
      </c>
      <c r="CF872" t="b">
        <v>1</v>
      </c>
      <c r="CG872">
        <v>15534413</v>
      </c>
      <c r="CH872" t="s">
        <v>1681</v>
      </c>
      <c r="CI872" s="10">
        <v>699900</v>
      </c>
    </row>
    <row r="873" spans="1:88">
      <c r="A873">
        <v>28003018</v>
      </c>
      <c r="B873" s="2" t="str">
        <f>HYPERLINK("http://www.redfin.com/stingray/do/printable-listing?listing-id=1376376","Active")</f>
        <v>Active</v>
      </c>
      <c r="D873" t="s">
        <v>6041</v>
      </c>
      <c r="E873" t="s">
        <v>6074</v>
      </c>
      <c r="F873">
        <v>614950</v>
      </c>
      <c r="G873">
        <v>2007</v>
      </c>
      <c r="H873">
        <v>3003</v>
      </c>
      <c r="I873">
        <v>11979</v>
      </c>
      <c r="J873">
        <v>4</v>
      </c>
      <c r="K873">
        <v>2.75</v>
      </c>
      <c r="M873" s="2" t="str">
        <f>HYPERLINK("http://maps.live.com/default.aspx?v=2&amp;lvl=15&amp;sp=Point.47.507538_-122.17285_3506 NE 17th Pl&amp;cp=47.507538~-122.17285","Map")</f>
        <v>Map</v>
      </c>
      <c r="N873" s="2" t="str">
        <f>HYPERLINK("http://i-0.rfimg.us/photo/1/bigphoto/018/28003018_4.jpg","Photo")</f>
        <v>Photo</v>
      </c>
      <c r="AG873">
        <v>47.507537999999997</v>
      </c>
      <c r="AH873">
        <v>-122.17285</v>
      </c>
      <c r="AI873" t="s">
        <v>1077</v>
      </c>
      <c r="AJ873">
        <v>98056</v>
      </c>
      <c r="AN873">
        <v>125000</v>
      </c>
      <c r="BC873" s="22">
        <v>39451.978854166664</v>
      </c>
      <c r="BI873" s="22">
        <v>39549.294907407406</v>
      </c>
      <c r="BL873">
        <v>12299</v>
      </c>
      <c r="BM873">
        <v>1376376</v>
      </c>
      <c r="BN873" t="s">
        <v>5743</v>
      </c>
      <c r="BO873" s="17">
        <f t="shared" ca="1" si="13"/>
        <v>97.330551736115012</v>
      </c>
      <c r="BP873" t="b">
        <v>0</v>
      </c>
      <c r="BQ873">
        <v>1</v>
      </c>
      <c r="BR873" t="s">
        <v>1842</v>
      </c>
      <c r="BS873" t="s">
        <v>1683</v>
      </c>
      <c r="BT873" t="b">
        <v>0</v>
      </c>
      <c r="BU873" t="s">
        <v>1738</v>
      </c>
      <c r="BV873" t="s">
        <v>1668</v>
      </c>
      <c r="BW873">
        <v>3506</v>
      </c>
      <c r="BY873">
        <v>12315356</v>
      </c>
      <c r="BZ873" t="s">
        <v>6075</v>
      </c>
      <c r="CA873">
        <v>1</v>
      </c>
      <c r="CB873" t="b">
        <v>1</v>
      </c>
      <c r="CC873">
        <v>0</v>
      </c>
      <c r="CD873" t="b">
        <v>0</v>
      </c>
      <c r="CE873" t="b">
        <v>0</v>
      </c>
      <c r="CF873" t="b">
        <v>1</v>
      </c>
      <c r="CG873">
        <v>2902409</v>
      </c>
      <c r="CH873" t="s">
        <v>1681</v>
      </c>
      <c r="CI873" s="10">
        <v>614950</v>
      </c>
      <c r="CJ873" s="7">
        <v>38769</v>
      </c>
    </row>
    <row r="874" spans="1:88">
      <c r="A874">
        <v>28003076</v>
      </c>
      <c r="B874" s="2" t="str">
        <f>HYPERLINK("http://www.redfin.com/stingray/do/printable-listing?listing-id=1375874","Active")</f>
        <v>Active</v>
      </c>
      <c r="D874" t="s">
        <v>3249</v>
      </c>
      <c r="E874" t="s">
        <v>3601</v>
      </c>
      <c r="F874" s="19">
        <v>1376000</v>
      </c>
      <c r="G874">
        <v>2008</v>
      </c>
      <c r="H874">
        <v>0</v>
      </c>
      <c r="I874">
        <v>0</v>
      </c>
      <c r="J874">
        <v>3</v>
      </c>
      <c r="K874">
        <v>3.5</v>
      </c>
      <c r="M874" s="2" t="str">
        <f>HYPERLINK("http://maps.live.com/default.aspx?v=2&amp;lvl=15&amp;sp=Point.47.641928_-122.372265_2542 12th Ave W&amp;cp=47.641928~-122.372265","Map")</f>
        <v>Map</v>
      </c>
      <c r="N874" s="2" t="str">
        <f>HYPERLINK("http://i-0.rfimg.us/photo/1/bigphoto/076/28003076_0.jpg","Photo")</f>
        <v>Photo</v>
      </c>
      <c r="AG874">
        <v>47.641928</v>
      </c>
      <c r="AH874">
        <v>-122.372265</v>
      </c>
      <c r="AI874" t="s">
        <v>66</v>
      </c>
      <c r="AJ874">
        <v>98119</v>
      </c>
      <c r="AN874">
        <v>455000</v>
      </c>
      <c r="BC874" s="22">
        <v>39451.756805555553</v>
      </c>
      <c r="BI874" s="22">
        <v>39549.294907407406</v>
      </c>
      <c r="BL874">
        <v>29410</v>
      </c>
      <c r="BM874">
        <v>1375874</v>
      </c>
      <c r="BN874" t="s">
        <v>1766</v>
      </c>
      <c r="BO874" s="17">
        <f t="shared" ca="1" si="13"/>
        <v>97.552600347225962</v>
      </c>
      <c r="BP874" t="b">
        <v>0</v>
      </c>
      <c r="BQ874">
        <v>1</v>
      </c>
      <c r="BR874" t="s">
        <v>1667</v>
      </c>
      <c r="BS874" t="s">
        <v>1803</v>
      </c>
      <c r="BT874" t="b">
        <v>0</v>
      </c>
      <c r="BV874" t="s">
        <v>1668</v>
      </c>
      <c r="BW874">
        <v>2542</v>
      </c>
      <c r="BX874" t="s">
        <v>2423</v>
      </c>
      <c r="BY874">
        <v>130269</v>
      </c>
      <c r="BZ874" t="s">
        <v>3602</v>
      </c>
      <c r="CA874">
        <v>1</v>
      </c>
      <c r="CB874" t="b">
        <v>1</v>
      </c>
      <c r="CC874">
        <v>0</v>
      </c>
      <c r="CD874" t="b">
        <v>0</v>
      </c>
      <c r="CE874" t="b">
        <v>0</v>
      </c>
      <c r="CF874" t="b">
        <v>1</v>
      </c>
      <c r="CG874">
        <v>2730677</v>
      </c>
      <c r="CH874" t="s">
        <v>1681</v>
      </c>
      <c r="CI874" s="10">
        <v>1470500</v>
      </c>
      <c r="CJ874" s="7">
        <v>38734</v>
      </c>
    </row>
    <row r="875" spans="1:88">
      <c r="A875">
        <v>28003084</v>
      </c>
      <c r="B875" s="2" t="str">
        <f>HYPERLINK("http://www.redfin.com/stingray/do/printable-listing?listing-id=1380387","Active")</f>
        <v>Active</v>
      </c>
      <c r="D875" t="s">
        <v>2850</v>
      </c>
      <c r="E875" t="s">
        <v>4443</v>
      </c>
      <c r="F875">
        <v>639900</v>
      </c>
      <c r="G875">
        <v>2008</v>
      </c>
      <c r="H875">
        <v>1919</v>
      </c>
      <c r="I875">
        <v>1587</v>
      </c>
      <c r="J875">
        <v>2</v>
      </c>
      <c r="K875">
        <v>2.5</v>
      </c>
      <c r="M875" s="2" t="str">
        <f>HYPERLINK("http://maps.live.com/default.aspx?v=2&amp;lvl=15&amp;sp=Point.47.704137_-122.210146_9824 NE 116th St&amp;cp=47.704137~-122.210146","Map")</f>
        <v>Map</v>
      </c>
      <c r="N875" s="2" t="str">
        <f>HYPERLINK("http://i-0.rfimg.us/photo/1/bigphoto/084/28003084_2.jpg","Photo")</f>
        <v>Photo</v>
      </c>
      <c r="AG875">
        <v>47.704137000000003</v>
      </c>
      <c r="AH875">
        <v>-122.21014599999999</v>
      </c>
      <c r="AI875" t="s">
        <v>1058</v>
      </c>
      <c r="AJ875">
        <v>98034</v>
      </c>
      <c r="BC875" s="22">
        <v>39454.559398148151</v>
      </c>
      <c r="BI875" s="22">
        <v>39549.294907407406</v>
      </c>
      <c r="BL875">
        <v>12798</v>
      </c>
      <c r="BM875">
        <v>1380387</v>
      </c>
      <c r="BN875" t="s">
        <v>4442</v>
      </c>
      <c r="BO875" s="17">
        <f t="shared" ca="1" si="13"/>
        <v>94.750007754628314</v>
      </c>
      <c r="BP875" t="b">
        <v>0</v>
      </c>
      <c r="BQ875">
        <v>1</v>
      </c>
      <c r="BR875" t="s">
        <v>1686</v>
      </c>
      <c r="BS875" t="s">
        <v>4441</v>
      </c>
      <c r="BT875" t="b">
        <v>0</v>
      </c>
      <c r="BU875" t="s">
        <v>1738</v>
      </c>
      <c r="BV875" t="s">
        <v>1668</v>
      </c>
      <c r="BW875">
        <v>9824</v>
      </c>
      <c r="BY875">
        <v>12328372</v>
      </c>
      <c r="BZ875" t="s">
        <v>4444</v>
      </c>
      <c r="CA875">
        <v>1</v>
      </c>
      <c r="CB875" t="b">
        <v>1</v>
      </c>
      <c r="CC875">
        <v>0</v>
      </c>
      <c r="CD875" t="b">
        <v>0</v>
      </c>
      <c r="CE875" t="b">
        <v>0</v>
      </c>
      <c r="CF875" t="b">
        <v>1</v>
      </c>
      <c r="CG875">
        <v>15534382</v>
      </c>
      <c r="CH875" t="s">
        <v>1681</v>
      </c>
      <c r="CI875" s="10">
        <v>639900</v>
      </c>
    </row>
    <row r="876" spans="1:88">
      <c r="A876">
        <v>28003141</v>
      </c>
      <c r="B876" s="2" t="str">
        <f>HYPERLINK("http://www.redfin.com/stingray/do/printable-listing?listing-id=1376373","Active")</f>
        <v>Active</v>
      </c>
      <c r="D876" t="s">
        <v>5014</v>
      </c>
      <c r="E876" t="s">
        <v>5017</v>
      </c>
      <c r="F876">
        <v>799000</v>
      </c>
      <c r="G876">
        <v>1953</v>
      </c>
      <c r="H876">
        <v>2100</v>
      </c>
      <c r="I876">
        <v>8667</v>
      </c>
      <c r="J876">
        <v>3</v>
      </c>
      <c r="K876">
        <v>1.75</v>
      </c>
      <c r="M876" s="2" t="str">
        <f>HYPERLINK("http://maps.live.com/default.aspx?v=2&amp;lvl=15&amp;sp=Point.47.63852_-122.203665_10219 NE 31st Pl&amp;cp=47.63852~-122.203665","Map")</f>
        <v>Map</v>
      </c>
      <c r="N876" s="2" t="str">
        <f>HYPERLINK("http://i-0.rfimg.us/photo/1/bigphoto/141/28003141_2.jpg","Photo")</f>
        <v>Photo</v>
      </c>
      <c r="AG876">
        <v>47.63852</v>
      </c>
      <c r="AH876">
        <v>-122.203665</v>
      </c>
      <c r="AI876" t="s">
        <v>369</v>
      </c>
      <c r="AJ876">
        <v>98004</v>
      </c>
      <c r="AN876">
        <v>500000</v>
      </c>
      <c r="BC876" s="22">
        <v>39451.953113425923</v>
      </c>
      <c r="BI876" s="22">
        <v>39549.294907407406</v>
      </c>
      <c r="BL876">
        <v>15980</v>
      </c>
      <c r="BM876">
        <v>1376373</v>
      </c>
      <c r="BN876" t="s">
        <v>2014</v>
      </c>
      <c r="BO876" s="17">
        <f t="shared" ca="1" si="13"/>
        <v>97.356292476855742</v>
      </c>
      <c r="BP876" t="b">
        <v>0</v>
      </c>
      <c r="BQ876">
        <v>1</v>
      </c>
      <c r="BR876" t="s">
        <v>1842</v>
      </c>
      <c r="BS876" t="s">
        <v>1732</v>
      </c>
      <c r="BT876" t="b">
        <v>0</v>
      </c>
      <c r="BU876" t="s">
        <v>1738</v>
      </c>
      <c r="BV876" t="s">
        <v>1668</v>
      </c>
      <c r="BW876">
        <v>10219</v>
      </c>
      <c r="BY876">
        <v>252862</v>
      </c>
      <c r="BZ876" t="s">
        <v>2340</v>
      </c>
      <c r="CA876">
        <v>1</v>
      </c>
      <c r="CB876" t="b">
        <v>1</v>
      </c>
      <c r="CC876">
        <v>0</v>
      </c>
      <c r="CD876" t="b">
        <v>0</v>
      </c>
      <c r="CE876" t="b">
        <v>0</v>
      </c>
      <c r="CF876" t="b">
        <v>1</v>
      </c>
      <c r="CG876">
        <v>2776126</v>
      </c>
      <c r="CH876" t="s">
        <v>1681</v>
      </c>
      <c r="CI876" s="10">
        <v>799000</v>
      </c>
      <c r="CJ876" s="7">
        <v>38442</v>
      </c>
    </row>
    <row r="877" spans="1:88">
      <c r="A877">
        <v>28003150</v>
      </c>
      <c r="B877" s="2" t="str">
        <f>HYPERLINK("http://www.redfin.com/stingray/do/printable-listing?listing-id=1377139","Active")</f>
        <v>Active</v>
      </c>
      <c r="D877" t="s">
        <v>2850</v>
      </c>
      <c r="E877" t="s">
        <v>4528</v>
      </c>
      <c r="F877">
        <v>799950</v>
      </c>
      <c r="G877">
        <v>1992</v>
      </c>
      <c r="H877">
        <v>2920</v>
      </c>
      <c r="I877">
        <v>5150</v>
      </c>
      <c r="J877">
        <v>4</v>
      </c>
      <c r="K877">
        <v>3.5</v>
      </c>
      <c r="M877" s="2" t="str">
        <f>HYPERLINK("http://maps.live.com/default.aspx?v=2&amp;lvl=15&amp;sp=Point.47.704747_-122.223838_8808 NE 117th Pl&amp;cp=47.704747~-122.223838","Map")</f>
        <v>Map</v>
      </c>
      <c r="N877" s="2" t="str">
        <f>HYPERLINK("http://i-0.rfimg.us/photo/1/bigphoto/150/28003150_0.jpg","Photo")</f>
        <v>Photo</v>
      </c>
      <c r="AG877">
        <v>47.704746999999998</v>
      </c>
      <c r="AH877">
        <v>-122.223838</v>
      </c>
      <c r="AI877" t="s">
        <v>1058</v>
      </c>
      <c r="AJ877">
        <v>98034</v>
      </c>
      <c r="BC877" s="22">
        <v>39452.368946759256</v>
      </c>
      <c r="BI877" s="22">
        <v>39549.294907407406</v>
      </c>
      <c r="BL877">
        <v>15999</v>
      </c>
      <c r="BM877">
        <v>1377139</v>
      </c>
      <c r="BN877" t="s">
        <v>1688</v>
      </c>
      <c r="BO877" s="17">
        <f t="shared" ca="1" si="13"/>
        <v>96.940459143523185</v>
      </c>
      <c r="BP877" t="b">
        <v>0</v>
      </c>
      <c r="BQ877">
        <v>1</v>
      </c>
      <c r="BR877" t="s">
        <v>1842</v>
      </c>
      <c r="BS877" t="s">
        <v>2743</v>
      </c>
      <c r="BT877" t="b">
        <v>0</v>
      </c>
      <c r="BU877" t="s">
        <v>1738</v>
      </c>
      <c r="BV877" t="s">
        <v>1668</v>
      </c>
      <c r="BW877">
        <v>8808</v>
      </c>
      <c r="BY877">
        <v>280233</v>
      </c>
      <c r="BZ877" t="s">
        <v>1672</v>
      </c>
      <c r="CA877">
        <v>1</v>
      </c>
      <c r="CB877" t="b">
        <v>1</v>
      </c>
      <c r="CC877">
        <v>0</v>
      </c>
      <c r="CD877" t="b">
        <v>0</v>
      </c>
      <c r="CE877" t="b">
        <v>0</v>
      </c>
      <c r="CF877" t="b">
        <v>1</v>
      </c>
      <c r="CG877">
        <v>2842997</v>
      </c>
      <c r="CH877" t="s">
        <v>1681</v>
      </c>
      <c r="CI877" s="10">
        <v>799950</v>
      </c>
    </row>
    <row r="878" spans="1:88">
      <c r="A878">
        <v>28003161</v>
      </c>
      <c r="B878" s="2" t="str">
        <f>HYPERLINK("http://www.redfin.com/stingray/do/printable-listing?listing-id=1376695","Active")</f>
        <v>Active</v>
      </c>
      <c r="D878" t="s">
        <v>5204</v>
      </c>
      <c r="E878" t="s">
        <v>5421</v>
      </c>
      <c r="F878">
        <v>569900</v>
      </c>
      <c r="G878">
        <v>1958</v>
      </c>
      <c r="H878">
        <v>2430</v>
      </c>
      <c r="I878">
        <v>6098</v>
      </c>
      <c r="J878">
        <v>5</v>
      </c>
      <c r="K878">
        <v>2.5</v>
      </c>
      <c r="M878" s="2" t="str">
        <f>HYPERLINK("http://maps.live.com/default.aspx?v=2&amp;lvl=15&amp;sp=Point.47.605785_-122.128251_15828 SE 5th Pl&amp;cp=47.605785~-122.128251","Map")</f>
        <v>Map</v>
      </c>
      <c r="N878" s="2" t="str">
        <f>HYPERLINK("http://i-0.rfimg.us/photo/1/bigphoto/161/28003161_0.jpg","Photo")</f>
        <v>Photo</v>
      </c>
      <c r="AG878">
        <v>47.605784999999997</v>
      </c>
      <c r="AH878">
        <v>-122.12825100000001</v>
      </c>
      <c r="AI878" t="s">
        <v>369</v>
      </c>
      <c r="AJ878">
        <v>98008</v>
      </c>
      <c r="AN878">
        <v>515000</v>
      </c>
      <c r="BC878" s="22">
        <v>39452.087766203702</v>
      </c>
      <c r="BI878" s="22">
        <v>39549.294907407406</v>
      </c>
      <c r="BL878">
        <v>11398</v>
      </c>
      <c r="BM878">
        <v>1376695</v>
      </c>
      <c r="BN878" t="s">
        <v>1737</v>
      </c>
      <c r="BO878" s="17">
        <f t="shared" ca="1" si="13"/>
        <v>97.221639699077059</v>
      </c>
      <c r="BP878" t="b">
        <v>0</v>
      </c>
      <c r="BQ878">
        <v>1</v>
      </c>
      <c r="BR878" t="s">
        <v>1842</v>
      </c>
      <c r="BS878" t="s">
        <v>1832</v>
      </c>
      <c r="BT878" t="b">
        <v>0</v>
      </c>
      <c r="BU878" t="s">
        <v>3856</v>
      </c>
      <c r="BV878" t="s">
        <v>1668</v>
      </c>
      <c r="BW878">
        <v>15828</v>
      </c>
      <c r="BY878">
        <v>425489</v>
      </c>
      <c r="BZ878" t="s">
        <v>1747</v>
      </c>
      <c r="CA878">
        <v>1</v>
      </c>
      <c r="CB878" t="b">
        <v>1</v>
      </c>
      <c r="CC878">
        <v>0</v>
      </c>
      <c r="CD878" t="b">
        <v>0</v>
      </c>
      <c r="CE878" t="b">
        <v>0</v>
      </c>
      <c r="CF878" t="b">
        <v>1</v>
      </c>
      <c r="CG878">
        <v>2560134</v>
      </c>
      <c r="CH878" t="s">
        <v>1681</v>
      </c>
      <c r="CI878" s="10">
        <v>569900</v>
      </c>
      <c r="CJ878" s="7">
        <v>38910</v>
      </c>
    </row>
    <row r="879" spans="1:88">
      <c r="A879">
        <v>28003230</v>
      </c>
      <c r="B879" s="2" t="str">
        <f>HYPERLINK("http://www.redfin.com/stingray/do/printable-listing?listing-id=1377438","Active")</f>
        <v>Active</v>
      </c>
      <c r="D879" t="s">
        <v>3066</v>
      </c>
      <c r="E879" t="s">
        <v>4901</v>
      </c>
      <c r="F879">
        <v>599950</v>
      </c>
      <c r="G879">
        <v>1963</v>
      </c>
      <c r="H879">
        <v>2210</v>
      </c>
      <c r="I879">
        <v>12028</v>
      </c>
      <c r="J879">
        <v>4</v>
      </c>
      <c r="K879">
        <v>3.25</v>
      </c>
      <c r="M879" s="2" t="str">
        <f>HYPERLINK("http://maps.live.com/default.aspx?v=2&amp;lvl=15&amp;sp=Point.47.674728_-122.166923_7843 130th Ave NE&amp;cp=47.674728~-122.166923","Map")</f>
        <v>Map</v>
      </c>
      <c r="N879" s="2" t="str">
        <f>HYPERLINK("http://i-0.rfimg.us/photo/1/bigphoto/230/28003230_0.jpg","Photo")</f>
        <v>Photo</v>
      </c>
      <c r="AG879">
        <v>47.674728000000002</v>
      </c>
      <c r="AH879">
        <v>-122.166923</v>
      </c>
      <c r="AI879" t="s">
        <v>1058</v>
      </c>
      <c r="AJ879">
        <v>98033</v>
      </c>
      <c r="AN879">
        <v>584000</v>
      </c>
      <c r="BC879" s="22">
        <v>39452.515787037039</v>
      </c>
      <c r="BI879" s="22">
        <v>39549.294907407406</v>
      </c>
      <c r="BL879">
        <v>11999</v>
      </c>
      <c r="BM879">
        <v>1377438</v>
      </c>
      <c r="BN879" t="s">
        <v>1685</v>
      </c>
      <c r="BO879" s="17">
        <f t="shared" ca="1" si="13"/>
        <v>96.793618865740427</v>
      </c>
      <c r="BP879" t="b">
        <v>0</v>
      </c>
      <c r="BQ879">
        <v>1</v>
      </c>
      <c r="BR879" t="s">
        <v>1667</v>
      </c>
      <c r="BS879" t="s">
        <v>2964</v>
      </c>
      <c r="BT879" t="b">
        <v>0</v>
      </c>
      <c r="BV879" t="s">
        <v>1668</v>
      </c>
      <c r="BW879">
        <v>7843</v>
      </c>
      <c r="BX879" t="s">
        <v>1738</v>
      </c>
      <c r="BY879">
        <v>514364</v>
      </c>
      <c r="BZ879" t="s">
        <v>1672</v>
      </c>
      <c r="CA879">
        <v>1</v>
      </c>
      <c r="CB879" t="b">
        <v>1</v>
      </c>
      <c r="CC879">
        <v>0</v>
      </c>
      <c r="CD879" t="b">
        <v>0</v>
      </c>
      <c r="CE879" t="b">
        <v>0</v>
      </c>
      <c r="CF879" t="b">
        <v>1</v>
      </c>
      <c r="CG879">
        <v>2626250</v>
      </c>
      <c r="CH879" t="s">
        <v>1681</v>
      </c>
      <c r="CI879" s="10">
        <v>599950</v>
      </c>
      <c r="CJ879" s="7">
        <v>39010</v>
      </c>
    </row>
    <row r="880" spans="1:88">
      <c r="A880">
        <v>28003243</v>
      </c>
      <c r="B880" s="2" t="str">
        <f>HYPERLINK("http://www.redfin.com/stingray/do/printable-listing?listing-id=1377354","Active")</f>
        <v>Active</v>
      </c>
      <c r="D880" s="19" t="s">
        <v>369</v>
      </c>
      <c r="E880" t="s">
        <v>5616</v>
      </c>
      <c r="F880" s="19">
        <v>559950</v>
      </c>
      <c r="G880">
        <v>1977</v>
      </c>
      <c r="H880">
        <v>1920</v>
      </c>
      <c r="I880">
        <v>7400</v>
      </c>
      <c r="J880">
        <v>3</v>
      </c>
      <c r="K880">
        <v>2.5</v>
      </c>
      <c r="M880" s="2" t="str">
        <f>HYPERLINK("http://maps.live.com/default.aspx?v=2&amp;lvl=15&amp;sp=Point.47.563261_-122.130755_15704 SE 45th Ct&amp;cp=47.563261~-122.130755","Map")</f>
        <v>Map</v>
      </c>
      <c r="N880" s="2" t="str">
        <f>HYPERLINK("http://i-0.rfimg.us/photo/1/bigphoto/243/28003243_8.jpg","Photo")</f>
        <v>Photo</v>
      </c>
      <c r="AG880">
        <v>47.563260999999997</v>
      </c>
      <c r="AH880">
        <v>-122.13075499999999</v>
      </c>
      <c r="AI880" t="s">
        <v>369</v>
      </c>
      <c r="AJ880">
        <v>98006</v>
      </c>
      <c r="AN880">
        <v>176000</v>
      </c>
      <c r="BC880" s="22">
        <v>39452.484201388892</v>
      </c>
      <c r="BI880" s="22">
        <v>39549.294907407406</v>
      </c>
      <c r="BL880">
        <v>11500</v>
      </c>
      <c r="BM880">
        <v>1377354</v>
      </c>
      <c r="BN880" t="s">
        <v>1674</v>
      </c>
      <c r="BO880" s="17">
        <f t="shared" ca="1" si="13"/>
        <v>96.825204513887002</v>
      </c>
      <c r="BP880" t="b">
        <v>0</v>
      </c>
      <c r="BQ880">
        <v>1</v>
      </c>
      <c r="BR880" t="s">
        <v>3768</v>
      </c>
      <c r="BS880" t="s">
        <v>2667</v>
      </c>
      <c r="BT880" t="b">
        <v>0</v>
      </c>
      <c r="BU880" t="s">
        <v>3856</v>
      </c>
      <c r="BV880" t="s">
        <v>1668</v>
      </c>
      <c r="BW880">
        <v>15704</v>
      </c>
      <c r="BY880">
        <v>235952</v>
      </c>
      <c r="BZ880" t="s">
        <v>5617</v>
      </c>
      <c r="CA880">
        <v>1</v>
      </c>
      <c r="CB880" t="b">
        <v>1</v>
      </c>
      <c r="CC880">
        <v>0</v>
      </c>
      <c r="CD880" t="b">
        <v>0</v>
      </c>
      <c r="CE880" t="b">
        <v>0</v>
      </c>
      <c r="CF880" t="b">
        <v>1</v>
      </c>
      <c r="CG880">
        <v>2960890</v>
      </c>
      <c r="CH880" t="s">
        <v>1681</v>
      </c>
      <c r="CI880" s="10">
        <v>575000</v>
      </c>
      <c r="CJ880" s="7">
        <v>32812</v>
      </c>
    </row>
    <row r="881" spans="1:89">
      <c r="A881">
        <v>28003284</v>
      </c>
      <c r="B881" s="2" t="str">
        <f>HYPERLINK("http://www.redfin.com/stingray/do/printable-listing?listing-id=1377550","Contingent")</f>
        <v>Contingent</v>
      </c>
      <c r="D881" t="s">
        <v>369</v>
      </c>
      <c r="E881" t="s">
        <v>5066</v>
      </c>
      <c r="F881">
        <v>695000</v>
      </c>
      <c r="G881">
        <v>2007</v>
      </c>
      <c r="H881">
        <v>1575</v>
      </c>
      <c r="I881">
        <v>0</v>
      </c>
      <c r="J881">
        <v>2</v>
      </c>
      <c r="K881">
        <v>2</v>
      </c>
      <c r="M881" s="2" t="str">
        <f>HYPERLINK("http://maps.live.com/default.aspx?v=2&amp;lvl=15&amp;sp=Point.47.6215_-122.1952_10595 NE 12th Pl&amp;cp=47.6215~-122.1952","Map")</f>
        <v>Map</v>
      </c>
      <c r="N881" s="2" t="str">
        <f>HYPERLINK("http://i-0.rfimg.us/photo/1/bigphoto/284/28003284_0.jpg","Photo")</f>
        <v>Photo</v>
      </c>
      <c r="AG881">
        <v>47.621499999999997</v>
      </c>
      <c r="AH881">
        <v>-122.1952</v>
      </c>
      <c r="AI881" t="s">
        <v>369</v>
      </c>
      <c r="AJ881">
        <v>98004</v>
      </c>
      <c r="AN881">
        <v>695000</v>
      </c>
      <c r="BC881" s="22">
        <v>39452.537152777775</v>
      </c>
      <c r="BI881" s="7">
        <v>39532</v>
      </c>
      <c r="BL881">
        <v>13900</v>
      </c>
      <c r="BM881">
        <v>1377550</v>
      </c>
      <c r="BN881" t="s">
        <v>4138</v>
      </c>
      <c r="BO881" s="17">
        <f t="shared" ca="1" si="13"/>
        <v>96.772253125003772</v>
      </c>
      <c r="BP881" t="b">
        <v>0</v>
      </c>
      <c r="BQ881">
        <v>2</v>
      </c>
      <c r="BR881" t="s">
        <v>1842</v>
      </c>
      <c r="BS881" t="s">
        <v>1803</v>
      </c>
      <c r="BT881" t="b">
        <v>0</v>
      </c>
      <c r="BU881" t="s">
        <v>1738</v>
      </c>
      <c r="BV881" t="s">
        <v>1668</v>
      </c>
      <c r="BW881">
        <v>10595</v>
      </c>
      <c r="BY881">
        <v>12305163</v>
      </c>
      <c r="BZ881" t="s">
        <v>1743</v>
      </c>
      <c r="CA881">
        <v>1</v>
      </c>
      <c r="CB881" t="b">
        <v>1</v>
      </c>
      <c r="CC881">
        <v>0</v>
      </c>
      <c r="CD881" t="b">
        <v>0</v>
      </c>
      <c r="CE881" t="b">
        <v>0</v>
      </c>
      <c r="CF881" t="b">
        <v>1</v>
      </c>
      <c r="CG881">
        <v>15512096</v>
      </c>
      <c r="CH881" t="s">
        <v>1681</v>
      </c>
      <c r="CI881" s="10">
        <v>695000</v>
      </c>
      <c r="CJ881" s="7">
        <v>39461</v>
      </c>
    </row>
    <row r="882" spans="1:89">
      <c r="A882">
        <v>28003291</v>
      </c>
      <c r="B882" s="2" t="str">
        <f>HYPERLINK("http://www.redfin.com/stingray/do/printable-listing?listing-id=1377570","Subject To Inspection")</f>
        <v>Subject To Inspection</v>
      </c>
      <c r="D882" t="s">
        <v>192</v>
      </c>
      <c r="E882" t="s">
        <v>882</v>
      </c>
      <c r="F882">
        <v>495000</v>
      </c>
      <c r="G882">
        <v>1940</v>
      </c>
      <c r="H882">
        <v>1260</v>
      </c>
      <c r="I882">
        <v>7250</v>
      </c>
      <c r="J882">
        <v>2</v>
      </c>
      <c r="K882">
        <v>1</v>
      </c>
      <c r="M882" s="2" t="str">
        <f>HYPERLINK("http://maps.live.com/default.aspx?v=2&amp;lvl=15&amp;sp=Point.47.694627_-122.311268_1517 NE 91st St&amp;cp=47.694627~-122.311268","Map")</f>
        <v>Map</v>
      </c>
      <c r="N882" s="2" t="str">
        <f>HYPERLINK("http://i-0.rfimg.us/photo/1/bigphoto/291/28003291_0.jpg","Photo")</f>
        <v>Photo</v>
      </c>
      <c r="AG882">
        <v>47.694626999999997</v>
      </c>
      <c r="AH882">
        <v>-122.311268</v>
      </c>
      <c r="AI882" t="s">
        <v>66</v>
      </c>
      <c r="AJ882">
        <v>98115</v>
      </c>
      <c r="BC882" s="22">
        <v>39452.547106481485</v>
      </c>
      <c r="BI882" s="7">
        <v>39538</v>
      </c>
      <c r="BL882">
        <v>9900</v>
      </c>
      <c r="BM882">
        <v>1377570</v>
      </c>
      <c r="BN882" t="s">
        <v>3034</v>
      </c>
      <c r="BO882" s="17">
        <f t="shared" ca="1" si="13"/>
        <v>96.762299421294301</v>
      </c>
      <c r="BP882" t="b">
        <v>0</v>
      </c>
      <c r="BQ882">
        <v>2</v>
      </c>
      <c r="BR882" t="s">
        <v>1686</v>
      </c>
      <c r="BS882" t="s">
        <v>2818</v>
      </c>
      <c r="BT882" t="b">
        <v>0</v>
      </c>
      <c r="BU882" t="s">
        <v>1738</v>
      </c>
      <c r="BV882" t="s">
        <v>1668</v>
      </c>
      <c r="BW882">
        <v>1517</v>
      </c>
      <c r="BY882">
        <v>106873</v>
      </c>
      <c r="BZ882" t="s">
        <v>1801</v>
      </c>
      <c r="CA882">
        <v>1</v>
      </c>
      <c r="CB882" t="b">
        <v>1</v>
      </c>
      <c r="CC882">
        <v>0</v>
      </c>
      <c r="CD882" t="b">
        <v>1</v>
      </c>
      <c r="CE882" t="b">
        <v>0</v>
      </c>
      <c r="CF882" t="b">
        <v>1</v>
      </c>
      <c r="CG882">
        <v>2654534</v>
      </c>
      <c r="CH882" t="s">
        <v>1681</v>
      </c>
      <c r="CI882" s="10">
        <v>495000</v>
      </c>
    </row>
    <row r="883" spans="1:89">
      <c r="A883">
        <v>28003423</v>
      </c>
      <c r="B883" s="2" t="str">
        <f>HYPERLINK("http://www.redfin.com/stingray/do/printable-listing?listing-id=1377880","Active")</f>
        <v>Active</v>
      </c>
      <c r="D883" t="s">
        <v>63</v>
      </c>
      <c r="E883" t="s">
        <v>2289</v>
      </c>
      <c r="F883">
        <v>485000</v>
      </c>
      <c r="G883">
        <v>2007</v>
      </c>
      <c r="H883">
        <v>746</v>
      </c>
      <c r="I883">
        <v>0</v>
      </c>
      <c r="J883">
        <v>1</v>
      </c>
      <c r="K883">
        <v>1.5</v>
      </c>
      <c r="M883" s="2" t="str">
        <f>HYPERLINK("http://maps.live.com/default.aspx?v=2&amp;lvl=15&amp;sp=Point.47.672529_-122.405914_6006 Seaview Ave NW nG&amp;cp=47.672529~-122.405914","Map")</f>
        <v>Map</v>
      </c>
      <c r="N883" s="2" t="str">
        <f>HYPERLINK("http://i-0.rfimg.us/photo/1/bigphoto/423/28003423_2.jpg","Photo")</f>
        <v>Photo</v>
      </c>
      <c r="AG883">
        <v>47.672528999999997</v>
      </c>
      <c r="AH883">
        <v>-122.405914</v>
      </c>
      <c r="AI883" t="s">
        <v>66</v>
      </c>
      <c r="AJ883">
        <v>98107</v>
      </c>
      <c r="AM883" t="s">
        <v>2290</v>
      </c>
      <c r="BC883" s="22">
        <v>39452.70521990741</v>
      </c>
      <c r="BI883" s="7">
        <v>39544</v>
      </c>
      <c r="BL883">
        <v>9700</v>
      </c>
      <c r="BM883">
        <v>1377880</v>
      </c>
      <c r="BN883" t="s">
        <v>1688</v>
      </c>
      <c r="BO883" s="17">
        <f t="shared" ca="1" si="13"/>
        <v>96.604185995369335</v>
      </c>
      <c r="BP883" t="b">
        <v>0</v>
      </c>
      <c r="BQ883">
        <v>1</v>
      </c>
      <c r="BR883" t="s">
        <v>1667</v>
      </c>
      <c r="BS883" t="s">
        <v>1727</v>
      </c>
      <c r="BT883" t="b">
        <v>0</v>
      </c>
      <c r="BV883" t="s">
        <v>1668</v>
      </c>
      <c r="BW883">
        <v>6006</v>
      </c>
      <c r="BX883" t="s">
        <v>1669</v>
      </c>
      <c r="BY883">
        <v>12328005</v>
      </c>
      <c r="BZ883" t="s">
        <v>1912</v>
      </c>
      <c r="CA883">
        <v>1</v>
      </c>
      <c r="CB883" t="b">
        <v>1</v>
      </c>
      <c r="CC883">
        <v>0</v>
      </c>
      <c r="CD883" t="b">
        <v>0</v>
      </c>
      <c r="CE883" t="b">
        <v>0</v>
      </c>
      <c r="CF883" t="b">
        <v>1</v>
      </c>
      <c r="CG883">
        <v>15534032</v>
      </c>
      <c r="CH883" t="s">
        <v>1666</v>
      </c>
      <c r="CI883" s="10">
        <v>485000</v>
      </c>
    </row>
    <row r="884" spans="1:89">
      <c r="A884">
        <v>28003430</v>
      </c>
      <c r="B884" s="2" t="str">
        <f>HYPERLINK("http://www.redfin.com/stingray/do/printable-listing?listing-id=1377885","Active")</f>
        <v>Active</v>
      </c>
      <c r="D884" t="s">
        <v>63</v>
      </c>
      <c r="E884" t="s">
        <v>1728</v>
      </c>
      <c r="F884">
        <v>489000</v>
      </c>
      <c r="G884">
        <v>2007</v>
      </c>
      <c r="H884">
        <v>771</v>
      </c>
      <c r="I884">
        <v>0</v>
      </c>
      <c r="J884">
        <v>1</v>
      </c>
      <c r="K884">
        <v>1.5</v>
      </c>
      <c r="M884" s="2" t="str">
        <f>HYPERLINK("http://maps.live.com/default.aspx?v=2&amp;lvl=15&amp;sp=Point.47.672529_-122.405914_6006 Seaview Ave NW nE&amp;cp=47.672529~-122.405914","Map")</f>
        <v>Map</v>
      </c>
      <c r="N884" s="2" t="str">
        <f>HYPERLINK("http://i-0.rfimg.us/photo/1/bigphoto/430/28003430_2.jpg","Photo")</f>
        <v>Photo</v>
      </c>
      <c r="AG884">
        <v>47.672528999999997</v>
      </c>
      <c r="AH884">
        <v>-122.405914</v>
      </c>
      <c r="AI884" t="s">
        <v>66</v>
      </c>
      <c r="AJ884">
        <v>98107</v>
      </c>
      <c r="AM884" t="s">
        <v>1729</v>
      </c>
      <c r="BC884" s="22">
        <v>39452.715185185189</v>
      </c>
      <c r="BI884" s="7">
        <v>39544</v>
      </c>
      <c r="BL884">
        <v>9780</v>
      </c>
      <c r="BM884">
        <v>1377885</v>
      </c>
      <c r="BN884" t="s">
        <v>1688</v>
      </c>
      <c r="BO884" s="17">
        <f t="shared" ca="1" si="13"/>
        <v>96.594220833329018</v>
      </c>
      <c r="BP884" t="b">
        <v>0</v>
      </c>
      <c r="BQ884">
        <v>1</v>
      </c>
      <c r="BR884" t="s">
        <v>1667</v>
      </c>
      <c r="BS884" t="s">
        <v>1727</v>
      </c>
      <c r="BT884" t="b">
        <v>0</v>
      </c>
      <c r="BV884" t="s">
        <v>1668</v>
      </c>
      <c r="BW884">
        <v>6006</v>
      </c>
      <c r="BX884" t="s">
        <v>1669</v>
      </c>
      <c r="BY884">
        <v>12328007</v>
      </c>
      <c r="BZ884" t="s">
        <v>1730</v>
      </c>
      <c r="CA884">
        <v>1</v>
      </c>
      <c r="CB884" t="b">
        <v>1</v>
      </c>
      <c r="CC884">
        <v>0</v>
      </c>
      <c r="CD884" t="b">
        <v>0</v>
      </c>
      <c r="CE884" t="b">
        <v>0</v>
      </c>
      <c r="CF884" t="b">
        <v>1</v>
      </c>
      <c r="CG884">
        <v>15534005</v>
      </c>
      <c r="CH884" t="s">
        <v>1666</v>
      </c>
      <c r="CI884" s="10">
        <v>489000</v>
      </c>
    </row>
    <row r="885" spans="1:89">
      <c r="A885">
        <v>28003553</v>
      </c>
      <c r="B885" s="2" t="str">
        <f>HYPERLINK("http://www.redfin.com/stingray/do/printable-listing?listing-id=1379532","Active")</f>
        <v>Active</v>
      </c>
      <c r="D885" t="s">
        <v>3249</v>
      </c>
      <c r="E885" t="s">
        <v>3260</v>
      </c>
      <c r="F885">
        <v>475000</v>
      </c>
      <c r="G885">
        <v>2003</v>
      </c>
      <c r="H885">
        <v>1508</v>
      </c>
      <c r="I885">
        <v>1135</v>
      </c>
      <c r="J885">
        <v>2</v>
      </c>
      <c r="K885">
        <v>1.5</v>
      </c>
      <c r="M885" s="2" t="str">
        <f>HYPERLINK("http://maps.live.com/default.aspx?v=2&amp;lvl=15&amp;sp=Point.47.638365_-122.342918_2127 Waverly Pl N nB&amp;cp=47.638365~-122.342918","Map")</f>
        <v>Map</v>
      </c>
      <c r="N885" s="2" t="str">
        <f>HYPERLINK("http://i-0.rfimg.us/photo/1/bigphoto/553/28003553_C.jpg","Photo")</f>
        <v>Photo</v>
      </c>
      <c r="AG885">
        <v>47.638365</v>
      </c>
      <c r="AH885">
        <v>-122.342918</v>
      </c>
      <c r="AI885" t="s">
        <v>66</v>
      </c>
      <c r="AJ885">
        <v>98109</v>
      </c>
      <c r="AM885" t="s">
        <v>1699</v>
      </c>
      <c r="BC885" s="22">
        <v>39454.390428240738</v>
      </c>
      <c r="BI885" s="22">
        <v>39549.294907407406</v>
      </c>
      <c r="BL885">
        <v>9500</v>
      </c>
      <c r="BM885">
        <v>1379532</v>
      </c>
      <c r="BN885" t="s">
        <v>1678</v>
      </c>
      <c r="BO885" s="17">
        <f t="shared" ca="1" si="13"/>
        <v>94.918977662040561</v>
      </c>
      <c r="BP885" t="b">
        <v>0</v>
      </c>
      <c r="BQ885">
        <v>1</v>
      </c>
      <c r="BR885" t="s">
        <v>1842</v>
      </c>
      <c r="BS885" t="s">
        <v>3261</v>
      </c>
      <c r="BT885" t="b">
        <v>0</v>
      </c>
      <c r="BV885" t="s">
        <v>1668</v>
      </c>
      <c r="BW885">
        <v>2127</v>
      </c>
      <c r="BX885" t="s">
        <v>1712</v>
      </c>
      <c r="BY885">
        <v>12328296</v>
      </c>
      <c r="BZ885" t="s">
        <v>3262</v>
      </c>
      <c r="CA885">
        <v>1</v>
      </c>
      <c r="CB885" t="b">
        <v>1</v>
      </c>
      <c r="CC885">
        <v>0</v>
      </c>
      <c r="CD885" t="b">
        <v>0</v>
      </c>
      <c r="CE885" t="b">
        <v>0</v>
      </c>
      <c r="CF885" t="b">
        <v>1</v>
      </c>
      <c r="CG885">
        <v>15534306</v>
      </c>
      <c r="CH885" t="s">
        <v>1681</v>
      </c>
      <c r="CI885" s="10">
        <v>475000</v>
      </c>
    </row>
    <row r="886" spans="1:89">
      <c r="A886">
        <v>28003592</v>
      </c>
      <c r="B886" s="2" t="str">
        <f>HYPERLINK("http://www.redfin.com/stingray/do/printable-listing?listing-id=1378697","Active")</f>
        <v>Active</v>
      </c>
      <c r="D886" t="s">
        <v>2552</v>
      </c>
      <c r="E886" t="s">
        <v>3481</v>
      </c>
      <c r="F886">
        <v>634000</v>
      </c>
      <c r="G886">
        <v>1956</v>
      </c>
      <c r="H886">
        <v>2160</v>
      </c>
      <c r="I886">
        <v>7000</v>
      </c>
      <c r="J886">
        <v>3</v>
      </c>
      <c r="K886">
        <v>2</v>
      </c>
      <c r="M886" s="2" t="str">
        <f>HYPERLINK("http://maps.live.com/default.aspx?v=2&amp;lvl=15&amp;sp=Point.47.655231_-122.387049_3842 24th Ave W&amp;cp=47.655231~-122.387049","Map")</f>
        <v>Map</v>
      </c>
      <c r="N886" s="2" t="str">
        <f>HYPERLINK("http://i-0.rfimg.us/photo/1/bigphoto/592/28003592_7.jpg","Photo")</f>
        <v>Photo</v>
      </c>
      <c r="AG886">
        <v>47.655231000000001</v>
      </c>
      <c r="AH886">
        <v>-122.387049</v>
      </c>
      <c r="AI886" t="s">
        <v>66</v>
      </c>
      <c r="AJ886">
        <v>98199</v>
      </c>
      <c r="AN886">
        <v>249000</v>
      </c>
      <c r="BC886" s="22">
        <v>39453.515300925923</v>
      </c>
      <c r="BI886" s="22">
        <v>39547.913935185185</v>
      </c>
      <c r="BL886">
        <v>12680</v>
      </c>
      <c r="BM886">
        <v>1378697</v>
      </c>
      <c r="BN886" t="s">
        <v>3480</v>
      </c>
      <c r="BO886" s="17">
        <f t="shared" ca="1" si="13"/>
        <v>95.794104976856033</v>
      </c>
      <c r="BP886" t="b">
        <v>0</v>
      </c>
      <c r="BQ886">
        <v>1</v>
      </c>
      <c r="BR886" t="s">
        <v>1667</v>
      </c>
      <c r="BS886" t="s">
        <v>1740</v>
      </c>
      <c r="BT886" t="b">
        <v>0</v>
      </c>
      <c r="BV886" t="s">
        <v>1668</v>
      </c>
      <c r="BW886">
        <v>3842</v>
      </c>
      <c r="BX886" t="s">
        <v>2423</v>
      </c>
      <c r="BY886">
        <v>124447</v>
      </c>
      <c r="BZ886" t="s">
        <v>3482</v>
      </c>
      <c r="CA886">
        <v>1</v>
      </c>
      <c r="CB886" t="b">
        <v>1</v>
      </c>
      <c r="CC886">
        <v>0</v>
      </c>
      <c r="CD886" t="b">
        <v>0</v>
      </c>
      <c r="CE886" t="b">
        <v>0</v>
      </c>
      <c r="CF886" t="b">
        <v>1</v>
      </c>
      <c r="CG886">
        <v>2489740</v>
      </c>
      <c r="CH886" t="s">
        <v>1681</v>
      </c>
      <c r="CI886" s="10">
        <v>634000</v>
      </c>
      <c r="CJ886" s="7">
        <v>36335</v>
      </c>
    </row>
    <row r="887" spans="1:89">
      <c r="A887">
        <v>28003618</v>
      </c>
      <c r="B887" s="2" t="str">
        <f>HYPERLINK("http://www.redfin.com/stingray/do/printable-listing?listing-id=1378734","Subject To Inspection")</f>
        <v>Subject To Inspection</v>
      </c>
      <c r="D887" t="s">
        <v>1077</v>
      </c>
      <c r="E887" t="s">
        <v>6104</v>
      </c>
      <c r="F887">
        <v>385000</v>
      </c>
      <c r="G887">
        <v>1998</v>
      </c>
      <c r="H887">
        <v>1750</v>
      </c>
      <c r="I887">
        <v>0</v>
      </c>
      <c r="J887">
        <v>3</v>
      </c>
      <c r="K887">
        <v>2.5</v>
      </c>
      <c r="M887" s="2" t="str">
        <f>HYPERLINK("http://maps.live.com/default.aspx?v=2&amp;lvl=15&amp;sp=Point.47.491337_-122.157689_4610 NE 5th Pl&amp;cp=47.491337~-122.157689","Map")</f>
        <v>Map</v>
      </c>
      <c r="N887" s="2" t="str">
        <f>HYPERLINK("http://i-0.rfimg.us/photo/1/bigphoto/618/28003618_2.jpg","Photo")</f>
        <v>Photo</v>
      </c>
      <c r="AG887">
        <v>47.491337000000001</v>
      </c>
      <c r="AH887">
        <v>-122.157689</v>
      </c>
      <c r="AI887" t="s">
        <v>1077</v>
      </c>
      <c r="AJ887">
        <v>98059</v>
      </c>
      <c r="AN887">
        <v>280000</v>
      </c>
      <c r="BC887" s="22">
        <v>39453.546469907407</v>
      </c>
      <c r="BI887" s="7">
        <v>39538</v>
      </c>
      <c r="BL887">
        <v>7700</v>
      </c>
      <c r="BM887">
        <v>1378734</v>
      </c>
      <c r="BN887" t="s">
        <v>1735</v>
      </c>
      <c r="BO887" s="17">
        <f t="shared" ca="1" si="13"/>
        <v>95.762935995371663</v>
      </c>
      <c r="BP887" t="b">
        <v>0</v>
      </c>
      <c r="BQ887">
        <v>2</v>
      </c>
      <c r="BR887" t="s">
        <v>1842</v>
      </c>
      <c r="BS887" t="s">
        <v>1832</v>
      </c>
      <c r="BT887" t="b">
        <v>0</v>
      </c>
      <c r="BU887" t="s">
        <v>1738</v>
      </c>
      <c r="BV887" t="s">
        <v>1668</v>
      </c>
      <c r="BW887">
        <v>4610</v>
      </c>
      <c r="BY887">
        <v>243925</v>
      </c>
      <c r="BZ887" t="s">
        <v>6105</v>
      </c>
      <c r="CA887">
        <v>1</v>
      </c>
      <c r="CB887" t="b">
        <v>1</v>
      </c>
      <c r="CC887">
        <v>0</v>
      </c>
      <c r="CD887" t="b">
        <v>0</v>
      </c>
      <c r="CE887" t="b">
        <v>0</v>
      </c>
      <c r="CF887" t="b">
        <v>1</v>
      </c>
      <c r="CG887">
        <v>2847629</v>
      </c>
      <c r="CH887" t="s">
        <v>1681</v>
      </c>
      <c r="CI887" s="10">
        <v>385000</v>
      </c>
      <c r="CJ887" s="7">
        <v>36692</v>
      </c>
    </row>
    <row r="888" spans="1:89">
      <c r="A888">
        <v>28003691</v>
      </c>
      <c r="B888" s="2" t="str">
        <f>HYPERLINK("http://www.redfin.com/stingray/do/printable-listing?listing-id=1383220","Active")</f>
        <v>Active</v>
      </c>
      <c r="D888" t="s">
        <v>3885</v>
      </c>
      <c r="E888" t="s">
        <v>5730</v>
      </c>
      <c r="F888">
        <v>579950</v>
      </c>
      <c r="G888">
        <v>1993</v>
      </c>
      <c r="H888">
        <v>2330</v>
      </c>
      <c r="I888">
        <v>6200</v>
      </c>
      <c r="J888">
        <v>4</v>
      </c>
      <c r="K888">
        <v>2.75</v>
      </c>
      <c r="M888" s="2" t="str">
        <f>HYPERLINK("http://maps.live.com/default.aspx?v=2&amp;lvl=15&amp;sp=Point.47.540434_-122.18646_11509 SE 70th St&amp;cp=47.540434~-122.18646","Map")</f>
        <v>Map</v>
      </c>
      <c r="N888" s="2" t="str">
        <f>HYPERLINK("http://i-0.rfimg.us/photo/1/bigphoto/691/28003691_3.jpg","Photo")</f>
        <v>Photo</v>
      </c>
      <c r="AG888">
        <v>47.540433999999998</v>
      </c>
      <c r="AH888">
        <v>-122.18646</v>
      </c>
      <c r="AI888" t="s">
        <v>3885</v>
      </c>
      <c r="AJ888">
        <v>98056</v>
      </c>
      <c r="AN888">
        <v>335000</v>
      </c>
      <c r="BC888" s="22">
        <v>39455.464780092596</v>
      </c>
      <c r="BI888" s="7">
        <v>39544</v>
      </c>
      <c r="BL888">
        <v>11599</v>
      </c>
      <c r="BM888">
        <v>1383220</v>
      </c>
      <c r="BN888" t="s">
        <v>1768</v>
      </c>
      <c r="BO888" s="17">
        <f t="shared" ca="1" si="13"/>
        <v>93.844625810183061</v>
      </c>
      <c r="BP888" t="b">
        <v>0</v>
      </c>
      <c r="BQ888">
        <v>1</v>
      </c>
      <c r="BR888" t="s">
        <v>1686</v>
      </c>
      <c r="BS888" t="s">
        <v>1703</v>
      </c>
      <c r="BT888" t="b">
        <v>0</v>
      </c>
      <c r="BU888" t="s">
        <v>3856</v>
      </c>
      <c r="BV888" t="s">
        <v>1668</v>
      </c>
      <c r="BW888">
        <v>11509</v>
      </c>
      <c r="BY888">
        <v>413502</v>
      </c>
      <c r="BZ888" t="s">
        <v>5731</v>
      </c>
      <c r="CA888">
        <v>1</v>
      </c>
      <c r="CB888" t="b">
        <v>1</v>
      </c>
      <c r="CC888">
        <v>0</v>
      </c>
      <c r="CD888" t="b">
        <v>0</v>
      </c>
      <c r="CE888" t="b">
        <v>0</v>
      </c>
      <c r="CF888" t="b">
        <v>1</v>
      </c>
      <c r="CG888">
        <v>2480340</v>
      </c>
      <c r="CH888" t="s">
        <v>1681</v>
      </c>
      <c r="CI888" s="10">
        <v>579950</v>
      </c>
      <c r="CJ888" s="7">
        <v>36362</v>
      </c>
    </row>
    <row r="889" spans="1:89">
      <c r="A889">
        <v>28003703</v>
      </c>
      <c r="B889" s="15" t="str">
        <f>HYPERLINK("http://www.redfin.com/stingray/do/printable-listing?listing-id=1378921","Subject To Inspection")</f>
        <v>Subject To Inspection</v>
      </c>
      <c r="D889" t="s">
        <v>63</v>
      </c>
      <c r="E889" t="s">
        <v>707</v>
      </c>
      <c r="F889">
        <v>405000</v>
      </c>
      <c r="G889">
        <v>2007</v>
      </c>
      <c r="H889">
        <v>0</v>
      </c>
      <c r="I889">
        <v>0</v>
      </c>
      <c r="J889">
        <v>2</v>
      </c>
      <c r="K889">
        <v>1.5</v>
      </c>
      <c r="M889" s="2" t="str">
        <f>HYPERLINK("http://maps.live.com/default.aspx?v=2&amp;lvl=15&amp;sp=Point.47.671875_-122.389512_2442 NW 59th St&amp;cp=47.671875~-122.389512","Map")</f>
        <v>Map</v>
      </c>
      <c r="N889" s="2" t="str">
        <f>HYPERLINK("http://i-0.rfimg.us/photo/1/bigphoto/703/28003703_3.jpg","Photo")</f>
        <v>Photo</v>
      </c>
      <c r="AG889">
        <v>47.671875</v>
      </c>
      <c r="AH889">
        <v>-122.389512</v>
      </c>
      <c r="AI889" t="s">
        <v>66</v>
      </c>
      <c r="AJ889">
        <v>98107</v>
      </c>
      <c r="BC889" s="22">
        <v>39453.683287037034</v>
      </c>
      <c r="BI889" s="7">
        <v>39534</v>
      </c>
      <c r="BL889">
        <v>8100</v>
      </c>
      <c r="BM889">
        <v>1378921</v>
      </c>
      <c r="BN889" t="s">
        <v>1674</v>
      </c>
      <c r="BO889" s="17">
        <f t="shared" ca="1" si="13"/>
        <v>95.62611898148316</v>
      </c>
      <c r="BP889" t="b">
        <v>0</v>
      </c>
      <c r="BQ889">
        <v>1</v>
      </c>
      <c r="BR889" t="s">
        <v>1686</v>
      </c>
      <c r="BS889" t="s">
        <v>2492</v>
      </c>
      <c r="BT889" t="b">
        <v>0</v>
      </c>
      <c r="BU889" t="s">
        <v>1669</v>
      </c>
      <c r="BV889" t="s">
        <v>1668</v>
      </c>
      <c r="BW889">
        <v>2442</v>
      </c>
      <c r="BY889">
        <v>12319301</v>
      </c>
      <c r="BZ889" t="s">
        <v>2554</v>
      </c>
      <c r="CA889">
        <v>1</v>
      </c>
      <c r="CB889" t="b">
        <v>1</v>
      </c>
      <c r="CC889">
        <v>0</v>
      </c>
      <c r="CD889" t="b">
        <v>0</v>
      </c>
      <c r="CE889" t="b">
        <v>0</v>
      </c>
      <c r="CF889" t="b">
        <v>1</v>
      </c>
      <c r="CG889">
        <v>15525337</v>
      </c>
      <c r="CH889" t="s">
        <v>1681</v>
      </c>
      <c r="CI889" s="10">
        <v>405000</v>
      </c>
      <c r="CK889" t="s">
        <v>2553</v>
      </c>
    </row>
    <row r="890" spans="1:89">
      <c r="A890">
        <v>28003727</v>
      </c>
      <c r="B890" s="2" t="str">
        <f>HYPERLINK("http://www.redfin.com/stingray/do/printable-listing?listing-id=1378966","Active")</f>
        <v>Active</v>
      </c>
      <c r="D890" t="s">
        <v>3961</v>
      </c>
      <c r="E890" t="s">
        <v>4219</v>
      </c>
      <c r="F890">
        <v>1049000</v>
      </c>
      <c r="G890">
        <v>1910</v>
      </c>
      <c r="H890">
        <v>2730</v>
      </c>
      <c r="I890">
        <v>2680</v>
      </c>
      <c r="J890">
        <v>3</v>
      </c>
      <c r="K890">
        <v>3</v>
      </c>
      <c r="M890" s="2" t="str">
        <f>HYPERLINK("http://maps.live.com/default.aspx?v=2&amp;lvl=15&amp;sp=Point.47.598037_-122.287495_3500 King St&amp;cp=47.598037~-122.287495","Map")</f>
        <v>Map</v>
      </c>
      <c r="N890" s="2" t="str">
        <f>HYPERLINK("http://i-0.rfimg.us/photo/1/bigphoto/727/28003727_5.jpg","Photo")</f>
        <v>Photo</v>
      </c>
      <c r="AG890">
        <v>47.598036999999998</v>
      </c>
      <c r="AH890">
        <v>-122.28749500000001</v>
      </c>
      <c r="AI890" t="s">
        <v>66</v>
      </c>
      <c r="AJ890">
        <v>98144</v>
      </c>
      <c r="AN890">
        <v>289647</v>
      </c>
      <c r="BC890" s="22">
        <v>39453.735543981478</v>
      </c>
      <c r="BI890" s="7">
        <v>39538</v>
      </c>
      <c r="BL890">
        <v>20980</v>
      </c>
      <c r="BM890">
        <v>1378966</v>
      </c>
      <c r="BN890" t="s">
        <v>3454</v>
      </c>
      <c r="BO890" s="17">
        <f t="shared" ca="1" si="13"/>
        <v>95.573861921300704</v>
      </c>
      <c r="BP890" t="b">
        <v>0</v>
      </c>
      <c r="BQ890">
        <v>1</v>
      </c>
      <c r="BR890" t="s">
        <v>1686</v>
      </c>
      <c r="BS890" t="s">
        <v>41</v>
      </c>
      <c r="BT890" t="b">
        <v>0</v>
      </c>
      <c r="BV890" t="s">
        <v>1668</v>
      </c>
      <c r="BW890">
        <v>3500</v>
      </c>
      <c r="BY890">
        <v>141706</v>
      </c>
      <c r="BZ890" t="s">
        <v>4220</v>
      </c>
      <c r="CA890">
        <v>1</v>
      </c>
      <c r="CB890" t="b">
        <v>1</v>
      </c>
      <c r="CC890">
        <v>0</v>
      </c>
      <c r="CD890" t="b">
        <v>0</v>
      </c>
      <c r="CE890" t="b">
        <v>0</v>
      </c>
      <c r="CF890" t="b">
        <v>1</v>
      </c>
      <c r="CG890">
        <v>2651070</v>
      </c>
      <c r="CH890" t="s">
        <v>1681</v>
      </c>
      <c r="CI890" s="10">
        <v>1049000</v>
      </c>
      <c r="CJ890" s="7">
        <v>39189</v>
      </c>
    </row>
    <row r="891" spans="1:89">
      <c r="A891">
        <v>28003862</v>
      </c>
      <c r="B891" s="2" t="str">
        <f>HYPERLINK("http://www.redfin.com/stingray/do/printable-listing?listing-id=1379541","Active")</f>
        <v>Active</v>
      </c>
      <c r="D891" t="s">
        <v>3714</v>
      </c>
      <c r="E891" t="s">
        <v>3726</v>
      </c>
      <c r="F891">
        <v>1275000</v>
      </c>
      <c r="G891">
        <v>1951</v>
      </c>
      <c r="H891">
        <v>0</v>
      </c>
      <c r="I891">
        <v>0</v>
      </c>
      <c r="J891">
        <v>3</v>
      </c>
      <c r="K891">
        <v>1.75</v>
      </c>
      <c r="M891" s="2" t="str">
        <f>HYPERLINK("http://maps.live.com/default.aspx?v=2&amp;lvl=15&amp;sp=Point.47.638559_-122.288345_2116 Broadmoor Dr E&amp;cp=47.638559~-122.288345","Map")</f>
        <v>Map</v>
      </c>
      <c r="N891" s="2" t="str">
        <f>HYPERLINK("http://i-0.rfimg.us/photo/1/bigphoto/862/28003862_1.jpg","Photo")</f>
        <v>Photo</v>
      </c>
      <c r="AG891">
        <v>47.638559000000001</v>
      </c>
      <c r="AH891">
        <v>-122.28834500000001</v>
      </c>
      <c r="AI891" t="s">
        <v>66</v>
      </c>
      <c r="AJ891">
        <v>98112</v>
      </c>
      <c r="AN891">
        <v>710000</v>
      </c>
      <c r="BC891" s="22">
        <v>39454.400636574072</v>
      </c>
      <c r="BI891" s="22">
        <v>39549.294907407406</v>
      </c>
      <c r="BL891">
        <v>25500</v>
      </c>
      <c r="BM891">
        <v>1379541</v>
      </c>
      <c r="BN891" t="s">
        <v>1674</v>
      </c>
      <c r="BO891" s="17">
        <f t="shared" ca="1" si="13"/>
        <v>94.908769328707422</v>
      </c>
      <c r="BP891" t="b">
        <v>0</v>
      </c>
      <c r="BQ891">
        <v>1</v>
      </c>
      <c r="BR891" t="s">
        <v>1816</v>
      </c>
      <c r="BS891" t="s">
        <v>3714</v>
      </c>
      <c r="BT891" t="b">
        <v>0</v>
      </c>
      <c r="BV891" t="s">
        <v>1668</v>
      </c>
      <c r="BW891">
        <v>2116</v>
      </c>
      <c r="BX891" t="s">
        <v>2436</v>
      </c>
      <c r="BY891">
        <v>138968</v>
      </c>
      <c r="BZ891" t="s">
        <v>3727</v>
      </c>
      <c r="CA891">
        <v>1</v>
      </c>
      <c r="CB891" t="b">
        <v>1</v>
      </c>
      <c r="CC891">
        <v>0</v>
      </c>
      <c r="CD891" t="b">
        <v>0</v>
      </c>
      <c r="CE891" t="b">
        <v>0</v>
      </c>
      <c r="CF891" t="b">
        <v>1</v>
      </c>
      <c r="CG891">
        <v>2549771</v>
      </c>
      <c r="CH891" t="s">
        <v>1681</v>
      </c>
      <c r="CI891" s="10">
        <v>1275000</v>
      </c>
      <c r="CJ891" s="7">
        <v>36739</v>
      </c>
    </row>
    <row r="892" spans="1:89">
      <c r="A892">
        <v>28003870</v>
      </c>
      <c r="B892" s="2" t="str">
        <f>HYPERLINK("http://www.redfin.com/stingray/do/printable-listing?listing-id=1379593","Active")</f>
        <v>Active</v>
      </c>
      <c r="D892" t="s">
        <v>5280</v>
      </c>
      <c r="E892" t="s">
        <v>5752</v>
      </c>
      <c r="F892" s="19">
        <v>423950</v>
      </c>
      <c r="G892">
        <v>1980</v>
      </c>
      <c r="H892">
        <v>1500</v>
      </c>
      <c r="I892">
        <v>7680</v>
      </c>
      <c r="J892">
        <v>3</v>
      </c>
      <c r="K892">
        <v>2.5</v>
      </c>
      <c r="M892" s="2" t="str">
        <f>HYPERLINK("http://maps.live.com/default.aspx?v=2&amp;lvl=15&amp;sp=Point.47.558364_-122.083336_19226 SE 48th Pl&amp;cp=47.558364~-122.083336","Map")</f>
        <v>Map</v>
      </c>
      <c r="N892" s="2" t="str">
        <f>HYPERLINK("http://i-0.rfimg.us/photo/1/bigphoto/870/28003870_4.jpg","Photo")</f>
        <v>Photo</v>
      </c>
      <c r="AG892">
        <v>47.558363999999997</v>
      </c>
      <c r="AH892">
        <v>-122.083336</v>
      </c>
      <c r="AI892" t="s">
        <v>5280</v>
      </c>
      <c r="AJ892">
        <v>98027</v>
      </c>
      <c r="AN892">
        <v>289950</v>
      </c>
      <c r="BC892" s="22">
        <v>39454.418761574074</v>
      </c>
      <c r="BI892" s="22">
        <v>39549.294907407406</v>
      </c>
      <c r="BL892">
        <v>8599</v>
      </c>
      <c r="BM892">
        <v>1379593</v>
      </c>
      <c r="BN892" t="s">
        <v>2444</v>
      </c>
      <c r="BO892" s="17">
        <f t="shared" ca="1" si="13"/>
        <v>94.890644328705093</v>
      </c>
      <c r="BP892" t="b">
        <v>0</v>
      </c>
      <c r="BQ892">
        <v>1</v>
      </c>
      <c r="BR892" t="s">
        <v>1842</v>
      </c>
      <c r="BS892" t="s">
        <v>2443</v>
      </c>
      <c r="BT892" t="b">
        <v>0</v>
      </c>
      <c r="BU892" t="s">
        <v>3856</v>
      </c>
      <c r="BV892" t="s">
        <v>1668</v>
      </c>
      <c r="BW892">
        <v>19226</v>
      </c>
      <c r="BY892">
        <v>325967</v>
      </c>
      <c r="BZ892" t="s">
        <v>5754</v>
      </c>
      <c r="CA892">
        <v>1</v>
      </c>
      <c r="CB892" t="b">
        <v>1</v>
      </c>
      <c r="CC892">
        <v>0</v>
      </c>
      <c r="CD892" t="b">
        <v>0</v>
      </c>
      <c r="CE892" t="b">
        <v>0</v>
      </c>
      <c r="CF892" t="b">
        <v>1</v>
      </c>
      <c r="CG892">
        <v>2868557</v>
      </c>
      <c r="CH892" t="s">
        <v>1681</v>
      </c>
      <c r="CI892" s="10">
        <v>429950</v>
      </c>
      <c r="CJ892" s="7">
        <v>37848</v>
      </c>
    </row>
    <row r="893" spans="1:89">
      <c r="A893">
        <v>28003892</v>
      </c>
      <c r="B893" s="2" t="str">
        <f>HYPERLINK("http://www.redfin.com/stingray/do/printable-listing?listing-id=1379601","Active")</f>
        <v>Active</v>
      </c>
      <c r="D893" t="s">
        <v>369</v>
      </c>
      <c r="E893" t="s">
        <v>5591</v>
      </c>
      <c r="F893">
        <v>1039950</v>
      </c>
      <c r="G893">
        <v>2007</v>
      </c>
      <c r="H893">
        <v>3276</v>
      </c>
      <c r="I893">
        <v>0</v>
      </c>
      <c r="J893">
        <v>3</v>
      </c>
      <c r="K893">
        <v>2.5</v>
      </c>
      <c r="M893" s="2" t="str">
        <f>HYPERLINK("http://maps.live.com/default.aspx?v=2&amp;lvl=15&amp;sp=Point.47.548_-122.1534_11107 SE 61st St&amp;cp=47.548~-122.1534","Map")</f>
        <v>Map</v>
      </c>
      <c r="N893" s="2" t="str">
        <f>HYPERLINK("http://i-0.rfimg.us/photo/1/bigphoto/892/28003892_1.jpg","Photo")</f>
        <v>Photo</v>
      </c>
      <c r="AG893">
        <v>47.548000000000002</v>
      </c>
      <c r="AH893">
        <v>-122.1534</v>
      </c>
      <c r="AI893" t="s">
        <v>369</v>
      </c>
      <c r="AJ893">
        <v>98006</v>
      </c>
      <c r="BC893" s="22">
        <v>39454.419189814813</v>
      </c>
      <c r="BI893" s="22">
        <v>39549.294907407406</v>
      </c>
      <c r="BL893">
        <v>20799</v>
      </c>
      <c r="BM893">
        <v>1379601</v>
      </c>
      <c r="BN893" t="s">
        <v>3062</v>
      </c>
      <c r="BO893" s="17">
        <f t="shared" ca="1" si="13"/>
        <v>94.89021608796611</v>
      </c>
      <c r="BP893" t="b">
        <v>0</v>
      </c>
      <c r="BQ893">
        <v>1</v>
      </c>
      <c r="BR893" t="s">
        <v>1686</v>
      </c>
      <c r="BS893" t="s">
        <v>2431</v>
      </c>
      <c r="BT893" t="b">
        <v>0</v>
      </c>
      <c r="BU893" t="s">
        <v>3856</v>
      </c>
      <c r="BV893" t="s">
        <v>1668</v>
      </c>
      <c r="BW893">
        <v>11107</v>
      </c>
      <c r="BY893">
        <v>11894302</v>
      </c>
      <c r="BZ893" t="s">
        <v>2133</v>
      </c>
      <c r="CA893">
        <v>1</v>
      </c>
      <c r="CB893" t="b">
        <v>1</v>
      </c>
      <c r="CC893">
        <v>0</v>
      </c>
      <c r="CD893" t="b">
        <v>0</v>
      </c>
      <c r="CE893" t="b">
        <v>0</v>
      </c>
      <c r="CF893" t="b">
        <v>1</v>
      </c>
      <c r="CG893">
        <v>15148529</v>
      </c>
      <c r="CH893" t="s">
        <v>1681</v>
      </c>
      <c r="CI893" s="10">
        <v>1039950</v>
      </c>
    </row>
    <row r="894" spans="1:89">
      <c r="A894">
        <v>28003907</v>
      </c>
      <c r="B894" s="15" t="str">
        <f>HYPERLINK("http://www.redfin.com/stingray/do/printable-listing?listing-id=1388035","Subject To Inspection")</f>
        <v>Subject To Inspection</v>
      </c>
      <c r="D894" t="s">
        <v>192</v>
      </c>
      <c r="E894" t="s">
        <v>746</v>
      </c>
      <c r="F894">
        <v>430000</v>
      </c>
      <c r="G894">
        <v>1979</v>
      </c>
      <c r="H894">
        <v>1560</v>
      </c>
      <c r="I894">
        <v>5220</v>
      </c>
      <c r="J894">
        <v>3</v>
      </c>
      <c r="K894">
        <v>1.75</v>
      </c>
      <c r="M894" s="2" t="str">
        <f>HYPERLINK("http://maps.live.com/default.aspx?v=2&amp;lvl=15&amp;sp=Point.47.703771_-122.319702_817 NE 104th St&amp;cp=47.703771~-122.319702","Map")</f>
        <v>Map</v>
      </c>
      <c r="N894" s="2" t="str">
        <f>HYPERLINK("http://i-0.rfimg.us/photo/1/bigphoto/907/28003907_1.jpg","Photo")</f>
        <v>Photo</v>
      </c>
      <c r="AG894">
        <v>47.703771000000003</v>
      </c>
      <c r="AH894">
        <v>-122.31970200000001</v>
      </c>
      <c r="AI894" t="s">
        <v>66</v>
      </c>
      <c r="AJ894">
        <v>98125</v>
      </c>
      <c r="AN894">
        <v>397500</v>
      </c>
      <c r="BC894" s="22">
        <v>39456.86314814815</v>
      </c>
      <c r="BI894" s="7">
        <v>39539</v>
      </c>
      <c r="BL894">
        <v>8600</v>
      </c>
      <c r="BM894">
        <v>1388035</v>
      </c>
      <c r="BN894" t="s">
        <v>2808</v>
      </c>
      <c r="BO894" s="17">
        <f t="shared" ca="1" si="13"/>
        <v>92.446257754629187</v>
      </c>
      <c r="BP894" t="b">
        <v>0</v>
      </c>
      <c r="BQ894">
        <v>1</v>
      </c>
      <c r="BR894" t="s">
        <v>1686</v>
      </c>
      <c r="BS894" t="s">
        <v>2910</v>
      </c>
      <c r="BT894" t="b">
        <v>0</v>
      </c>
      <c r="BU894" t="s">
        <v>1738</v>
      </c>
      <c r="BV894" t="s">
        <v>1668</v>
      </c>
      <c r="BW894">
        <v>817</v>
      </c>
      <c r="BY894">
        <v>107558</v>
      </c>
      <c r="BZ894" t="s">
        <v>2386</v>
      </c>
      <c r="CA894">
        <v>1</v>
      </c>
      <c r="CB894" t="b">
        <v>1</v>
      </c>
      <c r="CC894">
        <v>0</v>
      </c>
      <c r="CD894" t="b">
        <v>0</v>
      </c>
      <c r="CE894" t="b">
        <v>0</v>
      </c>
      <c r="CF894" t="b">
        <v>1</v>
      </c>
      <c r="CG894">
        <v>2394286</v>
      </c>
      <c r="CH894" t="s">
        <v>1681</v>
      </c>
      <c r="CI894" s="10">
        <v>430000</v>
      </c>
      <c r="CJ894" s="7">
        <v>38593</v>
      </c>
    </row>
    <row r="895" spans="1:89">
      <c r="A895">
        <v>28003916</v>
      </c>
      <c r="B895" s="15" t="str">
        <f>HYPERLINK("http://www.redfin.com/stingray/do/printable-listing?listing-id=1379683","Subject To Inspection")</f>
        <v>Subject To Inspection</v>
      </c>
      <c r="D895" t="s">
        <v>70</v>
      </c>
      <c r="E895" t="s">
        <v>2761</v>
      </c>
      <c r="F895">
        <v>1895000</v>
      </c>
      <c r="G895">
        <v>2007</v>
      </c>
      <c r="H895">
        <v>5800</v>
      </c>
      <c r="I895">
        <v>10325</v>
      </c>
      <c r="J895">
        <v>5</v>
      </c>
      <c r="K895">
        <v>4.5</v>
      </c>
      <c r="M895" s="2" t="str">
        <f>HYPERLINK("http://maps.live.com/default.aspx?v=2&amp;lvl=15&amp;sp=Point.47.719528_-122.367317_12260 9th Ave NW&amp;cp=47.719528~-122.367317","Map")</f>
        <v>Map</v>
      </c>
      <c r="N895" s="2" t="str">
        <f>HYPERLINK("http://i-0.rfimg.us/photo/1/bigphoto/916/28003916_0.jpg","Photo")</f>
        <v>Photo</v>
      </c>
      <c r="AG895">
        <v>47.719527999999997</v>
      </c>
      <c r="AH895">
        <v>-122.367317</v>
      </c>
      <c r="AI895" t="s">
        <v>66</v>
      </c>
      <c r="AJ895">
        <v>98177</v>
      </c>
      <c r="AN895">
        <v>535000</v>
      </c>
      <c r="BC895" s="22">
        <v>39454.444872685184</v>
      </c>
      <c r="BI895" s="22">
        <v>39549.294907407406</v>
      </c>
      <c r="BL895">
        <v>37900</v>
      </c>
      <c r="BM895">
        <v>1379683</v>
      </c>
      <c r="BN895" t="s">
        <v>1725</v>
      </c>
      <c r="BO895" s="17">
        <f t="shared" ca="1" si="13"/>
        <v>94.864533333333384</v>
      </c>
      <c r="BP895" t="b">
        <v>0</v>
      </c>
      <c r="BQ895">
        <v>1</v>
      </c>
      <c r="BR895" t="s">
        <v>1667</v>
      </c>
      <c r="BS895" t="s">
        <v>1785</v>
      </c>
      <c r="BT895" t="b">
        <v>0</v>
      </c>
      <c r="BV895" t="s">
        <v>1668</v>
      </c>
      <c r="BW895">
        <v>12260</v>
      </c>
      <c r="BX895" t="s">
        <v>1669</v>
      </c>
      <c r="BY895">
        <v>291538</v>
      </c>
      <c r="BZ895" t="s">
        <v>1672</v>
      </c>
      <c r="CA895">
        <v>1</v>
      </c>
      <c r="CB895" t="b">
        <v>1</v>
      </c>
      <c r="CC895">
        <v>0</v>
      </c>
      <c r="CD895" t="b">
        <v>0</v>
      </c>
      <c r="CE895" t="b">
        <v>0</v>
      </c>
      <c r="CF895" t="b">
        <v>1</v>
      </c>
      <c r="CG895">
        <v>2596185</v>
      </c>
      <c r="CH895" t="s">
        <v>1681</v>
      </c>
      <c r="CI895" s="10">
        <v>1895000</v>
      </c>
      <c r="CJ895" s="7">
        <v>38469</v>
      </c>
    </row>
    <row r="896" spans="1:89">
      <c r="A896">
        <v>28004156</v>
      </c>
      <c r="B896" s="2" t="str">
        <f>HYPERLINK("http://www.redfin.com/stingray/do/printable-listing?listing-id=1380202","Active")</f>
        <v>Active</v>
      </c>
      <c r="D896" t="s">
        <v>60</v>
      </c>
      <c r="E896" t="s">
        <v>2616</v>
      </c>
      <c r="F896">
        <v>634950</v>
      </c>
      <c r="G896">
        <v>1925</v>
      </c>
      <c r="H896">
        <v>2140</v>
      </c>
      <c r="I896">
        <v>4400</v>
      </c>
      <c r="J896">
        <v>3</v>
      </c>
      <c r="K896">
        <v>1.5</v>
      </c>
      <c r="M896" s="2" t="str">
        <f>HYPERLINK("http://maps.live.com/default.aspx?v=2&amp;lvl=15&amp;sp=Point.47.683208_-122.342824_7438 Winona Ave N&amp;cp=47.683208~-122.342824","Map")</f>
        <v>Map</v>
      </c>
      <c r="N896" s="2" t="str">
        <f>HYPERLINK("http://i-0.rfimg.us/photo/1/bigphoto/156/28004156_0.jpg","Photo")</f>
        <v>Photo</v>
      </c>
      <c r="AG896">
        <v>47.683208</v>
      </c>
      <c r="AH896">
        <v>-122.34282399999999</v>
      </c>
      <c r="AI896" t="s">
        <v>66</v>
      </c>
      <c r="AJ896">
        <v>98103</v>
      </c>
      <c r="AN896">
        <v>334150</v>
      </c>
      <c r="BC896" s="22">
        <v>39454.537905092591</v>
      </c>
      <c r="BI896" s="22">
        <v>39549.294907407406</v>
      </c>
      <c r="BL896">
        <v>12699</v>
      </c>
      <c r="BM896">
        <v>1380202</v>
      </c>
      <c r="BN896" t="s">
        <v>1688</v>
      </c>
      <c r="BO896" s="17">
        <f t="shared" ca="1" si="13"/>
        <v>94.771500925926375</v>
      </c>
      <c r="BP896" t="b">
        <v>0</v>
      </c>
      <c r="BQ896">
        <v>1</v>
      </c>
      <c r="BR896" t="s">
        <v>1667</v>
      </c>
      <c r="BS896" t="s">
        <v>2363</v>
      </c>
      <c r="BT896" t="b">
        <v>0</v>
      </c>
      <c r="BV896" t="s">
        <v>1668</v>
      </c>
      <c r="BW896">
        <v>7438</v>
      </c>
      <c r="BX896" t="s">
        <v>1712</v>
      </c>
      <c r="BY896">
        <v>307411</v>
      </c>
      <c r="BZ896" t="s">
        <v>1672</v>
      </c>
      <c r="CA896">
        <v>1</v>
      </c>
      <c r="CB896" t="b">
        <v>1</v>
      </c>
      <c r="CC896">
        <v>0</v>
      </c>
      <c r="CD896" t="b">
        <v>0</v>
      </c>
      <c r="CE896" t="b">
        <v>0</v>
      </c>
      <c r="CF896" t="b">
        <v>1</v>
      </c>
      <c r="CG896">
        <v>2434797</v>
      </c>
      <c r="CH896" t="s">
        <v>1681</v>
      </c>
      <c r="CI896" s="10">
        <v>634950</v>
      </c>
      <c r="CJ896" s="7">
        <v>36901</v>
      </c>
    </row>
    <row r="897" spans="1:88">
      <c r="A897">
        <v>28004166</v>
      </c>
      <c r="B897" s="2" t="str">
        <f>HYPERLINK("http://www.redfin.com/stingray/do/printable-listing?listing-id=1380385","Active")</f>
        <v>Active</v>
      </c>
      <c r="D897" t="s">
        <v>5565</v>
      </c>
      <c r="E897" t="s">
        <v>5567</v>
      </c>
      <c r="F897">
        <v>699950</v>
      </c>
      <c r="G897">
        <v>2007</v>
      </c>
      <c r="H897">
        <v>2781</v>
      </c>
      <c r="I897">
        <v>0</v>
      </c>
      <c r="J897">
        <v>3</v>
      </c>
      <c r="K897">
        <v>2.5</v>
      </c>
      <c r="M897" s="2" t="str">
        <f>HYPERLINK("http://maps.live.com/default.aspx?v=2&amp;lvl=15&amp;sp=adr.11615 SE 63rd St (Unable to map),98006","Map")</f>
        <v>Map</v>
      </c>
      <c r="N897" s="2" t="str">
        <f>HYPERLINK("http://i-0.rfimg.us/photo/1/bigphoto/166/28004166_0.jpg","Photo")</f>
        <v>Photo</v>
      </c>
      <c r="AI897" t="s">
        <v>369</v>
      </c>
      <c r="AJ897">
        <v>98006</v>
      </c>
      <c r="BC897" s="22">
        <v>39454.559374999997</v>
      </c>
      <c r="BI897" s="22">
        <v>39549.294907407406</v>
      </c>
      <c r="BL897">
        <v>13999</v>
      </c>
      <c r="BM897">
        <v>1380385</v>
      </c>
      <c r="BN897" t="s">
        <v>5540</v>
      </c>
      <c r="BO897" s="17">
        <f t="shared" ca="1" si="13"/>
        <v>94.750030902781873</v>
      </c>
      <c r="BP897" t="b">
        <v>0</v>
      </c>
      <c r="BQ897">
        <v>1</v>
      </c>
      <c r="BR897" t="s">
        <v>1686</v>
      </c>
      <c r="BS897" t="s">
        <v>2529</v>
      </c>
      <c r="BT897" t="b">
        <v>0</v>
      </c>
      <c r="BU897" t="s">
        <v>3856</v>
      </c>
      <c r="BV897" t="s">
        <v>1668</v>
      </c>
      <c r="BW897">
        <v>11615</v>
      </c>
      <c r="BY897">
        <v>0</v>
      </c>
      <c r="BZ897" s="21">
        <v>0</v>
      </c>
      <c r="CA897">
        <v>1</v>
      </c>
      <c r="CB897" t="b">
        <v>1</v>
      </c>
      <c r="CC897">
        <v>0</v>
      </c>
      <c r="CD897" t="b">
        <v>0</v>
      </c>
      <c r="CE897" t="b">
        <v>0</v>
      </c>
      <c r="CF897" t="b">
        <v>1</v>
      </c>
      <c r="CG897" t="s">
        <v>1870</v>
      </c>
      <c r="CH897" t="s">
        <v>1681</v>
      </c>
      <c r="CI897" s="10">
        <v>699950</v>
      </c>
    </row>
    <row r="898" spans="1:88">
      <c r="A898">
        <v>28004194</v>
      </c>
      <c r="B898" s="2" t="str">
        <f>HYPERLINK("http://www.redfin.com/stingray/do/printable-listing?listing-id=1385961","Active")</f>
        <v>Active</v>
      </c>
      <c r="D898" t="s">
        <v>55</v>
      </c>
      <c r="E898" t="s">
        <v>489</v>
      </c>
      <c r="F898">
        <v>339500</v>
      </c>
      <c r="G898">
        <v>1941</v>
      </c>
      <c r="H898">
        <v>740</v>
      </c>
      <c r="I898">
        <v>6350</v>
      </c>
      <c r="J898">
        <v>2</v>
      </c>
      <c r="K898">
        <v>1</v>
      </c>
      <c r="M898" s="2" t="str">
        <f>HYPERLINK("http://maps.live.com/default.aspx?v=2&amp;lvl=15&amp;sp=Point.47.699366_-122.356353_9552 Palatine Ave N&amp;cp=47.699366~-122.356353","Map")</f>
        <v>Map</v>
      </c>
      <c r="N898" s="2" t="str">
        <f>HYPERLINK("http://i-0.rfimg.us/photo/1/bigphoto/194/28004194_1.jpg","Photo")</f>
        <v>Photo</v>
      </c>
      <c r="AG898">
        <v>47.699365999999998</v>
      </c>
      <c r="AH898">
        <v>-122.356353</v>
      </c>
      <c r="AI898" t="s">
        <v>66</v>
      </c>
      <c r="AJ898">
        <v>98103</v>
      </c>
      <c r="AN898">
        <v>201500</v>
      </c>
      <c r="BC898" s="22">
        <v>39456.379849537036</v>
      </c>
      <c r="BI898" s="22">
        <v>39549.294907407406</v>
      </c>
      <c r="BL898">
        <v>6790</v>
      </c>
      <c r="BM898">
        <v>1385961</v>
      </c>
      <c r="BN898" t="s">
        <v>1700</v>
      </c>
      <c r="BO898" s="17">
        <f t="shared" ref="BO898:BO961" ca="1" si="14">NOW()-BC898</f>
        <v>92.929556481481995</v>
      </c>
      <c r="BP898" t="b">
        <v>0</v>
      </c>
      <c r="BQ898">
        <v>1</v>
      </c>
      <c r="BR898" t="s">
        <v>1667</v>
      </c>
      <c r="BS898" t="s">
        <v>2605</v>
      </c>
      <c r="BT898" t="b">
        <v>0</v>
      </c>
      <c r="BV898" t="s">
        <v>1668</v>
      </c>
      <c r="BW898">
        <v>9552</v>
      </c>
      <c r="BX898" t="s">
        <v>1712</v>
      </c>
      <c r="BY898">
        <v>100528</v>
      </c>
      <c r="BZ898" t="s">
        <v>1756</v>
      </c>
      <c r="CA898">
        <v>1</v>
      </c>
      <c r="CB898" t="b">
        <v>1</v>
      </c>
      <c r="CC898">
        <v>0</v>
      </c>
      <c r="CD898" t="b">
        <v>0</v>
      </c>
      <c r="CE898" t="b">
        <v>0</v>
      </c>
      <c r="CF898" t="b">
        <v>1</v>
      </c>
      <c r="CG898">
        <v>2744965</v>
      </c>
      <c r="CH898" t="s">
        <v>1681</v>
      </c>
      <c r="CI898" s="10">
        <v>339500</v>
      </c>
      <c r="CJ898" s="7">
        <v>37225</v>
      </c>
    </row>
    <row r="899" spans="1:88">
      <c r="A899">
        <v>28004234</v>
      </c>
      <c r="B899" s="2" t="str">
        <f>HYPERLINK("http://www.redfin.com/stingray/do/printable-listing?listing-id=1383349","Active")</f>
        <v>Active</v>
      </c>
      <c r="D899" t="s">
        <v>63</v>
      </c>
      <c r="E899" t="s">
        <v>1959</v>
      </c>
      <c r="F899">
        <v>569950</v>
      </c>
      <c r="G899">
        <v>1904</v>
      </c>
      <c r="H899">
        <v>2200</v>
      </c>
      <c r="I899">
        <v>4800</v>
      </c>
      <c r="J899">
        <v>4</v>
      </c>
      <c r="K899">
        <v>2.75</v>
      </c>
      <c r="M899" s="2" t="str">
        <f>HYPERLINK("http://maps.live.com/default.aspx?v=2&amp;lvl=15&amp;sp=Point.47.689619_-122.363742_607 NW 84th St&amp;cp=47.689619~-122.363742","Map")</f>
        <v>Map</v>
      </c>
      <c r="N899" s="2" t="str">
        <f>HYPERLINK("http://i-0.rfimg.us/photo/1/bigphoto/234/28004234_2.jpg","Photo")</f>
        <v>Photo</v>
      </c>
      <c r="AG899">
        <v>47.689619</v>
      </c>
      <c r="AH899">
        <v>-122.363742</v>
      </c>
      <c r="AI899" t="s">
        <v>66</v>
      </c>
      <c r="AJ899">
        <v>98117</v>
      </c>
      <c r="AN899">
        <v>330000</v>
      </c>
      <c r="BC899" s="22">
        <v>39455.486516203702</v>
      </c>
      <c r="BI899" s="22">
        <v>39549.294907407406</v>
      </c>
      <c r="BL899">
        <v>11399</v>
      </c>
      <c r="BM899">
        <v>1383349</v>
      </c>
      <c r="BN899" t="s">
        <v>1939</v>
      </c>
      <c r="BO899" s="17">
        <f t="shared" ca="1" si="14"/>
        <v>93.822889814815426</v>
      </c>
      <c r="BP899" t="b">
        <v>0</v>
      </c>
      <c r="BQ899">
        <v>1</v>
      </c>
      <c r="BR899" t="s">
        <v>1686</v>
      </c>
      <c r="BS899" t="s">
        <v>1826</v>
      </c>
      <c r="BT899" t="b">
        <v>0</v>
      </c>
      <c r="BU899" t="s">
        <v>1669</v>
      </c>
      <c r="BV899" t="s">
        <v>1668</v>
      </c>
      <c r="BW899">
        <v>607</v>
      </c>
      <c r="BY899">
        <v>496350</v>
      </c>
      <c r="BZ899" t="s">
        <v>1730</v>
      </c>
      <c r="CA899">
        <v>1</v>
      </c>
      <c r="CB899" t="b">
        <v>1</v>
      </c>
      <c r="CC899">
        <v>0</v>
      </c>
      <c r="CD899" t="b">
        <v>0</v>
      </c>
      <c r="CE899" t="b">
        <v>0</v>
      </c>
      <c r="CF899" t="b">
        <v>1</v>
      </c>
      <c r="CG899">
        <v>2906756</v>
      </c>
      <c r="CH899" t="s">
        <v>1681</v>
      </c>
      <c r="CI899" s="10">
        <v>569950</v>
      </c>
      <c r="CJ899" s="7">
        <v>38471</v>
      </c>
    </row>
    <row r="900" spans="1:88">
      <c r="A900">
        <v>28004296</v>
      </c>
      <c r="B900" s="2" t="str">
        <f>HYPERLINK("http://www.redfin.com/stingray/do/printable-listing?listing-id=1380609","Active")</f>
        <v>Active</v>
      </c>
      <c r="D900" t="s">
        <v>5261</v>
      </c>
      <c r="E900" t="s">
        <v>5268</v>
      </c>
      <c r="F900">
        <v>669950</v>
      </c>
      <c r="G900">
        <v>1982</v>
      </c>
      <c r="H900">
        <v>1850</v>
      </c>
      <c r="I900">
        <v>13939</v>
      </c>
      <c r="J900">
        <v>3</v>
      </c>
      <c r="K900">
        <v>2.5</v>
      </c>
      <c r="M900" s="2" t="str">
        <f>HYPERLINK("http://maps.live.com/default.aspx?v=2&amp;lvl=15&amp;sp=Point.47.573646_-122.110322_4015 W Lake Sammamish Pkwy SE&amp;cp=47.573646~-122.110322","Map")</f>
        <v>Map</v>
      </c>
      <c r="N900" s="2" t="str">
        <f>HYPERLINK("http://i-0.rfimg.us/photo/1/bigphoto/296/28004296_7.jpg","Photo")</f>
        <v>Photo</v>
      </c>
      <c r="AG900">
        <v>47.573645999999997</v>
      </c>
      <c r="AH900">
        <v>-122.110322</v>
      </c>
      <c r="AI900" t="s">
        <v>369</v>
      </c>
      <c r="AJ900">
        <v>98008</v>
      </c>
      <c r="AN900">
        <v>375000</v>
      </c>
      <c r="BC900" s="22">
        <v>39454.613958333335</v>
      </c>
      <c r="BI900" s="22">
        <v>39549.294907407406</v>
      </c>
      <c r="BL900">
        <v>13399</v>
      </c>
      <c r="BM900">
        <v>1380609</v>
      </c>
      <c r="BN900" t="s">
        <v>3883</v>
      </c>
      <c r="BO900" s="17">
        <f t="shared" ca="1" si="14"/>
        <v>94.695447569443786</v>
      </c>
      <c r="BP900" t="b">
        <v>0</v>
      </c>
      <c r="BQ900">
        <v>1</v>
      </c>
      <c r="BR900" t="s">
        <v>5197</v>
      </c>
      <c r="BS900" t="s">
        <v>5261</v>
      </c>
      <c r="BT900" t="b">
        <v>0</v>
      </c>
      <c r="BU900" t="s">
        <v>2423</v>
      </c>
      <c r="BV900" t="s">
        <v>1668</v>
      </c>
      <c r="BW900">
        <v>4015</v>
      </c>
      <c r="BX900" t="s">
        <v>3856</v>
      </c>
      <c r="BY900">
        <v>429422</v>
      </c>
      <c r="BZ900" t="s">
        <v>5269</v>
      </c>
      <c r="CA900">
        <v>1</v>
      </c>
      <c r="CB900" t="b">
        <v>1</v>
      </c>
      <c r="CC900">
        <v>0</v>
      </c>
      <c r="CD900" t="b">
        <v>0</v>
      </c>
      <c r="CE900" t="b">
        <v>0</v>
      </c>
      <c r="CF900" t="b">
        <v>1</v>
      </c>
      <c r="CG900">
        <v>2856771</v>
      </c>
      <c r="CH900" t="s">
        <v>1681</v>
      </c>
      <c r="CI900" s="10">
        <v>669950</v>
      </c>
      <c r="CJ900" s="7">
        <v>37803</v>
      </c>
    </row>
    <row r="901" spans="1:88">
      <c r="A901">
        <v>28004305</v>
      </c>
      <c r="B901" s="2" t="str">
        <f>HYPERLINK("http://www.redfin.com/stingray/do/printable-listing?listing-id=1380611","Active")</f>
        <v>Active</v>
      </c>
      <c r="D901" t="s">
        <v>207</v>
      </c>
      <c r="E901" t="s">
        <v>3104</v>
      </c>
      <c r="F901">
        <v>625950</v>
      </c>
      <c r="G901">
        <v>1947</v>
      </c>
      <c r="H901">
        <v>3020</v>
      </c>
      <c r="I901">
        <v>5304</v>
      </c>
      <c r="J901">
        <v>4</v>
      </c>
      <c r="K901">
        <v>3</v>
      </c>
      <c r="M901" s="2" t="str">
        <f>HYPERLINK("http://maps.live.com/default.aspx?v=2&amp;lvl=15&amp;sp=Point.47.67623_-122.285248_6513 40 Ave NE&amp;cp=47.67623~-122.285248","Map")</f>
        <v>Map</v>
      </c>
      <c r="N901" s="2" t="str">
        <f>HYPERLINK("http://i-0.rfimg.us/photo/1/bigphoto/305/28004305_1.jpg","Photo")</f>
        <v>Photo</v>
      </c>
      <c r="AG901">
        <v>47.676229999999997</v>
      </c>
      <c r="AH901">
        <v>-122.285248</v>
      </c>
      <c r="AI901" t="s">
        <v>66</v>
      </c>
      <c r="AJ901">
        <v>98115</v>
      </c>
      <c r="AN901">
        <v>525000</v>
      </c>
      <c r="BC901" s="22">
        <v>39454.614120370374</v>
      </c>
      <c r="BI901" s="22">
        <v>39549.294907407406</v>
      </c>
      <c r="BL901">
        <v>12519</v>
      </c>
      <c r="BM901">
        <v>1380611</v>
      </c>
      <c r="BN901" t="s">
        <v>1735</v>
      </c>
      <c r="BO901" s="17">
        <f t="shared" ca="1" si="14"/>
        <v>94.695285532405251</v>
      </c>
      <c r="BP901" t="b">
        <v>0</v>
      </c>
      <c r="BQ901">
        <v>1</v>
      </c>
      <c r="BR901" t="s">
        <v>1667</v>
      </c>
      <c r="BS901">
        <v>40</v>
      </c>
      <c r="BT901" t="b">
        <v>0</v>
      </c>
      <c r="BV901" t="s">
        <v>1668</v>
      </c>
      <c r="BW901">
        <v>6513</v>
      </c>
      <c r="BX901" t="s">
        <v>1738</v>
      </c>
      <c r="BY901">
        <v>315272</v>
      </c>
      <c r="BZ901" t="s">
        <v>1704</v>
      </c>
      <c r="CA901">
        <v>1</v>
      </c>
      <c r="CB901" t="b">
        <v>1</v>
      </c>
      <c r="CC901">
        <v>0</v>
      </c>
      <c r="CD901" t="b">
        <v>0</v>
      </c>
      <c r="CE901" t="b">
        <v>0</v>
      </c>
      <c r="CF901" t="b">
        <v>1</v>
      </c>
      <c r="CG901">
        <v>2857846</v>
      </c>
      <c r="CH901" t="s">
        <v>1681</v>
      </c>
      <c r="CI901" s="10">
        <v>625950</v>
      </c>
      <c r="CJ901" s="7">
        <v>38582</v>
      </c>
    </row>
    <row r="902" spans="1:88">
      <c r="A902">
        <v>28004395</v>
      </c>
      <c r="B902" s="2" t="str">
        <f>HYPERLINK("http://www.redfin.com/stingray/do/printable-listing?listing-id=1380894","Active")</f>
        <v>Active</v>
      </c>
      <c r="D902" t="s">
        <v>1058</v>
      </c>
      <c r="E902" t="s">
        <v>2670</v>
      </c>
      <c r="F902">
        <v>16100000</v>
      </c>
      <c r="G902">
        <v>2006</v>
      </c>
      <c r="H902">
        <v>9930</v>
      </c>
      <c r="I902">
        <v>0</v>
      </c>
      <c r="J902">
        <v>6</v>
      </c>
      <c r="K902">
        <v>7</v>
      </c>
      <c r="M902" s="2" t="str">
        <f>HYPERLINK("http://maps.live.com/default.aspx?v=2&amp;lvl=15&amp;sp=adr.0 Undisclosed nXXX (Unable to map),98033","Map")</f>
        <v>Map</v>
      </c>
      <c r="N902" s="2" t="str">
        <f>HYPERLINK("http://i-0.rfimg.us/photo/1/bigphoto/395/28004395_1.jpg","Photo")</f>
        <v>Photo</v>
      </c>
      <c r="AI902" t="s">
        <v>1058</v>
      </c>
      <c r="AJ902">
        <v>98033</v>
      </c>
      <c r="AM902" t="s">
        <v>2671</v>
      </c>
      <c r="BC902" s="22">
        <v>39454.676562499997</v>
      </c>
      <c r="BI902" s="22">
        <v>39549.294907407406</v>
      </c>
      <c r="BL902">
        <v>322000</v>
      </c>
      <c r="BM902">
        <v>1380894</v>
      </c>
      <c r="BN902" t="s">
        <v>1768</v>
      </c>
      <c r="BO902" s="17">
        <f t="shared" ca="1" si="14"/>
        <v>94.632843402781873</v>
      </c>
      <c r="BP902" t="b">
        <v>0</v>
      </c>
      <c r="BQ902">
        <v>1</v>
      </c>
      <c r="BS902" t="s">
        <v>1657</v>
      </c>
      <c r="BT902" t="b">
        <v>0</v>
      </c>
      <c r="BV902" t="s">
        <v>1668</v>
      </c>
      <c r="BW902">
        <v>0</v>
      </c>
      <c r="BY902">
        <v>0</v>
      </c>
      <c r="BZ902" t="s">
        <v>1679</v>
      </c>
      <c r="CA902">
        <v>1</v>
      </c>
      <c r="CB902" t="b">
        <v>1</v>
      </c>
      <c r="CC902">
        <v>0</v>
      </c>
      <c r="CD902" t="b">
        <v>0</v>
      </c>
      <c r="CE902" t="b">
        <v>0</v>
      </c>
      <c r="CF902" t="b">
        <v>1</v>
      </c>
      <c r="CG902" t="s">
        <v>1870</v>
      </c>
      <c r="CH902" t="s">
        <v>1681</v>
      </c>
      <c r="CI902" s="10">
        <v>16100000</v>
      </c>
    </row>
    <row r="903" spans="1:88">
      <c r="A903">
        <v>28004425</v>
      </c>
      <c r="B903" s="2" t="str">
        <f>HYPERLINK("http://www.redfin.com/stingray/do/printable-listing?listing-id=1380896","Active")</f>
        <v>Active</v>
      </c>
      <c r="D903" t="s">
        <v>1058</v>
      </c>
      <c r="E903" t="s">
        <v>3043</v>
      </c>
      <c r="F903">
        <v>5325000</v>
      </c>
      <c r="G903">
        <v>2008</v>
      </c>
      <c r="H903">
        <v>4563</v>
      </c>
      <c r="I903">
        <v>0</v>
      </c>
      <c r="J903">
        <v>4</v>
      </c>
      <c r="K903">
        <v>4.5</v>
      </c>
      <c r="M903" s="2" t="str">
        <f>HYPERLINK("http://maps.live.com/default.aspx?v=2&amp;lvl=15&amp;sp=Point.47.719979_-122.259622_13233 Holmes Pt Dr&amp;cp=47.719979~-122.259622","Map")</f>
        <v>Map</v>
      </c>
      <c r="N903" s="2" t="str">
        <f>HYPERLINK("http://i-0.rfimg.us/photo/1/bigphoto/425/28004425_0.jpg","Photo")</f>
        <v>Photo</v>
      </c>
      <c r="AG903">
        <v>47.719979000000002</v>
      </c>
      <c r="AH903">
        <v>-122.25962199999999</v>
      </c>
      <c r="AI903" t="s">
        <v>1058</v>
      </c>
      <c r="AJ903">
        <v>98033</v>
      </c>
      <c r="AN903">
        <v>1400000</v>
      </c>
      <c r="BC903" s="22">
        <v>39454.676574074074</v>
      </c>
      <c r="BI903" s="22">
        <v>39546.925937499997</v>
      </c>
      <c r="BL903">
        <v>106500</v>
      </c>
      <c r="BM903">
        <v>1380896</v>
      </c>
      <c r="BN903" t="s">
        <v>1768</v>
      </c>
      <c r="BO903" s="17">
        <f t="shared" ca="1" si="14"/>
        <v>94.632831828705093</v>
      </c>
      <c r="BP903" t="b">
        <v>0</v>
      </c>
      <c r="BQ903">
        <v>1</v>
      </c>
      <c r="BR903" t="s">
        <v>1816</v>
      </c>
      <c r="BS903" t="s">
        <v>2967</v>
      </c>
      <c r="BT903" t="b">
        <v>0</v>
      </c>
      <c r="BV903" t="s">
        <v>1668</v>
      </c>
      <c r="BW903">
        <v>13233</v>
      </c>
      <c r="BY903">
        <v>280208</v>
      </c>
      <c r="BZ903" t="s">
        <v>1684</v>
      </c>
      <c r="CA903">
        <v>1</v>
      </c>
      <c r="CB903" t="b">
        <v>1</v>
      </c>
      <c r="CC903">
        <v>0</v>
      </c>
      <c r="CD903" t="b">
        <v>0</v>
      </c>
      <c r="CE903" t="b">
        <v>0</v>
      </c>
      <c r="CF903" t="b">
        <v>1</v>
      </c>
      <c r="CG903">
        <v>2492638</v>
      </c>
      <c r="CH903" t="s">
        <v>1681</v>
      </c>
      <c r="CI903" s="10">
        <v>5325000</v>
      </c>
      <c r="CJ903" s="7">
        <v>38275</v>
      </c>
    </row>
    <row r="904" spans="1:88">
      <c r="A904">
        <v>28004505</v>
      </c>
      <c r="B904" s="2" t="str">
        <f>HYPERLINK("http://www.redfin.com/stingray/do/printable-listing?listing-id=1383865","Active")</f>
        <v>Active</v>
      </c>
      <c r="D904" t="s">
        <v>5140</v>
      </c>
      <c r="E904" t="s">
        <v>6497</v>
      </c>
      <c r="F904">
        <v>1249000</v>
      </c>
      <c r="G904">
        <v>1958</v>
      </c>
      <c r="H904">
        <v>3300</v>
      </c>
      <c r="I904">
        <v>20400</v>
      </c>
      <c r="J904">
        <v>4</v>
      </c>
      <c r="K904">
        <v>3</v>
      </c>
      <c r="M904" s="2" t="str">
        <f>HYPERLINK("http://maps.live.com/default.aspx?v=2&amp;lvl=15&amp;sp=Point.47.574961_-122.238604_7438 SE 40th St&amp;cp=47.574961~-122.238604","Map")</f>
        <v>Map</v>
      </c>
      <c r="N904" s="2" t="str">
        <f>HYPERLINK("http://i-0.rfimg.us/photo/1/bigphoto/505/28004505_1.jpg","Photo")</f>
        <v>Photo</v>
      </c>
      <c r="AG904">
        <v>47.574961000000002</v>
      </c>
      <c r="AH904">
        <v>-122.238604</v>
      </c>
      <c r="AI904" t="s">
        <v>5139</v>
      </c>
      <c r="AJ904">
        <v>98040</v>
      </c>
      <c r="AN904">
        <v>1340000</v>
      </c>
      <c r="BC904" s="22">
        <v>39455.610196759262</v>
      </c>
      <c r="BI904" s="22">
        <v>39549.294907407406</v>
      </c>
      <c r="BL904">
        <v>24980</v>
      </c>
      <c r="BM904">
        <v>1383865</v>
      </c>
      <c r="BN904" t="s">
        <v>1674</v>
      </c>
      <c r="BO904" s="17">
        <f t="shared" ca="1" si="14"/>
        <v>93.699209143516782</v>
      </c>
      <c r="BP904" t="b">
        <v>0</v>
      </c>
      <c r="BQ904">
        <v>1</v>
      </c>
      <c r="BR904" t="s">
        <v>1686</v>
      </c>
      <c r="BS904" t="s">
        <v>2832</v>
      </c>
      <c r="BT904" t="b">
        <v>0</v>
      </c>
      <c r="BU904" t="s">
        <v>3856</v>
      </c>
      <c r="BV904" t="s">
        <v>1668</v>
      </c>
      <c r="BW904">
        <v>7438</v>
      </c>
      <c r="BY904">
        <v>257875</v>
      </c>
      <c r="BZ904" t="s">
        <v>2429</v>
      </c>
      <c r="CA904">
        <v>1</v>
      </c>
      <c r="CB904" t="b">
        <v>1</v>
      </c>
      <c r="CC904">
        <v>0</v>
      </c>
      <c r="CD904" t="b">
        <v>0</v>
      </c>
      <c r="CE904" t="b">
        <v>0</v>
      </c>
      <c r="CF904" t="b">
        <v>1</v>
      </c>
      <c r="CG904">
        <v>2936516</v>
      </c>
      <c r="CH904" t="s">
        <v>1681</v>
      </c>
      <c r="CI904" s="10">
        <v>1249000</v>
      </c>
      <c r="CJ904" s="7">
        <v>39140</v>
      </c>
    </row>
    <row r="905" spans="1:88">
      <c r="A905">
        <v>28004512</v>
      </c>
      <c r="B905" s="2" t="str">
        <f>HYPERLINK("http://www.redfin.com/stingray/do/printable-listing?listing-id=1383756","Active")</f>
        <v>Active</v>
      </c>
      <c r="D905" t="s">
        <v>5618</v>
      </c>
      <c r="E905" t="s">
        <v>5880</v>
      </c>
      <c r="F905">
        <v>679500</v>
      </c>
      <c r="G905">
        <v>1976</v>
      </c>
      <c r="H905">
        <v>2290</v>
      </c>
      <c r="I905">
        <v>9546</v>
      </c>
      <c r="J905">
        <v>4</v>
      </c>
      <c r="K905">
        <v>2.5</v>
      </c>
      <c r="M905" s="2" t="str">
        <f>HYPERLINK("http://maps.live.com/default.aspx?v=2&amp;lvl=15&amp;sp=Point.47.561728_-122.130399_15802 SE 47th St&amp;cp=47.561728~-122.130399","Map")</f>
        <v>Map</v>
      </c>
      <c r="N905" s="2" t="str">
        <f>HYPERLINK("http://i-0.rfimg.us/photo/1/bigphoto/512/28004512_M.jpg","Photo")</f>
        <v>Photo</v>
      </c>
      <c r="AG905">
        <v>47.561728000000002</v>
      </c>
      <c r="AH905">
        <v>-122.130399</v>
      </c>
      <c r="AI905" t="s">
        <v>369</v>
      </c>
      <c r="AJ905">
        <v>98006</v>
      </c>
      <c r="AN905">
        <v>645000</v>
      </c>
      <c r="BC905" s="22">
        <v>39455.589050925926</v>
      </c>
      <c r="BI905" s="7">
        <v>39539</v>
      </c>
      <c r="BL905">
        <v>13590</v>
      </c>
      <c r="BM905">
        <v>1383756</v>
      </c>
      <c r="BN905" t="s">
        <v>1674</v>
      </c>
      <c r="BO905" s="17">
        <f t="shared" ca="1" si="14"/>
        <v>93.720354976852832</v>
      </c>
      <c r="BP905" t="b">
        <v>0</v>
      </c>
      <c r="BQ905">
        <v>1</v>
      </c>
      <c r="BR905" t="s">
        <v>1686</v>
      </c>
      <c r="BS905" t="s">
        <v>2453</v>
      </c>
      <c r="BT905" t="b">
        <v>0</v>
      </c>
      <c r="BU905" t="s">
        <v>3856</v>
      </c>
      <c r="BV905" t="s">
        <v>1668</v>
      </c>
      <c r="BW905">
        <v>15802</v>
      </c>
      <c r="BY905">
        <v>237971</v>
      </c>
      <c r="BZ905" t="s">
        <v>5881</v>
      </c>
      <c r="CA905">
        <v>1</v>
      </c>
      <c r="CB905" t="b">
        <v>1</v>
      </c>
      <c r="CC905">
        <v>0</v>
      </c>
      <c r="CD905" t="b">
        <v>0</v>
      </c>
      <c r="CE905" t="b">
        <v>0</v>
      </c>
      <c r="CF905" t="b">
        <v>1</v>
      </c>
      <c r="CG905">
        <v>2574945</v>
      </c>
      <c r="CH905" t="s">
        <v>1681</v>
      </c>
      <c r="CI905" s="10">
        <v>679500</v>
      </c>
      <c r="CJ905" s="7">
        <v>39167</v>
      </c>
    </row>
    <row r="906" spans="1:88">
      <c r="A906">
        <v>28004598</v>
      </c>
      <c r="B906" s="2" t="str">
        <f>HYPERLINK("http://www.redfin.com/stingray/do/printable-listing?listing-id=1381619","Active")</f>
        <v>Active</v>
      </c>
      <c r="D906" t="s">
        <v>5252</v>
      </c>
      <c r="E906" t="s">
        <v>5419</v>
      </c>
      <c r="F906">
        <v>599950</v>
      </c>
      <c r="G906">
        <v>1959</v>
      </c>
      <c r="H906">
        <v>1990</v>
      </c>
      <c r="I906">
        <v>8800</v>
      </c>
      <c r="J906">
        <v>4</v>
      </c>
      <c r="K906">
        <v>2.75</v>
      </c>
      <c r="M906" s="2" t="str">
        <f>HYPERLINK("http://maps.live.com/default.aspx?v=2&amp;lvl=15&amp;sp=Point.47.610784_-122.131984_15604 NE 1st Pl&amp;cp=47.610784~-122.131984","Map")</f>
        <v>Map</v>
      </c>
      <c r="N906" s="2" t="str">
        <f>HYPERLINK("http://i-0.rfimg.us/photo/1/bigphoto/598/28004598_0.jpg","Photo")</f>
        <v>Photo</v>
      </c>
      <c r="AG906">
        <v>47.610784000000002</v>
      </c>
      <c r="AH906">
        <v>-122.131984</v>
      </c>
      <c r="AI906" t="s">
        <v>369</v>
      </c>
      <c r="AJ906">
        <v>98008</v>
      </c>
      <c r="AN906">
        <v>457000</v>
      </c>
      <c r="BC906" s="22">
        <v>39454.844004629631</v>
      </c>
      <c r="BI906" s="22">
        <v>39549.294907407406</v>
      </c>
      <c r="BL906">
        <v>11999</v>
      </c>
      <c r="BM906">
        <v>1381619</v>
      </c>
      <c r="BN906" t="s">
        <v>5418</v>
      </c>
      <c r="BO906" s="17">
        <f t="shared" ca="1" si="14"/>
        <v>94.465401273148018</v>
      </c>
      <c r="BP906" t="b">
        <v>0</v>
      </c>
      <c r="BQ906">
        <v>1</v>
      </c>
      <c r="BR906" t="s">
        <v>1842</v>
      </c>
      <c r="BS906" t="s">
        <v>1822</v>
      </c>
      <c r="BT906" t="b">
        <v>0</v>
      </c>
      <c r="BU906" t="s">
        <v>1738</v>
      </c>
      <c r="BV906" t="s">
        <v>1668</v>
      </c>
      <c r="BW906">
        <v>15604</v>
      </c>
      <c r="BY906">
        <v>501359</v>
      </c>
      <c r="BZ906" s="21">
        <v>0</v>
      </c>
      <c r="CA906">
        <v>1</v>
      </c>
      <c r="CB906" t="b">
        <v>1</v>
      </c>
      <c r="CC906">
        <v>0</v>
      </c>
      <c r="CD906" t="b">
        <v>0</v>
      </c>
      <c r="CE906" t="b">
        <v>0</v>
      </c>
      <c r="CF906" t="b">
        <v>1</v>
      </c>
      <c r="CG906">
        <v>2587008</v>
      </c>
      <c r="CH906" t="s">
        <v>1681</v>
      </c>
      <c r="CI906" s="10">
        <v>599950</v>
      </c>
      <c r="CJ906" s="7">
        <v>39115</v>
      </c>
    </row>
    <row r="907" spans="1:88">
      <c r="A907">
        <v>28004668</v>
      </c>
      <c r="B907" s="2" t="str">
        <f>HYPERLINK("http://www.redfin.com/stingray/do/printable-listing?listing-id=1382828","Active")</f>
        <v>Active</v>
      </c>
      <c r="D907" t="s">
        <v>4359</v>
      </c>
      <c r="E907" t="s">
        <v>4379</v>
      </c>
      <c r="F907" s="19">
        <v>550000</v>
      </c>
      <c r="G907">
        <v>1930</v>
      </c>
      <c r="H907">
        <v>1870</v>
      </c>
      <c r="I907">
        <v>20550</v>
      </c>
      <c r="J907">
        <v>3</v>
      </c>
      <c r="K907">
        <v>1</v>
      </c>
      <c r="M907" s="2" t="str">
        <f>HYPERLINK("http://maps.live.com/default.aspx?v=2&amp;lvl=15&amp;sp=Point.47.70135_-122.164938_11227 132 Ave NE&amp;cp=47.70135~-122.164938","Map")</f>
        <v>Map</v>
      </c>
      <c r="N907" s="2" t="str">
        <f>HYPERLINK("http://i-0.rfimg.us/photo/1/bigphoto/668/28004668_1.jpg","Photo")</f>
        <v>Photo</v>
      </c>
      <c r="AG907">
        <v>47.701349999999998</v>
      </c>
      <c r="AH907">
        <v>-122.16493800000001</v>
      </c>
      <c r="AI907" t="s">
        <v>1058</v>
      </c>
      <c r="AJ907">
        <v>98034</v>
      </c>
      <c r="AN907">
        <v>179500</v>
      </c>
      <c r="BC907" s="22">
        <v>39455.327222222222</v>
      </c>
      <c r="BI907" s="22">
        <v>39549.294907407406</v>
      </c>
      <c r="BL907">
        <v>11900</v>
      </c>
      <c r="BM907">
        <v>1382828</v>
      </c>
      <c r="BN907" t="s">
        <v>2203</v>
      </c>
      <c r="BO907" s="17">
        <f t="shared" ca="1" si="14"/>
        <v>93.982183680556773</v>
      </c>
      <c r="BP907" t="b">
        <v>0</v>
      </c>
      <c r="BQ907">
        <v>1</v>
      </c>
      <c r="BR907" t="s">
        <v>1667</v>
      </c>
      <c r="BS907">
        <v>132</v>
      </c>
      <c r="BT907" t="b">
        <v>0</v>
      </c>
      <c r="BV907" t="s">
        <v>1668</v>
      </c>
      <c r="BW907">
        <v>11227</v>
      </c>
      <c r="BX907" t="s">
        <v>1738</v>
      </c>
      <c r="BY907">
        <v>511628</v>
      </c>
      <c r="BZ907" t="s">
        <v>2429</v>
      </c>
      <c r="CA907">
        <v>1</v>
      </c>
      <c r="CB907" t="b">
        <v>1</v>
      </c>
      <c r="CC907">
        <v>0</v>
      </c>
      <c r="CD907" t="b">
        <v>0</v>
      </c>
      <c r="CE907" t="b">
        <v>0</v>
      </c>
      <c r="CF907" t="b">
        <v>1</v>
      </c>
      <c r="CG907">
        <v>2706347</v>
      </c>
      <c r="CH907" t="s">
        <v>1681</v>
      </c>
      <c r="CI907" s="10">
        <v>595000</v>
      </c>
      <c r="CJ907" s="7">
        <v>34325</v>
      </c>
    </row>
    <row r="908" spans="1:88">
      <c r="A908">
        <v>28004733</v>
      </c>
      <c r="B908" s="2" t="str">
        <f>HYPERLINK("http://www.redfin.com/stingray/do/printable-listing?listing-id=1382986","Active")</f>
        <v>Active</v>
      </c>
      <c r="D908" t="s">
        <v>192</v>
      </c>
      <c r="E908" t="s">
        <v>217</v>
      </c>
      <c r="F908">
        <v>469000</v>
      </c>
      <c r="G908">
        <v>1905</v>
      </c>
      <c r="H908">
        <v>2840</v>
      </c>
      <c r="I908">
        <v>7548</v>
      </c>
      <c r="J908">
        <v>4</v>
      </c>
      <c r="K908">
        <v>2</v>
      </c>
      <c r="M908" s="2" t="str">
        <f>HYPERLINK("http://maps.live.com/default.aspx?v=2&amp;lvl=15&amp;sp=Point.47.690948_-122.322678_8516 5th Ave NE&amp;cp=47.690948~-122.322678","Map")</f>
        <v>Map</v>
      </c>
      <c r="N908" s="2" t="str">
        <f>HYPERLINK("http://i-0.rfimg.us/photo/1/bigphoto/733/28004733_0.jpg","Photo")</f>
        <v>Photo</v>
      </c>
      <c r="AG908">
        <v>47.690947999999999</v>
      </c>
      <c r="AH908">
        <v>-122.322678</v>
      </c>
      <c r="AI908" t="s">
        <v>66</v>
      </c>
      <c r="AJ908">
        <v>98115</v>
      </c>
      <c r="AN908">
        <v>352500</v>
      </c>
      <c r="BC908" s="22">
        <v>39455.400706018518</v>
      </c>
      <c r="BI908" s="22">
        <v>39549.294907407406</v>
      </c>
      <c r="BL908">
        <v>9380</v>
      </c>
      <c r="BM908">
        <v>1382986</v>
      </c>
      <c r="BN908" t="s">
        <v>1775</v>
      </c>
      <c r="BO908" s="17">
        <f t="shared" ca="1" si="14"/>
        <v>93.908699884261296</v>
      </c>
      <c r="BP908" t="b">
        <v>0</v>
      </c>
      <c r="BQ908">
        <v>1</v>
      </c>
      <c r="BR908" t="s">
        <v>1667</v>
      </c>
      <c r="BS908" t="s">
        <v>1832</v>
      </c>
      <c r="BT908" t="b">
        <v>0</v>
      </c>
      <c r="BV908" t="s">
        <v>1668</v>
      </c>
      <c r="BW908">
        <v>8516</v>
      </c>
      <c r="BX908" t="s">
        <v>1738</v>
      </c>
      <c r="BY908">
        <v>110604</v>
      </c>
      <c r="BZ908" t="s">
        <v>1676</v>
      </c>
      <c r="CA908">
        <v>1</v>
      </c>
      <c r="CB908" t="b">
        <v>1</v>
      </c>
      <c r="CC908">
        <v>0</v>
      </c>
      <c r="CD908" t="b">
        <v>0</v>
      </c>
      <c r="CE908" t="b">
        <v>0</v>
      </c>
      <c r="CF908" t="b">
        <v>1</v>
      </c>
      <c r="CG908">
        <v>2751260</v>
      </c>
      <c r="CH908" t="s">
        <v>1681</v>
      </c>
      <c r="CI908" s="10">
        <v>469000</v>
      </c>
      <c r="CJ908" s="7">
        <v>38805</v>
      </c>
    </row>
    <row r="909" spans="1:88">
      <c r="A909">
        <v>28004734</v>
      </c>
      <c r="B909" s="2" t="str">
        <f>HYPERLINK("http://www.redfin.com/stingray/do/printable-listing?listing-id=1383979","Active")</f>
        <v>Active</v>
      </c>
      <c r="D909" t="s">
        <v>1238</v>
      </c>
      <c r="E909" t="s">
        <v>3749</v>
      </c>
      <c r="F909">
        <v>689950</v>
      </c>
      <c r="G909">
        <v>2008</v>
      </c>
      <c r="H909">
        <v>2094</v>
      </c>
      <c r="I909">
        <v>0</v>
      </c>
      <c r="J909">
        <v>3</v>
      </c>
      <c r="K909">
        <v>2.5</v>
      </c>
      <c r="M909" s="2" t="str">
        <f>HYPERLINK("http://maps.live.com/default.aspx?v=2&amp;lvl=15&amp;sp=Point.47.64897_-122.321676_3124 Franklin Ave E nB&amp;cp=47.64897~-122.321676","Map")</f>
        <v>Map</v>
      </c>
      <c r="N909" s="2" t="str">
        <f>HYPERLINK("http://i-0.rfimg.us/photo/1/bigphoto/734/28004734_2.jpg","Photo")</f>
        <v>Photo</v>
      </c>
      <c r="AG909">
        <v>47.648969999999998</v>
      </c>
      <c r="AH909">
        <v>-122.321676</v>
      </c>
      <c r="AI909" t="s">
        <v>66</v>
      </c>
      <c r="AJ909">
        <v>98102</v>
      </c>
      <c r="AM909" t="s">
        <v>1699</v>
      </c>
      <c r="BC909" s="22">
        <v>39455.633113425924</v>
      </c>
      <c r="BI909" s="7">
        <v>39533</v>
      </c>
      <c r="BL909">
        <v>13799</v>
      </c>
      <c r="BM909">
        <v>1383979</v>
      </c>
      <c r="BN909" t="s">
        <v>1710</v>
      </c>
      <c r="BO909" s="17">
        <f t="shared" ca="1" si="14"/>
        <v>93.676292476855451</v>
      </c>
      <c r="BP909" t="b">
        <v>0</v>
      </c>
      <c r="BQ909">
        <v>1</v>
      </c>
      <c r="BR909" t="s">
        <v>1667</v>
      </c>
      <c r="BS909" t="s">
        <v>3699</v>
      </c>
      <c r="BT909" t="b">
        <v>0</v>
      </c>
      <c r="BV909" t="s">
        <v>1668</v>
      </c>
      <c r="BW909">
        <v>3124</v>
      </c>
      <c r="BX909" t="s">
        <v>2436</v>
      </c>
      <c r="BY909">
        <v>12385061</v>
      </c>
      <c r="BZ909" t="s">
        <v>2577</v>
      </c>
      <c r="CA909">
        <v>1</v>
      </c>
      <c r="CB909" t="b">
        <v>1</v>
      </c>
      <c r="CC909">
        <v>0</v>
      </c>
      <c r="CD909" t="b">
        <v>0</v>
      </c>
      <c r="CE909" t="b">
        <v>0</v>
      </c>
      <c r="CF909" t="b">
        <v>1</v>
      </c>
      <c r="CG909">
        <v>15588808</v>
      </c>
      <c r="CH909" t="s">
        <v>1681</v>
      </c>
      <c r="CI909" s="10">
        <v>689950</v>
      </c>
    </row>
    <row r="910" spans="1:88">
      <c r="A910">
        <v>28004738</v>
      </c>
      <c r="B910" s="2" t="str">
        <f>HYPERLINK("http://www.redfin.com/stingray/do/printable-listing?listing-id=1383982","Active")</f>
        <v>Active</v>
      </c>
      <c r="D910" t="s">
        <v>1238</v>
      </c>
      <c r="E910" t="s">
        <v>3750</v>
      </c>
      <c r="F910">
        <v>699950</v>
      </c>
      <c r="G910">
        <v>2008</v>
      </c>
      <c r="H910">
        <v>2089</v>
      </c>
      <c r="I910">
        <v>0</v>
      </c>
      <c r="J910">
        <v>3</v>
      </c>
      <c r="K910">
        <v>2.5</v>
      </c>
      <c r="M910" s="2" t="str">
        <f>HYPERLINK("http://maps.live.com/default.aspx?v=2&amp;lvl=15&amp;sp=Point.47.649405_-122.321113_3126 Franklin Ave E nA&amp;cp=47.649405~-122.321113","Map")</f>
        <v>Map</v>
      </c>
      <c r="N910" s="2" t="str">
        <f>HYPERLINK("http://i-0.rfimg.us/photo/1/bigphoto/738/28004738_2.jpg","Photo")</f>
        <v>Photo</v>
      </c>
      <c r="AG910">
        <v>47.649405000000002</v>
      </c>
      <c r="AH910">
        <v>-122.321113</v>
      </c>
      <c r="AI910" t="s">
        <v>66</v>
      </c>
      <c r="AJ910">
        <v>98102</v>
      </c>
      <c r="AM910" t="s">
        <v>1722</v>
      </c>
      <c r="BC910" s="22">
        <v>39455.633125</v>
      </c>
      <c r="BI910" s="22">
        <v>39549.294907407406</v>
      </c>
      <c r="BL910">
        <v>13999</v>
      </c>
      <c r="BM910">
        <v>1383982</v>
      </c>
      <c r="BN910" t="s">
        <v>1710</v>
      </c>
      <c r="BO910" s="17">
        <f t="shared" ca="1" si="14"/>
        <v>93.676280902778672</v>
      </c>
      <c r="BP910" t="b">
        <v>0</v>
      </c>
      <c r="BQ910">
        <v>1</v>
      </c>
      <c r="BR910" t="s">
        <v>1667</v>
      </c>
      <c r="BS910" t="s">
        <v>3699</v>
      </c>
      <c r="BT910" t="b">
        <v>0</v>
      </c>
      <c r="BV910" t="s">
        <v>1668</v>
      </c>
      <c r="BW910">
        <v>3126</v>
      </c>
      <c r="BX910" t="s">
        <v>2436</v>
      </c>
      <c r="BY910">
        <v>12385064</v>
      </c>
      <c r="BZ910" t="s">
        <v>3751</v>
      </c>
      <c r="CA910">
        <v>1</v>
      </c>
      <c r="CB910" t="b">
        <v>1</v>
      </c>
      <c r="CC910">
        <v>0</v>
      </c>
      <c r="CD910" t="b">
        <v>0</v>
      </c>
      <c r="CE910" t="b">
        <v>0</v>
      </c>
      <c r="CF910" t="b">
        <v>1</v>
      </c>
      <c r="CG910">
        <v>15588813</v>
      </c>
      <c r="CH910" t="s">
        <v>1681</v>
      </c>
      <c r="CI910" s="10">
        <v>699950</v>
      </c>
    </row>
    <row r="911" spans="1:88">
      <c r="A911">
        <v>28004745</v>
      </c>
      <c r="B911" s="2" t="str">
        <f>HYPERLINK("http://www.redfin.com/stingray/do/printable-listing?listing-id=1383981","Active")</f>
        <v>Active</v>
      </c>
      <c r="D911" t="s">
        <v>1238</v>
      </c>
      <c r="E911" t="s">
        <v>3752</v>
      </c>
      <c r="F911">
        <v>694950</v>
      </c>
      <c r="G911">
        <v>2008</v>
      </c>
      <c r="H911">
        <v>2094</v>
      </c>
      <c r="I911">
        <v>0</v>
      </c>
      <c r="J911">
        <v>3</v>
      </c>
      <c r="K911">
        <v>2.5</v>
      </c>
      <c r="M911" s="2" t="str">
        <f>HYPERLINK("http://maps.live.com/default.aspx?v=2&amp;lvl=15&amp;sp=Point.47.649005_-122.321651_3128 Franklin Ave E nB&amp;cp=47.649005~-122.321651","Map")</f>
        <v>Map</v>
      </c>
      <c r="N911" s="2" t="str">
        <f>HYPERLINK("http://i-0.rfimg.us/photo/1/bigphoto/745/28004745_1.jpg","Photo")</f>
        <v>Photo</v>
      </c>
      <c r="AG911">
        <v>47.649005000000002</v>
      </c>
      <c r="AH911">
        <v>-122.321651</v>
      </c>
      <c r="AI911" t="s">
        <v>66</v>
      </c>
      <c r="AJ911">
        <v>98102</v>
      </c>
      <c r="AM911" t="s">
        <v>1699</v>
      </c>
      <c r="BC911" s="22">
        <v>39455.633125</v>
      </c>
      <c r="BI911" s="7">
        <v>39533</v>
      </c>
      <c r="BL911">
        <v>13899</v>
      </c>
      <c r="BM911">
        <v>1383981</v>
      </c>
      <c r="BN911" t="s">
        <v>1710</v>
      </c>
      <c r="BO911" s="17">
        <f t="shared" ca="1" si="14"/>
        <v>93.676280902778672</v>
      </c>
      <c r="BP911" t="b">
        <v>0</v>
      </c>
      <c r="BQ911">
        <v>1</v>
      </c>
      <c r="BR911" t="s">
        <v>1667</v>
      </c>
      <c r="BS911" t="s">
        <v>3699</v>
      </c>
      <c r="BT911" t="b">
        <v>0</v>
      </c>
      <c r="BV911" t="s">
        <v>1668</v>
      </c>
      <c r="BW911">
        <v>3128</v>
      </c>
      <c r="BX911" t="s">
        <v>2436</v>
      </c>
      <c r="BY911">
        <v>12385063</v>
      </c>
      <c r="BZ911" t="s">
        <v>3753</v>
      </c>
      <c r="CA911">
        <v>1</v>
      </c>
      <c r="CB911" t="b">
        <v>1</v>
      </c>
      <c r="CC911">
        <v>0</v>
      </c>
      <c r="CD911" t="b">
        <v>0</v>
      </c>
      <c r="CE911" t="b">
        <v>0</v>
      </c>
      <c r="CF911" t="b">
        <v>1</v>
      </c>
      <c r="CG911">
        <v>15588810</v>
      </c>
      <c r="CH911" t="s">
        <v>1681</v>
      </c>
      <c r="CI911" s="10">
        <v>694950</v>
      </c>
    </row>
    <row r="912" spans="1:88">
      <c r="A912">
        <v>28004924</v>
      </c>
      <c r="B912" s="2" t="str">
        <f>HYPERLINK("http://www.redfin.com/stingray/do/printable-listing?listing-id=1383474","Active")</f>
        <v>Active</v>
      </c>
      <c r="D912" t="s">
        <v>2848</v>
      </c>
      <c r="E912" t="s">
        <v>2960</v>
      </c>
      <c r="F912">
        <v>869000</v>
      </c>
      <c r="G912">
        <v>1988</v>
      </c>
      <c r="H912">
        <v>2460</v>
      </c>
      <c r="I912">
        <v>16605</v>
      </c>
      <c r="J912">
        <v>4</v>
      </c>
      <c r="K912">
        <v>3.5</v>
      </c>
      <c r="M912" s="2" t="str">
        <f>HYPERLINK("http://maps.live.com/default.aspx?v=2&amp;lvl=15&amp;sp=Point.47.720541_-122.251181_13245 67th Ave NE&amp;cp=47.720541~-122.251181","Map")</f>
        <v>Map</v>
      </c>
      <c r="N912" s="2" t="str">
        <f>HYPERLINK("http://i-0.rfimg.us/photo/1/bigphoto/924/28004924_A.jpg","Photo")</f>
        <v>Photo</v>
      </c>
      <c r="AG912">
        <v>47.720540999999997</v>
      </c>
      <c r="AH912">
        <v>-122.251181</v>
      </c>
      <c r="AI912" t="s">
        <v>1058</v>
      </c>
      <c r="AJ912">
        <v>98034</v>
      </c>
      <c r="AN912">
        <v>842000</v>
      </c>
      <c r="BC912" s="22">
        <v>39455.529108796298</v>
      </c>
      <c r="BI912" s="22">
        <v>39549.294907407406</v>
      </c>
      <c r="BL912">
        <v>17380</v>
      </c>
      <c r="BM912">
        <v>1383474</v>
      </c>
      <c r="BN912" t="s">
        <v>2959</v>
      </c>
      <c r="BO912" s="17">
        <f t="shared" ca="1" si="14"/>
        <v>93.780297106481157</v>
      </c>
      <c r="BP912" t="b">
        <v>0</v>
      </c>
      <c r="BQ912">
        <v>1</v>
      </c>
      <c r="BR912" t="s">
        <v>1667</v>
      </c>
      <c r="BS912" t="s">
        <v>1864</v>
      </c>
      <c r="BT912" t="b">
        <v>0</v>
      </c>
      <c r="BV912" t="s">
        <v>1668</v>
      </c>
      <c r="BW912">
        <v>13245</v>
      </c>
      <c r="BX912" t="s">
        <v>1738</v>
      </c>
      <c r="BY912">
        <v>280374</v>
      </c>
      <c r="BZ912" t="s">
        <v>2961</v>
      </c>
      <c r="CA912">
        <v>1</v>
      </c>
      <c r="CB912" t="b">
        <v>1</v>
      </c>
      <c r="CC912">
        <v>0</v>
      </c>
      <c r="CD912" t="b">
        <v>0</v>
      </c>
      <c r="CE912" t="b">
        <v>0</v>
      </c>
      <c r="CF912" t="b">
        <v>1</v>
      </c>
      <c r="CG912">
        <v>2628501</v>
      </c>
      <c r="CH912" t="s">
        <v>1681</v>
      </c>
      <c r="CI912" s="10">
        <v>869000</v>
      </c>
      <c r="CJ912" s="7">
        <v>38981</v>
      </c>
    </row>
    <row r="913" spans="1:88">
      <c r="A913">
        <v>28004950</v>
      </c>
      <c r="B913" s="2" t="str">
        <f>HYPERLINK("http://www.redfin.com/stingray/do/printable-listing?listing-id=1383543","Active")</f>
        <v>Active</v>
      </c>
      <c r="D913" t="s">
        <v>369</v>
      </c>
      <c r="E913" t="s">
        <v>5541</v>
      </c>
      <c r="F913" s="19">
        <v>719950</v>
      </c>
      <c r="G913">
        <v>2007</v>
      </c>
      <c r="H913">
        <v>3009</v>
      </c>
      <c r="I913">
        <v>0</v>
      </c>
      <c r="J913">
        <v>4</v>
      </c>
      <c r="K913">
        <v>2.5</v>
      </c>
      <c r="M913" s="2" t="str">
        <f>HYPERLINK("http://maps.live.com/default.aspx?v=2&amp;lvl=15&amp;sp=adr.11608 SE 63rd St (Unable to map),98006","Map")</f>
        <v>Map</v>
      </c>
      <c r="N913" s="2" t="str">
        <f>HYPERLINK("http://i-0.rfimg.us/photo/1/bigphoto/950/28004950_0.jpg","Photo")</f>
        <v>Photo</v>
      </c>
      <c r="AI913" t="s">
        <v>369</v>
      </c>
      <c r="AJ913">
        <v>98006</v>
      </c>
      <c r="BC913" s="22">
        <v>39455.540914351855</v>
      </c>
      <c r="BI913" s="22">
        <v>39549.294907407406</v>
      </c>
      <c r="BL913">
        <v>14999</v>
      </c>
      <c r="BM913">
        <v>1383543</v>
      </c>
      <c r="BN913" t="s">
        <v>5540</v>
      </c>
      <c r="BO913" s="17">
        <f t="shared" ca="1" si="14"/>
        <v>93.7684915509235</v>
      </c>
      <c r="BP913" t="b">
        <v>0</v>
      </c>
      <c r="BQ913">
        <v>1</v>
      </c>
      <c r="BR913" t="s">
        <v>1686</v>
      </c>
      <c r="BS913" t="s">
        <v>2529</v>
      </c>
      <c r="BT913" t="b">
        <v>0</v>
      </c>
      <c r="BU913" t="s">
        <v>3856</v>
      </c>
      <c r="BV913" t="s">
        <v>1668</v>
      </c>
      <c r="BW913">
        <v>11608</v>
      </c>
      <c r="BY913">
        <v>0</v>
      </c>
      <c r="BZ913" t="s">
        <v>1813</v>
      </c>
      <c r="CA913">
        <v>1</v>
      </c>
      <c r="CB913" t="b">
        <v>1</v>
      </c>
      <c r="CC913">
        <v>0</v>
      </c>
      <c r="CD913" t="b">
        <v>0</v>
      </c>
      <c r="CE913" t="b">
        <v>0</v>
      </c>
      <c r="CF913" t="b">
        <v>1</v>
      </c>
      <c r="CG913" t="s">
        <v>1870</v>
      </c>
      <c r="CH913" t="s">
        <v>1681</v>
      </c>
      <c r="CI913" s="10">
        <v>749950</v>
      </c>
    </row>
    <row r="914" spans="1:88">
      <c r="A914">
        <v>28004951</v>
      </c>
      <c r="B914" s="2" t="str">
        <f>HYPERLINK("http://www.redfin.com/stingray/do/printable-listing?listing-id=1383683","Active")</f>
        <v>Active</v>
      </c>
      <c r="D914" t="s">
        <v>3885</v>
      </c>
      <c r="E914" t="s">
        <v>5808</v>
      </c>
      <c r="F914">
        <v>949950</v>
      </c>
      <c r="G914">
        <v>2006</v>
      </c>
      <c r="H914">
        <v>5440</v>
      </c>
      <c r="I914">
        <v>8712</v>
      </c>
      <c r="J914">
        <v>6</v>
      </c>
      <c r="K914">
        <v>3.5</v>
      </c>
      <c r="M914" s="2" t="str">
        <f>HYPERLINK("http://maps.live.com/default.aspx?v=2&amp;lvl=15&amp;sp=Point.47.533813_-122.185802_7611 116th Ave SE&amp;cp=47.533813~-122.185802","Map")</f>
        <v>Map</v>
      </c>
      <c r="N914" s="2" t="str">
        <f>HYPERLINK("http://i-0.rfimg.us/photo/1/bigphoto/951/28004951_2.jpg","Photo")</f>
        <v>Photo</v>
      </c>
      <c r="AG914">
        <v>47.533813000000002</v>
      </c>
      <c r="AH914">
        <v>-122.185802</v>
      </c>
      <c r="AI914" t="s">
        <v>3885</v>
      </c>
      <c r="AJ914">
        <v>98056</v>
      </c>
      <c r="BC914" s="22">
        <v>39455.561874999999</v>
      </c>
      <c r="BI914" s="22">
        <v>39549.294907407406</v>
      </c>
      <c r="BL914">
        <v>18999</v>
      </c>
      <c r="BM914">
        <v>1383683</v>
      </c>
      <c r="BN914" t="s">
        <v>1674</v>
      </c>
      <c r="BO914" s="17">
        <f t="shared" ca="1" si="14"/>
        <v>93.747530902779545</v>
      </c>
      <c r="BP914" t="b">
        <v>0</v>
      </c>
      <c r="BQ914">
        <v>1</v>
      </c>
      <c r="BR914" t="s">
        <v>1667</v>
      </c>
      <c r="BS914" t="s">
        <v>4441</v>
      </c>
      <c r="BT914" t="b">
        <v>0</v>
      </c>
      <c r="BV914" t="s">
        <v>1668</v>
      </c>
      <c r="BW914">
        <v>7611</v>
      </c>
      <c r="BX914" t="s">
        <v>3856</v>
      </c>
      <c r="BY914">
        <v>8187152</v>
      </c>
      <c r="BZ914" t="s">
        <v>2577</v>
      </c>
      <c r="CA914">
        <v>1</v>
      </c>
      <c r="CB914" t="b">
        <v>1</v>
      </c>
      <c r="CC914">
        <v>0</v>
      </c>
      <c r="CD914" t="b">
        <v>0</v>
      </c>
      <c r="CE914" t="b">
        <v>0</v>
      </c>
      <c r="CF914" t="b">
        <v>1</v>
      </c>
      <c r="CG914">
        <v>2953612</v>
      </c>
      <c r="CH914" t="s">
        <v>1681</v>
      </c>
      <c r="CI914" s="10">
        <v>949950</v>
      </c>
    </row>
    <row r="915" spans="1:88">
      <c r="A915">
        <v>28004953</v>
      </c>
      <c r="B915" s="2" t="str">
        <f>HYPERLINK("http://www.redfin.com/stingray/do/printable-listing?listing-id=1383684","Active")</f>
        <v>Active</v>
      </c>
      <c r="D915" t="s">
        <v>3064</v>
      </c>
      <c r="E915" t="s">
        <v>6125</v>
      </c>
      <c r="F915">
        <v>399900</v>
      </c>
      <c r="G915">
        <v>2006</v>
      </c>
      <c r="H915">
        <v>2156</v>
      </c>
      <c r="I915">
        <v>0</v>
      </c>
      <c r="J915">
        <v>4</v>
      </c>
      <c r="K915">
        <v>2.5</v>
      </c>
      <c r="M915" s="2" t="str">
        <f>HYPERLINK("http://maps.live.com/default.aspx?v=2&amp;lvl=15&amp;sp=Point.47.504944991128_-122.16553024171_4007 NE 14 Pl&amp;cp=47.504944991128~-122.16553024171","Map")</f>
        <v>Map</v>
      </c>
      <c r="N915" s="2" t="str">
        <f>HYPERLINK("http://i-0.rfimg.us/photo/1/bigphoto/953/28004953_3.jpg","Photo")</f>
        <v>Photo</v>
      </c>
      <c r="AG915">
        <v>47.504944991127999</v>
      </c>
      <c r="AH915">
        <v>-122.16553024171</v>
      </c>
      <c r="AI915" t="s">
        <v>1077</v>
      </c>
      <c r="AJ915">
        <v>98056</v>
      </c>
      <c r="AN915">
        <v>365000</v>
      </c>
      <c r="BC915" s="22">
        <v>39455.561921296299</v>
      </c>
      <c r="BI915" s="22">
        <v>39549.294907407406</v>
      </c>
      <c r="BL915">
        <v>7998</v>
      </c>
      <c r="BM915">
        <v>1383684</v>
      </c>
      <c r="BN915" t="s">
        <v>1735</v>
      </c>
      <c r="BO915" s="17">
        <f t="shared" ca="1" si="14"/>
        <v>93.747484606479702</v>
      </c>
      <c r="BP915" t="b">
        <v>0</v>
      </c>
      <c r="BQ915">
        <v>1</v>
      </c>
      <c r="BR915" t="s">
        <v>1842</v>
      </c>
      <c r="BS915">
        <v>14</v>
      </c>
      <c r="BT915" t="b">
        <v>0</v>
      </c>
      <c r="BU915" t="s">
        <v>1738</v>
      </c>
      <c r="BV915" t="s">
        <v>1668</v>
      </c>
      <c r="BW915">
        <v>4007</v>
      </c>
      <c r="BY915">
        <v>2075856</v>
      </c>
      <c r="BZ915" t="s">
        <v>6126</v>
      </c>
      <c r="CA915">
        <v>1</v>
      </c>
      <c r="CB915" t="b">
        <v>1</v>
      </c>
      <c r="CC915">
        <v>0</v>
      </c>
      <c r="CD915" t="b">
        <v>0</v>
      </c>
      <c r="CE915" t="b">
        <v>0</v>
      </c>
      <c r="CF915" t="b">
        <v>1</v>
      </c>
      <c r="CG915">
        <v>2631849</v>
      </c>
      <c r="CH915" t="s">
        <v>1681</v>
      </c>
      <c r="CI915" s="10">
        <v>399900</v>
      </c>
      <c r="CJ915" s="7">
        <v>38835</v>
      </c>
    </row>
    <row r="916" spans="1:88">
      <c r="A916">
        <v>28005074</v>
      </c>
      <c r="B916" s="15" t="str">
        <f>HYPERLINK("http://www.redfin.com/stingray/do/printable-listing?listing-id=1389965","Active")</f>
        <v>Active</v>
      </c>
      <c r="D916" t="s">
        <v>3066</v>
      </c>
      <c r="E916" t="s">
        <v>4720</v>
      </c>
      <c r="F916">
        <v>579000</v>
      </c>
      <c r="G916">
        <v>1956</v>
      </c>
      <c r="H916">
        <v>1300</v>
      </c>
      <c r="I916">
        <v>19990</v>
      </c>
      <c r="J916">
        <v>3</v>
      </c>
      <c r="K916">
        <v>1.5</v>
      </c>
      <c r="M916" s="2" t="str">
        <f>HYPERLINK("http://maps.live.com/default.aspx?v=2&amp;lvl=15&amp;sp=Point.47.677552_-122.176587_8219 124th Ave NE&amp;cp=47.677552~-122.176587","Map")</f>
        <v>Map</v>
      </c>
      <c r="N916" s="2" t="str">
        <f>HYPERLINK("http://i-0.rfimg.us/photo/1/bigphoto/074/28005074_3.jpg","Photo")</f>
        <v>Photo</v>
      </c>
      <c r="AG916">
        <v>47.677551999999999</v>
      </c>
      <c r="AH916">
        <v>-122.176587</v>
      </c>
      <c r="AI916" t="s">
        <v>1058</v>
      </c>
      <c r="AJ916">
        <v>98033</v>
      </c>
      <c r="AN916">
        <v>163200</v>
      </c>
      <c r="BC916" s="22">
        <v>39457.539155092592</v>
      </c>
      <c r="BI916" s="22">
        <v>39549.294907407406</v>
      </c>
      <c r="BL916">
        <v>11580</v>
      </c>
      <c r="BM916">
        <v>1389965</v>
      </c>
      <c r="BN916" t="s">
        <v>1688</v>
      </c>
      <c r="BO916" s="17">
        <f t="shared" ca="1" si="14"/>
        <v>91.770250810186553</v>
      </c>
      <c r="BP916" t="b">
        <v>0</v>
      </c>
      <c r="BQ916">
        <v>1</v>
      </c>
      <c r="BR916" t="s">
        <v>1667</v>
      </c>
      <c r="BS916" t="s">
        <v>4507</v>
      </c>
      <c r="BT916" t="b">
        <v>0</v>
      </c>
      <c r="BV916" t="s">
        <v>1668</v>
      </c>
      <c r="BW916">
        <v>8219</v>
      </c>
      <c r="BX916" t="s">
        <v>1738</v>
      </c>
      <c r="BY916">
        <v>514853</v>
      </c>
      <c r="BZ916" t="s">
        <v>4721</v>
      </c>
      <c r="CA916">
        <v>1</v>
      </c>
      <c r="CB916" t="b">
        <v>1</v>
      </c>
      <c r="CC916">
        <v>0</v>
      </c>
      <c r="CD916" t="b">
        <v>0</v>
      </c>
      <c r="CE916" t="b">
        <v>0</v>
      </c>
      <c r="CF916" t="b">
        <v>1</v>
      </c>
      <c r="CG916">
        <v>2911969</v>
      </c>
      <c r="CH916" t="s">
        <v>1681</v>
      </c>
      <c r="CI916" s="10">
        <v>579000</v>
      </c>
      <c r="CJ916" s="7">
        <v>35766</v>
      </c>
    </row>
    <row r="917" spans="1:88">
      <c r="A917">
        <v>28005089</v>
      </c>
      <c r="B917" s="2" t="str">
        <f>HYPERLINK("http://www.redfin.com/stingray/do/printable-listing?listing-id=1383976","Active")</f>
        <v>Active</v>
      </c>
      <c r="D917" t="s">
        <v>5261</v>
      </c>
      <c r="E917" t="s">
        <v>5571</v>
      </c>
      <c r="F917">
        <v>594950</v>
      </c>
      <c r="G917">
        <v>2007</v>
      </c>
      <c r="H917">
        <v>2031</v>
      </c>
      <c r="I917">
        <v>0</v>
      </c>
      <c r="J917">
        <v>3</v>
      </c>
      <c r="K917">
        <v>2.5</v>
      </c>
      <c r="M917" s="2" t="str">
        <f>HYPERLINK("http://maps.live.com/default.aspx?v=2&amp;lvl=15&amp;sp=adr.4525 185th St SE (Unable to map),98027","Map")</f>
        <v>Map</v>
      </c>
      <c r="N917" s="2" t="str">
        <f>HYPERLINK("http://i-0.rfimg.us/photo/1/bigphoto/089/28005089_0.jpg","Photo")</f>
        <v>Photo</v>
      </c>
      <c r="AI917" t="s">
        <v>5280</v>
      </c>
      <c r="AJ917">
        <v>98027</v>
      </c>
      <c r="BC917" s="22">
        <v>39455.632893518516</v>
      </c>
      <c r="BI917" s="22">
        <v>39549.294907407406</v>
      </c>
      <c r="BL917">
        <v>11899</v>
      </c>
      <c r="BM917">
        <v>1383976</v>
      </c>
      <c r="BN917" t="s">
        <v>3092</v>
      </c>
      <c r="BO917" s="17">
        <f t="shared" ca="1" si="14"/>
        <v>93.676512384263333</v>
      </c>
      <c r="BP917" t="b">
        <v>0</v>
      </c>
      <c r="BQ917">
        <v>1</v>
      </c>
      <c r="BR917" t="s">
        <v>1686</v>
      </c>
      <c r="BS917" t="s">
        <v>5479</v>
      </c>
      <c r="BT917" t="b">
        <v>0</v>
      </c>
      <c r="BV917" t="s">
        <v>1668</v>
      </c>
      <c r="BW917">
        <v>4525</v>
      </c>
      <c r="BX917" t="s">
        <v>3856</v>
      </c>
      <c r="BY917">
        <v>0</v>
      </c>
      <c r="BZ917" t="s">
        <v>1747</v>
      </c>
      <c r="CA917">
        <v>1</v>
      </c>
      <c r="CB917" t="b">
        <v>1</v>
      </c>
      <c r="CC917">
        <v>0</v>
      </c>
      <c r="CD917" t="b">
        <v>0</v>
      </c>
      <c r="CE917" t="b">
        <v>0</v>
      </c>
      <c r="CF917" t="b">
        <v>1</v>
      </c>
      <c r="CG917" t="s">
        <v>1870</v>
      </c>
      <c r="CH917" t="s">
        <v>1681</v>
      </c>
      <c r="CI917" s="10">
        <v>594950</v>
      </c>
    </row>
    <row r="918" spans="1:88">
      <c r="A918">
        <v>28005111</v>
      </c>
      <c r="B918" s="2" t="str">
        <f>HYPERLINK("http://www.redfin.com/stingray/do/printable-listing?listing-id=1383977","Active")</f>
        <v>Active</v>
      </c>
      <c r="D918" t="s">
        <v>5261</v>
      </c>
      <c r="E918" t="s">
        <v>5568</v>
      </c>
      <c r="F918">
        <v>594950</v>
      </c>
      <c r="G918">
        <v>2007</v>
      </c>
      <c r="H918">
        <v>1929</v>
      </c>
      <c r="I918">
        <v>0</v>
      </c>
      <c r="J918">
        <v>3</v>
      </c>
      <c r="K918">
        <v>2.5</v>
      </c>
      <c r="M918" s="2" t="str">
        <f>HYPERLINK("http://maps.live.com/default.aspx?v=2&amp;lvl=15&amp;sp=adr.4521 185th St SE (Unable to map),98027","Map")</f>
        <v>Map</v>
      </c>
      <c r="N918" s="2" t="str">
        <f>HYPERLINK("http://i-0.rfimg.us/photo/1/bigphoto/111/28005111_2.jpg","Photo")</f>
        <v>Photo</v>
      </c>
      <c r="AI918" t="s">
        <v>5280</v>
      </c>
      <c r="AJ918">
        <v>98027</v>
      </c>
      <c r="BC918" s="22">
        <v>39455.632905092592</v>
      </c>
      <c r="BI918" s="22">
        <v>39549.294907407406</v>
      </c>
      <c r="BL918">
        <v>11899</v>
      </c>
      <c r="BM918">
        <v>1383977</v>
      </c>
      <c r="BN918" t="s">
        <v>3092</v>
      </c>
      <c r="BO918" s="17">
        <f t="shared" ca="1" si="14"/>
        <v>93.676500810186553</v>
      </c>
      <c r="BP918" t="b">
        <v>0</v>
      </c>
      <c r="BQ918">
        <v>1</v>
      </c>
      <c r="BR918" t="s">
        <v>1686</v>
      </c>
      <c r="BS918" t="s">
        <v>5479</v>
      </c>
      <c r="BT918" t="b">
        <v>0</v>
      </c>
      <c r="BV918" t="s">
        <v>1668</v>
      </c>
      <c r="BW918">
        <v>4521</v>
      </c>
      <c r="BX918" t="s">
        <v>3856</v>
      </c>
      <c r="BY918">
        <v>0</v>
      </c>
      <c r="BZ918" t="s">
        <v>5397</v>
      </c>
      <c r="CA918">
        <v>1</v>
      </c>
      <c r="CB918" t="b">
        <v>1</v>
      </c>
      <c r="CC918">
        <v>0</v>
      </c>
      <c r="CD918" t="b">
        <v>0</v>
      </c>
      <c r="CE918" t="b">
        <v>0</v>
      </c>
      <c r="CF918" t="b">
        <v>1</v>
      </c>
      <c r="CG918" t="s">
        <v>1870</v>
      </c>
      <c r="CH918" t="s">
        <v>1681</v>
      </c>
      <c r="CI918" s="10">
        <v>594950</v>
      </c>
    </row>
    <row r="919" spans="1:88">
      <c r="A919">
        <v>28005135</v>
      </c>
      <c r="B919" s="2" t="str">
        <f>HYPERLINK("http://www.redfin.com/stingray/do/printable-listing?listing-id=1384020","Active")</f>
        <v>Active</v>
      </c>
      <c r="D919" t="s">
        <v>2850</v>
      </c>
      <c r="E919" t="s">
        <v>4530</v>
      </c>
      <c r="F919">
        <v>449950</v>
      </c>
      <c r="G919">
        <v>1961</v>
      </c>
      <c r="H919">
        <v>2100</v>
      </c>
      <c r="I919">
        <v>9847</v>
      </c>
      <c r="J919">
        <v>4</v>
      </c>
      <c r="K919">
        <v>1.75</v>
      </c>
      <c r="M919" s="2" t="str">
        <f>HYPERLINK("http://maps.live.com/default.aspx?v=2&amp;lvl=15&amp;sp=Point.47.709474_-122.214291_12115 95th Pl NE&amp;cp=47.709474~-122.214291","Map")</f>
        <v>Map</v>
      </c>
      <c r="N919" s="2" t="str">
        <f>HYPERLINK("http://i-0.rfimg.us/photo/1/bigphoto/135/28005135_0.jpg","Photo")</f>
        <v>Photo</v>
      </c>
      <c r="AG919">
        <v>47.709474</v>
      </c>
      <c r="AH919">
        <v>-122.214291</v>
      </c>
      <c r="AI919" t="s">
        <v>1058</v>
      </c>
      <c r="AJ919">
        <v>98034</v>
      </c>
      <c r="AN919">
        <v>344000</v>
      </c>
      <c r="BC919" s="22">
        <v>39455.639062499999</v>
      </c>
      <c r="BI919" s="22">
        <v>39545.917314814818</v>
      </c>
      <c r="BL919">
        <v>8999</v>
      </c>
      <c r="BM919">
        <v>1384020</v>
      </c>
      <c r="BN919" t="s">
        <v>4529</v>
      </c>
      <c r="BO919" s="17">
        <f t="shared" ca="1" si="14"/>
        <v>93.670343402780418</v>
      </c>
      <c r="BP919" t="b">
        <v>0</v>
      </c>
      <c r="BQ919">
        <v>1</v>
      </c>
      <c r="BR919" t="s">
        <v>1842</v>
      </c>
      <c r="BS919" t="s">
        <v>2722</v>
      </c>
      <c r="BT919" t="b">
        <v>0</v>
      </c>
      <c r="BV919" t="s">
        <v>1668</v>
      </c>
      <c r="BW919">
        <v>12115</v>
      </c>
      <c r="BX919" t="s">
        <v>1738</v>
      </c>
      <c r="BY919">
        <v>281141</v>
      </c>
      <c r="BZ919" t="s">
        <v>1672</v>
      </c>
      <c r="CA919">
        <v>1</v>
      </c>
      <c r="CB919" t="b">
        <v>1</v>
      </c>
      <c r="CC919">
        <v>0</v>
      </c>
      <c r="CD919" t="b">
        <v>0</v>
      </c>
      <c r="CE919" t="b">
        <v>0</v>
      </c>
      <c r="CF919" t="b">
        <v>1</v>
      </c>
      <c r="CG919">
        <v>2542906</v>
      </c>
      <c r="CH919" t="s">
        <v>1681</v>
      </c>
      <c r="CI919" s="10">
        <v>449950</v>
      </c>
      <c r="CJ919" s="7">
        <v>38796</v>
      </c>
    </row>
    <row r="920" spans="1:88">
      <c r="A920">
        <v>28005139</v>
      </c>
      <c r="B920" s="2" t="str">
        <f>HYPERLINK("http://www.redfin.com/stingray/do/printable-listing?listing-id=1384004","Active")</f>
        <v>Active</v>
      </c>
      <c r="D920" t="s">
        <v>5261</v>
      </c>
      <c r="E920" t="s">
        <v>5569</v>
      </c>
      <c r="F920">
        <v>599950</v>
      </c>
      <c r="G920">
        <v>2007</v>
      </c>
      <c r="H920">
        <v>1929</v>
      </c>
      <c r="I920">
        <v>0</v>
      </c>
      <c r="J920">
        <v>3</v>
      </c>
      <c r="K920">
        <v>2.5</v>
      </c>
      <c r="M920" s="2" t="str">
        <f>HYPERLINK("http://maps.live.com/default.aspx?v=2&amp;lvl=15&amp;sp=adr.4517 185th St SE (Unable to map),98027","Map")</f>
        <v>Map</v>
      </c>
      <c r="N920" s="2" t="str">
        <f>HYPERLINK("http://i-0.rfimg.us/photo/1/bigphoto/139/28005139_1.jpg","Photo")</f>
        <v>Photo</v>
      </c>
      <c r="AI920" t="s">
        <v>5280</v>
      </c>
      <c r="AJ920">
        <v>98027</v>
      </c>
      <c r="BC920" s="22">
        <v>39455.638668981483</v>
      </c>
      <c r="BI920" s="22">
        <v>39549.294907407406</v>
      </c>
      <c r="BL920">
        <v>11999</v>
      </c>
      <c r="BM920">
        <v>1384004</v>
      </c>
      <c r="BN920" t="s">
        <v>3092</v>
      </c>
      <c r="BO920" s="17">
        <f t="shared" ca="1" si="14"/>
        <v>93.670736921296339</v>
      </c>
      <c r="BP920" t="b">
        <v>0</v>
      </c>
      <c r="BQ920">
        <v>1</v>
      </c>
      <c r="BR920" t="s">
        <v>1686</v>
      </c>
      <c r="BS920" t="s">
        <v>5479</v>
      </c>
      <c r="BT920" t="b">
        <v>0</v>
      </c>
      <c r="BV920" t="s">
        <v>1668</v>
      </c>
      <c r="BW920">
        <v>4517</v>
      </c>
      <c r="BX920" t="s">
        <v>3856</v>
      </c>
      <c r="BY920">
        <v>0</v>
      </c>
      <c r="BZ920" t="s">
        <v>5570</v>
      </c>
      <c r="CA920">
        <v>1</v>
      </c>
      <c r="CB920" t="b">
        <v>1</v>
      </c>
      <c r="CC920">
        <v>0</v>
      </c>
      <c r="CD920" t="b">
        <v>0</v>
      </c>
      <c r="CE920" t="b">
        <v>0</v>
      </c>
      <c r="CF920" t="b">
        <v>1</v>
      </c>
      <c r="CG920" t="s">
        <v>1870</v>
      </c>
      <c r="CH920" t="s">
        <v>1681</v>
      </c>
      <c r="CI920" s="10">
        <v>599950</v>
      </c>
    </row>
    <row r="921" spans="1:88">
      <c r="A921">
        <v>28005243</v>
      </c>
      <c r="B921" s="2" t="str">
        <f>HYPERLINK("http://www.redfin.com/stingray/do/printable-listing?listing-id=1394286","Active")</f>
        <v>Active</v>
      </c>
      <c r="D921" t="s">
        <v>101</v>
      </c>
      <c r="E921" t="s">
        <v>1266</v>
      </c>
      <c r="F921" s="19">
        <v>789000</v>
      </c>
      <c r="G921">
        <v>1931</v>
      </c>
      <c r="H921">
        <v>2150</v>
      </c>
      <c r="I921">
        <v>5215</v>
      </c>
      <c r="J921">
        <v>3</v>
      </c>
      <c r="K921">
        <v>1.75</v>
      </c>
      <c r="M921" s="2" t="str">
        <f>HYPERLINK("http://maps.live.com/default.aspx?v=2&amp;lvl=15&amp;sp=Point.47.696672_-122.399027_9226 Alvin Pl NW&amp;cp=47.696672~-122.399027","Map")</f>
        <v>Map</v>
      </c>
      <c r="N921" s="2" t="str">
        <f>HYPERLINK("http://i-0.rfimg.us/photo/1/bigphoto/243/28005243_0.jpg","Photo")</f>
        <v>Photo</v>
      </c>
      <c r="AG921">
        <v>47.696672</v>
      </c>
      <c r="AH921">
        <v>-122.399027</v>
      </c>
      <c r="AI921" t="s">
        <v>66</v>
      </c>
      <c r="AJ921">
        <v>98117</v>
      </c>
      <c r="AN921">
        <v>688000</v>
      </c>
      <c r="BC921" s="22">
        <v>39458.714791666665</v>
      </c>
      <c r="BI921" s="22">
        <v>39549.294907407406</v>
      </c>
      <c r="BL921">
        <v>15980</v>
      </c>
      <c r="BM921">
        <v>1394286</v>
      </c>
      <c r="BN921" t="s">
        <v>1829</v>
      </c>
      <c r="BO921" s="17">
        <f t="shared" ca="1" si="14"/>
        <v>90.594614351852215</v>
      </c>
      <c r="BP921" t="b">
        <v>0</v>
      </c>
      <c r="BQ921">
        <v>1</v>
      </c>
      <c r="BR921" t="s">
        <v>1842</v>
      </c>
      <c r="BS921" t="s">
        <v>1931</v>
      </c>
      <c r="BT921" t="b">
        <v>0</v>
      </c>
      <c r="BV921" t="s">
        <v>1668</v>
      </c>
      <c r="BW921">
        <v>9226</v>
      </c>
      <c r="BX921" t="s">
        <v>1669</v>
      </c>
      <c r="BY921">
        <v>289725</v>
      </c>
      <c r="BZ921" t="s">
        <v>1932</v>
      </c>
      <c r="CA921">
        <v>1</v>
      </c>
      <c r="CB921" t="b">
        <v>1</v>
      </c>
      <c r="CC921">
        <v>0</v>
      </c>
      <c r="CD921" t="b">
        <v>0</v>
      </c>
      <c r="CE921" t="b">
        <v>0</v>
      </c>
      <c r="CF921" t="b">
        <v>1</v>
      </c>
      <c r="CG921">
        <v>2380821</v>
      </c>
      <c r="CH921" t="s">
        <v>1681</v>
      </c>
      <c r="CI921" s="10">
        <v>799000</v>
      </c>
      <c r="CJ921" s="7">
        <v>38701</v>
      </c>
    </row>
    <row r="922" spans="1:88">
      <c r="A922">
        <v>28005248</v>
      </c>
      <c r="B922" s="2" t="str">
        <f>HYPERLINK("http://www.redfin.com/stingray/do/printable-listing?listing-id=1384291","Active")</f>
        <v>Active</v>
      </c>
      <c r="D922" t="s">
        <v>63</v>
      </c>
      <c r="E922" t="s">
        <v>2496</v>
      </c>
      <c r="F922">
        <v>409950</v>
      </c>
      <c r="G922">
        <v>2008</v>
      </c>
      <c r="H922">
        <v>1490</v>
      </c>
      <c r="I922">
        <v>0</v>
      </c>
      <c r="J922">
        <v>3</v>
      </c>
      <c r="K922">
        <v>2.5</v>
      </c>
      <c r="M922" s="2" t="str">
        <f>HYPERLINK("http://maps.live.com/default.aspx?v=2&amp;lvl=15&amp;sp=Point.47.668941_-122.393103_5519 28th Ave NW nB&amp;cp=47.668941~-122.393103","Map")</f>
        <v>Map</v>
      </c>
      <c r="N922" s="2" t="str">
        <f>HYPERLINK("http://i-0.rfimg.us/photo/1/bigphoto/248/28005248_G.jpg","Photo")</f>
        <v>Photo</v>
      </c>
      <c r="AG922">
        <v>47.668940999999997</v>
      </c>
      <c r="AH922">
        <v>-122.393103</v>
      </c>
      <c r="AI922" t="s">
        <v>66</v>
      </c>
      <c r="AJ922">
        <v>98107</v>
      </c>
      <c r="AM922" t="s">
        <v>1699</v>
      </c>
      <c r="BC922" s="22">
        <v>39455.700428240743</v>
      </c>
      <c r="BI922" s="22">
        <v>39549.294907407406</v>
      </c>
      <c r="BL922">
        <v>8199</v>
      </c>
      <c r="BM922">
        <v>1384291</v>
      </c>
      <c r="BN922" t="s">
        <v>1700</v>
      </c>
      <c r="BO922" s="17">
        <f t="shared" ca="1" si="14"/>
        <v>93.608977777774271</v>
      </c>
      <c r="BP922" t="b">
        <v>0</v>
      </c>
      <c r="BQ922">
        <v>1</v>
      </c>
      <c r="BR922" t="s">
        <v>1667</v>
      </c>
      <c r="BS922" t="s">
        <v>1760</v>
      </c>
      <c r="BT922" t="b">
        <v>0</v>
      </c>
      <c r="BV922" t="s">
        <v>1668</v>
      </c>
      <c r="BW922">
        <v>5519</v>
      </c>
      <c r="BX922" t="s">
        <v>1669</v>
      </c>
      <c r="BY922">
        <v>12328845</v>
      </c>
      <c r="BZ922" t="s">
        <v>2497</v>
      </c>
      <c r="CA922">
        <v>1</v>
      </c>
      <c r="CB922" t="b">
        <v>1</v>
      </c>
      <c r="CC922">
        <v>0</v>
      </c>
      <c r="CD922" t="b">
        <v>0</v>
      </c>
      <c r="CE922" t="b">
        <v>0</v>
      </c>
      <c r="CF922" t="b">
        <v>1</v>
      </c>
      <c r="CG922">
        <v>15534855</v>
      </c>
      <c r="CH922" t="s">
        <v>1681</v>
      </c>
      <c r="CI922" s="10">
        <v>409950</v>
      </c>
    </row>
    <row r="923" spans="1:88">
      <c r="A923">
        <v>28005258</v>
      </c>
      <c r="B923" s="2" t="str">
        <f>HYPERLINK("http://www.redfin.com/stingray/do/printable-listing?listing-id=1387626","Active")</f>
        <v>Active</v>
      </c>
      <c r="D923" t="s">
        <v>55</v>
      </c>
      <c r="E923" t="s">
        <v>645</v>
      </c>
      <c r="F923">
        <v>399950</v>
      </c>
      <c r="G923">
        <v>1940</v>
      </c>
      <c r="H923">
        <v>1650</v>
      </c>
      <c r="I923">
        <v>5528</v>
      </c>
      <c r="J923">
        <v>3</v>
      </c>
      <c r="K923">
        <v>1</v>
      </c>
      <c r="M923" s="2" t="str">
        <f>HYPERLINK("http://maps.live.com/default.aspx?v=2&amp;lvl=15&amp;sp=Point.47.701979_-122.35853_105 NW 101st St&amp;cp=47.701979~-122.35853","Map")</f>
        <v>Map</v>
      </c>
      <c r="N923" s="2" t="str">
        <f>HYPERLINK("http://i-0.rfimg.us/photo/1/bigphoto/258/28005258_1.jpg","Photo")</f>
        <v>Photo</v>
      </c>
      <c r="AG923">
        <v>47.701979000000001</v>
      </c>
      <c r="AH923">
        <v>-122.35853</v>
      </c>
      <c r="AI923" t="s">
        <v>66</v>
      </c>
      <c r="AJ923">
        <v>98177</v>
      </c>
      <c r="AN923">
        <v>262500</v>
      </c>
      <c r="BC923" s="22">
        <v>39456.756724537037</v>
      </c>
      <c r="BI923" s="22">
        <v>39547.913935185185</v>
      </c>
      <c r="BL923">
        <v>7999</v>
      </c>
      <c r="BM923">
        <v>1387626</v>
      </c>
      <c r="BN923" t="s">
        <v>1821</v>
      </c>
      <c r="BO923" s="17">
        <f t="shared" ca="1" si="14"/>
        <v>92.552681481480249</v>
      </c>
      <c r="BP923" t="b">
        <v>0</v>
      </c>
      <c r="BQ923">
        <v>1</v>
      </c>
      <c r="BR923" t="s">
        <v>1686</v>
      </c>
      <c r="BS923" t="s">
        <v>2791</v>
      </c>
      <c r="BT923" t="b">
        <v>0</v>
      </c>
      <c r="BU923" t="s">
        <v>1669</v>
      </c>
      <c r="BV923" t="s">
        <v>1668</v>
      </c>
      <c r="BW923">
        <v>105</v>
      </c>
      <c r="BY923">
        <v>101056</v>
      </c>
      <c r="BZ923" t="s">
        <v>2793</v>
      </c>
      <c r="CA923">
        <v>1</v>
      </c>
      <c r="CB923" t="b">
        <v>1</v>
      </c>
      <c r="CC923">
        <v>0</v>
      </c>
      <c r="CD923" t="b">
        <v>0</v>
      </c>
      <c r="CE923" t="b">
        <v>0</v>
      </c>
      <c r="CF923" t="b">
        <v>1</v>
      </c>
      <c r="CG923">
        <v>2574262</v>
      </c>
      <c r="CH923" t="s">
        <v>1681</v>
      </c>
      <c r="CI923" s="10">
        <v>399950</v>
      </c>
      <c r="CJ923" s="7">
        <v>37462</v>
      </c>
    </row>
    <row r="924" spans="1:88">
      <c r="A924">
        <v>28005272</v>
      </c>
      <c r="B924" s="2" t="str">
        <f>HYPERLINK("http://www.redfin.com/stingray/do/printable-listing?listing-id=1389966","Active")</f>
        <v>Active</v>
      </c>
      <c r="D924" t="s">
        <v>88</v>
      </c>
      <c r="E924" t="s">
        <v>2572</v>
      </c>
      <c r="F924" s="19">
        <v>989000</v>
      </c>
      <c r="G924">
        <v>1908</v>
      </c>
      <c r="H924">
        <v>3301</v>
      </c>
      <c r="I924">
        <v>5979</v>
      </c>
      <c r="J924">
        <v>5</v>
      </c>
      <c r="K924">
        <v>4</v>
      </c>
      <c r="M924" s="2" t="str">
        <f>HYPERLINK("http://maps.live.com/default.aspx?v=2&amp;lvl=15&amp;sp=Point.47.665221_-122.3604_5002 3rd Ave NW&amp;cp=47.665221~-122.3604","Map")</f>
        <v>Map</v>
      </c>
      <c r="N924" s="2" t="str">
        <f>HYPERLINK("http://i-0.rfimg.us/photo/1/bigphoto/272/28005272_6.jpg","Photo")</f>
        <v>Photo</v>
      </c>
      <c r="AG924">
        <v>47.665221000000003</v>
      </c>
      <c r="AH924">
        <v>-122.3604</v>
      </c>
      <c r="AI924" t="s">
        <v>66</v>
      </c>
      <c r="AJ924">
        <v>98107</v>
      </c>
      <c r="AN924">
        <v>920000</v>
      </c>
      <c r="BC924" s="22">
        <v>39457.539166666669</v>
      </c>
      <c r="BI924" s="22">
        <v>39549.294907407406</v>
      </c>
      <c r="BL924">
        <v>19999</v>
      </c>
      <c r="BM924">
        <v>1389966</v>
      </c>
      <c r="BN924" t="s">
        <v>1725</v>
      </c>
      <c r="BO924" s="17">
        <f t="shared" ca="1" si="14"/>
        <v>91.770239351848431</v>
      </c>
      <c r="BP924" t="b">
        <v>0</v>
      </c>
      <c r="BQ924">
        <v>1</v>
      </c>
      <c r="BR924" t="s">
        <v>1667</v>
      </c>
      <c r="BS924" t="s">
        <v>1796</v>
      </c>
      <c r="BT924" t="b">
        <v>0</v>
      </c>
      <c r="BV924" t="s">
        <v>1668</v>
      </c>
      <c r="BW924">
        <v>5002</v>
      </c>
      <c r="BX924" t="s">
        <v>1669</v>
      </c>
      <c r="BY924">
        <v>302310</v>
      </c>
      <c r="BZ924" t="s">
        <v>2573</v>
      </c>
      <c r="CA924">
        <v>1</v>
      </c>
      <c r="CB924" t="b">
        <v>1</v>
      </c>
      <c r="CC924">
        <v>0</v>
      </c>
      <c r="CD924" t="b">
        <v>0</v>
      </c>
      <c r="CE924" t="b">
        <v>0</v>
      </c>
      <c r="CF924" t="b">
        <v>1</v>
      </c>
      <c r="CG924">
        <v>2545708</v>
      </c>
      <c r="CH924" t="s">
        <v>1681</v>
      </c>
      <c r="CI924" s="10">
        <v>999950</v>
      </c>
      <c r="CJ924" s="7">
        <v>38828</v>
      </c>
    </row>
    <row r="925" spans="1:88">
      <c r="A925">
        <v>28005310</v>
      </c>
      <c r="B925" s="2" t="str">
        <f>HYPERLINK("http://www.redfin.com/stingray/do/printable-listing?listing-id=1384455","Active")</f>
        <v>Active</v>
      </c>
      <c r="D925" t="s">
        <v>3966</v>
      </c>
      <c r="E925" t="s">
        <v>4218</v>
      </c>
      <c r="F925">
        <v>1239000</v>
      </c>
      <c r="G925">
        <v>1912</v>
      </c>
      <c r="H925">
        <v>3411</v>
      </c>
      <c r="I925">
        <v>6000</v>
      </c>
      <c r="J925">
        <v>3</v>
      </c>
      <c r="K925">
        <v>3</v>
      </c>
      <c r="M925" s="2" t="str">
        <f>HYPERLINK("http://maps.live.com/default.aspx?v=2&amp;lvl=15&amp;sp=Point.47.612026_-122.287457_1115 36th Ave&amp;cp=47.612026~-122.287457","Map")</f>
        <v>Map</v>
      </c>
      <c r="N925" s="2" t="str">
        <f>HYPERLINK("http://i-0.rfimg.us/photo/1/bigphoto/310/28005310_0.jpg","Photo")</f>
        <v>Photo</v>
      </c>
      <c r="AG925">
        <v>47.612026</v>
      </c>
      <c r="AH925">
        <v>-122.287457</v>
      </c>
      <c r="AI925" t="s">
        <v>66</v>
      </c>
      <c r="AJ925">
        <v>98122</v>
      </c>
      <c r="AN925">
        <v>620000</v>
      </c>
      <c r="BC925" s="22">
        <v>39455.735613425924</v>
      </c>
      <c r="BI925" s="22">
        <v>39549.294907407406</v>
      </c>
      <c r="BL925">
        <v>24780</v>
      </c>
      <c r="BM925">
        <v>1384455</v>
      </c>
      <c r="BN925" t="s">
        <v>3253</v>
      </c>
      <c r="BO925" s="17">
        <f t="shared" ca="1" si="14"/>
        <v>93.573792476854578</v>
      </c>
      <c r="BP925" t="b">
        <v>0</v>
      </c>
      <c r="BQ925">
        <v>1</v>
      </c>
      <c r="BR925" t="s">
        <v>1667</v>
      </c>
      <c r="BS925" t="s">
        <v>2911</v>
      </c>
      <c r="BT925" t="b">
        <v>0</v>
      </c>
      <c r="BV925" t="s">
        <v>1668</v>
      </c>
      <c r="BW925">
        <v>1115</v>
      </c>
      <c r="BY925">
        <v>141811</v>
      </c>
      <c r="BZ925" t="s">
        <v>1745</v>
      </c>
      <c r="CA925">
        <v>1</v>
      </c>
      <c r="CB925" t="b">
        <v>1</v>
      </c>
      <c r="CC925">
        <v>0</v>
      </c>
      <c r="CD925" t="b">
        <v>0</v>
      </c>
      <c r="CE925" t="b">
        <v>0</v>
      </c>
      <c r="CF925" t="b">
        <v>1</v>
      </c>
      <c r="CG925">
        <v>2506738</v>
      </c>
      <c r="CH925" t="s">
        <v>1681</v>
      </c>
      <c r="CI925" s="10">
        <v>1239000</v>
      </c>
      <c r="CJ925" s="7">
        <v>36494</v>
      </c>
    </row>
    <row r="926" spans="1:88">
      <c r="A926">
        <v>28005332</v>
      </c>
      <c r="B926" s="2" t="str">
        <f>HYPERLINK("http://www.redfin.com/stingray/do/printable-listing?listing-id=1384500","Active")</f>
        <v>Active</v>
      </c>
      <c r="D926" t="s">
        <v>5280</v>
      </c>
      <c r="E926" t="s">
        <v>5956</v>
      </c>
      <c r="F926">
        <v>679950</v>
      </c>
      <c r="G926">
        <v>1980</v>
      </c>
      <c r="H926">
        <v>3440</v>
      </c>
      <c r="I926">
        <v>205603</v>
      </c>
      <c r="J926">
        <v>3</v>
      </c>
      <c r="K926">
        <v>3.25</v>
      </c>
      <c r="M926" s="2" t="str">
        <f>HYPERLINK("http://maps.live.com/default.aspx?v=2&amp;lvl=15&amp;sp=Point.47.549606_-122.082859_19217 SE 56th St&amp;cp=47.549606~-122.082859","Map")</f>
        <v>Map</v>
      </c>
      <c r="N926" s="2" t="str">
        <f>HYPERLINK("http://i-0.rfimg.us/photo/1/bigphoto/332/28005332_1.jpg","Photo")</f>
        <v>Photo</v>
      </c>
      <c r="AG926">
        <v>47.549605999999997</v>
      </c>
      <c r="AH926">
        <v>-122.082859</v>
      </c>
      <c r="AI926" t="s">
        <v>5280</v>
      </c>
      <c r="AJ926">
        <v>98027</v>
      </c>
      <c r="BC926" s="22">
        <v>39455.756585648145</v>
      </c>
      <c r="BI926" s="22">
        <v>39549.294907407406</v>
      </c>
      <c r="BL926">
        <v>13599</v>
      </c>
      <c r="BM926">
        <v>1384500</v>
      </c>
      <c r="BN926" t="s">
        <v>5955</v>
      </c>
      <c r="BO926" s="17">
        <f t="shared" ca="1" si="14"/>
        <v>93.552820254633843</v>
      </c>
      <c r="BP926" t="b">
        <v>0</v>
      </c>
      <c r="BQ926">
        <v>1</v>
      </c>
      <c r="BR926" t="s">
        <v>1686</v>
      </c>
      <c r="BS926" t="s">
        <v>2467</v>
      </c>
      <c r="BT926" t="b">
        <v>0</v>
      </c>
      <c r="BU926" t="s">
        <v>3856</v>
      </c>
      <c r="BV926" t="s">
        <v>1668</v>
      </c>
      <c r="BW926">
        <v>19217</v>
      </c>
      <c r="BY926">
        <v>419590</v>
      </c>
      <c r="BZ926" t="s">
        <v>5957</v>
      </c>
      <c r="CA926">
        <v>1</v>
      </c>
      <c r="CB926" t="b">
        <v>1</v>
      </c>
      <c r="CC926">
        <v>0</v>
      </c>
      <c r="CD926" t="b">
        <v>0</v>
      </c>
      <c r="CE926" t="b">
        <v>0</v>
      </c>
      <c r="CF926" t="b">
        <v>1</v>
      </c>
      <c r="CG926">
        <v>2458444</v>
      </c>
      <c r="CH926" t="s">
        <v>1681</v>
      </c>
      <c r="CI926" s="10">
        <v>679950</v>
      </c>
    </row>
    <row r="927" spans="1:88">
      <c r="A927">
        <v>28005350</v>
      </c>
      <c r="B927" s="2" t="str">
        <f>HYPERLINK("http://www.redfin.com/stingray/do/printable-listing?listing-id=1384562","Active")</f>
        <v>Active</v>
      </c>
      <c r="D927" t="s">
        <v>1077</v>
      </c>
      <c r="E927" t="s">
        <v>6011</v>
      </c>
      <c r="F927">
        <v>545000</v>
      </c>
      <c r="G927">
        <v>1995</v>
      </c>
      <c r="H927">
        <v>2600</v>
      </c>
      <c r="I927">
        <v>10836</v>
      </c>
      <c r="J927">
        <v>4</v>
      </c>
      <c r="K927">
        <v>3</v>
      </c>
      <c r="M927" s="2" t="str">
        <f>HYPERLINK("http://maps.live.com/default.aspx?v=2&amp;lvl=15&amp;sp=Point.47.498725_-122.164146_950 union Ave NE&amp;cp=47.498725~-122.164146","Map")</f>
        <v>Map</v>
      </c>
      <c r="N927" s="2" t="str">
        <f>HYPERLINK("http://i-0.rfimg.us/photo/1/bigphoto/350/28005350_1.jpg","Photo")</f>
        <v>Photo</v>
      </c>
      <c r="AG927">
        <v>47.498725</v>
      </c>
      <c r="AH927">
        <v>-122.164146</v>
      </c>
      <c r="AI927" t="s">
        <v>1077</v>
      </c>
      <c r="AJ927">
        <v>98059</v>
      </c>
      <c r="AN927">
        <v>60000</v>
      </c>
      <c r="BC927" s="22">
        <v>39455.77652777778</v>
      </c>
      <c r="BI927" s="22">
        <v>39549.294907407406</v>
      </c>
      <c r="BL927">
        <v>10900</v>
      </c>
      <c r="BM927">
        <v>1384562</v>
      </c>
      <c r="BN927" t="s">
        <v>1673</v>
      </c>
      <c r="BO927" s="17">
        <f t="shared" ca="1" si="14"/>
        <v>93.532878124999115</v>
      </c>
      <c r="BP927" t="b">
        <v>0</v>
      </c>
      <c r="BQ927">
        <v>1</v>
      </c>
      <c r="BR927" t="s">
        <v>1667</v>
      </c>
      <c r="BS927" t="s">
        <v>6012</v>
      </c>
      <c r="BT927" t="b">
        <v>0</v>
      </c>
      <c r="BV927" t="s">
        <v>1668</v>
      </c>
      <c r="BW927">
        <v>950</v>
      </c>
      <c r="BX927" t="s">
        <v>1738</v>
      </c>
      <c r="BY927">
        <v>244322</v>
      </c>
      <c r="BZ927" t="s">
        <v>4706</v>
      </c>
      <c r="CA927">
        <v>1</v>
      </c>
      <c r="CB927" t="b">
        <v>1</v>
      </c>
      <c r="CC927">
        <v>0</v>
      </c>
      <c r="CD927" t="b">
        <v>0</v>
      </c>
      <c r="CE927" t="b">
        <v>0</v>
      </c>
      <c r="CF927" t="b">
        <v>1</v>
      </c>
      <c r="CG927">
        <v>2863845</v>
      </c>
      <c r="CH927" t="s">
        <v>1681</v>
      </c>
      <c r="CI927" s="10">
        <v>545000</v>
      </c>
      <c r="CJ927" s="7">
        <v>34239</v>
      </c>
    </row>
    <row r="928" spans="1:88">
      <c r="A928">
        <v>28005358</v>
      </c>
      <c r="B928" s="2" t="str">
        <f>HYPERLINK("http://www.redfin.com/stingray/do/printable-listing?listing-id=1384581","Subject To Inspection")</f>
        <v>Subject To Inspection</v>
      </c>
      <c r="D928" t="s">
        <v>5629</v>
      </c>
      <c r="E928" t="s">
        <v>5641</v>
      </c>
      <c r="F928">
        <v>599950</v>
      </c>
      <c r="G928">
        <v>1991</v>
      </c>
      <c r="H928">
        <v>2380</v>
      </c>
      <c r="I928">
        <v>6970</v>
      </c>
      <c r="J928">
        <v>3</v>
      </c>
      <c r="K928">
        <v>2.5</v>
      </c>
      <c r="M928" s="2" t="str">
        <f>HYPERLINK("http://maps.live.com/default.aspx?v=2&amp;lvl=15&amp;sp=Point.47.526923_-122.170564_8418 127th Pl SE&amp;cp=47.526923~-122.170564","Map")</f>
        <v>Map</v>
      </c>
      <c r="N928" s="2" t="str">
        <f>HYPERLINK("http://i-0.rfimg.us/photo/1/bigphoto/358/28005358_3.jpg","Photo")</f>
        <v>Photo</v>
      </c>
      <c r="AG928">
        <v>47.526922999999996</v>
      </c>
      <c r="AH928">
        <v>-122.170564</v>
      </c>
      <c r="AI928" t="s">
        <v>3885</v>
      </c>
      <c r="AJ928">
        <v>98056</v>
      </c>
      <c r="AN928">
        <v>530000</v>
      </c>
      <c r="BC928" s="22">
        <v>39455.789895833332</v>
      </c>
      <c r="BI928" s="22">
        <v>39549.294907407406</v>
      </c>
      <c r="BL928">
        <v>11999</v>
      </c>
      <c r="BM928">
        <v>1384581</v>
      </c>
      <c r="BN928" t="s">
        <v>1674</v>
      </c>
      <c r="BO928" s="17">
        <f t="shared" ca="1" si="14"/>
        <v>93.519510069447279</v>
      </c>
      <c r="BP928" t="b">
        <v>0</v>
      </c>
      <c r="BQ928">
        <v>2</v>
      </c>
      <c r="BR928" t="s">
        <v>1842</v>
      </c>
      <c r="BS928" t="s">
        <v>2698</v>
      </c>
      <c r="BT928" t="b">
        <v>0</v>
      </c>
      <c r="BV928" t="s">
        <v>1668</v>
      </c>
      <c r="BW928">
        <v>8418</v>
      </c>
      <c r="BX928" t="s">
        <v>3856</v>
      </c>
      <c r="BY928">
        <v>414270</v>
      </c>
      <c r="BZ928" t="s">
        <v>5584</v>
      </c>
      <c r="CA928">
        <v>1</v>
      </c>
      <c r="CB928" t="b">
        <v>1</v>
      </c>
      <c r="CC928">
        <v>0</v>
      </c>
      <c r="CD928" t="b">
        <v>0</v>
      </c>
      <c r="CE928" t="b">
        <v>0</v>
      </c>
      <c r="CF928" t="b">
        <v>1</v>
      </c>
      <c r="CG928">
        <v>2372944</v>
      </c>
      <c r="CH928" t="s">
        <v>1681</v>
      </c>
      <c r="CI928" s="10">
        <v>599950</v>
      </c>
      <c r="CJ928" s="7">
        <v>38491</v>
      </c>
    </row>
    <row r="929" spans="1:89">
      <c r="A929">
        <v>28005371</v>
      </c>
      <c r="B929" s="2" t="str">
        <f>HYPERLINK("http://www.redfin.com/stingray/do/printable-listing?listing-id=1384624","Active")</f>
        <v>Active</v>
      </c>
      <c r="D929" t="s">
        <v>1058</v>
      </c>
      <c r="E929" t="s">
        <v>4432</v>
      </c>
      <c r="F929">
        <v>379950</v>
      </c>
      <c r="G929">
        <v>1962</v>
      </c>
      <c r="H929">
        <v>1610</v>
      </c>
      <c r="I929">
        <v>9750</v>
      </c>
      <c r="J929">
        <v>4</v>
      </c>
      <c r="K929">
        <v>1.75</v>
      </c>
      <c r="M929" s="2" t="str">
        <f>HYPERLINK("http://maps.live.com/default.aspx?v=2&amp;lvl=15&amp;sp=Point.47.717117_-122.194467_13024 110th Ave NE&amp;cp=47.717117~-122.194467","Map")</f>
        <v>Map</v>
      </c>
      <c r="N929" s="2" t="str">
        <f>HYPERLINK("http://i-0.rfimg.us/photo/1/bigphoto/371/28005371_0.jpg","Photo")</f>
        <v>Photo</v>
      </c>
      <c r="AG929">
        <v>47.717117000000002</v>
      </c>
      <c r="AH929">
        <v>-122.194467</v>
      </c>
      <c r="AI929" t="s">
        <v>1058</v>
      </c>
      <c r="AJ929">
        <v>98034</v>
      </c>
      <c r="AN929">
        <v>244500</v>
      </c>
      <c r="BC929" s="22">
        <v>39455.83184027778</v>
      </c>
      <c r="BI929" s="22">
        <v>39549.294907407406</v>
      </c>
      <c r="BL929">
        <v>7599</v>
      </c>
      <c r="BM929">
        <v>1384624</v>
      </c>
      <c r="BN929" t="s">
        <v>3171</v>
      </c>
      <c r="BO929" s="17">
        <f t="shared" ca="1" si="14"/>
        <v>93.477565624998533</v>
      </c>
      <c r="BP929" t="b">
        <v>0</v>
      </c>
      <c r="BQ929">
        <v>1</v>
      </c>
      <c r="BR929" t="s">
        <v>1667</v>
      </c>
      <c r="BS929" t="s">
        <v>4369</v>
      </c>
      <c r="BT929" t="b">
        <v>0</v>
      </c>
      <c r="BV929" t="s">
        <v>1668</v>
      </c>
      <c r="BW929">
        <v>13024</v>
      </c>
      <c r="BX929" t="s">
        <v>1738</v>
      </c>
      <c r="BY929">
        <v>458676</v>
      </c>
      <c r="BZ929" t="s">
        <v>1745</v>
      </c>
      <c r="CA929">
        <v>1</v>
      </c>
      <c r="CB929" t="b">
        <v>1</v>
      </c>
      <c r="CC929">
        <v>0</v>
      </c>
      <c r="CD929" t="b">
        <v>0</v>
      </c>
      <c r="CE929" t="b">
        <v>0</v>
      </c>
      <c r="CF929" t="b">
        <v>1</v>
      </c>
      <c r="CG929">
        <v>2750424</v>
      </c>
      <c r="CH929" t="s">
        <v>1681</v>
      </c>
      <c r="CI929" s="10">
        <v>379950</v>
      </c>
      <c r="CJ929" s="7">
        <v>37363</v>
      </c>
    </row>
    <row r="930" spans="1:89">
      <c r="A930">
        <v>28005407</v>
      </c>
      <c r="B930" s="2" t="str">
        <f>HYPERLINK("http://www.redfin.com/stingray/do/printable-listing?listing-id=1385826","Active")</f>
        <v>Active</v>
      </c>
      <c r="D930" t="s">
        <v>3089</v>
      </c>
      <c r="E930" t="s">
        <v>3733</v>
      </c>
      <c r="F930">
        <v>4500000</v>
      </c>
      <c r="G930">
        <v>1961</v>
      </c>
      <c r="H930">
        <v>7748</v>
      </c>
      <c r="I930">
        <v>24338</v>
      </c>
      <c r="J930">
        <v>5</v>
      </c>
      <c r="K930">
        <v>4</v>
      </c>
      <c r="M930" s="2" t="str">
        <f>HYPERLINK("http://maps.live.com/default.aspx?v=2&amp;lvl=15&amp;sp=Point.47.655188_-122.28363_4105 NE Surber Dr&amp;cp=47.655188~-122.28363","Map")</f>
        <v>Map</v>
      </c>
      <c r="N930" s="2" t="str">
        <f>HYPERLINK("http://i-0.rfimg.us/photo/1/bigphoto/407/28005407_2.jpg","Photo")</f>
        <v>Photo</v>
      </c>
      <c r="AG930">
        <v>47.655188000000003</v>
      </c>
      <c r="AH930">
        <v>-122.28363</v>
      </c>
      <c r="AI930" t="s">
        <v>66</v>
      </c>
      <c r="AJ930">
        <v>98105</v>
      </c>
      <c r="AN930">
        <v>537000</v>
      </c>
      <c r="BC930" s="22">
        <v>39456.29587962963</v>
      </c>
      <c r="BI930" s="22">
        <v>39549.294907407406</v>
      </c>
      <c r="BL930">
        <v>90000</v>
      </c>
      <c r="BM930">
        <v>1385826</v>
      </c>
      <c r="BN930" t="s">
        <v>1674</v>
      </c>
      <c r="BO930" s="17">
        <f t="shared" ca="1" si="14"/>
        <v>93.013526273149182</v>
      </c>
      <c r="BP930" t="b">
        <v>0</v>
      </c>
      <c r="BQ930">
        <v>1</v>
      </c>
      <c r="BR930" t="s">
        <v>1816</v>
      </c>
      <c r="BS930" t="s">
        <v>3734</v>
      </c>
      <c r="BT930" t="b">
        <v>0</v>
      </c>
      <c r="BU930" t="s">
        <v>1738</v>
      </c>
      <c r="BV930" t="s">
        <v>1668</v>
      </c>
      <c r="BW930">
        <v>4105</v>
      </c>
      <c r="BY930">
        <v>122533</v>
      </c>
      <c r="BZ930" t="s">
        <v>1730</v>
      </c>
      <c r="CA930">
        <v>1</v>
      </c>
      <c r="CB930" t="b">
        <v>1</v>
      </c>
      <c r="CC930">
        <v>0</v>
      </c>
      <c r="CD930" t="b">
        <v>0</v>
      </c>
      <c r="CE930" t="b">
        <v>0</v>
      </c>
      <c r="CF930" t="b">
        <v>1</v>
      </c>
      <c r="CG930">
        <v>2774666</v>
      </c>
      <c r="CH930" t="s">
        <v>1681</v>
      </c>
      <c r="CI930" s="10">
        <v>4500000</v>
      </c>
      <c r="CJ930" s="7">
        <v>30865</v>
      </c>
    </row>
    <row r="931" spans="1:89">
      <c r="A931">
        <v>28005465</v>
      </c>
      <c r="B931" s="15" t="str">
        <f>HYPERLINK("http://www.redfin.com/stingray/do/printable-listing?listing-id=1387255","Subject To Inspection")</f>
        <v>Subject To Inspection</v>
      </c>
      <c r="D931" t="s">
        <v>6050</v>
      </c>
      <c r="E931" t="s">
        <v>6135</v>
      </c>
      <c r="F931" s="19">
        <v>429999</v>
      </c>
      <c r="G931">
        <v>1978</v>
      </c>
      <c r="H931">
        <v>2160</v>
      </c>
      <c r="I931">
        <v>10164</v>
      </c>
      <c r="J931">
        <v>4</v>
      </c>
      <c r="K931">
        <v>2.25</v>
      </c>
      <c r="M931" s="2" t="str">
        <f>HYPERLINK("http://maps.live.com/default.aspx?v=2&amp;lvl=15&amp;sp=Point.47.512822_-122.164301_4101 NE 24th St&amp;cp=47.512822~-122.164301","Map")</f>
        <v>Map</v>
      </c>
      <c r="N931" s="2" t="str">
        <f>HYPERLINK("http://i-0.rfimg.us/photo/1/bigphoto/465/28005465_2.jpg","Photo")</f>
        <v>Photo</v>
      </c>
      <c r="AG931">
        <v>47.512822</v>
      </c>
      <c r="AH931">
        <v>-122.16430099999999</v>
      </c>
      <c r="AI931" t="s">
        <v>1077</v>
      </c>
      <c r="AJ931">
        <v>98059</v>
      </c>
      <c r="BC931" s="22">
        <v>39456.652407407404</v>
      </c>
      <c r="BI931" s="22">
        <v>39549.294907407406</v>
      </c>
      <c r="BL931">
        <v>8700</v>
      </c>
      <c r="BM931">
        <v>1387255</v>
      </c>
      <c r="BN931" t="s">
        <v>2590</v>
      </c>
      <c r="BO931" s="17">
        <f t="shared" ca="1" si="14"/>
        <v>92.656998495374864</v>
      </c>
      <c r="BP931" t="b">
        <v>0</v>
      </c>
      <c r="BQ931">
        <v>1</v>
      </c>
      <c r="BR931" t="s">
        <v>1686</v>
      </c>
      <c r="BS931" t="s">
        <v>1740</v>
      </c>
      <c r="BT931" t="b">
        <v>0</v>
      </c>
      <c r="BU931" t="s">
        <v>1738</v>
      </c>
      <c r="BV931" t="s">
        <v>1668</v>
      </c>
      <c r="BW931">
        <v>4101</v>
      </c>
      <c r="BY931">
        <v>410707</v>
      </c>
      <c r="BZ931" t="s">
        <v>6136</v>
      </c>
      <c r="CA931">
        <v>1</v>
      </c>
      <c r="CB931" t="b">
        <v>1</v>
      </c>
      <c r="CC931">
        <v>0</v>
      </c>
      <c r="CD931" t="b">
        <v>0</v>
      </c>
      <c r="CE931" t="b">
        <v>0</v>
      </c>
      <c r="CF931" t="b">
        <v>1</v>
      </c>
      <c r="CG931">
        <v>2979161</v>
      </c>
      <c r="CH931" t="s">
        <v>1681</v>
      </c>
      <c r="CI931" s="10">
        <v>434999</v>
      </c>
    </row>
    <row r="932" spans="1:89">
      <c r="A932">
        <v>28005473</v>
      </c>
      <c r="B932" s="2" t="str">
        <f>HYPERLINK("http://www.redfin.com/stingray/do/printable-listing?listing-id=1385951","Active")</f>
        <v>Active</v>
      </c>
      <c r="D932" t="s">
        <v>2850</v>
      </c>
      <c r="E932" t="s">
        <v>4443</v>
      </c>
      <c r="F932">
        <v>639900</v>
      </c>
      <c r="G932">
        <v>2008</v>
      </c>
      <c r="H932">
        <v>1919</v>
      </c>
      <c r="I932">
        <v>1587</v>
      </c>
      <c r="J932">
        <v>2</v>
      </c>
      <c r="K932">
        <v>2.5</v>
      </c>
      <c r="M932" s="2" t="str">
        <f>HYPERLINK("http://maps.live.com/default.aspx?v=2&amp;lvl=15&amp;sp=Point.47.704137_-122.210146_9824 NE 116th St&amp;cp=47.704137~-122.210146","Map")</f>
        <v>Map</v>
      </c>
      <c r="N932" s="2" t="str">
        <f>HYPERLINK("http://i-0.rfimg.us/photo/1/bigphoto/473/28005473_0.jpg","Photo")</f>
        <v>Photo</v>
      </c>
      <c r="AG932">
        <v>47.704137000000003</v>
      </c>
      <c r="AH932">
        <v>-122.21014599999999</v>
      </c>
      <c r="AI932" t="s">
        <v>1058</v>
      </c>
      <c r="AJ932">
        <v>98034</v>
      </c>
      <c r="BC932" s="22">
        <v>39456.36922453704</v>
      </c>
      <c r="BI932" s="22">
        <v>39549.294907407406</v>
      </c>
      <c r="BL932">
        <v>12798</v>
      </c>
      <c r="BM932">
        <v>1385951</v>
      </c>
      <c r="BN932" t="s">
        <v>4442</v>
      </c>
      <c r="BO932" s="17">
        <f t="shared" ca="1" si="14"/>
        <v>92.940181365738681</v>
      </c>
      <c r="BP932" t="b">
        <v>0</v>
      </c>
      <c r="BQ932">
        <v>1</v>
      </c>
      <c r="BR932" t="s">
        <v>1686</v>
      </c>
      <c r="BS932" t="s">
        <v>4441</v>
      </c>
      <c r="BT932" t="b">
        <v>0</v>
      </c>
      <c r="BU932" t="s">
        <v>1738</v>
      </c>
      <c r="BV932" t="s">
        <v>1668</v>
      </c>
      <c r="BW932">
        <v>9824</v>
      </c>
      <c r="BY932">
        <v>12328372</v>
      </c>
      <c r="BZ932" t="s">
        <v>1672</v>
      </c>
      <c r="CA932">
        <v>1</v>
      </c>
      <c r="CB932" t="b">
        <v>1</v>
      </c>
      <c r="CC932">
        <v>0</v>
      </c>
      <c r="CD932" t="b">
        <v>0</v>
      </c>
      <c r="CE932" t="b">
        <v>0</v>
      </c>
      <c r="CF932" t="b">
        <v>1</v>
      </c>
      <c r="CG932">
        <v>15534382</v>
      </c>
      <c r="CH932" t="s">
        <v>1681</v>
      </c>
      <c r="CI932" s="10">
        <v>639900</v>
      </c>
    </row>
    <row r="933" spans="1:89">
      <c r="A933">
        <v>28005476</v>
      </c>
      <c r="B933" s="2" t="str">
        <f>HYPERLINK("http://www.redfin.com/stingray/do/printable-listing?listing-id=1385950","Active")</f>
        <v>Active</v>
      </c>
      <c r="D933" t="s">
        <v>2850</v>
      </c>
      <c r="E933" t="s">
        <v>4447</v>
      </c>
      <c r="F933">
        <v>699900</v>
      </c>
      <c r="G933">
        <v>2008</v>
      </c>
      <c r="H933">
        <v>2567</v>
      </c>
      <c r="I933">
        <v>1558</v>
      </c>
      <c r="J933">
        <v>3</v>
      </c>
      <c r="K933">
        <v>3.5</v>
      </c>
      <c r="M933" s="2" t="str">
        <f>HYPERLINK("http://maps.live.com/default.aspx?v=2&amp;lvl=15&amp;sp=Point.47.704137_-122.210166_9820 NE 116th St&amp;cp=47.704137~-122.210166","Map")</f>
        <v>Map</v>
      </c>
      <c r="N933" s="2" t="str">
        <f>HYPERLINK("http://i-0.rfimg.us/photo/1/bigphoto/476/28005476_0.jpg","Photo")</f>
        <v>Photo</v>
      </c>
      <c r="AG933">
        <v>47.704137000000003</v>
      </c>
      <c r="AH933">
        <v>-122.210166</v>
      </c>
      <c r="AI933" t="s">
        <v>1058</v>
      </c>
      <c r="AJ933">
        <v>98034</v>
      </c>
      <c r="BC933" s="22">
        <v>39456.36922453704</v>
      </c>
      <c r="BI933" s="22">
        <v>39549.294907407406</v>
      </c>
      <c r="BL933">
        <v>13998</v>
      </c>
      <c r="BM933">
        <v>1385950</v>
      </c>
      <c r="BN933" t="s">
        <v>4442</v>
      </c>
      <c r="BO933" s="17">
        <f t="shared" ca="1" si="14"/>
        <v>92.940181365738681</v>
      </c>
      <c r="BP933" t="b">
        <v>0</v>
      </c>
      <c r="BQ933">
        <v>1</v>
      </c>
      <c r="BR933" t="s">
        <v>1686</v>
      </c>
      <c r="BS933" t="s">
        <v>4441</v>
      </c>
      <c r="BT933" t="b">
        <v>0</v>
      </c>
      <c r="BU933" t="s">
        <v>1738</v>
      </c>
      <c r="BV933" t="s">
        <v>1668</v>
      </c>
      <c r="BW933">
        <v>9820</v>
      </c>
      <c r="BY933">
        <v>12328403</v>
      </c>
      <c r="BZ933" t="s">
        <v>1672</v>
      </c>
      <c r="CA933">
        <v>1</v>
      </c>
      <c r="CB933" t="b">
        <v>1</v>
      </c>
      <c r="CC933">
        <v>0</v>
      </c>
      <c r="CD933" t="b">
        <v>0</v>
      </c>
      <c r="CE933" t="b">
        <v>0</v>
      </c>
      <c r="CF933" t="b">
        <v>1</v>
      </c>
      <c r="CG933">
        <v>15534413</v>
      </c>
      <c r="CH933" t="s">
        <v>1681</v>
      </c>
      <c r="CI933" s="10">
        <v>699900</v>
      </c>
    </row>
    <row r="934" spans="1:89">
      <c r="A934">
        <v>28005485</v>
      </c>
      <c r="B934" s="2" t="str">
        <f>HYPERLINK("http://www.redfin.com/stingray/do/printable-listing?listing-id=1402870","Active")</f>
        <v>Active</v>
      </c>
      <c r="D934" t="s">
        <v>3249</v>
      </c>
      <c r="E934" t="s">
        <v>3523</v>
      </c>
      <c r="F934" s="19">
        <v>460000</v>
      </c>
      <c r="G934">
        <v>1995</v>
      </c>
      <c r="H934">
        <v>1540</v>
      </c>
      <c r="I934">
        <v>0</v>
      </c>
      <c r="J934">
        <v>3</v>
      </c>
      <c r="K934">
        <v>2.5</v>
      </c>
      <c r="M934" s="2" t="str">
        <f>HYPERLINK("http://maps.live.com/default.aspx?v=2&amp;lvl=15&amp;sp=Point.47.645652_-122.374361_2829 Prosch Ave W&amp;cp=47.645652~-122.374361","Map")</f>
        <v>Map</v>
      </c>
      <c r="N934" s="2" t="str">
        <f>HYPERLINK("http://i-0.rfimg.us/photo/1/bigphoto/485/28005485_0.jpg","Photo")</f>
        <v>Photo</v>
      </c>
      <c r="AG934">
        <v>47.645651999999998</v>
      </c>
      <c r="AH934">
        <v>-122.37436099999999</v>
      </c>
      <c r="AI934" t="s">
        <v>66</v>
      </c>
      <c r="AJ934">
        <v>98119</v>
      </c>
      <c r="AN934">
        <v>455500</v>
      </c>
      <c r="BC934" s="22">
        <v>39462.783784722225</v>
      </c>
      <c r="BI934" s="22">
        <v>39549.294907407406</v>
      </c>
      <c r="BL934">
        <v>9500</v>
      </c>
      <c r="BM934">
        <v>1402870</v>
      </c>
      <c r="BN934" t="s">
        <v>2590</v>
      </c>
      <c r="BO934" s="17">
        <f t="shared" ca="1" si="14"/>
        <v>86.525621180553571</v>
      </c>
      <c r="BP934" t="b">
        <v>0</v>
      </c>
      <c r="BQ934">
        <v>1</v>
      </c>
      <c r="BR934" t="s">
        <v>1667</v>
      </c>
      <c r="BS934" t="s">
        <v>3524</v>
      </c>
      <c r="BT934" t="b">
        <v>0</v>
      </c>
      <c r="BV934" t="s">
        <v>1668</v>
      </c>
      <c r="BW934">
        <v>2829</v>
      </c>
      <c r="BX934" t="s">
        <v>2423</v>
      </c>
      <c r="BY934">
        <v>129218</v>
      </c>
      <c r="BZ934" t="s">
        <v>1745</v>
      </c>
      <c r="CA934">
        <v>1</v>
      </c>
      <c r="CB934" t="b">
        <v>1</v>
      </c>
      <c r="CC934">
        <v>0</v>
      </c>
      <c r="CD934" t="b">
        <v>0</v>
      </c>
      <c r="CE934" t="b">
        <v>0</v>
      </c>
      <c r="CF934" t="b">
        <v>1</v>
      </c>
      <c r="CG934">
        <v>2455340</v>
      </c>
      <c r="CH934" t="s">
        <v>1681</v>
      </c>
      <c r="CI934" s="10">
        <v>475000</v>
      </c>
      <c r="CJ934" s="7">
        <v>38632</v>
      </c>
    </row>
    <row r="935" spans="1:89">
      <c r="A935">
        <v>28005527</v>
      </c>
      <c r="B935" s="2" t="str">
        <f>HYPERLINK("http://www.redfin.com/stingray/do/printable-listing?listing-id=1386059","Active")</f>
        <v>Active</v>
      </c>
      <c r="D935" t="s">
        <v>5191</v>
      </c>
      <c r="E935" t="s">
        <v>5685</v>
      </c>
      <c r="F935">
        <v>750000</v>
      </c>
      <c r="G935">
        <v>1981</v>
      </c>
      <c r="H935">
        <v>2760</v>
      </c>
      <c r="I935">
        <v>10004</v>
      </c>
      <c r="J935">
        <v>3</v>
      </c>
      <c r="K935">
        <v>2.5</v>
      </c>
      <c r="M935" s="2" t="str">
        <f>HYPERLINK("http://maps.live.com/default.aspx?v=2&amp;lvl=15&amp;sp=Point.47.549705_-122.143395_5835 146 Pl SE&amp;cp=47.549705~-122.143395","Map")</f>
        <v>Map</v>
      </c>
      <c r="N935" s="2" t="str">
        <f>HYPERLINK("http://i-0.rfimg.us/photo/1/bigphoto/527/28005527_0.jpg","Photo")</f>
        <v>Photo</v>
      </c>
      <c r="AG935">
        <v>47.549705000000003</v>
      </c>
      <c r="AH935">
        <v>-122.143395</v>
      </c>
      <c r="AI935" t="s">
        <v>369</v>
      </c>
      <c r="AJ935">
        <v>98006</v>
      </c>
      <c r="BC935" s="22">
        <v>39456.411145833335</v>
      </c>
      <c r="BI935" s="22">
        <v>39549.294907407406</v>
      </c>
      <c r="BL935">
        <v>15000</v>
      </c>
      <c r="BM935">
        <v>1386059</v>
      </c>
      <c r="BN935" t="s">
        <v>1674</v>
      </c>
      <c r="BO935" s="17">
        <f t="shared" ca="1" si="14"/>
        <v>92.898260069443495</v>
      </c>
      <c r="BP935" t="b">
        <v>0</v>
      </c>
      <c r="BQ935">
        <v>1</v>
      </c>
      <c r="BR935" t="s">
        <v>1842</v>
      </c>
      <c r="BS935">
        <v>146</v>
      </c>
      <c r="BT935" t="b">
        <v>0</v>
      </c>
      <c r="BV935" t="s">
        <v>1668</v>
      </c>
      <c r="BW935">
        <v>5835</v>
      </c>
      <c r="BX935" t="s">
        <v>3856</v>
      </c>
      <c r="BY935">
        <v>236045</v>
      </c>
      <c r="BZ935" t="s">
        <v>1676</v>
      </c>
      <c r="CA935">
        <v>1</v>
      </c>
      <c r="CB935" t="b">
        <v>1</v>
      </c>
      <c r="CC935">
        <v>0</v>
      </c>
      <c r="CD935" t="b">
        <v>0</v>
      </c>
      <c r="CE935" t="b">
        <v>0</v>
      </c>
      <c r="CF935" t="b">
        <v>1</v>
      </c>
      <c r="CG935">
        <v>2693437</v>
      </c>
      <c r="CH935" t="s">
        <v>1681</v>
      </c>
      <c r="CI935" s="10">
        <v>750000</v>
      </c>
    </row>
    <row r="936" spans="1:89">
      <c r="A936">
        <v>28005564</v>
      </c>
      <c r="B936" s="15" t="str">
        <f>HYPERLINK("http://www.redfin.com/stingray/do/printable-listing?listing-id=1386117","Subject To Inspection")</f>
        <v>Subject To Inspection</v>
      </c>
      <c r="D936" t="s">
        <v>3885</v>
      </c>
      <c r="E936" t="s">
        <v>5769</v>
      </c>
      <c r="F936">
        <v>359500</v>
      </c>
      <c r="G936">
        <v>1960</v>
      </c>
      <c r="H936">
        <v>1280</v>
      </c>
      <c r="I936">
        <v>23175</v>
      </c>
      <c r="J936">
        <v>3</v>
      </c>
      <c r="K936">
        <v>1.75</v>
      </c>
      <c r="M936" s="2" t="str">
        <f>HYPERLINK("http://maps.live.com/default.aspx?v=2&amp;lvl=15&amp;sp=Point.47.523028_-122.161744_8936 133rd Ave SE&amp;cp=47.523028~-122.161744","Map")</f>
        <v>Map</v>
      </c>
      <c r="N936" s="2" t="str">
        <f>HYPERLINK("http://i-0.rfimg.us/photo/1/bigphoto/564/28005564_1.jpg","Photo")</f>
        <v>Photo</v>
      </c>
      <c r="AG936">
        <v>47.523027999999996</v>
      </c>
      <c r="AH936">
        <v>-122.161744</v>
      </c>
      <c r="AI936" t="s">
        <v>3885</v>
      </c>
      <c r="AJ936">
        <v>98059</v>
      </c>
      <c r="BC936" s="22">
        <v>39456.432893518519</v>
      </c>
      <c r="BI936" s="22">
        <v>39547.913935185185</v>
      </c>
      <c r="BL936">
        <v>7190</v>
      </c>
      <c r="BM936">
        <v>1386117</v>
      </c>
      <c r="BN936" t="s">
        <v>1768</v>
      </c>
      <c r="BO936" s="17">
        <f t="shared" ca="1" si="14"/>
        <v>92.876512384260423</v>
      </c>
      <c r="BP936" t="b">
        <v>0</v>
      </c>
      <c r="BQ936">
        <v>1</v>
      </c>
      <c r="BR936" t="s">
        <v>1667</v>
      </c>
      <c r="BS936" t="s">
        <v>4416</v>
      </c>
      <c r="BT936" t="b">
        <v>0</v>
      </c>
      <c r="BV936" t="s">
        <v>1668</v>
      </c>
      <c r="BW936">
        <v>8936</v>
      </c>
      <c r="BX936" t="s">
        <v>3856</v>
      </c>
      <c r="BY936">
        <v>12329142</v>
      </c>
      <c r="BZ936" t="s">
        <v>2429</v>
      </c>
      <c r="CA936">
        <v>1</v>
      </c>
      <c r="CB936" t="b">
        <v>1</v>
      </c>
      <c r="CC936">
        <v>0</v>
      </c>
      <c r="CD936" t="b">
        <v>0</v>
      </c>
      <c r="CE936" t="b">
        <v>0</v>
      </c>
      <c r="CF936" t="b">
        <v>1</v>
      </c>
      <c r="CG936">
        <v>15535144</v>
      </c>
      <c r="CH936" t="s">
        <v>1681</v>
      </c>
      <c r="CI936" s="10">
        <v>359500</v>
      </c>
    </row>
    <row r="937" spans="1:89">
      <c r="A937">
        <v>28005609</v>
      </c>
      <c r="B937" s="2" t="str">
        <f>HYPERLINK("http://www.redfin.com/stingray/do/printable-listing?listing-id=1386228","Active")</f>
        <v>Active</v>
      </c>
      <c r="D937" t="s">
        <v>3839</v>
      </c>
      <c r="E937" t="s">
        <v>6107</v>
      </c>
      <c r="F937">
        <v>1099950</v>
      </c>
      <c r="G937">
        <v>2007</v>
      </c>
      <c r="H937">
        <v>4828</v>
      </c>
      <c r="I937">
        <v>11500</v>
      </c>
      <c r="J937">
        <v>6</v>
      </c>
      <c r="K937">
        <v>3.5</v>
      </c>
      <c r="M937" s="2" t="str">
        <f>HYPERLINK("http://maps.live.com/default.aspx?v=2&amp;lvl=15&amp;sp=Point.47.5003_-122.1512_1731 Mt Baker Ave NE&amp;cp=47.5003~-122.1512","Map")</f>
        <v>Map</v>
      </c>
      <c r="N937" s="2" t="str">
        <f>HYPERLINK("http://i-0.rfimg.us/photo/1/bigphoto/609/28005609_0.jpg","Photo")</f>
        <v>Photo</v>
      </c>
      <c r="AG937">
        <v>47.500300000000003</v>
      </c>
      <c r="AH937">
        <v>-122.1512</v>
      </c>
      <c r="AI937" t="s">
        <v>1077</v>
      </c>
      <c r="AJ937">
        <v>98059</v>
      </c>
      <c r="BC937" s="22">
        <v>39456.465636574074</v>
      </c>
      <c r="BI937" s="22">
        <v>39549.294907407406</v>
      </c>
      <c r="BL937">
        <v>21999</v>
      </c>
      <c r="BM937">
        <v>1386228</v>
      </c>
      <c r="BN937" t="s">
        <v>3236</v>
      </c>
      <c r="BO937" s="17">
        <f t="shared" ca="1" si="14"/>
        <v>92.843769328705093</v>
      </c>
      <c r="BP937" t="b">
        <v>0</v>
      </c>
      <c r="BQ937">
        <v>1</v>
      </c>
      <c r="BR937" t="s">
        <v>1667</v>
      </c>
      <c r="BS937" t="s">
        <v>6108</v>
      </c>
      <c r="BT937" t="b">
        <v>0</v>
      </c>
      <c r="BV937" t="s">
        <v>1668</v>
      </c>
      <c r="BW937">
        <v>1731</v>
      </c>
      <c r="BX937" t="s">
        <v>1738</v>
      </c>
      <c r="BY937">
        <v>12329159</v>
      </c>
      <c r="BZ937" t="s">
        <v>1801</v>
      </c>
      <c r="CA937">
        <v>1</v>
      </c>
      <c r="CB937" t="b">
        <v>1</v>
      </c>
      <c r="CC937">
        <v>0</v>
      </c>
      <c r="CD937" t="b">
        <v>0</v>
      </c>
      <c r="CE937" t="b">
        <v>0</v>
      </c>
      <c r="CF937" t="b">
        <v>1</v>
      </c>
      <c r="CG937">
        <v>15528662</v>
      </c>
      <c r="CH937" t="s">
        <v>1681</v>
      </c>
      <c r="CI937" s="10">
        <v>1099950</v>
      </c>
    </row>
    <row r="938" spans="1:89">
      <c r="A938">
        <v>28005684</v>
      </c>
      <c r="B938" s="2" t="str">
        <f>HYPERLINK("http://www.redfin.com/stingray/do/printable-listing?listing-id=1386680","Active")</f>
        <v>Active</v>
      </c>
      <c r="D938" t="s">
        <v>4611</v>
      </c>
      <c r="E938" t="s">
        <v>4618</v>
      </c>
      <c r="F938">
        <v>949800</v>
      </c>
      <c r="G938">
        <v>2008</v>
      </c>
      <c r="H938">
        <v>3410</v>
      </c>
      <c r="I938">
        <v>0</v>
      </c>
      <c r="J938">
        <v>4</v>
      </c>
      <c r="K938">
        <v>3.5</v>
      </c>
      <c r="M938" s="2" t="str">
        <f>HYPERLINK("http://maps.live.com/default.aspx?v=2&amp;lvl=15&amp;sp=adr.5103 157th Ct NE (Unable to map),98052","Map")</f>
        <v>Map</v>
      </c>
      <c r="N938" s="2" t="str">
        <f>HYPERLINK("http://i-0.rfimg.us/photo/1/bigphoto/684/28005684_0.jpg","Photo")</f>
        <v>Photo</v>
      </c>
      <c r="AI938" t="s">
        <v>4363</v>
      </c>
      <c r="AJ938">
        <v>98052</v>
      </c>
      <c r="BC938" s="22">
        <v>39456.551678240743</v>
      </c>
      <c r="BI938" s="22">
        <v>39549.294907407406</v>
      </c>
      <c r="BL938">
        <v>18996</v>
      </c>
      <c r="BM938">
        <v>1386680</v>
      </c>
      <c r="BN938" t="s">
        <v>1735</v>
      </c>
      <c r="BO938" s="17">
        <f t="shared" ca="1" si="14"/>
        <v>92.757727662035904</v>
      </c>
      <c r="BP938" t="b">
        <v>0</v>
      </c>
      <c r="BQ938">
        <v>1</v>
      </c>
      <c r="BR938" t="s">
        <v>3768</v>
      </c>
      <c r="BS938" t="s">
        <v>4619</v>
      </c>
      <c r="BT938" t="b">
        <v>0</v>
      </c>
      <c r="BV938" t="s">
        <v>1668</v>
      </c>
      <c r="BW938">
        <v>5103</v>
      </c>
      <c r="BX938" t="s">
        <v>1738</v>
      </c>
      <c r="BY938">
        <v>0</v>
      </c>
      <c r="BZ938" t="s">
        <v>1813</v>
      </c>
      <c r="CA938">
        <v>1</v>
      </c>
      <c r="CB938" t="b">
        <v>1</v>
      </c>
      <c r="CC938">
        <v>0</v>
      </c>
      <c r="CD938" t="b">
        <v>0</v>
      </c>
      <c r="CE938" t="b">
        <v>0</v>
      </c>
      <c r="CF938" t="b">
        <v>1</v>
      </c>
      <c r="CG938" t="s">
        <v>1870</v>
      </c>
      <c r="CH938" t="s">
        <v>1681</v>
      </c>
      <c r="CI938" s="10">
        <v>949800</v>
      </c>
    </row>
    <row r="939" spans="1:89">
      <c r="A939">
        <v>28005685</v>
      </c>
      <c r="B939" s="15" t="str">
        <f>HYPERLINK("http://www.redfin.com/stingray/do/printable-listing?listing-id=1386472","Subject To Inspection")</f>
        <v>Subject To Inspection</v>
      </c>
      <c r="D939" t="s">
        <v>1023</v>
      </c>
      <c r="E939" t="s">
        <v>1198</v>
      </c>
      <c r="F939">
        <v>565000</v>
      </c>
      <c r="G939">
        <v>1923</v>
      </c>
      <c r="H939">
        <v>2520</v>
      </c>
      <c r="I939">
        <v>5000</v>
      </c>
      <c r="J939">
        <v>3</v>
      </c>
      <c r="K939">
        <v>1.75</v>
      </c>
      <c r="M939" s="2" t="str">
        <f>HYPERLINK("http://maps.live.com/default.aspx?v=2&amp;lvl=15&amp;sp=Point.47.676429_-122.398026_6516 32nd Ave NW&amp;cp=47.676429~-122.398026","Map")</f>
        <v>Map</v>
      </c>
      <c r="N939" s="2" t="str">
        <f>HYPERLINK("http://i-0.rfimg.us/photo/1/bigphoto/685/28005685_4.jpg","Photo")</f>
        <v>Photo</v>
      </c>
      <c r="AG939">
        <v>47.676428999999999</v>
      </c>
      <c r="AH939">
        <v>-122.398026</v>
      </c>
      <c r="AI939" t="s">
        <v>66</v>
      </c>
      <c r="AJ939">
        <v>98117</v>
      </c>
      <c r="AN939">
        <v>370000</v>
      </c>
      <c r="BC939" s="22">
        <v>39456.509675925925</v>
      </c>
      <c r="BI939" s="22">
        <v>39549.294907407406</v>
      </c>
      <c r="BL939">
        <v>11300</v>
      </c>
      <c r="BM939">
        <v>1386472</v>
      </c>
      <c r="BN939" t="s">
        <v>1917</v>
      </c>
      <c r="BO939" s="17">
        <f t="shared" ca="1" si="14"/>
        <v>92.799730092592654</v>
      </c>
      <c r="BP939" t="b">
        <v>0</v>
      </c>
      <c r="BQ939">
        <v>1</v>
      </c>
      <c r="BR939" t="s">
        <v>1667</v>
      </c>
      <c r="BS939" t="s">
        <v>1733</v>
      </c>
      <c r="BT939" t="b">
        <v>0</v>
      </c>
      <c r="BV939" t="s">
        <v>1668</v>
      </c>
      <c r="BW939">
        <v>6516</v>
      </c>
      <c r="BX939" t="s">
        <v>1669</v>
      </c>
      <c r="BY939">
        <v>163374</v>
      </c>
      <c r="BZ939" t="s">
        <v>1918</v>
      </c>
      <c r="CA939">
        <v>1</v>
      </c>
      <c r="CB939" t="b">
        <v>1</v>
      </c>
      <c r="CC939">
        <v>0</v>
      </c>
      <c r="CD939" t="b">
        <v>0</v>
      </c>
      <c r="CE939" t="b">
        <v>0</v>
      </c>
      <c r="CF939" t="b">
        <v>1</v>
      </c>
      <c r="CG939">
        <v>2862870</v>
      </c>
      <c r="CH939" t="s">
        <v>1681</v>
      </c>
      <c r="CI939" s="10">
        <v>565000</v>
      </c>
      <c r="CJ939" s="7">
        <v>38029</v>
      </c>
    </row>
    <row r="940" spans="1:89">
      <c r="A940">
        <v>28005712</v>
      </c>
      <c r="B940" s="2" t="str">
        <f>HYPERLINK("http://www.redfin.com/stingray/do/printable-listing?listing-id=1390558","Subject To Inspection")</f>
        <v>Subject To Inspection</v>
      </c>
      <c r="D940" t="s">
        <v>3885</v>
      </c>
      <c r="E940" t="s">
        <v>6054</v>
      </c>
      <c r="F940">
        <v>549900</v>
      </c>
      <c r="G940">
        <v>1996</v>
      </c>
      <c r="H940">
        <v>2490</v>
      </c>
      <c r="I940">
        <v>10700</v>
      </c>
      <c r="J940">
        <v>4</v>
      </c>
      <c r="K940">
        <v>3</v>
      </c>
      <c r="M940" s="2" t="str">
        <f>HYPERLINK("http://maps.live.com/default.aspx?v=2&amp;lvl=15&amp;sp=Point.47.515335_-122.178474_3214 NE 26th Ct&amp;cp=47.515335~-122.178474","Map")</f>
        <v>Map</v>
      </c>
      <c r="N940" s="2" t="str">
        <f>HYPERLINK("http://i-0.rfimg.us/photo/1/bigphoto/712/28005712_1.jpg","Photo")</f>
        <v>Photo</v>
      </c>
      <c r="AG940">
        <v>47.515335</v>
      </c>
      <c r="AH940">
        <v>-122.17847399999999</v>
      </c>
      <c r="AI940" t="s">
        <v>1077</v>
      </c>
      <c r="AJ940">
        <v>98056</v>
      </c>
      <c r="AN940">
        <v>457975</v>
      </c>
      <c r="BC940" s="22">
        <v>39457.66710648148</v>
      </c>
      <c r="BI940" s="22">
        <v>39547.913935185185</v>
      </c>
      <c r="BL940">
        <v>10998</v>
      </c>
      <c r="BM940">
        <v>1390558</v>
      </c>
      <c r="BN940" t="s">
        <v>1688</v>
      </c>
      <c r="BO940" s="17">
        <f t="shared" ca="1" si="14"/>
        <v>91.642299421298958</v>
      </c>
      <c r="BP940" t="b">
        <v>0</v>
      </c>
      <c r="BQ940">
        <v>2</v>
      </c>
      <c r="BR940" t="s">
        <v>3768</v>
      </c>
      <c r="BS940" t="s">
        <v>1769</v>
      </c>
      <c r="BT940" t="b">
        <v>0</v>
      </c>
      <c r="BU940" t="s">
        <v>1738</v>
      </c>
      <c r="BV940" t="s">
        <v>1668</v>
      </c>
      <c r="BW940">
        <v>3214</v>
      </c>
      <c r="BY940">
        <v>411861</v>
      </c>
      <c r="BZ940" t="s">
        <v>1704</v>
      </c>
      <c r="CA940">
        <v>1</v>
      </c>
      <c r="CB940" t="b">
        <v>1</v>
      </c>
      <c r="CC940">
        <v>0</v>
      </c>
      <c r="CD940" t="b">
        <v>0</v>
      </c>
      <c r="CE940" t="b">
        <v>0</v>
      </c>
      <c r="CF940" t="b">
        <v>1</v>
      </c>
      <c r="CG940">
        <v>2788418</v>
      </c>
      <c r="CH940" t="s">
        <v>1681</v>
      </c>
      <c r="CI940" s="10">
        <v>549900</v>
      </c>
      <c r="CJ940" s="7">
        <v>38232</v>
      </c>
    </row>
    <row r="941" spans="1:89">
      <c r="A941">
        <v>28005743</v>
      </c>
      <c r="B941" s="2" t="str">
        <f>HYPERLINK("http://www.redfin.com/stingray/do/printable-listing?listing-id=1386681","Active")</f>
        <v>Active</v>
      </c>
      <c r="D941" t="s">
        <v>70</v>
      </c>
      <c r="E941" t="s">
        <v>2757</v>
      </c>
      <c r="F941">
        <v>1077999</v>
      </c>
      <c r="G941">
        <v>1978</v>
      </c>
      <c r="H941">
        <v>4340</v>
      </c>
      <c r="I941">
        <v>7425</v>
      </c>
      <c r="J941">
        <v>5</v>
      </c>
      <c r="K941">
        <v>4</v>
      </c>
      <c r="M941" s="2" t="str">
        <f>HYPERLINK("http://maps.live.com/default.aspx?v=2&amp;lvl=15&amp;sp=Point.47.720093_-122.367318_12512 9th Ave NW&amp;cp=47.720093~-122.367318","Map")</f>
        <v>Map</v>
      </c>
      <c r="N941" s="2" t="str">
        <f>HYPERLINK("http://i-0.rfimg.us/photo/1/bigphoto/743/28005743_2.jpg","Photo")</f>
        <v>Photo</v>
      </c>
      <c r="AG941">
        <v>47.720092999999999</v>
      </c>
      <c r="AH941">
        <v>-122.367318</v>
      </c>
      <c r="AI941" t="s">
        <v>66</v>
      </c>
      <c r="AJ941">
        <v>98177</v>
      </c>
      <c r="AN941">
        <v>875000</v>
      </c>
      <c r="BC941" s="22">
        <v>39456.551712962966</v>
      </c>
      <c r="BI941" s="22">
        <v>39549.294907407406</v>
      </c>
      <c r="BL941">
        <v>21560</v>
      </c>
      <c r="BM941">
        <v>1386681</v>
      </c>
      <c r="BN941" t="s">
        <v>1688</v>
      </c>
      <c r="BO941" s="17">
        <f t="shared" ca="1" si="14"/>
        <v>92.757693055551499</v>
      </c>
      <c r="BP941" t="b">
        <v>0</v>
      </c>
      <c r="BQ941">
        <v>1</v>
      </c>
      <c r="BR941" t="s">
        <v>1667</v>
      </c>
      <c r="BS941" t="s">
        <v>1785</v>
      </c>
      <c r="BT941" t="b">
        <v>0</v>
      </c>
      <c r="BV941" t="s">
        <v>1668</v>
      </c>
      <c r="BW941">
        <v>12512</v>
      </c>
      <c r="BX941" t="s">
        <v>1669</v>
      </c>
      <c r="BY941">
        <v>291242</v>
      </c>
      <c r="BZ941" t="s">
        <v>2758</v>
      </c>
      <c r="CA941">
        <v>1</v>
      </c>
      <c r="CB941" t="b">
        <v>1</v>
      </c>
      <c r="CC941">
        <v>0</v>
      </c>
      <c r="CD941" t="b">
        <v>0</v>
      </c>
      <c r="CE941" t="b">
        <v>0</v>
      </c>
      <c r="CF941" t="b">
        <v>1</v>
      </c>
      <c r="CG941">
        <v>2759258</v>
      </c>
      <c r="CH941" t="s">
        <v>1681</v>
      </c>
      <c r="CI941" s="10">
        <v>1077999</v>
      </c>
      <c r="CJ941" s="7">
        <v>39016</v>
      </c>
    </row>
    <row r="942" spans="1:89">
      <c r="A942">
        <v>28005751</v>
      </c>
      <c r="B942" s="15" t="str">
        <f>HYPERLINK("http://www.redfin.com/stingray/do/printable-listing?listing-id=1386815","Contingent")</f>
        <v>Contingent</v>
      </c>
      <c r="D942" t="s">
        <v>5078</v>
      </c>
      <c r="E942" t="s">
        <v>5464</v>
      </c>
      <c r="F942">
        <v>559950</v>
      </c>
      <c r="G942">
        <v>1965</v>
      </c>
      <c r="H942">
        <v>0</v>
      </c>
      <c r="I942">
        <v>8400</v>
      </c>
      <c r="J942">
        <v>4</v>
      </c>
      <c r="K942">
        <v>2.5</v>
      </c>
      <c r="M942" s="2" t="str">
        <f>HYPERLINK("http://maps.live.com/default.aspx?v=2&amp;lvl=15&amp;sp=Point.47.62607_-122.118435_16613 NE 18th St&amp;cp=47.62607~-122.118435","Map")</f>
        <v>Map</v>
      </c>
      <c r="N942" s="2" t="str">
        <f>HYPERLINK("http://i-0.rfimg.us/photo/1/bigphoto/751/28005751_0.jpg","Photo")</f>
        <v>Photo</v>
      </c>
      <c r="AG942">
        <v>47.626069999999999</v>
      </c>
      <c r="AH942">
        <v>-122.11843500000001</v>
      </c>
      <c r="AI942" t="s">
        <v>369</v>
      </c>
      <c r="AJ942">
        <v>98008</v>
      </c>
      <c r="AN942">
        <v>326000</v>
      </c>
      <c r="BC942" s="22">
        <v>39456.573229166665</v>
      </c>
      <c r="BI942" s="22">
        <v>39549.294907407406</v>
      </c>
      <c r="BL942">
        <v>11199</v>
      </c>
      <c r="BM942">
        <v>1386815</v>
      </c>
      <c r="BN942" t="s">
        <v>1917</v>
      </c>
      <c r="BO942" s="17">
        <f t="shared" ca="1" si="14"/>
        <v>92.73617673611443</v>
      </c>
      <c r="BP942" t="b">
        <v>0</v>
      </c>
      <c r="BQ942">
        <v>1</v>
      </c>
      <c r="BR942" t="s">
        <v>1686</v>
      </c>
      <c r="BS942" t="s">
        <v>1909</v>
      </c>
      <c r="BT942" t="b">
        <v>0</v>
      </c>
      <c r="BU942" t="s">
        <v>1738</v>
      </c>
      <c r="BV942" t="s">
        <v>1668</v>
      </c>
      <c r="BW942">
        <v>16613</v>
      </c>
      <c r="BY942">
        <v>431949</v>
      </c>
      <c r="BZ942" t="s">
        <v>1747</v>
      </c>
      <c r="CA942">
        <v>1</v>
      </c>
      <c r="CB942" t="b">
        <v>1</v>
      </c>
      <c r="CC942">
        <v>0</v>
      </c>
      <c r="CD942" t="b">
        <v>0</v>
      </c>
      <c r="CE942" t="b">
        <v>0</v>
      </c>
      <c r="CF942" t="b">
        <v>1</v>
      </c>
      <c r="CG942">
        <v>2708066</v>
      </c>
      <c r="CH942" t="s">
        <v>1681</v>
      </c>
      <c r="CI942" s="10">
        <v>559950</v>
      </c>
      <c r="CJ942" s="7">
        <v>37235</v>
      </c>
    </row>
    <row r="943" spans="1:89">
      <c r="A943">
        <v>28005771</v>
      </c>
      <c r="B943" s="2" t="str">
        <f>HYPERLINK("http://www.redfin.com/stingray/do/printable-listing?listing-id=1386806","Active")</f>
        <v>Active</v>
      </c>
      <c r="D943" t="s">
        <v>5280</v>
      </c>
      <c r="E943" t="s">
        <v>5488</v>
      </c>
      <c r="F943">
        <v>929800</v>
      </c>
      <c r="G943">
        <v>2008</v>
      </c>
      <c r="H943">
        <v>3310</v>
      </c>
      <c r="I943">
        <v>0</v>
      </c>
      <c r="J943">
        <v>4</v>
      </c>
      <c r="K943">
        <v>2.5</v>
      </c>
      <c r="M943" s="2" t="str">
        <f>HYPERLINK("http://maps.live.com/default.aspx?v=2&amp;lvl=15&amp;sp=Point.47.57177_-122.121196_4128 164th Ave SE&amp;cp=47.57177~-122.121196","Map")</f>
        <v>Map</v>
      </c>
      <c r="N943" s="2" t="str">
        <f>HYPERLINK("http://i-0.rfimg.us/photo/1/bigphoto/771/28005771_0.jpg","Photo")</f>
        <v>Photo</v>
      </c>
      <c r="AG943">
        <v>47.571770000000001</v>
      </c>
      <c r="AH943">
        <v>-122.121196</v>
      </c>
      <c r="AI943" t="s">
        <v>5280</v>
      </c>
      <c r="AJ943">
        <v>98027</v>
      </c>
      <c r="BC943" s="22">
        <v>39456.572569444441</v>
      </c>
      <c r="BI943" s="22">
        <v>39549.294907407406</v>
      </c>
      <c r="BL943">
        <v>18596</v>
      </c>
      <c r="BM943">
        <v>1386806</v>
      </c>
      <c r="BN943" t="s">
        <v>1735</v>
      </c>
      <c r="BO943" s="17">
        <f t="shared" ca="1" si="14"/>
        <v>92.736836458338075</v>
      </c>
      <c r="BP943" t="b">
        <v>0</v>
      </c>
      <c r="BQ943">
        <v>1</v>
      </c>
      <c r="BR943" t="s">
        <v>1667</v>
      </c>
      <c r="BS943" t="s">
        <v>5306</v>
      </c>
      <c r="BT943" t="b">
        <v>0</v>
      </c>
      <c r="BV943" t="s">
        <v>1668</v>
      </c>
      <c r="BW943">
        <v>4128</v>
      </c>
      <c r="BX943" t="s">
        <v>3856</v>
      </c>
      <c r="BY943">
        <v>12329211</v>
      </c>
      <c r="BZ943" t="s">
        <v>1684</v>
      </c>
      <c r="CA943">
        <v>1</v>
      </c>
      <c r="CB943" t="b">
        <v>1</v>
      </c>
      <c r="CC943">
        <v>0</v>
      </c>
      <c r="CD943" t="b">
        <v>0</v>
      </c>
      <c r="CE943" t="b">
        <v>0</v>
      </c>
      <c r="CF943" t="b">
        <v>1</v>
      </c>
      <c r="CG943">
        <v>15535213</v>
      </c>
      <c r="CH943" t="s">
        <v>1681</v>
      </c>
      <c r="CI943" s="10">
        <v>929800</v>
      </c>
    </row>
    <row r="944" spans="1:89">
      <c r="A944">
        <v>28005776</v>
      </c>
      <c r="B944" s="2" t="str">
        <f>HYPERLINK("http://www.redfin.com/stingray/do/printable-listing?listing-id=1386811","Active")</f>
        <v>Active</v>
      </c>
      <c r="D944" t="s">
        <v>60</v>
      </c>
      <c r="E944" t="s">
        <v>2421</v>
      </c>
      <c r="F944">
        <v>699500</v>
      </c>
      <c r="G944">
        <v>1913</v>
      </c>
      <c r="H944">
        <v>2388</v>
      </c>
      <c r="I944">
        <v>5610</v>
      </c>
      <c r="J944">
        <v>4</v>
      </c>
      <c r="K944">
        <v>2.75</v>
      </c>
      <c r="M944" s="2" t="str">
        <f>HYPERLINK("http://maps.live.com/default.aspx?v=2&amp;lvl=15&amp;sp=Point.47.683081_-122.353401_343 N 75 St&amp;cp=47.683081~-122.353401","Map")</f>
        <v>Map</v>
      </c>
      <c r="N944" s="2" t="str">
        <f>HYPERLINK("http://i-0.rfimg.us/photo/1/bigphoto/776/28005776_1.jpg","Photo")</f>
        <v>Photo</v>
      </c>
      <c r="AG944">
        <v>47.683081000000001</v>
      </c>
      <c r="AH944">
        <v>-122.35340100000001</v>
      </c>
      <c r="AI944" t="s">
        <v>66</v>
      </c>
      <c r="AJ944">
        <v>98103</v>
      </c>
      <c r="AN944">
        <v>315000</v>
      </c>
      <c r="BC944" s="22">
        <v>39456.573055555556</v>
      </c>
      <c r="BI944" s="22">
        <v>39549.294907407406</v>
      </c>
      <c r="BL944">
        <v>13990</v>
      </c>
      <c r="BM944">
        <v>1386811</v>
      </c>
      <c r="BN944" t="s">
        <v>2419</v>
      </c>
      <c r="BO944" s="17">
        <f t="shared" ca="1" si="14"/>
        <v>92.736350462961127</v>
      </c>
      <c r="BP944" t="b">
        <v>0</v>
      </c>
      <c r="BQ944">
        <v>1</v>
      </c>
      <c r="BR944" t="s">
        <v>1686</v>
      </c>
      <c r="BS944">
        <v>75</v>
      </c>
      <c r="BT944" t="b">
        <v>0</v>
      </c>
      <c r="BU944" t="s">
        <v>1712</v>
      </c>
      <c r="BV944" t="s">
        <v>1668</v>
      </c>
      <c r="BW944">
        <v>343</v>
      </c>
      <c r="BY944">
        <v>300192</v>
      </c>
      <c r="BZ944" t="s">
        <v>1679</v>
      </c>
      <c r="CA944">
        <v>1</v>
      </c>
      <c r="CB944" t="b">
        <v>1</v>
      </c>
      <c r="CC944">
        <v>0</v>
      </c>
      <c r="CD944" t="b">
        <v>0</v>
      </c>
      <c r="CE944" t="b">
        <v>0</v>
      </c>
      <c r="CF944" t="b">
        <v>1</v>
      </c>
      <c r="CG944">
        <v>2517154</v>
      </c>
      <c r="CH944" t="s">
        <v>1681</v>
      </c>
      <c r="CI944" s="10">
        <v>699500</v>
      </c>
      <c r="CJ944" s="7">
        <v>36963</v>
      </c>
      <c r="CK944" t="s">
        <v>2420</v>
      </c>
    </row>
    <row r="945" spans="1:88">
      <c r="A945">
        <v>28005805</v>
      </c>
      <c r="B945" s="2" t="str">
        <f>HYPERLINK("http://www.redfin.com/stingray/do/printable-listing?listing-id=1386853","Active")</f>
        <v>Active</v>
      </c>
      <c r="D945" t="s">
        <v>5280</v>
      </c>
      <c r="E945" t="s">
        <v>5315</v>
      </c>
      <c r="F945">
        <v>929800</v>
      </c>
      <c r="G945">
        <v>2008</v>
      </c>
      <c r="H945">
        <v>3310</v>
      </c>
      <c r="I945">
        <v>0</v>
      </c>
      <c r="J945">
        <v>4</v>
      </c>
      <c r="K945">
        <v>2.5</v>
      </c>
      <c r="M945" s="2" t="str">
        <f>HYPERLINK("http://maps.live.com/default.aspx?v=2&amp;lvl=15&amp;sp=Point.47.571882_-122.121196_4120 164th Ave SE&amp;cp=47.571882~-122.121196","Map")</f>
        <v>Map</v>
      </c>
      <c r="N945" s="2" t="str">
        <f>HYPERLINK("http://i-0.rfimg.us/photo/1/bigphoto/805/28005805_0.jpg","Photo")</f>
        <v>Photo</v>
      </c>
      <c r="AG945">
        <v>47.571882000000002</v>
      </c>
      <c r="AH945">
        <v>-122.121196</v>
      </c>
      <c r="AI945" t="s">
        <v>5280</v>
      </c>
      <c r="AJ945">
        <v>98027</v>
      </c>
      <c r="BC945" s="22">
        <v>39456.588900462964</v>
      </c>
      <c r="BI945" s="22">
        <v>39549.294907407406</v>
      </c>
      <c r="BL945">
        <v>18596</v>
      </c>
      <c r="BM945">
        <v>1386853</v>
      </c>
      <c r="BN945" t="s">
        <v>1735</v>
      </c>
      <c r="BO945" s="17">
        <f t="shared" ca="1" si="14"/>
        <v>92.720505439814588</v>
      </c>
      <c r="BP945" t="b">
        <v>0</v>
      </c>
      <c r="BQ945">
        <v>1</v>
      </c>
      <c r="BR945" t="s">
        <v>1667</v>
      </c>
      <c r="BS945" t="s">
        <v>5306</v>
      </c>
      <c r="BT945" t="b">
        <v>0</v>
      </c>
      <c r="BV945" t="s">
        <v>1668</v>
      </c>
      <c r="BW945">
        <v>4120</v>
      </c>
      <c r="BX945" t="s">
        <v>3856</v>
      </c>
      <c r="BY945">
        <v>12329216</v>
      </c>
      <c r="BZ945" t="s">
        <v>1684</v>
      </c>
      <c r="CA945">
        <v>1</v>
      </c>
      <c r="CB945" t="b">
        <v>1</v>
      </c>
      <c r="CC945">
        <v>0</v>
      </c>
      <c r="CD945" t="b">
        <v>0</v>
      </c>
      <c r="CE945" t="b">
        <v>0</v>
      </c>
      <c r="CF945" t="b">
        <v>1</v>
      </c>
      <c r="CG945">
        <v>15535218</v>
      </c>
      <c r="CH945" t="s">
        <v>1681</v>
      </c>
      <c r="CI945" s="10">
        <v>929800</v>
      </c>
    </row>
    <row r="946" spans="1:88">
      <c r="A946">
        <v>28005839</v>
      </c>
      <c r="B946" s="15" t="str">
        <f>HYPERLINK("http://www.redfin.com/stingray/do/printable-listing?listing-id=1389855","Subject To Inspection")</f>
        <v>Subject To Inspection</v>
      </c>
      <c r="D946" t="s">
        <v>967</v>
      </c>
      <c r="E946" t="s">
        <v>2971</v>
      </c>
      <c r="F946">
        <v>325000</v>
      </c>
      <c r="G946">
        <v>1926</v>
      </c>
      <c r="H946">
        <v>0</v>
      </c>
      <c r="I946">
        <v>6960</v>
      </c>
      <c r="J946">
        <v>1</v>
      </c>
      <c r="K946">
        <v>1</v>
      </c>
      <c r="M946" s="2" t="str">
        <f>HYPERLINK("http://maps.live.com/default.aspx?v=2&amp;lvl=15&amp;sp=Point.47.711645_-122.285755_3919 NE 115 St&amp;cp=47.711645~-122.285755","Map")</f>
        <v>Map</v>
      </c>
      <c r="N946" s="2" t="str">
        <f>HYPERLINK("http://i-0.rfimg.us/photo/1/bigphoto/839/28005839_1.jpg","Photo")</f>
        <v>Photo</v>
      </c>
      <c r="AG946">
        <v>47.711644999999997</v>
      </c>
      <c r="AH946">
        <v>-122.28575499999999</v>
      </c>
      <c r="AI946" t="s">
        <v>66</v>
      </c>
      <c r="AJ946">
        <v>98125</v>
      </c>
      <c r="BC946" s="22">
        <v>39457.528935185182</v>
      </c>
      <c r="BI946" s="22">
        <v>39549.294907407406</v>
      </c>
      <c r="BL946">
        <v>6500</v>
      </c>
      <c r="BM946">
        <v>1389855</v>
      </c>
      <c r="BN946" t="s">
        <v>1768</v>
      </c>
      <c r="BO946" s="17">
        <f t="shared" ca="1" si="14"/>
        <v>91.780470717596472</v>
      </c>
      <c r="BP946" t="b">
        <v>0</v>
      </c>
      <c r="BQ946">
        <v>1</v>
      </c>
      <c r="BR946" t="s">
        <v>1686</v>
      </c>
      <c r="BS946">
        <v>115</v>
      </c>
      <c r="BT946" t="b">
        <v>0</v>
      </c>
      <c r="BU946" t="s">
        <v>1738</v>
      </c>
      <c r="BV946" t="s">
        <v>1668</v>
      </c>
      <c r="BW946">
        <v>3919</v>
      </c>
      <c r="BY946">
        <v>111447</v>
      </c>
      <c r="BZ946" t="s">
        <v>2799</v>
      </c>
      <c r="CA946">
        <v>1</v>
      </c>
      <c r="CB946" t="b">
        <v>1</v>
      </c>
      <c r="CC946">
        <v>0</v>
      </c>
      <c r="CD946" t="b">
        <v>0</v>
      </c>
      <c r="CE946" t="b">
        <v>0</v>
      </c>
      <c r="CF946" t="b">
        <v>1</v>
      </c>
      <c r="CG946">
        <v>2616868</v>
      </c>
      <c r="CH946" t="s">
        <v>1681</v>
      </c>
      <c r="CI946" s="10">
        <v>325000</v>
      </c>
    </row>
    <row r="947" spans="1:88">
      <c r="A947">
        <v>28005899</v>
      </c>
      <c r="B947" s="2" t="str">
        <f>HYPERLINK("http://www.redfin.com/stingray/do/printable-listing?listing-id=1390336","Active")</f>
        <v>Active</v>
      </c>
      <c r="D947" t="s">
        <v>3249</v>
      </c>
      <c r="E947" t="s">
        <v>3582</v>
      </c>
      <c r="F947">
        <v>1844000</v>
      </c>
      <c r="G947">
        <v>2008</v>
      </c>
      <c r="H947">
        <v>3100</v>
      </c>
      <c r="I947">
        <v>0</v>
      </c>
      <c r="J947">
        <v>3</v>
      </c>
      <c r="K947">
        <v>3.5</v>
      </c>
      <c r="M947" s="2" t="str">
        <f>HYPERLINK("http://maps.live.com/default.aspx?v=2&amp;lvl=15&amp;sp=Point.47.631761_-122.36083_1413 3rd Ave W&amp;cp=47.631761~-122.36083","Map")</f>
        <v>Map</v>
      </c>
      <c r="N947" s="2" t="str">
        <f>HYPERLINK("http://i-0.rfimg.us/photo/1/bigphoto/899/28005899_2.jpg","Photo")</f>
        <v>Photo</v>
      </c>
      <c r="AG947">
        <v>47.631760999999997</v>
      </c>
      <c r="AH947">
        <v>-122.36083000000001</v>
      </c>
      <c r="AI947" t="s">
        <v>66</v>
      </c>
      <c r="AJ947">
        <v>98119</v>
      </c>
      <c r="AN947">
        <v>499000</v>
      </c>
      <c r="BC947" s="22">
        <v>39457.631990740738</v>
      </c>
      <c r="BI947" s="22">
        <v>39549.294907407406</v>
      </c>
      <c r="BL947">
        <v>36880</v>
      </c>
      <c r="BM947">
        <v>1390336</v>
      </c>
      <c r="BN947" t="s">
        <v>1783</v>
      </c>
      <c r="BO947" s="17">
        <f t="shared" ca="1" si="14"/>
        <v>91.677415162041143</v>
      </c>
      <c r="BP947" t="b">
        <v>0</v>
      </c>
      <c r="BQ947">
        <v>1</v>
      </c>
      <c r="BR947" t="s">
        <v>1667</v>
      </c>
      <c r="BS947" t="s">
        <v>1796</v>
      </c>
      <c r="BT947" t="b">
        <v>0</v>
      </c>
      <c r="BV947" t="s">
        <v>1668</v>
      </c>
      <c r="BW947">
        <v>1413</v>
      </c>
      <c r="BX947" t="s">
        <v>2423</v>
      </c>
      <c r="BY947">
        <v>133099</v>
      </c>
      <c r="BZ947" t="s">
        <v>2577</v>
      </c>
      <c r="CA947">
        <v>1</v>
      </c>
      <c r="CB947" t="b">
        <v>1</v>
      </c>
      <c r="CC947">
        <v>0</v>
      </c>
      <c r="CD947" t="b">
        <v>0</v>
      </c>
      <c r="CE947" t="b">
        <v>0</v>
      </c>
      <c r="CF947" t="b">
        <v>1</v>
      </c>
      <c r="CG947">
        <v>2563918</v>
      </c>
      <c r="CH947" t="s">
        <v>1681</v>
      </c>
      <c r="CI947" s="10">
        <v>1844000</v>
      </c>
      <c r="CJ947" s="7">
        <v>38090</v>
      </c>
    </row>
    <row r="948" spans="1:88">
      <c r="A948">
        <v>28005950</v>
      </c>
      <c r="B948" s="2" t="str">
        <f>HYPERLINK("http://www.redfin.com/stingray/do/printable-listing?listing-id=1387260","Active")</f>
        <v>Active</v>
      </c>
      <c r="D948" t="s">
        <v>5926</v>
      </c>
      <c r="E948" t="s">
        <v>5940</v>
      </c>
      <c r="F948" s="19">
        <v>494950</v>
      </c>
      <c r="G948">
        <v>1919</v>
      </c>
      <c r="H948">
        <v>1950</v>
      </c>
      <c r="I948">
        <v>5100</v>
      </c>
      <c r="J948">
        <v>4</v>
      </c>
      <c r="K948">
        <v>1.75</v>
      </c>
      <c r="M948" s="2" t="str">
        <f>HYPERLINK("http://maps.live.com/default.aspx?v=2&amp;lvl=15&amp;sp=Point.47.523743_-122.202034_1216 N 36th St&amp;cp=47.523743~-122.202034","Map")</f>
        <v>Map</v>
      </c>
      <c r="N948" s="2" t="str">
        <f>HYPERLINK("http://i-0.rfimg.us/photo/1/bigphoto/950/28005950_4.jpg","Photo")</f>
        <v>Photo</v>
      </c>
      <c r="AG948">
        <v>47.523743000000003</v>
      </c>
      <c r="AH948">
        <v>-122.202034</v>
      </c>
      <c r="AI948" t="s">
        <v>1077</v>
      </c>
      <c r="AJ948">
        <v>98056</v>
      </c>
      <c r="AN948">
        <v>500000</v>
      </c>
      <c r="BC948" s="22">
        <v>39456.652546296296</v>
      </c>
      <c r="BI948" s="22">
        <v>39549.294907407406</v>
      </c>
      <c r="BL948">
        <v>9978</v>
      </c>
      <c r="BM948">
        <v>1387260</v>
      </c>
      <c r="BN948" t="s">
        <v>1775</v>
      </c>
      <c r="BO948" s="17">
        <f t="shared" ca="1" si="14"/>
        <v>92.656859606482612</v>
      </c>
      <c r="BP948" t="b">
        <v>0</v>
      </c>
      <c r="BQ948">
        <v>1</v>
      </c>
      <c r="BR948" t="s">
        <v>1686</v>
      </c>
      <c r="BS948" t="s">
        <v>2911</v>
      </c>
      <c r="BT948" t="b">
        <v>0</v>
      </c>
      <c r="BU948" t="s">
        <v>1712</v>
      </c>
      <c r="BV948" t="s">
        <v>1668</v>
      </c>
      <c r="BW948">
        <v>1216</v>
      </c>
      <c r="BY948">
        <v>408587</v>
      </c>
      <c r="BZ948" t="s">
        <v>5941</v>
      </c>
      <c r="CA948">
        <v>1</v>
      </c>
      <c r="CB948" t="b">
        <v>1</v>
      </c>
      <c r="CC948">
        <v>0</v>
      </c>
      <c r="CD948" t="b">
        <v>0</v>
      </c>
      <c r="CE948" t="b">
        <v>0</v>
      </c>
      <c r="CF948" t="b">
        <v>1</v>
      </c>
      <c r="CG948">
        <v>2541320</v>
      </c>
      <c r="CH948" t="s">
        <v>1681</v>
      </c>
      <c r="CI948" s="10">
        <v>498880</v>
      </c>
      <c r="CJ948" s="7">
        <v>39353</v>
      </c>
    </row>
    <row r="949" spans="1:88">
      <c r="A949">
        <v>28005952</v>
      </c>
      <c r="B949" s="2" t="str">
        <f>HYPERLINK("http://www.redfin.com/stingray/do/printable-listing?listing-id=1387261","Active")</f>
        <v>Active</v>
      </c>
      <c r="D949" t="s">
        <v>4611</v>
      </c>
      <c r="E949" t="s">
        <v>4620</v>
      </c>
      <c r="F949">
        <v>979800</v>
      </c>
      <c r="G949">
        <v>2008</v>
      </c>
      <c r="H949">
        <v>3539</v>
      </c>
      <c r="I949">
        <v>0</v>
      </c>
      <c r="J949">
        <v>4</v>
      </c>
      <c r="K949">
        <v>3.5</v>
      </c>
      <c r="M949" s="2" t="str">
        <f>HYPERLINK("http://maps.live.com/default.aspx?v=2&amp;lvl=15&amp;sp=adr.5209 157th Ct NE (Unable to map),98052","Map")</f>
        <v>Map</v>
      </c>
      <c r="N949" s="2" t="str">
        <f>HYPERLINK("http://i-0.rfimg.us/photo/1/bigphoto/952/28005952_1.jpg","Photo")</f>
        <v>Photo</v>
      </c>
      <c r="AI949" t="s">
        <v>4363</v>
      </c>
      <c r="AJ949">
        <v>98052</v>
      </c>
      <c r="BC949" s="22">
        <v>39456.652569444443</v>
      </c>
      <c r="BI949" s="22">
        <v>39549.294907407406</v>
      </c>
      <c r="BL949">
        <v>19596</v>
      </c>
      <c r="BM949">
        <v>1387261</v>
      </c>
      <c r="BN949" t="s">
        <v>1735</v>
      </c>
      <c r="BO949" s="17">
        <f t="shared" ca="1" si="14"/>
        <v>92.656836458336329</v>
      </c>
      <c r="BP949" t="b">
        <v>0</v>
      </c>
      <c r="BQ949">
        <v>1</v>
      </c>
      <c r="BR949" t="s">
        <v>3768</v>
      </c>
      <c r="BS949" t="s">
        <v>4619</v>
      </c>
      <c r="BT949" t="b">
        <v>0</v>
      </c>
      <c r="BV949" t="s">
        <v>1668</v>
      </c>
      <c r="BW949">
        <v>5209</v>
      </c>
      <c r="BX949" t="s">
        <v>1738</v>
      </c>
      <c r="BY949">
        <v>0</v>
      </c>
      <c r="BZ949" t="s">
        <v>1797</v>
      </c>
      <c r="CA949">
        <v>1</v>
      </c>
      <c r="CB949" t="b">
        <v>1</v>
      </c>
      <c r="CC949">
        <v>0</v>
      </c>
      <c r="CD949" t="b">
        <v>0</v>
      </c>
      <c r="CE949" t="b">
        <v>0</v>
      </c>
      <c r="CF949" t="b">
        <v>1</v>
      </c>
      <c r="CG949" t="s">
        <v>1870</v>
      </c>
      <c r="CH949" t="s">
        <v>1681</v>
      </c>
      <c r="CI949" s="10">
        <v>979800</v>
      </c>
    </row>
    <row r="950" spans="1:88">
      <c r="A950">
        <v>28005957</v>
      </c>
      <c r="B950" s="2" t="str">
        <f>HYPERLINK("http://www.redfin.com/stingray/do/printable-listing?listing-id=1387265","Subject To Inspection")</f>
        <v>Subject To Inspection</v>
      </c>
      <c r="D950" t="s">
        <v>4359</v>
      </c>
      <c r="E950" t="s">
        <v>4843</v>
      </c>
      <c r="F950">
        <v>538000</v>
      </c>
      <c r="G950">
        <v>1989</v>
      </c>
      <c r="H950">
        <v>1830</v>
      </c>
      <c r="I950">
        <v>7210</v>
      </c>
      <c r="J950">
        <v>3</v>
      </c>
      <c r="K950">
        <v>2.5</v>
      </c>
      <c r="M950" s="2" t="str">
        <f>HYPERLINK("http://maps.live.com/default.aspx?v=2&amp;lvl=15&amp;sp=Point.47.691217_-122.170624_12734 NE 101st Pl&amp;cp=47.691217~-122.170624","Map")</f>
        <v>Map</v>
      </c>
      <c r="N950" s="2" t="str">
        <f>HYPERLINK("http://i-0.rfimg.us/photo/1/bigphoto/957/28005957_J.jpg","Photo")</f>
        <v>Photo</v>
      </c>
      <c r="AG950">
        <v>47.691217000000002</v>
      </c>
      <c r="AH950">
        <v>-122.170624</v>
      </c>
      <c r="AI950" t="s">
        <v>1058</v>
      </c>
      <c r="AJ950">
        <v>98033</v>
      </c>
      <c r="AN950">
        <v>192000</v>
      </c>
      <c r="BC950" s="22">
        <v>39456.652754629627</v>
      </c>
      <c r="BI950" s="7">
        <v>39534</v>
      </c>
      <c r="BL950">
        <v>10760</v>
      </c>
      <c r="BM950">
        <v>1387265</v>
      </c>
      <c r="BN950" t="s">
        <v>1774</v>
      </c>
      <c r="BO950" s="17">
        <f t="shared" ca="1" si="14"/>
        <v>92.65665127315151</v>
      </c>
      <c r="BP950" t="b">
        <v>0</v>
      </c>
      <c r="BQ950">
        <v>2</v>
      </c>
      <c r="BR950" t="s">
        <v>1842</v>
      </c>
      <c r="BS950" t="s">
        <v>2791</v>
      </c>
      <c r="BT950" t="b">
        <v>0</v>
      </c>
      <c r="BU950" t="s">
        <v>1738</v>
      </c>
      <c r="BV950" t="s">
        <v>1668</v>
      </c>
      <c r="BW950">
        <v>12734</v>
      </c>
      <c r="BY950">
        <v>513372</v>
      </c>
      <c r="BZ950" t="s">
        <v>4844</v>
      </c>
      <c r="CA950">
        <v>1</v>
      </c>
      <c r="CB950" t="b">
        <v>1</v>
      </c>
      <c r="CC950">
        <v>0</v>
      </c>
      <c r="CD950" t="b">
        <v>0</v>
      </c>
      <c r="CE950" t="b">
        <v>0</v>
      </c>
      <c r="CF950" t="b">
        <v>1</v>
      </c>
      <c r="CG950">
        <v>2444060</v>
      </c>
      <c r="CH950" t="s">
        <v>1681</v>
      </c>
      <c r="CI950" s="10">
        <v>538000</v>
      </c>
      <c r="CJ950" s="7">
        <v>35366</v>
      </c>
    </row>
    <row r="951" spans="1:88">
      <c r="A951">
        <v>28005984</v>
      </c>
      <c r="B951" s="2" t="str">
        <f>HYPERLINK("http://www.redfin.com/stingray/do/printable-listing?listing-id=1387511","Active")</f>
        <v>Active</v>
      </c>
      <c r="D951" t="s">
        <v>5014</v>
      </c>
      <c r="E951" t="s">
        <v>5103</v>
      </c>
      <c r="F951">
        <v>1088000</v>
      </c>
      <c r="G951">
        <v>1950</v>
      </c>
      <c r="H951">
        <v>2280</v>
      </c>
      <c r="I951">
        <v>8050</v>
      </c>
      <c r="J951">
        <v>3</v>
      </c>
      <c r="K951">
        <v>1.75</v>
      </c>
      <c r="M951" s="2" t="str">
        <f>HYPERLINK("http://maps.live.com/default.aspx?v=2&amp;lvl=15&amp;sp=Point.47.630417_-122.218199_2213 92nd Ave NE&amp;cp=47.630417~-122.218199","Map")</f>
        <v>Map</v>
      </c>
      <c r="N951" s="2" t="str">
        <f>HYPERLINK("http://i-0.rfimg.us/photo/1/bigphoto/984/28005984_1.jpg","Photo")</f>
        <v>Photo</v>
      </c>
      <c r="AG951">
        <v>47.630417000000001</v>
      </c>
      <c r="AH951">
        <v>-122.218199</v>
      </c>
      <c r="AI951" t="s">
        <v>5014</v>
      </c>
      <c r="AJ951">
        <v>98004</v>
      </c>
      <c r="AN951">
        <v>255000</v>
      </c>
      <c r="BC951" s="22">
        <v>39456.719166666669</v>
      </c>
      <c r="BI951" s="22">
        <v>39546.925937499997</v>
      </c>
      <c r="BL951">
        <v>21760</v>
      </c>
      <c r="BM951">
        <v>1387511</v>
      </c>
      <c r="BN951" t="s">
        <v>1768</v>
      </c>
      <c r="BO951" s="17">
        <f t="shared" ca="1" si="14"/>
        <v>92.590239236109483</v>
      </c>
      <c r="BP951" t="b">
        <v>0</v>
      </c>
      <c r="BQ951">
        <v>1</v>
      </c>
      <c r="BR951" t="s">
        <v>1667</v>
      </c>
      <c r="BS951" t="s">
        <v>2726</v>
      </c>
      <c r="BT951" t="b">
        <v>0</v>
      </c>
      <c r="BV951" t="s">
        <v>1668</v>
      </c>
      <c r="BW951">
        <v>2213</v>
      </c>
      <c r="BX951" t="s">
        <v>1738</v>
      </c>
      <c r="BY951">
        <v>251893</v>
      </c>
      <c r="BZ951" t="s">
        <v>5104</v>
      </c>
      <c r="CA951">
        <v>1</v>
      </c>
      <c r="CB951" t="b">
        <v>1</v>
      </c>
      <c r="CC951">
        <v>0</v>
      </c>
      <c r="CD951" t="b">
        <v>0</v>
      </c>
      <c r="CE951" t="b">
        <v>0</v>
      </c>
      <c r="CF951" t="b">
        <v>1</v>
      </c>
      <c r="CG951">
        <v>2387952</v>
      </c>
      <c r="CH951" t="s">
        <v>1681</v>
      </c>
      <c r="CI951" s="10">
        <v>1088000</v>
      </c>
      <c r="CJ951" s="7">
        <v>32948</v>
      </c>
    </row>
    <row r="952" spans="1:88">
      <c r="A952">
        <v>28006024</v>
      </c>
      <c r="B952" s="2" t="str">
        <f>HYPERLINK("http://www.redfin.com/stingray/do/printable-listing?listing-id=1388123","Active")</f>
        <v>Active</v>
      </c>
      <c r="D952" t="s">
        <v>3064</v>
      </c>
      <c r="E952" t="s">
        <v>6083</v>
      </c>
      <c r="F952">
        <v>469950</v>
      </c>
      <c r="G952">
        <v>2008</v>
      </c>
      <c r="H952">
        <v>2610</v>
      </c>
      <c r="I952">
        <v>0</v>
      </c>
      <c r="J952">
        <v>4</v>
      </c>
      <c r="K952">
        <v>2.5</v>
      </c>
      <c r="M952" s="2" t="str">
        <f>HYPERLINK("http://maps.live.com/default.aspx?v=2&amp;lvl=15&amp;sp=Point.47.4957_-122.1567_5126 NE 8th Pl&amp;cp=47.4957~-122.1567","Map")</f>
        <v>Map</v>
      </c>
      <c r="N952" s="2" t="str">
        <f>HYPERLINK("http://i-0.rfimg.us/photo/1/bigphoto/024/28006024_0.jpg","Photo")</f>
        <v>Photo</v>
      </c>
      <c r="AG952">
        <v>47.495699999999999</v>
      </c>
      <c r="AH952">
        <v>-122.1567</v>
      </c>
      <c r="AI952" t="s">
        <v>1077</v>
      </c>
      <c r="AJ952">
        <v>98059</v>
      </c>
      <c r="BC952" s="22">
        <v>39456.923275462963</v>
      </c>
      <c r="BI952" s="22">
        <v>39549.294907407406</v>
      </c>
      <c r="BL952">
        <v>9399</v>
      </c>
      <c r="BM952">
        <v>1388123</v>
      </c>
      <c r="BN952" t="s">
        <v>6082</v>
      </c>
      <c r="BO952" s="17">
        <f t="shared" ca="1" si="14"/>
        <v>92.386130439816043</v>
      </c>
      <c r="BP952" t="b">
        <v>0</v>
      </c>
      <c r="BQ952">
        <v>1</v>
      </c>
      <c r="BR952" t="s">
        <v>1842</v>
      </c>
      <c r="BS952" t="s">
        <v>1723</v>
      </c>
      <c r="BT952" t="b">
        <v>0</v>
      </c>
      <c r="BU952" t="s">
        <v>1738</v>
      </c>
      <c r="BV952" t="s">
        <v>1668</v>
      </c>
      <c r="BW952">
        <v>5126</v>
      </c>
      <c r="BY952">
        <v>12110571</v>
      </c>
      <c r="BZ952" t="s">
        <v>1670</v>
      </c>
      <c r="CA952">
        <v>1</v>
      </c>
      <c r="CB952" t="b">
        <v>1</v>
      </c>
      <c r="CC952">
        <v>0</v>
      </c>
      <c r="CD952" t="b">
        <v>0</v>
      </c>
      <c r="CE952" t="b">
        <v>0</v>
      </c>
      <c r="CF952" t="b">
        <v>1</v>
      </c>
      <c r="CG952">
        <v>15399759</v>
      </c>
      <c r="CH952" t="s">
        <v>1681</v>
      </c>
      <c r="CI952" s="10">
        <v>469950</v>
      </c>
    </row>
    <row r="953" spans="1:88">
      <c r="A953">
        <v>28006035</v>
      </c>
      <c r="B953" s="2" t="str">
        <f>HYPERLINK("http://www.redfin.com/stingray/do/printable-listing?listing-id=1390791","Active")</f>
        <v>Active</v>
      </c>
      <c r="D953" t="s">
        <v>919</v>
      </c>
      <c r="E953" t="s">
        <v>1333</v>
      </c>
      <c r="F953">
        <v>325000</v>
      </c>
      <c r="G953">
        <v>1948</v>
      </c>
      <c r="H953">
        <v>810</v>
      </c>
      <c r="I953">
        <v>6272</v>
      </c>
      <c r="J953">
        <v>2</v>
      </c>
      <c r="K953">
        <v>1</v>
      </c>
      <c r="M953" s="2" t="str">
        <f>HYPERLINK("http://maps.live.com/default.aspx?v=2&amp;lvl=15&amp;sp=Point.47.707057_-122.315092_10708 12th Ave NE&amp;cp=47.707057~-122.315092","Map")</f>
        <v>Map</v>
      </c>
      <c r="N953" s="2" t="str">
        <f>HYPERLINK("http://i-0.rfimg.us/photo/1/bigphoto/035/28006035_1.jpg","Photo")</f>
        <v>Photo</v>
      </c>
      <c r="AG953">
        <v>47.707056999999999</v>
      </c>
      <c r="AH953">
        <v>-122.31509200000001</v>
      </c>
      <c r="AI953" t="s">
        <v>66</v>
      </c>
      <c r="AJ953">
        <v>98125</v>
      </c>
      <c r="BC953" s="22">
        <v>39457.689050925925</v>
      </c>
      <c r="BI953" s="22">
        <v>39549.294907407406</v>
      </c>
      <c r="BL953">
        <v>6500</v>
      </c>
      <c r="BM953">
        <v>1390791</v>
      </c>
      <c r="BN953" t="s">
        <v>1725</v>
      </c>
      <c r="BO953" s="17">
        <f t="shared" ca="1" si="14"/>
        <v>91.620354976854287</v>
      </c>
      <c r="BP953" t="b">
        <v>0</v>
      </c>
      <c r="BQ953">
        <v>1</v>
      </c>
      <c r="BR953" t="s">
        <v>1667</v>
      </c>
      <c r="BS953" t="s">
        <v>1803</v>
      </c>
      <c r="BT953" t="b">
        <v>0</v>
      </c>
      <c r="BV953" t="s">
        <v>1668</v>
      </c>
      <c r="BW953">
        <v>10708</v>
      </c>
      <c r="BX953" t="s">
        <v>1738</v>
      </c>
      <c r="BY953">
        <v>107162</v>
      </c>
      <c r="BZ953" t="s">
        <v>2429</v>
      </c>
      <c r="CA953">
        <v>1</v>
      </c>
      <c r="CB953" t="b">
        <v>1</v>
      </c>
      <c r="CC953">
        <v>0</v>
      </c>
      <c r="CD953" t="b">
        <v>0</v>
      </c>
      <c r="CE953" t="b">
        <v>0</v>
      </c>
      <c r="CF953" t="b">
        <v>1</v>
      </c>
      <c r="CG953">
        <v>2694554</v>
      </c>
      <c r="CH953" t="s">
        <v>1681</v>
      </c>
      <c r="CI953" s="10">
        <v>325000</v>
      </c>
    </row>
    <row r="954" spans="1:88">
      <c r="A954">
        <v>28006095</v>
      </c>
      <c r="B954" s="2" t="str">
        <f>HYPERLINK("http://www.redfin.com/stingray/do/printable-listing?listing-id=1387508","Active")</f>
        <v>Active</v>
      </c>
      <c r="D954" t="s">
        <v>3064</v>
      </c>
      <c r="E954" t="s">
        <v>3952</v>
      </c>
      <c r="F954">
        <v>559900</v>
      </c>
      <c r="G954">
        <v>2008</v>
      </c>
      <c r="H954">
        <v>2996</v>
      </c>
      <c r="I954">
        <v>0</v>
      </c>
      <c r="J954">
        <v>3</v>
      </c>
      <c r="K954">
        <v>2.5</v>
      </c>
      <c r="M954" s="2" t="str">
        <f>HYPERLINK("http://maps.live.com/default.aspx?v=2&amp;lvl=15&amp;sp=adr.974 Jericho Pl NE (Lot 321) (Unable to map),98059","Map")</f>
        <v>Map</v>
      </c>
      <c r="N954" s="2" t="str">
        <f>HYPERLINK("http://i-0.rfimg.us/photo/1/bigphoto/095/28006095_1.jpg","Photo")</f>
        <v>Photo</v>
      </c>
      <c r="AI954" t="s">
        <v>1077</v>
      </c>
      <c r="AJ954">
        <v>98059</v>
      </c>
      <c r="BC954" s="22">
        <v>39456.719108796293</v>
      </c>
      <c r="BI954" s="22">
        <v>39549.294907407406</v>
      </c>
      <c r="BL954">
        <v>11198</v>
      </c>
      <c r="BM954">
        <v>1387508</v>
      </c>
      <c r="BN954" t="s">
        <v>3236</v>
      </c>
      <c r="BO954" s="17">
        <f t="shared" ca="1" si="14"/>
        <v>92.590297106486105</v>
      </c>
      <c r="BP954" t="b">
        <v>0</v>
      </c>
      <c r="BQ954">
        <v>1</v>
      </c>
      <c r="BS954" t="s">
        <v>3953</v>
      </c>
      <c r="BT954" t="b">
        <v>0</v>
      </c>
      <c r="BV954" t="s">
        <v>1668</v>
      </c>
      <c r="BW954">
        <v>974</v>
      </c>
      <c r="BY954">
        <v>0</v>
      </c>
      <c r="BZ954" t="s">
        <v>2373</v>
      </c>
      <c r="CA954">
        <v>1</v>
      </c>
      <c r="CB954" t="b">
        <v>1</v>
      </c>
      <c r="CC954">
        <v>0</v>
      </c>
      <c r="CD954" t="b">
        <v>0</v>
      </c>
      <c r="CE954" t="b">
        <v>0</v>
      </c>
      <c r="CF954" t="b">
        <v>1</v>
      </c>
      <c r="CG954" t="s">
        <v>1870</v>
      </c>
      <c r="CH954" t="s">
        <v>1681</v>
      </c>
      <c r="CI954" s="10">
        <v>559900</v>
      </c>
    </row>
    <row r="955" spans="1:88">
      <c r="A955">
        <v>28006115</v>
      </c>
      <c r="B955" s="2" t="str">
        <f>HYPERLINK("http://www.redfin.com/stingray/do/printable-listing?listing-id=1387591","Active")</f>
        <v>Active</v>
      </c>
      <c r="D955" t="s">
        <v>192</v>
      </c>
      <c r="E955" t="s">
        <v>2897</v>
      </c>
      <c r="F955">
        <v>649500</v>
      </c>
      <c r="G955">
        <v>1952</v>
      </c>
      <c r="H955">
        <v>2200</v>
      </c>
      <c r="I955">
        <v>7667</v>
      </c>
      <c r="J955">
        <v>3</v>
      </c>
      <c r="K955">
        <v>1.75</v>
      </c>
      <c r="M955" s="2" t="str">
        <f>HYPERLINK("http://maps.live.com/default.aspx?v=2&amp;lvl=15&amp;sp=Point.47.700683_-122.311863_9808 15 Ave NE&amp;cp=47.700683~-122.311863","Map")</f>
        <v>Map</v>
      </c>
      <c r="N955" s="2" t="str">
        <f>HYPERLINK("http://i-0.rfimg.us/photo/1/bigphoto/115/28006115_9.jpg","Photo")</f>
        <v>Photo</v>
      </c>
      <c r="AG955">
        <v>47.700682999999998</v>
      </c>
      <c r="AH955">
        <v>-122.311863</v>
      </c>
      <c r="AI955" t="s">
        <v>66</v>
      </c>
      <c r="AJ955">
        <v>98115</v>
      </c>
      <c r="AN955">
        <v>177000</v>
      </c>
      <c r="BC955" s="22">
        <v>39456.736111111109</v>
      </c>
      <c r="BI955" s="22">
        <v>39549.294907407406</v>
      </c>
      <c r="BL955">
        <v>12990</v>
      </c>
      <c r="BM955">
        <v>1387591</v>
      </c>
      <c r="BN955" t="s">
        <v>1766</v>
      </c>
      <c r="BO955" s="17">
        <f t="shared" ca="1" si="14"/>
        <v>92.573294791669468</v>
      </c>
      <c r="BP955" t="b">
        <v>0</v>
      </c>
      <c r="BQ955">
        <v>1</v>
      </c>
      <c r="BR955" t="s">
        <v>1667</v>
      </c>
      <c r="BS955">
        <v>15</v>
      </c>
      <c r="BT955" t="b">
        <v>0</v>
      </c>
      <c r="BV955" t="s">
        <v>1668</v>
      </c>
      <c r="BW955">
        <v>9808</v>
      </c>
      <c r="BX955" t="s">
        <v>1738</v>
      </c>
      <c r="BY955">
        <v>106742</v>
      </c>
      <c r="BZ955" t="s">
        <v>2898</v>
      </c>
      <c r="CA955">
        <v>1</v>
      </c>
      <c r="CB955" t="b">
        <v>1</v>
      </c>
      <c r="CC955">
        <v>0</v>
      </c>
      <c r="CD955" t="b">
        <v>0</v>
      </c>
      <c r="CE955" t="b">
        <v>0</v>
      </c>
      <c r="CF955" t="b">
        <v>1</v>
      </c>
      <c r="CG955">
        <v>2937356</v>
      </c>
      <c r="CH955" t="s">
        <v>1681</v>
      </c>
      <c r="CI955" s="10">
        <v>649500</v>
      </c>
      <c r="CJ955" s="7">
        <v>35811</v>
      </c>
    </row>
    <row r="956" spans="1:88">
      <c r="A956">
        <v>28006124</v>
      </c>
      <c r="B956" s="2" t="str">
        <f>HYPERLINK("http://www.redfin.com/stingray/do/printable-listing?listing-id=1387599","Active")</f>
        <v>Active</v>
      </c>
      <c r="D956" t="s">
        <v>5490</v>
      </c>
      <c r="E956" t="s">
        <v>5497</v>
      </c>
      <c r="F956" s="19">
        <v>649950</v>
      </c>
      <c r="G956">
        <v>1966</v>
      </c>
      <c r="H956">
        <v>3140</v>
      </c>
      <c r="I956">
        <v>15400</v>
      </c>
      <c r="J956">
        <v>5</v>
      </c>
      <c r="K956">
        <v>3.25</v>
      </c>
      <c r="M956" s="2" t="str">
        <f>HYPERLINK("http://maps.live.com/default.aspx?v=2&amp;lvl=15&amp;sp=Point.47.566568_-122.116423_4416 167th Pl SE&amp;cp=47.566568~-122.116423","Map")</f>
        <v>Map</v>
      </c>
      <c r="N956" s="2" t="str">
        <f>HYPERLINK("http://i-0.rfimg.us/photo/1/bigphoto/124/28006124_5.jpg","Photo")</f>
        <v>Photo</v>
      </c>
      <c r="AG956">
        <v>47.566567999999997</v>
      </c>
      <c r="AH956">
        <v>-122.116423</v>
      </c>
      <c r="AI956" t="s">
        <v>5280</v>
      </c>
      <c r="AJ956">
        <v>98027</v>
      </c>
      <c r="BC956" s="22">
        <v>39456.740694444445</v>
      </c>
      <c r="BI956" s="22">
        <v>39549.294907407406</v>
      </c>
      <c r="BL956">
        <v>13980</v>
      </c>
      <c r="BM956">
        <v>1387599</v>
      </c>
      <c r="BN956" t="s">
        <v>1674</v>
      </c>
      <c r="BO956" s="17">
        <f t="shared" ca="1" si="14"/>
        <v>92.568711458334292</v>
      </c>
      <c r="BP956" t="b">
        <v>0</v>
      </c>
      <c r="BQ956">
        <v>1</v>
      </c>
      <c r="BR956" t="s">
        <v>1842</v>
      </c>
      <c r="BS956" t="s">
        <v>5498</v>
      </c>
      <c r="BT956" t="b">
        <v>0</v>
      </c>
      <c r="BV956" t="s">
        <v>1668</v>
      </c>
      <c r="BW956">
        <v>4416</v>
      </c>
      <c r="BX956" t="s">
        <v>3856</v>
      </c>
      <c r="BY956">
        <v>240722</v>
      </c>
      <c r="BZ956" t="s">
        <v>5499</v>
      </c>
      <c r="CA956">
        <v>1</v>
      </c>
      <c r="CB956" t="b">
        <v>1</v>
      </c>
      <c r="CC956">
        <v>0</v>
      </c>
      <c r="CD956" t="b">
        <v>0</v>
      </c>
      <c r="CE956" t="b">
        <v>0</v>
      </c>
      <c r="CF956" t="b">
        <v>1</v>
      </c>
      <c r="CG956">
        <v>2658654</v>
      </c>
      <c r="CH956" t="s">
        <v>1681</v>
      </c>
      <c r="CI956" s="10">
        <v>699000</v>
      </c>
    </row>
    <row r="957" spans="1:88">
      <c r="A957">
        <v>28006135</v>
      </c>
      <c r="B957" s="2" t="str">
        <f>HYPERLINK("http://www.redfin.com/stingray/do/printable-listing?listing-id=1393085","Active")</f>
        <v>Active</v>
      </c>
      <c r="D957" t="s">
        <v>5274</v>
      </c>
      <c r="E957" t="s">
        <v>5533</v>
      </c>
      <c r="F957">
        <v>889000</v>
      </c>
      <c r="G957">
        <v>1996</v>
      </c>
      <c r="H957">
        <v>3320</v>
      </c>
      <c r="I957">
        <v>15000</v>
      </c>
      <c r="J957">
        <v>3</v>
      </c>
      <c r="K957">
        <v>2.75</v>
      </c>
      <c r="M957" s="2" t="str">
        <f>HYPERLINK("http://maps.live.com/default.aspx?v=2&amp;lvl=15&amp;sp=Point.47.597197_-122.081446_1407 E Lake Sammamish Pkwy SE&amp;cp=47.597197~-122.081446","Map")</f>
        <v>Map</v>
      </c>
      <c r="N957" s="2" t="str">
        <f>HYPERLINK("http://i-0.rfimg.us/photo/1/bigphoto/135/28006135_0.jpg","Photo")</f>
        <v>Photo</v>
      </c>
      <c r="AG957">
        <v>47.597197000000001</v>
      </c>
      <c r="AH957">
        <v>-122.081446</v>
      </c>
      <c r="AI957" t="s">
        <v>5273</v>
      </c>
      <c r="AJ957">
        <v>98075</v>
      </c>
      <c r="AN957">
        <v>495000</v>
      </c>
      <c r="BC957" s="22">
        <v>39458.496736111112</v>
      </c>
      <c r="BI957" s="22">
        <v>39549.294907407406</v>
      </c>
      <c r="BL957">
        <v>17780</v>
      </c>
      <c r="BM957">
        <v>1393085</v>
      </c>
      <c r="BN957" t="s">
        <v>1674</v>
      </c>
      <c r="BO957" s="17">
        <f t="shared" ca="1" si="14"/>
        <v>90.812669791666849</v>
      </c>
      <c r="BP957" t="b">
        <v>0</v>
      </c>
      <c r="BQ957">
        <v>1</v>
      </c>
      <c r="BR957" t="s">
        <v>5197</v>
      </c>
      <c r="BS957" t="s">
        <v>5261</v>
      </c>
      <c r="BT957" t="b">
        <v>0</v>
      </c>
      <c r="BU957" t="s">
        <v>2436</v>
      </c>
      <c r="BV957" t="s">
        <v>1668</v>
      </c>
      <c r="BW957">
        <v>1407</v>
      </c>
      <c r="BX957" t="s">
        <v>3856</v>
      </c>
      <c r="BY957">
        <v>267467</v>
      </c>
      <c r="BZ957" t="s">
        <v>1672</v>
      </c>
      <c r="CA957">
        <v>1</v>
      </c>
      <c r="CB957" t="b">
        <v>1</v>
      </c>
      <c r="CC957">
        <v>0</v>
      </c>
      <c r="CD957" t="b">
        <v>0</v>
      </c>
      <c r="CE957" t="b">
        <v>0</v>
      </c>
      <c r="CF957" t="b">
        <v>1</v>
      </c>
      <c r="CG957">
        <v>2961347</v>
      </c>
      <c r="CH957" t="s">
        <v>1681</v>
      </c>
      <c r="CI957" s="10">
        <v>889000</v>
      </c>
      <c r="CJ957" s="7">
        <v>38042</v>
      </c>
    </row>
    <row r="958" spans="1:88">
      <c r="A958">
        <v>28006145</v>
      </c>
      <c r="B958" s="2" t="str">
        <f>HYPERLINK("http://www.redfin.com/stingray/do/printable-listing?listing-id=1393022","Active")</f>
        <v>Active</v>
      </c>
      <c r="D958" t="s">
        <v>5201</v>
      </c>
      <c r="E958" t="s">
        <v>5229</v>
      </c>
      <c r="F958" s="19">
        <v>629950</v>
      </c>
      <c r="G958">
        <v>1961</v>
      </c>
      <c r="H958">
        <v>1870</v>
      </c>
      <c r="I958">
        <v>10880</v>
      </c>
      <c r="J958">
        <v>4</v>
      </c>
      <c r="K958">
        <v>2.5</v>
      </c>
      <c r="M958" s="2" t="str">
        <f>HYPERLINK("http://maps.live.com/default.aspx?v=2&amp;lvl=15&amp;sp=Point.47.601334_-122.126809_1015 160th Ave SE&amp;cp=47.601334~-122.126809","Map")</f>
        <v>Map</v>
      </c>
      <c r="N958" s="2" t="str">
        <f>HYPERLINK("http://i-0.rfimg.us/photo/1/bigphoto/145/28006145_0.jpg","Photo")</f>
        <v>Photo</v>
      </c>
      <c r="AG958">
        <v>47.601334000000001</v>
      </c>
      <c r="AH958">
        <v>-122.12680899999999</v>
      </c>
      <c r="AI958" t="s">
        <v>369</v>
      </c>
      <c r="AJ958">
        <v>98008</v>
      </c>
      <c r="AN958">
        <v>470000</v>
      </c>
      <c r="BC958" s="22">
        <v>39458.485972222225</v>
      </c>
      <c r="BI958" s="22">
        <v>39549.294907407406</v>
      </c>
      <c r="BL958">
        <v>12799</v>
      </c>
      <c r="BM958">
        <v>1393022</v>
      </c>
      <c r="BN958" t="s">
        <v>1768</v>
      </c>
      <c r="BO958" s="17">
        <f t="shared" ca="1" si="14"/>
        <v>90.823433680554444</v>
      </c>
      <c r="BP958" t="b">
        <v>0</v>
      </c>
      <c r="BQ958">
        <v>1</v>
      </c>
      <c r="BR958" t="s">
        <v>1667</v>
      </c>
      <c r="BS958" t="s">
        <v>5230</v>
      </c>
      <c r="BT958" t="b">
        <v>0</v>
      </c>
      <c r="BV958" t="s">
        <v>1668</v>
      </c>
      <c r="BW958">
        <v>1015</v>
      </c>
      <c r="BX958" t="s">
        <v>3856</v>
      </c>
      <c r="BY958">
        <v>427482</v>
      </c>
      <c r="BZ958" t="s">
        <v>1762</v>
      </c>
      <c r="CA958">
        <v>1</v>
      </c>
      <c r="CB958" t="b">
        <v>1</v>
      </c>
      <c r="CC958">
        <v>0</v>
      </c>
      <c r="CD958" t="b">
        <v>0</v>
      </c>
      <c r="CE958" t="b">
        <v>0</v>
      </c>
      <c r="CF958" t="b">
        <v>1</v>
      </c>
      <c r="CG958">
        <v>2991569</v>
      </c>
      <c r="CH958" t="s">
        <v>1681</v>
      </c>
      <c r="CI958" s="10">
        <v>639950</v>
      </c>
      <c r="CJ958" s="7">
        <v>39209</v>
      </c>
    </row>
    <row r="959" spans="1:88">
      <c r="A959">
        <v>28006176</v>
      </c>
      <c r="B959" s="15" t="str">
        <f>HYPERLINK("http://www.redfin.com/stingray/do/printable-listing?listing-id=1388031","Subject To Inspection")</f>
        <v>Subject To Inspection</v>
      </c>
      <c r="D959" t="s">
        <v>3681</v>
      </c>
      <c r="E959" t="s">
        <v>3804</v>
      </c>
      <c r="F959" s="19">
        <v>899000</v>
      </c>
      <c r="G959">
        <v>1948</v>
      </c>
      <c r="H959">
        <v>3380</v>
      </c>
      <c r="I959">
        <v>8238</v>
      </c>
      <c r="J959">
        <v>5</v>
      </c>
      <c r="K959">
        <v>2</v>
      </c>
      <c r="M959" s="2" t="str">
        <f>HYPERLINK("http://maps.live.com/default.aspx?v=2&amp;lvl=15&amp;sp=Point.47.642217_-122.299492_2518 Royal Ct E&amp;cp=47.642217~-122.299492","Map")</f>
        <v>Map</v>
      </c>
      <c r="N959" s="2" t="str">
        <f>HYPERLINK("http://i-0.rfimg.us/photo/1/bigphoto/176/28006176_1.jpg","Photo")</f>
        <v>Photo</v>
      </c>
      <c r="AG959">
        <v>47.642217000000002</v>
      </c>
      <c r="AH959">
        <v>-122.299492</v>
      </c>
      <c r="AI959" t="s">
        <v>66</v>
      </c>
      <c r="AJ959">
        <v>98112</v>
      </c>
      <c r="AN959">
        <v>546350</v>
      </c>
      <c r="BC959" s="22">
        <v>39456.86246527778</v>
      </c>
      <c r="BI959" s="22">
        <v>39545.917314814818</v>
      </c>
      <c r="BL959">
        <v>19980</v>
      </c>
      <c r="BM959">
        <v>1388031</v>
      </c>
      <c r="BN959" t="s">
        <v>1710</v>
      </c>
      <c r="BO959" s="17">
        <f t="shared" ca="1" si="14"/>
        <v>92.446940624999115</v>
      </c>
      <c r="BP959" t="b">
        <v>0</v>
      </c>
      <c r="BQ959">
        <v>1</v>
      </c>
      <c r="BR959" t="s">
        <v>3768</v>
      </c>
      <c r="BS959" t="s">
        <v>3805</v>
      </c>
      <c r="BT959" t="b">
        <v>0</v>
      </c>
      <c r="BV959" t="s">
        <v>1668</v>
      </c>
      <c r="BW959">
        <v>2518</v>
      </c>
      <c r="BX959" t="s">
        <v>2436</v>
      </c>
      <c r="BY959">
        <v>138089</v>
      </c>
      <c r="BZ959" t="s">
        <v>1704</v>
      </c>
      <c r="CA959">
        <v>1</v>
      </c>
      <c r="CB959" t="b">
        <v>1</v>
      </c>
      <c r="CC959">
        <v>0</v>
      </c>
      <c r="CD959" t="b">
        <v>0</v>
      </c>
      <c r="CE959" t="b">
        <v>0</v>
      </c>
      <c r="CF959" t="b">
        <v>1</v>
      </c>
      <c r="CG959">
        <v>2799659</v>
      </c>
      <c r="CH959" t="s">
        <v>1681</v>
      </c>
      <c r="CI959" s="10">
        <v>999000</v>
      </c>
      <c r="CJ959" s="7">
        <v>37603</v>
      </c>
    </row>
    <row r="960" spans="1:88">
      <c r="A960">
        <v>28006190</v>
      </c>
      <c r="B960" s="2" t="str">
        <f>HYPERLINK("http://www.redfin.com/stingray/do/printable-listing?listing-id=1389025","Active")</f>
        <v>Active</v>
      </c>
      <c r="D960" t="s">
        <v>1202</v>
      </c>
      <c r="E960" t="s">
        <v>1270</v>
      </c>
      <c r="F960" s="19">
        <v>788000</v>
      </c>
      <c r="G960">
        <v>1955</v>
      </c>
      <c r="H960">
        <v>2780</v>
      </c>
      <c r="I960">
        <v>6600</v>
      </c>
      <c r="J960">
        <v>4</v>
      </c>
      <c r="K960">
        <v>2.75</v>
      </c>
      <c r="M960" s="2" t="str">
        <f>HYPERLINK("http://maps.live.com/default.aspx?v=2&amp;lvl=15&amp;sp=Point.47.69602_-122.381794_9215 20th Ave NW&amp;cp=47.69602~-122.381794","Map")</f>
        <v>Map</v>
      </c>
      <c r="N960" s="2" t="str">
        <f>HYPERLINK("http://i-0.rfimg.us/photo/1/bigphoto/190/28006190_0.jpg","Photo")</f>
        <v>Photo</v>
      </c>
      <c r="AG960">
        <v>47.696019999999997</v>
      </c>
      <c r="AH960">
        <v>-122.381794</v>
      </c>
      <c r="AI960" t="s">
        <v>66</v>
      </c>
      <c r="AJ960">
        <v>98117</v>
      </c>
      <c r="BC960" s="22">
        <v>39457.202291666668</v>
      </c>
      <c r="BI960" s="22">
        <v>39549.294907407406</v>
      </c>
      <c r="BL960">
        <v>16490</v>
      </c>
      <c r="BM960">
        <v>1389025</v>
      </c>
      <c r="BN960" t="s">
        <v>1749</v>
      </c>
      <c r="BO960" s="17">
        <f t="shared" ca="1" si="14"/>
        <v>92.107114351849305</v>
      </c>
      <c r="BP960" t="b">
        <v>0</v>
      </c>
      <c r="BQ960">
        <v>1</v>
      </c>
      <c r="BR960" t="s">
        <v>1667</v>
      </c>
      <c r="BS960" t="s">
        <v>1844</v>
      </c>
      <c r="BT960" t="b">
        <v>0</v>
      </c>
      <c r="BV960" t="s">
        <v>1668</v>
      </c>
      <c r="BW960">
        <v>9215</v>
      </c>
      <c r="BX960" t="s">
        <v>1669</v>
      </c>
      <c r="BY960">
        <v>289606</v>
      </c>
      <c r="BZ960" t="s">
        <v>1747</v>
      </c>
      <c r="CA960">
        <v>1</v>
      </c>
      <c r="CB960" t="b">
        <v>1</v>
      </c>
      <c r="CC960">
        <v>0</v>
      </c>
      <c r="CD960" t="b">
        <v>0</v>
      </c>
      <c r="CE960" t="b">
        <v>0</v>
      </c>
      <c r="CF960" t="b">
        <v>1</v>
      </c>
      <c r="CG960">
        <v>2943820</v>
      </c>
      <c r="CH960" t="s">
        <v>1681</v>
      </c>
      <c r="CI960" s="10">
        <v>824500</v>
      </c>
    </row>
    <row r="961" spans="1:88">
      <c r="A961">
        <v>28006197</v>
      </c>
      <c r="B961" s="2" t="str">
        <f>HYPERLINK("http://www.redfin.com/stingray/do/printable-listing?listing-id=1388280","Active")</f>
        <v>Active</v>
      </c>
      <c r="D961" t="s">
        <v>369</v>
      </c>
      <c r="E961" t="s">
        <v>5801</v>
      </c>
      <c r="F961">
        <v>800000</v>
      </c>
      <c r="G961">
        <v>2001</v>
      </c>
      <c r="H961">
        <v>3103</v>
      </c>
      <c r="I961">
        <v>0</v>
      </c>
      <c r="J961">
        <v>4</v>
      </c>
      <c r="K961">
        <v>3.5</v>
      </c>
      <c r="M961" s="2" t="str">
        <f>HYPERLINK("http://maps.live.com/default.aspx?v=2&amp;lvl=15&amp;sp=Point.47.546461_-122.18983_11218 SE 64th&amp;cp=47.546461~-122.18983","Map")</f>
        <v>Map</v>
      </c>
      <c r="N961" s="2" t="str">
        <f>HYPERLINK("http://i-0.rfimg.us/photo/1/bigphoto/197/28006197_2.jpg","Photo")</f>
        <v>Photo</v>
      </c>
      <c r="AG961">
        <v>47.546461000000001</v>
      </c>
      <c r="AH961">
        <v>-122.18983</v>
      </c>
      <c r="AI961" t="s">
        <v>369</v>
      </c>
      <c r="AJ961">
        <v>98006</v>
      </c>
      <c r="AN961">
        <v>493000</v>
      </c>
      <c r="BC961" s="22">
        <v>39456.973969907405</v>
      </c>
      <c r="BI961" s="22">
        <v>39549.294907407406</v>
      </c>
      <c r="BL961">
        <v>16000</v>
      </c>
      <c r="BM961">
        <v>1388280</v>
      </c>
      <c r="BN961" t="s">
        <v>2419</v>
      </c>
      <c r="BO961" s="17">
        <f t="shared" ca="1" si="14"/>
        <v>92.3354359953737</v>
      </c>
      <c r="BP961" t="b">
        <v>0</v>
      </c>
      <c r="BQ961">
        <v>1</v>
      </c>
      <c r="BS961" t="s">
        <v>2405</v>
      </c>
      <c r="BT961" t="b">
        <v>0</v>
      </c>
      <c r="BU961" t="s">
        <v>3856</v>
      </c>
      <c r="BV961" t="s">
        <v>1668</v>
      </c>
      <c r="BW961">
        <v>11218</v>
      </c>
      <c r="BY961">
        <v>414312</v>
      </c>
      <c r="BZ961" t="s">
        <v>2064</v>
      </c>
      <c r="CA961">
        <v>1</v>
      </c>
      <c r="CB961" t="b">
        <v>1</v>
      </c>
      <c r="CC961">
        <v>0</v>
      </c>
      <c r="CD961" t="b">
        <v>0</v>
      </c>
      <c r="CE961" t="b">
        <v>0</v>
      </c>
      <c r="CF961" t="b">
        <v>1</v>
      </c>
      <c r="CG961">
        <v>2659932</v>
      </c>
      <c r="CH961" t="s">
        <v>1681</v>
      </c>
      <c r="CI961" s="10">
        <v>800000</v>
      </c>
      <c r="CJ961" s="7">
        <v>36923</v>
      </c>
    </row>
    <row r="962" spans="1:88">
      <c r="A962">
        <v>28006243</v>
      </c>
      <c r="B962" s="2" t="str">
        <f>HYPERLINK("http://www.redfin.com/stingray/do/printable-listing?listing-id=1389134","Active")</f>
        <v>Active</v>
      </c>
      <c r="D962" t="s">
        <v>3721</v>
      </c>
      <c r="E962" t="s">
        <v>4241</v>
      </c>
      <c r="F962">
        <v>1069000</v>
      </c>
      <c r="G962">
        <v>1980</v>
      </c>
      <c r="H962">
        <v>2200</v>
      </c>
      <c r="I962">
        <v>5975</v>
      </c>
      <c r="J962">
        <v>3</v>
      </c>
      <c r="K962">
        <v>2</v>
      </c>
      <c r="M962" s="2" t="str">
        <f>HYPERLINK("http://maps.live.com/default.aspx?v=2&amp;lvl=15&amp;sp=Point.47.625137_-122.290162_3216 E Mercer St&amp;cp=47.625137~-122.290162","Map")</f>
        <v>Map</v>
      </c>
      <c r="N962" s="2" t="str">
        <f>HYPERLINK("http://i-0.rfimg.us/photo/1/bigphoto/243/28006243_0.jpg","Photo")</f>
        <v>Photo</v>
      </c>
      <c r="AG962">
        <v>47.625137000000002</v>
      </c>
      <c r="AH962">
        <v>-122.290162</v>
      </c>
      <c r="AI962" t="s">
        <v>66</v>
      </c>
      <c r="AJ962">
        <v>98112</v>
      </c>
      <c r="AN962">
        <v>697000</v>
      </c>
      <c r="BC962" s="22">
        <v>39457.337789351855</v>
      </c>
      <c r="BI962" s="22">
        <v>39549.294907407406</v>
      </c>
      <c r="BL962">
        <v>21380</v>
      </c>
      <c r="BM962">
        <v>1389134</v>
      </c>
      <c r="BN962" t="s">
        <v>1715</v>
      </c>
      <c r="BO962" s="17">
        <f t="shared" ref="BO962:BO1025" ca="1" si="15">NOW()-BC962</f>
        <v>91.9716165509235</v>
      </c>
      <c r="BP962" t="b">
        <v>0</v>
      </c>
      <c r="BQ962">
        <v>1</v>
      </c>
      <c r="BR962" t="s">
        <v>1686</v>
      </c>
      <c r="BS962" t="s">
        <v>4242</v>
      </c>
      <c r="BT962" t="b">
        <v>0</v>
      </c>
      <c r="BU962" t="s">
        <v>2436</v>
      </c>
      <c r="BV962" t="s">
        <v>1668</v>
      </c>
      <c r="BW962">
        <v>3216</v>
      </c>
      <c r="BY962">
        <v>139836</v>
      </c>
      <c r="BZ962" t="s">
        <v>1745</v>
      </c>
      <c r="CA962">
        <v>1</v>
      </c>
      <c r="CB962" t="b">
        <v>1</v>
      </c>
      <c r="CC962">
        <v>0</v>
      </c>
      <c r="CD962" t="b">
        <v>0</v>
      </c>
      <c r="CE962" t="b">
        <v>0</v>
      </c>
      <c r="CF962" t="b">
        <v>1</v>
      </c>
      <c r="CG962">
        <v>2854005</v>
      </c>
      <c r="CH962" t="s">
        <v>1681</v>
      </c>
      <c r="CI962" s="10">
        <v>1069000</v>
      </c>
      <c r="CJ962" s="7">
        <v>38593</v>
      </c>
    </row>
    <row r="963" spans="1:88">
      <c r="A963">
        <v>28006435</v>
      </c>
      <c r="B963" s="2" t="str">
        <f>HYPERLINK("http://www.redfin.com/stingray/do/printable-listing?listing-id=1393605","Active")</f>
        <v>Active</v>
      </c>
      <c r="D963" t="s">
        <v>1058</v>
      </c>
      <c r="E963" t="s">
        <v>4477</v>
      </c>
      <c r="F963">
        <v>389950</v>
      </c>
      <c r="G963">
        <v>1973</v>
      </c>
      <c r="H963">
        <v>1060</v>
      </c>
      <c r="I963">
        <v>7841</v>
      </c>
      <c r="J963">
        <v>3</v>
      </c>
      <c r="K963">
        <v>1.5</v>
      </c>
      <c r="M963" s="2" t="str">
        <f>HYPERLINK("http://maps.live.com/default.aspx?v=2&amp;lvl=15&amp;sp=Point.47.721806_-122.21033_9768 NE 135th Pl&amp;cp=47.721806~-122.21033","Map")</f>
        <v>Map</v>
      </c>
      <c r="N963" s="2" t="str">
        <f>HYPERLINK("http://i-0.rfimg.us/photo/1/bigphoto/435/28006435_0.jpg","Photo")</f>
        <v>Photo</v>
      </c>
      <c r="AG963">
        <v>47.721806000000001</v>
      </c>
      <c r="AH963">
        <v>-122.21033</v>
      </c>
      <c r="AI963" t="s">
        <v>1058</v>
      </c>
      <c r="AJ963">
        <v>98034</v>
      </c>
      <c r="AN963">
        <v>325000</v>
      </c>
      <c r="BC963" s="22">
        <v>39458.611724537041</v>
      </c>
      <c r="BI963" s="22">
        <v>39549.294907407406</v>
      </c>
      <c r="BL963">
        <v>7799</v>
      </c>
      <c r="BM963">
        <v>1393605</v>
      </c>
      <c r="BN963" t="s">
        <v>1768</v>
      </c>
      <c r="BO963" s="17">
        <f t="shared" ca="1" si="15"/>
        <v>90.69768136573839</v>
      </c>
      <c r="BP963" t="b">
        <v>0</v>
      </c>
      <c r="BQ963">
        <v>1</v>
      </c>
      <c r="BR963" t="s">
        <v>1842</v>
      </c>
      <c r="BS963" t="s">
        <v>3909</v>
      </c>
      <c r="BT963" t="b">
        <v>0</v>
      </c>
      <c r="BU963" t="s">
        <v>1738</v>
      </c>
      <c r="BV963" t="s">
        <v>1668</v>
      </c>
      <c r="BW963">
        <v>9768</v>
      </c>
      <c r="BY963">
        <v>279684</v>
      </c>
      <c r="BZ963" t="s">
        <v>1670</v>
      </c>
      <c r="CA963">
        <v>1</v>
      </c>
      <c r="CB963" t="b">
        <v>1</v>
      </c>
      <c r="CC963">
        <v>0</v>
      </c>
      <c r="CD963" t="b">
        <v>0</v>
      </c>
      <c r="CE963" t="b">
        <v>0</v>
      </c>
      <c r="CF963" t="b">
        <v>1</v>
      </c>
      <c r="CG963">
        <v>2605032</v>
      </c>
      <c r="CH963" t="s">
        <v>1681</v>
      </c>
      <c r="CI963" s="10">
        <v>389950</v>
      </c>
      <c r="CJ963" s="7">
        <v>38807</v>
      </c>
    </row>
    <row r="964" spans="1:88">
      <c r="A964">
        <v>28006457</v>
      </c>
      <c r="B964" s="2" t="str">
        <f>HYPERLINK("http://www.redfin.com/stingray/do/printable-listing?listing-id=1393426","Active")</f>
        <v>Active</v>
      </c>
      <c r="D964" t="s">
        <v>369</v>
      </c>
      <c r="E964" t="s">
        <v>5462</v>
      </c>
      <c r="F964">
        <v>439950</v>
      </c>
      <c r="G964">
        <v>1959</v>
      </c>
      <c r="H964">
        <v>0</v>
      </c>
      <c r="I964">
        <v>8400</v>
      </c>
      <c r="J964">
        <v>3</v>
      </c>
      <c r="K964">
        <v>1</v>
      </c>
      <c r="M964" s="2" t="str">
        <f>HYPERLINK("http://maps.live.com/default.aspx?v=2&amp;lvl=15&amp;sp=Point.47.617105_-122.118795_806 166th Ave NE&amp;cp=47.617105~-122.118795","Map")</f>
        <v>Map</v>
      </c>
      <c r="N964" s="2" t="str">
        <f>HYPERLINK("http://i-0.rfimg.us/photo/1/bigphoto/457/28006457_1.jpg","Photo")</f>
        <v>Photo</v>
      </c>
      <c r="AG964">
        <v>47.617105000000002</v>
      </c>
      <c r="AH964">
        <v>-122.11879500000001</v>
      </c>
      <c r="AI964" t="s">
        <v>369</v>
      </c>
      <c r="AJ964">
        <v>98008</v>
      </c>
      <c r="AN964">
        <v>340000</v>
      </c>
      <c r="BC964" s="22">
        <v>39458.57402777778</v>
      </c>
      <c r="BI964" s="22">
        <v>39549.294907407406</v>
      </c>
      <c r="BL964">
        <v>8799</v>
      </c>
      <c r="BM964">
        <v>1393426</v>
      </c>
      <c r="BN964" t="s">
        <v>1768</v>
      </c>
      <c r="BO964" s="17">
        <f t="shared" ca="1" si="15"/>
        <v>90.735378124998533</v>
      </c>
      <c r="BP964" t="b">
        <v>0</v>
      </c>
      <c r="BQ964">
        <v>1</v>
      </c>
      <c r="BR964" t="s">
        <v>1667</v>
      </c>
      <c r="BS964" t="s">
        <v>5194</v>
      </c>
      <c r="BT964" t="b">
        <v>0</v>
      </c>
      <c r="BV964" t="s">
        <v>1668</v>
      </c>
      <c r="BW964">
        <v>806</v>
      </c>
      <c r="BX964" t="s">
        <v>1738</v>
      </c>
      <c r="BY964">
        <v>499549</v>
      </c>
      <c r="BZ964" t="s">
        <v>1679</v>
      </c>
      <c r="CA964">
        <v>1</v>
      </c>
      <c r="CB964" t="b">
        <v>1</v>
      </c>
      <c r="CC964">
        <v>0</v>
      </c>
      <c r="CD964" t="b">
        <v>0</v>
      </c>
      <c r="CE964" t="b">
        <v>0</v>
      </c>
      <c r="CF964" t="b">
        <v>1</v>
      </c>
      <c r="CG964">
        <v>2569765</v>
      </c>
      <c r="CH964" t="s">
        <v>1681</v>
      </c>
      <c r="CI964" s="10">
        <v>439950</v>
      </c>
      <c r="CJ964" s="7">
        <v>39289</v>
      </c>
    </row>
    <row r="965" spans="1:88">
      <c r="A965">
        <v>28006458</v>
      </c>
      <c r="B965" s="2" t="str">
        <f>HYPERLINK("http://www.redfin.com/stingray/do/printable-listing?listing-id=1390549","Active")</f>
        <v>Active</v>
      </c>
      <c r="D965" t="s">
        <v>60</v>
      </c>
      <c r="E965" t="s">
        <v>2351</v>
      </c>
      <c r="F965">
        <v>349950</v>
      </c>
      <c r="G965">
        <v>2007</v>
      </c>
      <c r="H965">
        <v>1353</v>
      </c>
      <c r="I965">
        <v>0</v>
      </c>
      <c r="J965">
        <v>3</v>
      </c>
      <c r="K965">
        <v>2.5</v>
      </c>
      <c r="M965" s="2" t="str">
        <f>HYPERLINK("http://maps.live.com/default.aspx?v=2&amp;lvl=15&amp;sp=Point.47.690761_-122.343295_8516 Nesbit Ave N&amp;cp=47.690761~-122.343295","Map")</f>
        <v>Map</v>
      </c>
      <c r="N965" s="2" t="str">
        <f>HYPERLINK("http://i-0.rfimg.us/photo/1/bigphoto/458/28006458_1.jpg","Photo")</f>
        <v>Photo</v>
      </c>
      <c r="AG965">
        <v>47.690761000000002</v>
      </c>
      <c r="AH965">
        <v>-122.343295</v>
      </c>
      <c r="AI965" t="s">
        <v>66</v>
      </c>
      <c r="AJ965">
        <v>98103</v>
      </c>
      <c r="BC965" s="22">
        <v>39457.663252314815</v>
      </c>
      <c r="BI965" s="22">
        <v>39549.294907407406</v>
      </c>
      <c r="BL965">
        <v>6999</v>
      </c>
      <c r="BM965">
        <v>1390549</v>
      </c>
      <c r="BN965" t="s">
        <v>1710</v>
      </c>
      <c r="BO965" s="17">
        <f t="shared" ca="1" si="15"/>
        <v>91.646153703703021</v>
      </c>
      <c r="BP965" t="b">
        <v>0</v>
      </c>
      <c r="BQ965">
        <v>1</v>
      </c>
      <c r="BR965" t="s">
        <v>1667</v>
      </c>
      <c r="BS965" t="s">
        <v>2352</v>
      </c>
      <c r="BT965" t="b">
        <v>0</v>
      </c>
      <c r="BV965" t="s">
        <v>1668</v>
      </c>
      <c r="BW965">
        <v>8516</v>
      </c>
      <c r="BX965" t="s">
        <v>1712</v>
      </c>
      <c r="BY965">
        <v>12321015</v>
      </c>
      <c r="BZ965" t="s">
        <v>1709</v>
      </c>
      <c r="CA965">
        <v>1</v>
      </c>
      <c r="CB965" t="b">
        <v>1</v>
      </c>
      <c r="CC965">
        <v>0</v>
      </c>
      <c r="CD965" t="b">
        <v>0</v>
      </c>
      <c r="CE965" t="b">
        <v>0</v>
      </c>
      <c r="CF965" t="b">
        <v>1</v>
      </c>
      <c r="CG965">
        <v>15527051</v>
      </c>
      <c r="CH965" t="s">
        <v>1681</v>
      </c>
      <c r="CI965" s="10">
        <v>349950</v>
      </c>
    </row>
    <row r="966" spans="1:88">
      <c r="A966">
        <v>28006491</v>
      </c>
      <c r="B966" s="2" t="str">
        <f>HYPERLINK("http://www.redfin.com/stingray/do/printable-listing?listing-id=1393809","Active")</f>
        <v>Active</v>
      </c>
      <c r="D966" t="s">
        <v>3066</v>
      </c>
      <c r="E966" t="s">
        <v>4625</v>
      </c>
      <c r="F966">
        <v>749950</v>
      </c>
      <c r="G966">
        <v>2007</v>
      </c>
      <c r="H966">
        <v>2881</v>
      </c>
      <c r="I966">
        <v>6597</v>
      </c>
      <c r="J966">
        <v>4</v>
      </c>
      <c r="K966">
        <v>2.75</v>
      </c>
      <c r="M966" s="2" t="str">
        <f>HYPERLINK("http://maps.live.com/default.aspx?v=2&amp;lvl=15&amp;sp=adr.8366 138th Ct NE (Unable to map),98052","Map")</f>
        <v>Map</v>
      </c>
      <c r="N966" s="2" t="str">
        <f>HYPERLINK("http://i-0.rfimg.us/photo/1/bigphoto/491/28006491_2.jpg","Photo")</f>
        <v>Photo</v>
      </c>
      <c r="AI966" t="s">
        <v>4363</v>
      </c>
      <c r="AJ966">
        <v>98052</v>
      </c>
      <c r="BC966" s="22">
        <v>39458.635937500003</v>
      </c>
      <c r="BI966" s="22">
        <v>39549.294907407406</v>
      </c>
      <c r="BL966">
        <v>14999</v>
      </c>
      <c r="BM966">
        <v>1393809</v>
      </c>
      <c r="BN966" t="s">
        <v>2136</v>
      </c>
      <c r="BO966" s="17">
        <f t="shared" ca="1" si="15"/>
        <v>90.673468402776052</v>
      </c>
      <c r="BP966" t="b">
        <v>0</v>
      </c>
      <c r="BQ966">
        <v>1</v>
      </c>
      <c r="BR966" t="s">
        <v>3768</v>
      </c>
      <c r="BS966" t="s">
        <v>4421</v>
      </c>
      <c r="BT966" t="b">
        <v>0</v>
      </c>
      <c r="BV966" t="s">
        <v>1668</v>
      </c>
      <c r="BW966">
        <v>8366</v>
      </c>
      <c r="BX966" t="s">
        <v>1738</v>
      </c>
      <c r="BY966">
        <v>0</v>
      </c>
      <c r="BZ966" t="s">
        <v>4626</v>
      </c>
      <c r="CA966">
        <v>1</v>
      </c>
      <c r="CB966" t="b">
        <v>1</v>
      </c>
      <c r="CC966">
        <v>0</v>
      </c>
      <c r="CD966" t="b">
        <v>0</v>
      </c>
      <c r="CE966" t="b">
        <v>0</v>
      </c>
      <c r="CF966" t="b">
        <v>1</v>
      </c>
      <c r="CG966" t="s">
        <v>1870</v>
      </c>
      <c r="CH966" t="s">
        <v>1681</v>
      </c>
      <c r="CI966" s="10">
        <v>749950</v>
      </c>
    </row>
    <row r="967" spans="1:88">
      <c r="A967">
        <v>28006574</v>
      </c>
      <c r="B967" s="2" t="str">
        <f>HYPERLINK("http://www.redfin.com/stingray/do/printable-listing?listing-id=1390092","Active")</f>
        <v>Active</v>
      </c>
      <c r="D967" t="s">
        <v>3249</v>
      </c>
      <c r="E967" t="s">
        <v>3583</v>
      </c>
      <c r="F967" s="19">
        <v>699950</v>
      </c>
      <c r="G967">
        <v>2008</v>
      </c>
      <c r="H967">
        <v>1800</v>
      </c>
      <c r="I967">
        <v>0</v>
      </c>
      <c r="J967">
        <v>2</v>
      </c>
      <c r="K967">
        <v>2.5</v>
      </c>
      <c r="M967" s="2" t="str">
        <f>HYPERLINK("http://maps.live.com/default.aspx?v=2&amp;lvl=15&amp;sp=Point.47.631632_-122.360703_1415 3rd Ave W&amp;cp=47.631632~-122.360703","Map")</f>
        <v>Map</v>
      </c>
      <c r="N967" s="2" t="str">
        <f>HYPERLINK("http://i-0.rfimg.us/photo/1/bigphoto/574/28006574_2.jpg","Photo")</f>
        <v>Photo</v>
      </c>
      <c r="AG967">
        <v>47.631632000000003</v>
      </c>
      <c r="AH967">
        <v>-122.360703</v>
      </c>
      <c r="AI967" t="s">
        <v>66</v>
      </c>
      <c r="AJ967">
        <v>98119</v>
      </c>
      <c r="BC967" s="22">
        <v>39457.573379629626</v>
      </c>
      <c r="BI967" s="22">
        <v>39549.294907407406</v>
      </c>
      <c r="BL967">
        <v>14999</v>
      </c>
      <c r="BM967">
        <v>1390092</v>
      </c>
      <c r="BN967" t="s">
        <v>1783</v>
      </c>
      <c r="BO967" s="17">
        <f t="shared" ca="1" si="15"/>
        <v>91.736026273152675</v>
      </c>
      <c r="BP967" t="b">
        <v>0</v>
      </c>
      <c r="BQ967">
        <v>1</v>
      </c>
      <c r="BR967" t="s">
        <v>1667</v>
      </c>
      <c r="BS967" t="s">
        <v>1796</v>
      </c>
      <c r="BT967" t="b">
        <v>0</v>
      </c>
      <c r="BV967" t="s">
        <v>1668</v>
      </c>
      <c r="BW967">
        <v>1415</v>
      </c>
      <c r="BX967" t="s">
        <v>2423</v>
      </c>
      <c r="BY967">
        <v>12173930</v>
      </c>
      <c r="BZ967" t="s">
        <v>3585</v>
      </c>
      <c r="CA967">
        <v>1</v>
      </c>
      <c r="CB967" t="b">
        <v>1</v>
      </c>
      <c r="CC967">
        <v>0</v>
      </c>
      <c r="CD967" t="b">
        <v>0</v>
      </c>
      <c r="CE967" t="b">
        <v>0</v>
      </c>
      <c r="CF967" t="b">
        <v>1</v>
      </c>
      <c r="CG967">
        <v>15404537</v>
      </c>
      <c r="CH967" t="s">
        <v>1681</v>
      </c>
      <c r="CI967" s="10">
        <v>749950</v>
      </c>
    </row>
    <row r="968" spans="1:88">
      <c r="A968">
        <v>28006588</v>
      </c>
      <c r="B968" s="15" t="str">
        <f>HYPERLINK("http://www.redfin.com/stingray/do/printable-listing?listing-id=1390544","Contingent")</f>
        <v>Contingent</v>
      </c>
      <c r="D968" t="s">
        <v>2552</v>
      </c>
      <c r="E968" t="s">
        <v>3363</v>
      </c>
      <c r="F968">
        <v>999950</v>
      </c>
      <c r="G968">
        <v>1958</v>
      </c>
      <c r="H968">
        <v>3320</v>
      </c>
      <c r="I968">
        <v>5371</v>
      </c>
      <c r="J968">
        <v>4</v>
      </c>
      <c r="K968">
        <v>2.5</v>
      </c>
      <c r="M968" s="2" t="str">
        <f>HYPERLINK("http://maps.live.com/default.aspx?v=2&amp;lvl=15&amp;sp=Point.47.641862_-122.389368_2521 25th Ave W&amp;cp=47.641862~-122.389368","Map")</f>
        <v>Map</v>
      </c>
      <c r="N968" s="2" t="str">
        <f>HYPERLINK("http://i-0.rfimg.us/photo/1/bigphoto/588/28006588_C.jpg","Photo")</f>
        <v>Photo</v>
      </c>
      <c r="AG968">
        <v>47.641862000000003</v>
      </c>
      <c r="AH968">
        <v>-122.389368</v>
      </c>
      <c r="AI968" t="s">
        <v>66</v>
      </c>
      <c r="AJ968">
        <v>98199</v>
      </c>
      <c r="AN968">
        <v>699000</v>
      </c>
      <c r="BC968" s="22">
        <v>39457.662951388891</v>
      </c>
      <c r="BI968" s="22">
        <v>39549.294907407406</v>
      </c>
      <c r="BL968">
        <v>19999</v>
      </c>
      <c r="BM968">
        <v>1390544</v>
      </c>
      <c r="BN968" t="s">
        <v>3362</v>
      </c>
      <c r="BO968" s="17">
        <f t="shared" ca="1" si="15"/>
        <v>91.646454513887875</v>
      </c>
      <c r="BP968" t="b">
        <v>0</v>
      </c>
      <c r="BQ968">
        <v>1</v>
      </c>
      <c r="BR968" t="s">
        <v>1667</v>
      </c>
      <c r="BS968" t="s">
        <v>1819</v>
      </c>
      <c r="BT968" t="b">
        <v>0</v>
      </c>
      <c r="BV968" t="s">
        <v>1668</v>
      </c>
      <c r="BW968">
        <v>2521</v>
      </c>
      <c r="BX968" t="s">
        <v>2423</v>
      </c>
      <c r="BY968">
        <v>123119</v>
      </c>
      <c r="BZ968" t="s">
        <v>3364</v>
      </c>
      <c r="CA968">
        <v>1</v>
      </c>
      <c r="CB968" t="b">
        <v>1</v>
      </c>
      <c r="CC968">
        <v>0</v>
      </c>
      <c r="CD968" t="b">
        <v>0</v>
      </c>
      <c r="CE968" t="b">
        <v>0</v>
      </c>
      <c r="CF968" t="b">
        <v>1</v>
      </c>
      <c r="CG968">
        <v>2345309</v>
      </c>
      <c r="CH968" t="s">
        <v>1681</v>
      </c>
      <c r="CI968" s="10">
        <v>999950</v>
      </c>
      <c r="CJ968" s="7">
        <v>38232</v>
      </c>
    </row>
    <row r="969" spans="1:88">
      <c r="A969">
        <v>28006638</v>
      </c>
      <c r="B969" s="2" t="str">
        <f>HYPERLINK("http://www.redfin.com/stingray/do/printable-listing?listing-id=1390222","Active")</f>
        <v>Active</v>
      </c>
      <c r="D969" t="s">
        <v>60</v>
      </c>
      <c r="E969" t="s">
        <v>2810</v>
      </c>
      <c r="F969">
        <v>364500</v>
      </c>
      <c r="G969">
        <v>2005</v>
      </c>
      <c r="H969">
        <v>1300</v>
      </c>
      <c r="I969">
        <v>0</v>
      </c>
      <c r="J969">
        <v>3</v>
      </c>
      <c r="K969">
        <v>2.5</v>
      </c>
      <c r="M969" s="2" t="str">
        <f>HYPERLINK("http://maps.live.com/default.aspx?v=2&amp;lvl=15&amp;sp=Point.47.698082_-122.346819_908 N 95th St&amp;cp=47.698082~-122.346819","Map")</f>
        <v>Map</v>
      </c>
      <c r="N969" s="2" t="str">
        <f>HYPERLINK("http://i-0.rfimg.us/photo/1/bigphoto/638/28006638_0.jpg","Photo")</f>
        <v>Photo</v>
      </c>
      <c r="AG969">
        <v>47.698081999999999</v>
      </c>
      <c r="AH969">
        <v>-122.346819</v>
      </c>
      <c r="AI969" t="s">
        <v>66</v>
      </c>
      <c r="AJ969">
        <v>98103</v>
      </c>
      <c r="BC969" s="22">
        <v>39457.611250000002</v>
      </c>
      <c r="BI969" s="22">
        <v>39549.294907407406</v>
      </c>
      <c r="BL969">
        <v>7290</v>
      </c>
      <c r="BM969">
        <v>1390222</v>
      </c>
      <c r="BN969" t="s">
        <v>1685</v>
      </c>
      <c r="BO969" s="17">
        <f t="shared" ca="1" si="15"/>
        <v>91.698156018515874</v>
      </c>
      <c r="BP969" t="b">
        <v>0</v>
      </c>
      <c r="BQ969">
        <v>1</v>
      </c>
      <c r="BR969" t="s">
        <v>1686</v>
      </c>
      <c r="BS969" t="s">
        <v>2722</v>
      </c>
      <c r="BT969" t="b">
        <v>0</v>
      </c>
      <c r="BU969" t="s">
        <v>1712</v>
      </c>
      <c r="BV969" t="s">
        <v>1668</v>
      </c>
      <c r="BW969">
        <v>908</v>
      </c>
      <c r="BY969">
        <v>12315966</v>
      </c>
      <c r="BZ969" t="s">
        <v>1676</v>
      </c>
      <c r="CA969">
        <v>1</v>
      </c>
      <c r="CB969" t="b">
        <v>1</v>
      </c>
      <c r="CC969">
        <v>0</v>
      </c>
      <c r="CD969" t="b">
        <v>0</v>
      </c>
      <c r="CE969" t="b">
        <v>0</v>
      </c>
      <c r="CF969" t="b">
        <v>1</v>
      </c>
      <c r="CG969">
        <v>15522389</v>
      </c>
      <c r="CH969" t="s">
        <v>1681</v>
      </c>
      <c r="CI969" s="10">
        <v>364500</v>
      </c>
    </row>
    <row r="970" spans="1:88">
      <c r="A970">
        <v>28006679</v>
      </c>
      <c r="B970" s="2" t="str">
        <f>HYPERLINK("http://www.redfin.com/stingray/do/printable-listing?listing-id=1401347","Active")</f>
        <v>Active</v>
      </c>
      <c r="D970" t="s">
        <v>5578</v>
      </c>
      <c r="E970" t="s">
        <v>5600</v>
      </c>
      <c r="F970">
        <v>864000</v>
      </c>
      <c r="G970">
        <v>1992</v>
      </c>
      <c r="H970">
        <v>2860</v>
      </c>
      <c r="I970">
        <v>0</v>
      </c>
      <c r="J970">
        <v>4</v>
      </c>
      <c r="K970">
        <v>2.5</v>
      </c>
      <c r="M970" s="2" t="str">
        <f>HYPERLINK("http://maps.live.com/default.aspx?v=2&amp;lvl=15&amp;sp=Point.47.551947_-122.098708_5560 NW Konigs Ct&amp;cp=47.551947~-122.098708","Map")</f>
        <v>Map</v>
      </c>
      <c r="N970" s="2" t="str">
        <f>HYPERLINK("http://i-0.rfimg.us/photo/1/bigphoto/679/28006679_0.jpg","Photo")</f>
        <v>Photo</v>
      </c>
      <c r="AG970">
        <v>47.551946999999998</v>
      </c>
      <c r="AH970">
        <v>-122.098708</v>
      </c>
      <c r="AI970" t="s">
        <v>5280</v>
      </c>
      <c r="AJ970">
        <v>98027</v>
      </c>
      <c r="AN970">
        <v>880000</v>
      </c>
      <c r="BC970" s="22">
        <v>39462.454398148147</v>
      </c>
      <c r="BI970" s="22">
        <v>39549.294907407406</v>
      </c>
      <c r="BL970">
        <v>17280</v>
      </c>
      <c r="BM970">
        <v>1401347</v>
      </c>
      <c r="BN970" t="s">
        <v>1937</v>
      </c>
      <c r="BO970" s="17">
        <f t="shared" ca="1" si="15"/>
        <v>86.855007754631515</v>
      </c>
      <c r="BP970" t="b">
        <v>0</v>
      </c>
      <c r="BQ970">
        <v>1</v>
      </c>
      <c r="BR970" t="s">
        <v>3768</v>
      </c>
      <c r="BS970" t="s">
        <v>5601</v>
      </c>
      <c r="BT970" t="b">
        <v>0</v>
      </c>
      <c r="BU970" t="s">
        <v>1669</v>
      </c>
      <c r="BV970" t="s">
        <v>1668</v>
      </c>
      <c r="BW970">
        <v>5560</v>
      </c>
      <c r="BY970">
        <v>418430</v>
      </c>
      <c r="BZ970" t="s">
        <v>1672</v>
      </c>
      <c r="CA970">
        <v>1</v>
      </c>
      <c r="CB970" t="b">
        <v>1</v>
      </c>
      <c r="CC970">
        <v>0</v>
      </c>
      <c r="CD970" t="b">
        <v>0</v>
      </c>
      <c r="CE970" t="b">
        <v>0</v>
      </c>
      <c r="CF970" t="b">
        <v>1</v>
      </c>
      <c r="CG970">
        <v>2977177</v>
      </c>
      <c r="CH970" t="s">
        <v>1681</v>
      </c>
      <c r="CI970" s="10">
        <v>864000</v>
      </c>
      <c r="CJ970" s="7">
        <v>39283</v>
      </c>
    </row>
    <row r="971" spans="1:88">
      <c r="A971">
        <v>28006682</v>
      </c>
      <c r="B971" s="2" t="str">
        <f>HYPERLINK("http://www.redfin.com/stingray/do/printable-listing?listing-id=1390333","Active")</f>
        <v>Active</v>
      </c>
      <c r="D971" t="s">
        <v>3249</v>
      </c>
      <c r="E971" t="s">
        <v>3589</v>
      </c>
      <c r="F971">
        <v>879000</v>
      </c>
      <c r="G971">
        <v>2007</v>
      </c>
      <c r="H971">
        <v>1760</v>
      </c>
      <c r="I971">
        <v>1200</v>
      </c>
      <c r="J971">
        <v>3</v>
      </c>
      <c r="K971">
        <v>2.5</v>
      </c>
      <c r="M971" s="2" t="str">
        <f>HYPERLINK("http://maps.live.com/default.aspx?v=2&amp;lvl=15&amp;sp=Point.47.631263_-122.35952_213 W Lee St&amp;cp=47.631263~-122.35952","Map")</f>
        <v>Map</v>
      </c>
      <c r="N971" s="2" t="str">
        <f>HYPERLINK("http://i-0.rfimg.us/photo/1/bigphoto/682/28006682_0.jpg","Photo")</f>
        <v>Photo</v>
      </c>
      <c r="AG971">
        <v>47.631262999999997</v>
      </c>
      <c r="AH971">
        <v>-122.35952</v>
      </c>
      <c r="AI971" t="s">
        <v>66</v>
      </c>
      <c r="AJ971">
        <v>98119</v>
      </c>
      <c r="BC971" s="22">
        <v>39457.631886574076</v>
      </c>
      <c r="BI971" s="7">
        <v>39539</v>
      </c>
      <c r="BL971">
        <v>17580</v>
      </c>
      <c r="BM971">
        <v>1390333</v>
      </c>
      <c r="BN971" t="s">
        <v>1766</v>
      </c>
      <c r="BO971" s="17">
        <f t="shared" ca="1" si="15"/>
        <v>91.677519328703056</v>
      </c>
      <c r="BP971" t="b">
        <v>0</v>
      </c>
      <c r="BQ971">
        <v>1</v>
      </c>
      <c r="BR971" t="s">
        <v>1686</v>
      </c>
      <c r="BS971" t="s">
        <v>3567</v>
      </c>
      <c r="BT971" t="b">
        <v>0</v>
      </c>
      <c r="BU971" t="s">
        <v>2423</v>
      </c>
      <c r="BV971" t="s">
        <v>1668</v>
      </c>
      <c r="BW971">
        <v>213</v>
      </c>
      <c r="BY971">
        <v>12183039</v>
      </c>
      <c r="BZ971" t="s">
        <v>1676</v>
      </c>
      <c r="CA971">
        <v>1</v>
      </c>
      <c r="CB971" t="b">
        <v>1</v>
      </c>
      <c r="CC971">
        <v>0</v>
      </c>
      <c r="CD971" t="b">
        <v>0</v>
      </c>
      <c r="CE971" t="b">
        <v>0</v>
      </c>
      <c r="CF971" t="b">
        <v>1</v>
      </c>
      <c r="CG971">
        <v>15412341</v>
      </c>
      <c r="CH971" t="s">
        <v>1681</v>
      </c>
      <c r="CI971" s="10">
        <v>879000</v>
      </c>
    </row>
    <row r="972" spans="1:88">
      <c r="A972">
        <v>28006693</v>
      </c>
      <c r="B972" s="2" t="str">
        <f>HYPERLINK("http://www.redfin.com/stingray/do/printable-listing?listing-id=1390334","Active")</f>
        <v>Active</v>
      </c>
      <c r="D972" t="s">
        <v>3249</v>
      </c>
      <c r="E972" t="s">
        <v>3590</v>
      </c>
      <c r="F972">
        <v>765000</v>
      </c>
      <c r="G972">
        <v>2007</v>
      </c>
      <c r="H972">
        <v>1550</v>
      </c>
      <c r="I972">
        <v>1200</v>
      </c>
      <c r="J972">
        <v>3</v>
      </c>
      <c r="K972">
        <v>2.5</v>
      </c>
      <c r="M972" s="2" t="str">
        <f>HYPERLINK("http://maps.live.com/default.aspx?v=2&amp;lvl=15&amp;sp=Point.47.631263_-122.359557_217 W Lee St&amp;cp=47.631263~-122.359557","Map")</f>
        <v>Map</v>
      </c>
      <c r="N972" s="2" t="str">
        <f>HYPERLINK("http://i-0.rfimg.us/photo/1/bigphoto/693/28006693_0.jpg","Photo")</f>
        <v>Photo</v>
      </c>
      <c r="AG972">
        <v>47.631262999999997</v>
      </c>
      <c r="AH972">
        <v>-122.359557</v>
      </c>
      <c r="AI972" t="s">
        <v>66</v>
      </c>
      <c r="AJ972">
        <v>98119</v>
      </c>
      <c r="BC972" s="22">
        <v>39457.631886574076</v>
      </c>
      <c r="BI972" s="7">
        <v>39539</v>
      </c>
      <c r="BL972">
        <v>15300</v>
      </c>
      <c r="BM972">
        <v>1390334</v>
      </c>
      <c r="BN972" t="s">
        <v>1766</v>
      </c>
      <c r="BO972" s="17">
        <f t="shared" ca="1" si="15"/>
        <v>91.677519328703056</v>
      </c>
      <c r="BP972" t="b">
        <v>0</v>
      </c>
      <c r="BQ972">
        <v>1</v>
      </c>
      <c r="BR972" t="s">
        <v>1686</v>
      </c>
      <c r="BS972" t="s">
        <v>3567</v>
      </c>
      <c r="BT972" t="b">
        <v>0</v>
      </c>
      <c r="BU972" t="s">
        <v>2423</v>
      </c>
      <c r="BV972" t="s">
        <v>1668</v>
      </c>
      <c r="BW972">
        <v>217</v>
      </c>
      <c r="BY972">
        <v>12266176</v>
      </c>
      <c r="BZ972" t="s">
        <v>1676</v>
      </c>
      <c r="CA972">
        <v>1</v>
      </c>
      <c r="CB972" t="b">
        <v>1</v>
      </c>
      <c r="CC972">
        <v>0</v>
      </c>
      <c r="CD972" t="b">
        <v>0</v>
      </c>
      <c r="CE972" t="b">
        <v>0</v>
      </c>
      <c r="CF972" t="b">
        <v>1</v>
      </c>
      <c r="CG972">
        <v>15488508</v>
      </c>
      <c r="CH972" t="s">
        <v>1681</v>
      </c>
      <c r="CI972" s="10">
        <v>765000</v>
      </c>
    </row>
    <row r="973" spans="1:88">
      <c r="A973">
        <v>28006717</v>
      </c>
      <c r="B973" s="2" t="str">
        <f>HYPERLINK("http://www.redfin.com/stingray/do/printable-listing?listing-id=1398318","Active")</f>
        <v>Active</v>
      </c>
      <c r="D973" t="s">
        <v>2552</v>
      </c>
      <c r="E973" t="s">
        <v>3459</v>
      </c>
      <c r="F973" s="19">
        <v>450000</v>
      </c>
      <c r="G973">
        <v>1914</v>
      </c>
      <c r="H973">
        <v>1390</v>
      </c>
      <c r="I973">
        <v>6000</v>
      </c>
      <c r="J973">
        <v>3</v>
      </c>
      <c r="K973">
        <v>1.75</v>
      </c>
      <c r="M973" s="2" t="str">
        <f>HYPERLINK("http://maps.live.com/default.aspx?v=2&amp;lvl=15&amp;sp=Point.47.649856_-122.399162_3238 33rd Ave W&amp;cp=47.649856~-122.399162","Map")</f>
        <v>Map</v>
      </c>
      <c r="N973" s="2" t="str">
        <f>HYPERLINK("http://i-0.rfimg.us/photo/1/bigphoto/717/28006717_L.jpg","Photo")</f>
        <v>Photo</v>
      </c>
      <c r="AG973">
        <v>47.649856</v>
      </c>
      <c r="AH973">
        <v>-122.399162</v>
      </c>
      <c r="AI973" t="s">
        <v>66</v>
      </c>
      <c r="AJ973">
        <v>98199</v>
      </c>
      <c r="AN973">
        <v>408300</v>
      </c>
      <c r="BC973" s="22">
        <v>39461.295856481483</v>
      </c>
      <c r="BI973" s="22">
        <v>39549.294907407406</v>
      </c>
      <c r="BL973">
        <v>9500</v>
      </c>
      <c r="BM973">
        <v>1398318</v>
      </c>
      <c r="BN973" t="s">
        <v>1685</v>
      </c>
      <c r="BO973" s="17">
        <f t="shared" ca="1" si="15"/>
        <v>88.013549421295465</v>
      </c>
      <c r="BP973" t="b">
        <v>0</v>
      </c>
      <c r="BQ973">
        <v>1</v>
      </c>
      <c r="BR973" t="s">
        <v>1667</v>
      </c>
      <c r="BS973" t="s">
        <v>3460</v>
      </c>
      <c r="BT973" t="b">
        <v>0</v>
      </c>
      <c r="BV973" t="s">
        <v>1668</v>
      </c>
      <c r="BW973">
        <v>3238</v>
      </c>
      <c r="BX973" t="s">
        <v>2423</v>
      </c>
      <c r="BY973">
        <v>127313</v>
      </c>
      <c r="BZ973" t="s">
        <v>3461</v>
      </c>
      <c r="CA973">
        <v>1</v>
      </c>
      <c r="CB973" t="b">
        <v>1</v>
      </c>
      <c r="CC973">
        <v>0</v>
      </c>
      <c r="CD973" t="b">
        <v>0</v>
      </c>
      <c r="CE973" t="b">
        <v>0</v>
      </c>
      <c r="CF973" t="b">
        <v>1</v>
      </c>
      <c r="CG973">
        <v>2859544</v>
      </c>
      <c r="CH973" t="s">
        <v>1681</v>
      </c>
      <c r="CI973" s="10">
        <v>475000</v>
      </c>
      <c r="CJ973" s="7">
        <v>38747</v>
      </c>
    </row>
    <row r="974" spans="1:88">
      <c r="A974">
        <v>28006736</v>
      </c>
      <c r="B974" s="2" t="str">
        <f>HYPERLINK("http://www.redfin.com/stingray/do/printable-listing?listing-id=1390550","Active")</f>
        <v>Active</v>
      </c>
      <c r="D974" t="s">
        <v>3249</v>
      </c>
      <c r="E974" t="s">
        <v>3583</v>
      </c>
      <c r="F974">
        <v>674950</v>
      </c>
      <c r="G974">
        <v>2008</v>
      </c>
      <c r="H974">
        <v>1500</v>
      </c>
      <c r="I974">
        <v>0</v>
      </c>
      <c r="J974">
        <v>2</v>
      </c>
      <c r="K974">
        <v>2.5</v>
      </c>
      <c r="M974" s="2" t="str">
        <f>HYPERLINK("http://maps.live.com/default.aspx?v=2&amp;lvl=15&amp;sp=Point.47.631632_-122.360703_1415 3rd Ave W&amp;cp=47.631632~-122.360703","Map")</f>
        <v>Map</v>
      </c>
      <c r="N974" s="2" t="str">
        <f>HYPERLINK("http://i-0.rfimg.us/photo/1/bigphoto/736/28006736_2.jpg","Photo")</f>
        <v>Photo</v>
      </c>
      <c r="AG974">
        <v>47.631632000000003</v>
      </c>
      <c r="AH974">
        <v>-122.360703</v>
      </c>
      <c r="AI974" t="s">
        <v>66</v>
      </c>
      <c r="AJ974">
        <v>98119</v>
      </c>
      <c r="BC974" s="22">
        <v>39457.663298611114</v>
      </c>
      <c r="BI974" s="22">
        <v>39549.294907407406</v>
      </c>
      <c r="BL974">
        <v>13499</v>
      </c>
      <c r="BM974">
        <v>1390550</v>
      </c>
      <c r="BN974" t="s">
        <v>1783</v>
      </c>
      <c r="BO974" s="17">
        <f t="shared" ca="1" si="15"/>
        <v>91.646107291664521</v>
      </c>
      <c r="BP974" t="b">
        <v>0</v>
      </c>
      <c r="BQ974">
        <v>1</v>
      </c>
      <c r="BR974" t="s">
        <v>1667</v>
      </c>
      <c r="BS974" t="s">
        <v>1796</v>
      </c>
      <c r="BT974" t="b">
        <v>0</v>
      </c>
      <c r="BV974" t="s">
        <v>1668</v>
      </c>
      <c r="BW974">
        <v>1415</v>
      </c>
      <c r="BX974" t="s">
        <v>2423</v>
      </c>
      <c r="BY974">
        <v>12173930</v>
      </c>
      <c r="BZ974" t="s">
        <v>6621</v>
      </c>
      <c r="CA974">
        <v>1</v>
      </c>
      <c r="CB974" t="b">
        <v>1</v>
      </c>
      <c r="CC974">
        <v>0</v>
      </c>
      <c r="CD974" t="b">
        <v>0</v>
      </c>
      <c r="CE974" t="b">
        <v>0</v>
      </c>
      <c r="CF974" t="b">
        <v>1</v>
      </c>
      <c r="CG974">
        <v>15404537</v>
      </c>
      <c r="CH974" t="s">
        <v>1681</v>
      </c>
      <c r="CI974" s="10">
        <v>674950</v>
      </c>
    </row>
    <row r="975" spans="1:88">
      <c r="A975">
        <v>28006757</v>
      </c>
      <c r="B975" s="2" t="str">
        <f>HYPERLINK("http://www.redfin.com/stingray/do/printable-listing?listing-id=1396513","Active")</f>
        <v>Active</v>
      </c>
      <c r="D975" t="s">
        <v>5140</v>
      </c>
      <c r="E975" t="s">
        <v>5354</v>
      </c>
      <c r="F975">
        <v>849900</v>
      </c>
      <c r="G975">
        <v>1978</v>
      </c>
      <c r="H975">
        <v>2760</v>
      </c>
      <c r="I975">
        <v>13068</v>
      </c>
      <c r="J975">
        <v>3</v>
      </c>
      <c r="K975">
        <v>2.5</v>
      </c>
      <c r="M975" s="2" t="str">
        <f>HYPERLINK("http://maps.live.com/default.aspx?v=2&amp;lvl=15&amp;sp=Point.47.590367_-122.232935_2260 78th Ave SE&amp;cp=47.590367~-122.232935","Map")</f>
        <v>Map</v>
      </c>
      <c r="N975" s="2" t="str">
        <f>HYPERLINK("http://i-0.rfimg.us/photo/1/bigphoto/757/28006757_1.jpg","Photo")</f>
        <v>Photo</v>
      </c>
      <c r="AG975">
        <v>47.590367000000001</v>
      </c>
      <c r="AH975">
        <v>-122.232935</v>
      </c>
      <c r="AI975" t="s">
        <v>5139</v>
      </c>
      <c r="AJ975">
        <v>98040</v>
      </c>
      <c r="AN975">
        <v>425000</v>
      </c>
      <c r="BC975" s="22">
        <v>39459.599849537037</v>
      </c>
      <c r="BI975" s="7">
        <v>39541</v>
      </c>
      <c r="BL975">
        <v>16998</v>
      </c>
      <c r="BM975">
        <v>1396513</v>
      </c>
      <c r="BN975" t="s">
        <v>1674</v>
      </c>
      <c r="BO975" s="17">
        <f t="shared" ca="1" si="15"/>
        <v>89.709556365742174</v>
      </c>
      <c r="BP975" t="b">
        <v>0</v>
      </c>
      <c r="BQ975">
        <v>1</v>
      </c>
      <c r="BR975" t="s">
        <v>1667</v>
      </c>
      <c r="BS975" t="s">
        <v>2354</v>
      </c>
      <c r="BT975" t="b">
        <v>0</v>
      </c>
      <c r="BV975" t="s">
        <v>1668</v>
      </c>
      <c r="BW975">
        <v>2260</v>
      </c>
      <c r="BX975" t="s">
        <v>3856</v>
      </c>
      <c r="BY975">
        <v>254278</v>
      </c>
      <c r="BZ975" t="s">
        <v>1689</v>
      </c>
      <c r="CA975">
        <v>1</v>
      </c>
      <c r="CB975" t="b">
        <v>1</v>
      </c>
      <c r="CC975">
        <v>0</v>
      </c>
      <c r="CD975" t="b">
        <v>0</v>
      </c>
      <c r="CE975" t="b">
        <v>0</v>
      </c>
      <c r="CF975" t="b">
        <v>1</v>
      </c>
      <c r="CG975">
        <v>2721576</v>
      </c>
      <c r="CH975" t="s">
        <v>1681</v>
      </c>
      <c r="CI975" s="10">
        <v>849900</v>
      </c>
      <c r="CJ975" s="7">
        <v>35978</v>
      </c>
    </row>
    <row r="976" spans="1:88">
      <c r="A976">
        <v>28006840</v>
      </c>
      <c r="B976" s="2" t="str">
        <f>HYPERLINK("http://www.redfin.com/stingray/do/printable-listing?listing-id=1392757","Active")</f>
        <v>Active</v>
      </c>
      <c r="D976" t="s">
        <v>60</v>
      </c>
      <c r="E976" t="s">
        <v>2610</v>
      </c>
      <c r="F976">
        <v>345000</v>
      </c>
      <c r="G976">
        <v>2005</v>
      </c>
      <c r="H976">
        <v>0</v>
      </c>
      <c r="I976">
        <v>0</v>
      </c>
      <c r="J976">
        <v>2</v>
      </c>
      <c r="K976">
        <v>1.5</v>
      </c>
      <c r="M976" s="2" t="str">
        <f>HYPERLINK("http://maps.live.com/default.aspx?v=2&amp;lvl=15&amp;sp=Point.47.690737_-122.341589_1204 N 85th (not busy NE corner unit) St&amp;cp=47.690737~-122.341589","Map")</f>
        <v>Map</v>
      </c>
      <c r="N976" s="2" t="str">
        <f>HYPERLINK("http://i-0.rfimg.us/photo/1/bigphoto/840/28006840_1.jpg","Photo")</f>
        <v>Photo</v>
      </c>
      <c r="AG976">
        <v>47.690736999999999</v>
      </c>
      <c r="AH976">
        <v>-122.341589</v>
      </c>
      <c r="AI976" t="s">
        <v>66</v>
      </c>
      <c r="AJ976">
        <v>98103</v>
      </c>
      <c r="AN976">
        <v>302500</v>
      </c>
      <c r="BC976" s="22">
        <v>39458.443807870368</v>
      </c>
      <c r="BI976" s="22">
        <v>39549.294907407406</v>
      </c>
      <c r="BL976">
        <v>6900</v>
      </c>
      <c r="BM976">
        <v>1392757</v>
      </c>
      <c r="BN976" t="s">
        <v>1678</v>
      </c>
      <c r="BO976" s="17">
        <f t="shared" ca="1" si="15"/>
        <v>90.865598148149729</v>
      </c>
      <c r="BP976" t="b">
        <v>0</v>
      </c>
      <c r="BQ976">
        <v>1</v>
      </c>
      <c r="BR976" t="s">
        <v>1686</v>
      </c>
      <c r="BS976" t="s">
        <v>2611</v>
      </c>
      <c r="BT976" t="b">
        <v>0</v>
      </c>
      <c r="BU976" t="s">
        <v>1712</v>
      </c>
      <c r="BV976" t="s">
        <v>1668</v>
      </c>
      <c r="BW976">
        <v>1204</v>
      </c>
      <c r="BY976">
        <v>2088028</v>
      </c>
      <c r="BZ976" t="s">
        <v>2612</v>
      </c>
      <c r="CA976">
        <v>1</v>
      </c>
      <c r="CB976" t="b">
        <v>1</v>
      </c>
      <c r="CC976">
        <v>0</v>
      </c>
      <c r="CD976" t="b">
        <v>0</v>
      </c>
      <c r="CE976" t="b">
        <v>0</v>
      </c>
      <c r="CF976" t="b">
        <v>1</v>
      </c>
      <c r="CG976">
        <v>2854607</v>
      </c>
      <c r="CH976" t="s">
        <v>1681</v>
      </c>
      <c r="CI976" s="10">
        <v>345000</v>
      </c>
      <c r="CJ976" s="7">
        <v>38595</v>
      </c>
    </row>
    <row r="977" spans="1:89">
      <c r="A977">
        <v>28006858</v>
      </c>
      <c r="B977" s="2" t="str">
        <f>HYPERLINK("http://www.redfin.com/stingray/do/printable-listing?listing-id=1390900","Active")</f>
        <v>Active</v>
      </c>
      <c r="D977" t="s">
        <v>63</v>
      </c>
      <c r="E977" t="s">
        <v>2571</v>
      </c>
      <c r="F977">
        <v>600000</v>
      </c>
      <c r="G977">
        <v>1915</v>
      </c>
      <c r="H977">
        <v>2760</v>
      </c>
      <c r="I977">
        <v>5000</v>
      </c>
      <c r="J977">
        <v>3</v>
      </c>
      <c r="K977">
        <v>2.75</v>
      </c>
      <c r="M977" s="2" t="str">
        <f>HYPERLINK("http://maps.live.com/default.aspx?v=2&amp;lvl=15&amp;sp=Point.47.673336_-122.362603_6032 5th Ave NW&amp;cp=47.673336~-122.362603","Map")</f>
        <v>Map</v>
      </c>
      <c r="N977" s="2" t="str">
        <f>HYPERLINK("http://i-0.rfimg.us/photo/1/bigphoto/858/28006858_0.jpg","Photo")</f>
        <v>Photo</v>
      </c>
      <c r="AG977">
        <v>47.673335999999999</v>
      </c>
      <c r="AH977">
        <v>-122.36260299999999</v>
      </c>
      <c r="AI977" t="s">
        <v>66</v>
      </c>
      <c r="AJ977">
        <v>98107</v>
      </c>
      <c r="BC977" s="22">
        <v>39457.726134259261</v>
      </c>
      <c r="BI977" s="7">
        <v>39541</v>
      </c>
      <c r="BL977">
        <v>12000</v>
      </c>
      <c r="BM977">
        <v>1390900</v>
      </c>
      <c r="BN977" t="s">
        <v>1725</v>
      </c>
      <c r="BO977" s="17">
        <f t="shared" ca="1" si="15"/>
        <v>91.583271759256604</v>
      </c>
      <c r="BP977" t="b">
        <v>0</v>
      </c>
      <c r="BQ977">
        <v>1</v>
      </c>
      <c r="BR977" t="s">
        <v>1667</v>
      </c>
      <c r="BS977" t="s">
        <v>1832</v>
      </c>
      <c r="BT977" t="b">
        <v>0</v>
      </c>
      <c r="BV977" t="s">
        <v>1668</v>
      </c>
      <c r="BW977">
        <v>6032</v>
      </c>
      <c r="BX977" t="s">
        <v>1669</v>
      </c>
      <c r="BY977">
        <v>494375</v>
      </c>
      <c r="BZ977" t="s">
        <v>1745</v>
      </c>
      <c r="CA977">
        <v>1</v>
      </c>
      <c r="CB977" t="b">
        <v>1</v>
      </c>
      <c r="CC977">
        <v>0</v>
      </c>
      <c r="CD977" t="b">
        <v>0</v>
      </c>
      <c r="CE977" t="b">
        <v>0</v>
      </c>
      <c r="CF977" t="b">
        <v>1</v>
      </c>
      <c r="CG977">
        <v>2482101</v>
      </c>
      <c r="CH977" t="s">
        <v>1681</v>
      </c>
      <c r="CI977" s="10">
        <v>600000</v>
      </c>
    </row>
    <row r="978" spans="1:89">
      <c r="A978">
        <v>28006944</v>
      </c>
      <c r="B978" s="2" t="str">
        <f>HYPERLINK("http://www.redfin.com/stingray/do/printable-listing?listing-id=1391355","Active")</f>
        <v>Active</v>
      </c>
      <c r="D978" t="s">
        <v>2850</v>
      </c>
      <c r="E978" t="s">
        <v>4520</v>
      </c>
      <c r="F978">
        <v>792500</v>
      </c>
      <c r="G978">
        <v>1972</v>
      </c>
      <c r="H978">
        <v>3367</v>
      </c>
      <c r="I978">
        <v>12820</v>
      </c>
      <c r="J978">
        <v>5</v>
      </c>
      <c r="K978">
        <v>2.75</v>
      </c>
      <c r="M978" s="2" t="str">
        <f>HYPERLINK("http://maps.live.com/default.aspx?v=2&amp;lvl=15&amp;sp=Point.47.716991_-122.217748_9207 NE 131st Ct&amp;cp=47.716991~-122.217748","Map")</f>
        <v>Map</v>
      </c>
      <c r="N978" s="2" t="str">
        <f>HYPERLINK("http://i-0.rfimg.us/photo/1/bigphoto/944/28006944_1.jpg","Photo")</f>
        <v>Photo</v>
      </c>
      <c r="AG978">
        <v>47.716991</v>
      </c>
      <c r="AH978">
        <v>-122.217748</v>
      </c>
      <c r="AI978" t="s">
        <v>1058</v>
      </c>
      <c r="AJ978">
        <v>98034</v>
      </c>
      <c r="AN978">
        <v>34368</v>
      </c>
      <c r="BC978" s="22">
        <v>39457.861134259256</v>
      </c>
      <c r="BI978" s="22">
        <v>39549.294907407406</v>
      </c>
      <c r="BL978">
        <v>15850</v>
      </c>
      <c r="BM978">
        <v>1391355</v>
      </c>
      <c r="BN978" t="s">
        <v>1674</v>
      </c>
      <c r="BO978" s="17">
        <f t="shared" ca="1" si="15"/>
        <v>91.448271643523185</v>
      </c>
      <c r="BP978" t="b">
        <v>0</v>
      </c>
      <c r="BQ978">
        <v>1</v>
      </c>
      <c r="BR978" t="s">
        <v>3768</v>
      </c>
      <c r="BS978" t="s">
        <v>4521</v>
      </c>
      <c r="BT978" t="b">
        <v>0</v>
      </c>
      <c r="BU978" t="s">
        <v>1738</v>
      </c>
      <c r="BV978" t="s">
        <v>1668</v>
      </c>
      <c r="BW978">
        <v>9207</v>
      </c>
      <c r="BY978">
        <v>277750</v>
      </c>
      <c r="BZ978" t="s">
        <v>1704</v>
      </c>
      <c r="CA978">
        <v>1</v>
      </c>
      <c r="CB978" t="b">
        <v>1</v>
      </c>
      <c r="CC978">
        <v>0</v>
      </c>
      <c r="CD978" t="b">
        <v>0</v>
      </c>
      <c r="CE978" t="b">
        <v>0</v>
      </c>
      <c r="CF978" t="b">
        <v>1</v>
      </c>
      <c r="CG978">
        <v>2939151</v>
      </c>
      <c r="CH978" t="s">
        <v>1681</v>
      </c>
      <c r="CI978" s="10">
        <v>792500</v>
      </c>
      <c r="CJ978" s="7">
        <v>35801</v>
      </c>
    </row>
    <row r="979" spans="1:89">
      <c r="A979">
        <v>28007030</v>
      </c>
      <c r="B979" s="2" t="str">
        <f>HYPERLINK("http://www.redfin.com/stingray/do/printable-listing?listing-id=1392464","Active")</f>
        <v>Active</v>
      </c>
      <c r="D979" t="s">
        <v>1058</v>
      </c>
      <c r="E979" t="s">
        <v>4422</v>
      </c>
      <c r="F979">
        <v>565000</v>
      </c>
      <c r="G979">
        <v>2003</v>
      </c>
      <c r="H979">
        <v>2400</v>
      </c>
      <c r="I979">
        <v>3713</v>
      </c>
      <c r="J979">
        <v>3</v>
      </c>
      <c r="K979">
        <v>2.5</v>
      </c>
      <c r="M979" s="2" t="str">
        <f>HYPERLINK("http://maps.live.com/default.aspx?v=2&amp;lvl=15&amp;sp=Point.47.724837_-122.167875_13112 NE 139th St&amp;cp=47.724837~-122.167875","Map")</f>
        <v>Map</v>
      </c>
      <c r="N979" s="2" t="str">
        <f>HYPERLINK("http://i-0.rfimg.us/photo/1/bigphoto/030/28007030_1.jpg","Photo")</f>
        <v>Photo</v>
      </c>
      <c r="AG979">
        <v>47.724837000000001</v>
      </c>
      <c r="AH979">
        <v>-122.167875</v>
      </c>
      <c r="AI979" t="s">
        <v>1058</v>
      </c>
      <c r="AJ979">
        <v>98034</v>
      </c>
      <c r="AN979">
        <v>197950</v>
      </c>
      <c r="BC979" s="22">
        <v>39458.359027777777</v>
      </c>
      <c r="BI979" s="22">
        <v>39549.294907407406</v>
      </c>
      <c r="BL979">
        <v>11300</v>
      </c>
      <c r="BM979">
        <v>1392464</v>
      </c>
      <c r="BN979" t="s">
        <v>1821</v>
      </c>
      <c r="BO979" s="17">
        <f t="shared" ca="1" si="15"/>
        <v>90.950378125002317</v>
      </c>
      <c r="BP979" t="b">
        <v>0</v>
      </c>
      <c r="BQ979">
        <v>1</v>
      </c>
      <c r="BR979" t="s">
        <v>1686</v>
      </c>
      <c r="BS979" t="s">
        <v>4423</v>
      </c>
      <c r="BT979" t="b">
        <v>0</v>
      </c>
      <c r="BU979" t="s">
        <v>1738</v>
      </c>
      <c r="BV979" t="s">
        <v>1668</v>
      </c>
      <c r="BW979">
        <v>13112</v>
      </c>
      <c r="BY979">
        <v>454981</v>
      </c>
      <c r="BZ979" t="s">
        <v>4424</v>
      </c>
      <c r="CA979">
        <v>1</v>
      </c>
      <c r="CB979" t="b">
        <v>1</v>
      </c>
      <c r="CC979">
        <v>0</v>
      </c>
      <c r="CD979" t="b">
        <v>0</v>
      </c>
      <c r="CE979" t="b">
        <v>0</v>
      </c>
      <c r="CF979" t="b">
        <v>1</v>
      </c>
      <c r="CG979">
        <v>2833495</v>
      </c>
      <c r="CH979" t="s">
        <v>1681</v>
      </c>
      <c r="CI979" s="10">
        <v>565000</v>
      </c>
      <c r="CJ979" s="7">
        <v>37868</v>
      </c>
    </row>
    <row r="980" spans="1:89">
      <c r="A980">
        <v>28007169</v>
      </c>
      <c r="B980" s="2" t="str">
        <f>HYPERLINK("http://www.redfin.com/stingray/do/printable-listing?listing-id=1392929","Active")</f>
        <v>Active</v>
      </c>
      <c r="D980" t="s">
        <v>3961</v>
      </c>
      <c r="E980" t="s">
        <v>4046</v>
      </c>
      <c r="F980">
        <v>859995</v>
      </c>
      <c r="G980">
        <v>1928</v>
      </c>
      <c r="H980">
        <v>1906</v>
      </c>
      <c r="I980">
        <v>0</v>
      </c>
      <c r="J980">
        <v>3</v>
      </c>
      <c r="K980">
        <v>1.75</v>
      </c>
      <c r="M980" s="2" t="str">
        <f>HYPERLINK("http://maps.live.com/default.aspx?v=2&amp;lvl=15&amp;sp=Point.47.604767_-122.284901_333 Erie Ave&amp;cp=47.604767~-122.284901","Map")</f>
        <v>Map</v>
      </c>
      <c r="N980" s="2" t="str">
        <f>HYPERLINK("http://i-0.rfimg.us/photo/1/bigphoto/169/28007169_3.jpg","Photo")</f>
        <v>Photo</v>
      </c>
      <c r="AG980">
        <v>47.604767000000002</v>
      </c>
      <c r="AH980">
        <v>-122.284901</v>
      </c>
      <c r="AI980" t="s">
        <v>66</v>
      </c>
      <c r="AJ980">
        <v>98122</v>
      </c>
      <c r="AN980">
        <v>675000</v>
      </c>
      <c r="BC980" s="22">
        <v>39458.464768518519</v>
      </c>
      <c r="BI980" s="7">
        <v>39542</v>
      </c>
      <c r="BL980">
        <v>17200</v>
      </c>
      <c r="BM980">
        <v>1392929</v>
      </c>
      <c r="BN980" t="s">
        <v>4045</v>
      </c>
      <c r="BO980" s="17">
        <f t="shared" ca="1" si="15"/>
        <v>90.84463738425984</v>
      </c>
      <c r="BP980" t="b">
        <v>0</v>
      </c>
      <c r="BQ980">
        <v>1</v>
      </c>
      <c r="BR980" t="s">
        <v>1667</v>
      </c>
      <c r="BS980" t="s">
        <v>4047</v>
      </c>
      <c r="BT980" t="b">
        <v>0</v>
      </c>
      <c r="BV980" t="s">
        <v>1668</v>
      </c>
      <c r="BW980">
        <v>333</v>
      </c>
      <c r="BY980">
        <v>140823</v>
      </c>
      <c r="BZ980" t="s">
        <v>4048</v>
      </c>
      <c r="CA980">
        <v>1</v>
      </c>
      <c r="CB980" t="b">
        <v>1</v>
      </c>
      <c r="CC980">
        <v>0</v>
      </c>
      <c r="CD980" t="b">
        <v>0</v>
      </c>
      <c r="CE980" t="b">
        <v>0</v>
      </c>
      <c r="CF980" t="b">
        <v>1</v>
      </c>
      <c r="CG980">
        <v>2611291</v>
      </c>
      <c r="CH980" t="s">
        <v>1681</v>
      </c>
      <c r="CI980" s="10">
        <v>859995</v>
      </c>
      <c r="CJ980" s="7">
        <v>38750</v>
      </c>
    </row>
    <row r="981" spans="1:89">
      <c r="A981">
        <v>28007203</v>
      </c>
      <c r="B981" s="2" t="str">
        <f>HYPERLINK("http://www.redfin.com/stingray/do/printable-listing?listing-id=1405210","Active")</f>
        <v>Active</v>
      </c>
      <c r="D981" t="s">
        <v>194</v>
      </c>
      <c r="E981" t="s">
        <v>2831</v>
      </c>
      <c r="F981" s="19">
        <v>884950</v>
      </c>
      <c r="G981">
        <v>2003</v>
      </c>
      <c r="H981">
        <v>3090</v>
      </c>
      <c r="I981">
        <v>6785</v>
      </c>
      <c r="J981">
        <v>4</v>
      </c>
      <c r="K981">
        <v>3.5</v>
      </c>
      <c r="M981" s="2" t="str">
        <f>HYPERLINK("http://maps.live.com/default.aspx?v=2&amp;lvl=15&amp;sp=Point.47.696872_-122.284995_9408 40th Ave NE&amp;cp=47.696872~-122.284995","Map")</f>
        <v>Map</v>
      </c>
      <c r="N981" s="2" t="str">
        <f>HYPERLINK("http://i-0.rfimg.us/photo/1/bigphoto/203/28007203_0.jpg","Photo")</f>
        <v>Photo</v>
      </c>
      <c r="AG981">
        <v>47.696871999999999</v>
      </c>
      <c r="AH981">
        <v>-122.284995</v>
      </c>
      <c r="AI981" t="s">
        <v>66</v>
      </c>
      <c r="AJ981">
        <v>98115</v>
      </c>
      <c r="AN981">
        <v>775000</v>
      </c>
      <c r="BC981" s="22">
        <v>39463.645787037036</v>
      </c>
      <c r="BI981" s="22">
        <v>39549.294907407406</v>
      </c>
      <c r="BL981">
        <v>17999</v>
      </c>
      <c r="BM981">
        <v>1405210</v>
      </c>
      <c r="BN981" t="s">
        <v>1688</v>
      </c>
      <c r="BO981" s="17">
        <f t="shared" ca="1" si="15"/>
        <v>85.663618865743047</v>
      </c>
      <c r="BP981" t="b">
        <v>0</v>
      </c>
      <c r="BQ981">
        <v>1</v>
      </c>
      <c r="BR981" t="s">
        <v>1667</v>
      </c>
      <c r="BS981" t="s">
        <v>2832</v>
      </c>
      <c r="BT981" t="b">
        <v>0</v>
      </c>
      <c r="BV981" t="s">
        <v>1668</v>
      </c>
      <c r="BW981">
        <v>9408</v>
      </c>
      <c r="BX981" t="s">
        <v>1738</v>
      </c>
      <c r="BY981">
        <v>2063944</v>
      </c>
      <c r="BZ981" t="s">
        <v>1672</v>
      </c>
      <c r="CA981">
        <v>1</v>
      </c>
      <c r="CB981" t="b">
        <v>1</v>
      </c>
      <c r="CC981">
        <v>0</v>
      </c>
      <c r="CD981" t="b">
        <v>0</v>
      </c>
      <c r="CE981" t="b">
        <v>0</v>
      </c>
      <c r="CF981" t="b">
        <v>1</v>
      </c>
      <c r="CG981">
        <v>2436023</v>
      </c>
      <c r="CH981" t="s">
        <v>1681</v>
      </c>
      <c r="CI981" s="10">
        <v>899950</v>
      </c>
      <c r="CJ981" s="7">
        <v>39112</v>
      </c>
    </row>
    <row r="982" spans="1:89">
      <c r="A982">
        <v>28007258</v>
      </c>
      <c r="B982" s="2" t="str">
        <f>HYPERLINK("http://www.redfin.com/stingray/do/printable-listing?listing-id=1393226","Subject To Inspection")</f>
        <v>Subject To Inspection</v>
      </c>
      <c r="D982" t="s">
        <v>3924</v>
      </c>
      <c r="E982" t="s">
        <v>4105</v>
      </c>
      <c r="F982">
        <v>1199950</v>
      </c>
      <c r="G982">
        <v>2008</v>
      </c>
      <c r="H982">
        <v>3000</v>
      </c>
      <c r="I982">
        <v>5000</v>
      </c>
      <c r="J982">
        <v>4</v>
      </c>
      <c r="K982">
        <v>3.25</v>
      </c>
      <c r="M982" s="2" t="str">
        <f>HYPERLINK("http://maps.live.com/default.aspx?v=2&amp;lvl=15&amp;sp=Point.47.622244_-122.299528_328 25th Ave E&amp;cp=47.622244~-122.299528","Map")</f>
        <v>Map</v>
      </c>
      <c r="N982" s="2" t="str">
        <f>HYPERLINK("http://i-0.rfimg.us/photo/1/bigphoto/258/28007258_0.jpg","Photo")</f>
        <v>Photo</v>
      </c>
      <c r="AG982">
        <v>47.622244000000002</v>
      </c>
      <c r="AH982">
        <v>-122.299528</v>
      </c>
      <c r="AI982" t="s">
        <v>66</v>
      </c>
      <c r="AJ982">
        <v>98112</v>
      </c>
      <c r="AN982">
        <v>223000</v>
      </c>
      <c r="BC982" s="22">
        <v>39458.528298611112</v>
      </c>
      <c r="BI982" s="22">
        <v>39549.294907407406</v>
      </c>
      <c r="BL982">
        <v>23999</v>
      </c>
      <c r="BM982">
        <v>1393226</v>
      </c>
      <c r="BN982" t="s">
        <v>1688</v>
      </c>
      <c r="BO982" s="17">
        <f t="shared" ca="1" si="15"/>
        <v>90.781107291666558</v>
      </c>
      <c r="BP982" t="b">
        <v>0</v>
      </c>
      <c r="BQ982">
        <v>2</v>
      </c>
      <c r="BR982" t="s">
        <v>1667</v>
      </c>
      <c r="BS982" t="s">
        <v>1819</v>
      </c>
      <c r="BT982" t="b">
        <v>0</v>
      </c>
      <c r="BV982" t="s">
        <v>1668</v>
      </c>
      <c r="BW982">
        <v>328</v>
      </c>
      <c r="BX982" t="s">
        <v>2436</v>
      </c>
      <c r="BY982">
        <v>146484</v>
      </c>
      <c r="BZ982" s="21">
        <v>0</v>
      </c>
      <c r="CA982">
        <v>1</v>
      </c>
      <c r="CB982" t="b">
        <v>1</v>
      </c>
      <c r="CC982">
        <v>0</v>
      </c>
      <c r="CD982" t="b">
        <v>0</v>
      </c>
      <c r="CE982" t="b">
        <v>0</v>
      </c>
      <c r="CF982" t="b">
        <v>1</v>
      </c>
      <c r="CG982">
        <v>2723244</v>
      </c>
      <c r="CH982" t="s">
        <v>1681</v>
      </c>
      <c r="CI982" s="10">
        <v>1199950</v>
      </c>
      <c r="CJ982" s="7">
        <v>38420</v>
      </c>
    </row>
    <row r="983" spans="1:89">
      <c r="A983">
        <v>28007321</v>
      </c>
      <c r="B983" s="2" t="str">
        <f>HYPERLINK("http://www.redfin.com/stingray/do/printable-listing?listing-id=1393336","Active")</f>
        <v>Active</v>
      </c>
      <c r="D983" t="s">
        <v>78</v>
      </c>
      <c r="E983" t="s">
        <v>1874</v>
      </c>
      <c r="F983" s="19">
        <v>375000</v>
      </c>
      <c r="G983">
        <v>2003</v>
      </c>
      <c r="H983">
        <v>1330</v>
      </c>
      <c r="I983">
        <v>0</v>
      </c>
      <c r="J983">
        <v>3</v>
      </c>
      <c r="K983">
        <v>2.5</v>
      </c>
      <c r="M983" s="2" t="str">
        <f>HYPERLINK("http://maps.live.com/default.aspx?v=2&amp;lvl=15&amp;sp=adr.2812 NW 85th - Quiet side nA (Unable to map),98117","Map")</f>
        <v>Map</v>
      </c>
      <c r="N983" s="2" t="str">
        <f>HYPERLINK("http://i-0.rfimg.us/photo/1/bigphoto/321/28007321_1.jpg","Photo")</f>
        <v>Photo</v>
      </c>
      <c r="AI983" t="s">
        <v>66</v>
      </c>
      <c r="AJ983">
        <v>98117</v>
      </c>
      <c r="AM983" t="s">
        <v>1722</v>
      </c>
      <c r="BC983" s="22">
        <v>39458.550787037035</v>
      </c>
      <c r="BI983" s="7">
        <v>39532</v>
      </c>
      <c r="BL983">
        <v>7700</v>
      </c>
      <c r="BM983">
        <v>1393336</v>
      </c>
      <c r="BN983" t="s">
        <v>1674</v>
      </c>
      <c r="BO983" s="17">
        <f t="shared" ca="1" si="15"/>
        <v>90.758618981482869</v>
      </c>
      <c r="BP983" t="b">
        <v>0</v>
      </c>
      <c r="BQ983">
        <v>1</v>
      </c>
      <c r="BS983" t="s">
        <v>1875</v>
      </c>
      <c r="BT983" t="b">
        <v>0</v>
      </c>
      <c r="BU983" t="s">
        <v>1669</v>
      </c>
      <c r="BV983" t="s">
        <v>1668</v>
      </c>
      <c r="BW983">
        <v>2812</v>
      </c>
      <c r="BY983">
        <v>0</v>
      </c>
      <c r="BZ983" t="s">
        <v>1876</v>
      </c>
      <c r="CA983">
        <v>1</v>
      </c>
      <c r="CB983" t="b">
        <v>1</v>
      </c>
      <c r="CC983">
        <v>0</v>
      </c>
      <c r="CD983" t="b">
        <v>0</v>
      </c>
      <c r="CE983" t="b">
        <v>0</v>
      </c>
      <c r="CF983" t="b">
        <v>1</v>
      </c>
      <c r="CG983" t="s">
        <v>1870</v>
      </c>
      <c r="CH983" t="s">
        <v>1681</v>
      </c>
      <c r="CI983" s="10">
        <v>385000</v>
      </c>
      <c r="CK983" t="s">
        <v>2002</v>
      </c>
    </row>
    <row r="984" spans="1:89">
      <c r="A984">
        <v>28007324</v>
      </c>
      <c r="B984" s="2" t="str">
        <f>HYPERLINK("http://www.redfin.com/stingray/do/printable-listing?listing-id=1396431","Active")</f>
        <v>Active</v>
      </c>
      <c r="D984" t="s">
        <v>5545</v>
      </c>
      <c r="E984" t="s">
        <v>5546</v>
      </c>
      <c r="F984">
        <v>759950</v>
      </c>
      <c r="G984">
        <v>2008</v>
      </c>
      <c r="H984">
        <v>3346</v>
      </c>
      <c r="I984">
        <v>6294</v>
      </c>
      <c r="J984">
        <v>4</v>
      </c>
      <c r="K984">
        <v>2.5</v>
      </c>
      <c r="M984" s="2" t="str">
        <f>HYPERLINK("http://maps.live.com/default.aspx?v=2&amp;lvl=15&amp;sp=adr.1332 247th Pl SE (Unable to map),98075","Map")</f>
        <v>Map</v>
      </c>
      <c r="N984" s="2" t="str">
        <f>HYPERLINK("http://i-0.rfimg.us/photo/1/bigphoto/324/28007324_1.jpg","Photo")</f>
        <v>Photo</v>
      </c>
      <c r="AI984" t="s">
        <v>5273</v>
      </c>
      <c r="AJ984">
        <v>98075</v>
      </c>
      <c r="BC984" s="22">
        <v>39459.55809027778</v>
      </c>
      <c r="BI984" s="22">
        <v>39549.294907407406</v>
      </c>
      <c r="BL984">
        <v>15199</v>
      </c>
      <c r="BM984">
        <v>1396431</v>
      </c>
      <c r="BN984" t="s">
        <v>1768</v>
      </c>
      <c r="BO984" s="17">
        <f t="shared" ca="1" si="15"/>
        <v>89.751315624998824</v>
      </c>
      <c r="BP984" t="b">
        <v>0</v>
      </c>
      <c r="BQ984">
        <v>1</v>
      </c>
      <c r="BR984" t="s">
        <v>1842</v>
      </c>
      <c r="BS984" t="s">
        <v>5543</v>
      </c>
      <c r="BT984" t="b">
        <v>0</v>
      </c>
      <c r="BV984" t="s">
        <v>1668</v>
      </c>
      <c r="BW984">
        <v>1332</v>
      </c>
      <c r="BX984" t="s">
        <v>3856</v>
      </c>
      <c r="BY984">
        <v>0</v>
      </c>
      <c r="BZ984" t="s">
        <v>1820</v>
      </c>
      <c r="CA984">
        <v>1</v>
      </c>
      <c r="CB984" t="b">
        <v>1</v>
      </c>
      <c r="CC984">
        <v>0</v>
      </c>
      <c r="CD984" t="b">
        <v>0</v>
      </c>
      <c r="CE984" t="b">
        <v>0</v>
      </c>
      <c r="CF984" t="b">
        <v>1</v>
      </c>
      <c r="CG984" t="s">
        <v>1870</v>
      </c>
      <c r="CH984" t="s">
        <v>1681</v>
      </c>
      <c r="CI984" s="10">
        <v>759950</v>
      </c>
    </row>
    <row r="985" spans="1:89">
      <c r="A985">
        <v>28007328</v>
      </c>
      <c r="B985" s="15" t="str">
        <f>HYPERLINK("http://www.redfin.com/stingray/do/printable-listing?listing-id=1393414","Subject To Inspection")</f>
        <v>Subject To Inspection</v>
      </c>
      <c r="D985" t="s">
        <v>55</v>
      </c>
      <c r="E985" t="s">
        <v>524</v>
      </c>
      <c r="F985">
        <v>349000</v>
      </c>
      <c r="G985">
        <v>1921</v>
      </c>
      <c r="H985">
        <v>2060</v>
      </c>
      <c r="I985">
        <v>4120</v>
      </c>
      <c r="J985">
        <v>3</v>
      </c>
      <c r="K985">
        <v>1.25</v>
      </c>
      <c r="M985" s="2" t="str">
        <f>HYPERLINK("http://maps.live.com/default.aspx?v=2&amp;lvl=15&amp;sp=Point.47.691483_-122.35188_517 N 86 St&amp;cp=47.691483~-122.35188","Map")</f>
        <v>Map</v>
      </c>
      <c r="N985" s="2" t="str">
        <f>HYPERLINK("http://i-0.rfimg.us/photo/1/bigphoto/328/28007328_1.jpg","Photo")</f>
        <v>Photo</v>
      </c>
      <c r="AG985">
        <v>47.691482999999998</v>
      </c>
      <c r="AH985">
        <v>-122.35187999999999</v>
      </c>
      <c r="AI985" t="s">
        <v>66</v>
      </c>
      <c r="AJ985">
        <v>98103</v>
      </c>
      <c r="BC985" s="22">
        <v>39458.569305555553</v>
      </c>
      <c r="BI985" s="7">
        <v>39542</v>
      </c>
      <c r="BL985">
        <v>6980</v>
      </c>
      <c r="BM985">
        <v>1393414</v>
      </c>
      <c r="BN985" t="s">
        <v>2365</v>
      </c>
      <c r="BO985" s="17">
        <f t="shared" ca="1" si="15"/>
        <v>90.74010046296462</v>
      </c>
      <c r="BP985" t="b">
        <v>0</v>
      </c>
      <c r="BQ985">
        <v>1</v>
      </c>
      <c r="BR985" t="s">
        <v>1686</v>
      </c>
      <c r="BS985">
        <v>86</v>
      </c>
      <c r="BT985" t="b">
        <v>0</v>
      </c>
      <c r="BU985" t="s">
        <v>1712</v>
      </c>
      <c r="BV985" t="s">
        <v>1668</v>
      </c>
      <c r="BW985">
        <v>517</v>
      </c>
      <c r="BY985">
        <v>98842</v>
      </c>
      <c r="BZ985" t="s">
        <v>2366</v>
      </c>
      <c r="CA985">
        <v>1</v>
      </c>
      <c r="CB985" t="b">
        <v>1</v>
      </c>
      <c r="CC985">
        <v>0</v>
      </c>
      <c r="CD985" t="b">
        <v>0</v>
      </c>
      <c r="CE985" t="b">
        <v>0</v>
      </c>
      <c r="CF985" t="b">
        <v>1</v>
      </c>
      <c r="CG985">
        <v>2876337</v>
      </c>
      <c r="CH985" t="s">
        <v>1681</v>
      </c>
      <c r="CI985" s="10">
        <v>349000</v>
      </c>
    </row>
    <row r="986" spans="1:89">
      <c r="A986">
        <v>28007418</v>
      </c>
      <c r="B986" s="2" t="str">
        <f>HYPERLINK("http://www.redfin.com/stingray/do/printable-listing?listing-id=1396469","Active")</f>
        <v>Active</v>
      </c>
      <c r="D986" t="s">
        <v>5545</v>
      </c>
      <c r="E986" t="s">
        <v>5547</v>
      </c>
      <c r="F986">
        <v>789950</v>
      </c>
      <c r="G986">
        <v>2008</v>
      </c>
      <c r="H986">
        <v>3369</v>
      </c>
      <c r="I986">
        <v>6618</v>
      </c>
      <c r="J986">
        <v>4</v>
      </c>
      <c r="K986">
        <v>3.75</v>
      </c>
      <c r="M986" s="2" t="str">
        <f>HYPERLINK("http://maps.live.com/default.aspx?v=2&amp;lvl=15&amp;sp=adr.1352 247th Pl SE (Unable to map),98075","Map")</f>
        <v>Map</v>
      </c>
      <c r="N986" s="2" t="str">
        <f>HYPERLINK("http://i-0.rfimg.us/photo/1/bigphoto/418/28007418_1.jpg","Photo")</f>
        <v>Photo</v>
      </c>
      <c r="AI986" t="s">
        <v>5273</v>
      </c>
      <c r="AJ986">
        <v>98075</v>
      </c>
      <c r="BC986" s="22">
        <v>39459.568807870368</v>
      </c>
      <c r="BI986" s="22">
        <v>39549.294907407406</v>
      </c>
      <c r="BL986">
        <v>15799</v>
      </c>
      <c r="BM986">
        <v>1396469</v>
      </c>
      <c r="BN986" t="s">
        <v>1768</v>
      </c>
      <c r="BO986" s="17">
        <f t="shared" ca="1" si="15"/>
        <v>89.740598032411071</v>
      </c>
      <c r="BP986" t="b">
        <v>0</v>
      </c>
      <c r="BQ986">
        <v>1</v>
      </c>
      <c r="BR986" t="s">
        <v>1842</v>
      </c>
      <c r="BS986" t="s">
        <v>5543</v>
      </c>
      <c r="BT986" t="b">
        <v>0</v>
      </c>
      <c r="BV986" t="s">
        <v>1668</v>
      </c>
      <c r="BW986">
        <v>1352</v>
      </c>
      <c r="BX986" t="s">
        <v>3856</v>
      </c>
      <c r="BY986">
        <v>0</v>
      </c>
      <c r="BZ986" t="s">
        <v>1807</v>
      </c>
      <c r="CA986">
        <v>1</v>
      </c>
      <c r="CB986" t="b">
        <v>1</v>
      </c>
      <c r="CC986">
        <v>0</v>
      </c>
      <c r="CD986" t="b">
        <v>0</v>
      </c>
      <c r="CE986" t="b">
        <v>0</v>
      </c>
      <c r="CF986" t="b">
        <v>1</v>
      </c>
      <c r="CG986" t="s">
        <v>1870</v>
      </c>
      <c r="CH986" t="s">
        <v>1681</v>
      </c>
      <c r="CI986" s="10">
        <v>789950</v>
      </c>
    </row>
    <row r="987" spans="1:89">
      <c r="A987">
        <v>28007439</v>
      </c>
      <c r="B987" s="2" t="str">
        <f>HYPERLINK("http://www.redfin.com/stingray/do/printable-listing?listing-id=1396468","Active")</f>
        <v>Active</v>
      </c>
      <c r="D987" t="s">
        <v>5545</v>
      </c>
      <c r="E987" t="s">
        <v>5542</v>
      </c>
      <c r="F987">
        <v>759950</v>
      </c>
      <c r="G987">
        <v>2008</v>
      </c>
      <c r="H987">
        <v>3523</v>
      </c>
      <c r="I987">
        <v>6599</v>
      </c>
      <c r="J987">
        <v>4</v>
      </c>
      <c r="K987">
        <v>2.5</v>
      </c>
      <c r="M987" s="2" t="str">
        <f>HYPERLINK("http://maps.live.com/default.aspx?v=2&amp;lvl=15&amp;sp=adr.1362 247th Pl SE (Unable to map),98075","Map")</f>
        <v>Map</v>
      </c>
      <c r="N987" s="2" t="str">
        <f>HYPERLINK("http://i-0.rfimg.us/photo/1/bigphoto/439/28007439_1.jpg","Photo")</f>
        <v>Photo</v>
      </c>
      <c r="AI987" t="s">
        <v>5273</v>
      </c>
      <c r="AJ987">
        <v>98075</v>
      </c>
      <c r="BC987" s="22">
        <v>39459.568807870368</v>
      </c>
      <c r="BI987" s="22">
        <v>39549.294907407406</v>
      </c>
      <c r="BL987">
        <v>15199</v>
      </c>
      <c r="BM987">
        <v>1396468</v>
      </c>
      <c r="BN987" t="s">
        <v>1768</v>
      </c>
      <c r="BO987" s="17">
        <f t="shared" ca="1" si="15"/>
        <v>89.740598032411071</v>
      </c>
      <c r="BP987" t="b">
        <v>0</v>
      </c>
      <c r="BQ987">
        <v>1</v>
      </c>
      <c r="BR987" t="s">
        <v>1842</v>
      </c>
      <c r="BS987" t="s">
        <v>5543</v>
      </c>
      <c r="BT987" t="b">
        <v>0</v>
      </c>
      <c r="BV987" t="s">
        <v>1668</v>
      </c>
      <c r="BW987">
        <v>1362</v>
      </c>
      <c r="BX987" t="s">
        <v>3856</v>
      </c>
      <c r="BY987">
        <v>0</v>
      </c>
      <c r="BZ987" t="s">
        <v>5544</v>
      </c>
      <c r="CA987">
        <v>1</v>
      </c>
      <c r="CB987" t="b">
        <v>1</v>
      </c>
      <c r="CC987">
        <v>0</v>
      </c>
      <c r="CD987" t="b">
        <v>0</v>
      </c>
      <c r="CE987" t="b">
        <v>0</v>
      </c>
      <c r="CF987" t="b">
        <v>1</v>
      </c>
      <c r="CG987" t="s">
        <v>1870</v>
      </c>
      <c r="CH987" t="s">
        <v>1681</v>
      </c>
      <c r="CI987" s="10">
        <v>759950</v>
      </c>
    </row>
    <row r="988" spans="1:89">
      <c r="A988">
        <v>28007475</v>
      </c>
      <c r="B988" s="2" t="str">
        <f>HYPERLINK("http://www.redfin.com/stingray/do/printable-listing?listing-id=1393952","Active")</f>
        <v>Active</v>
      </c>
      <c r="D988" t="s">
        <v>3885</v>
      </c>
      <c r="E988" t="s">
        <v>5781</v>
      </c>
      <c r="F988" s="19">
        <v>939950</v>
      </c>
      <c r="G988">
        <v>2003</v>
      </c>
      <c r="H988">
        <v>3565</v>
      </c>
      <c r="I988">
        <v>0</v>
      </c>
      <c r="J988">
        <v>6</v>
      </c>
      <c r="K988">
        <v>2.75</v>
      </c>
      <c r="M988" s="2" t="str">
        <f>HYPERLINK("http://maps.live.com/default.aspx?v=2&amp;lvl=15&amp;sp=Point.47.523558_-122.155186_13914 SE 88th Pl&amp;cp=47.523558~-122.155186","Map")</f>
        <v>Map</v>
      </c>
      <c r="N988" s="2" t="str">
        <f>HYPERLINK("http://i-0.rfimg.us/photo/1/bigphoto/475/28007475_0.jpg","Photo")</f>
        <v>Photo</v>
      </c>
      <c r="AG988">
        <v>47.523558000000001</v>
      </c>
      <c r="AH988">
        <v>-122.155186</v>
      </c>
      <c r="AI988" t="s">
        <v>3885</v>
      </c>
      <c r="AJ988">
        <v>98059</v>
      </c>
      <c r="AN988">
        <v>599950</v>
      </c>
      <c r="BC988" s="22">
        <v>39458.656481481485</v>
      </c>
      <c r="BI988" s="22">
        <v>39549.294907407406</v>
      </c>
      <c r="BL988">
        <v>18999</v>
      </c>
      <c r="BM988">
        <v>1393952</v>
      </c>
      <c r="BN988" t="s">
        <v>4593</v>
      </c>
      <c r="BO988" s="17">
        <f t="shared" ca="1" si="15"/>
        <v>90.652924421294301</v>
      </c>
      <c r="BP988" t="b">
        <v>0</v>
      </c>
      <c r="BQ988">
        <v>1</v>
      </c>
      <c r="BR988" t="s">
        <v>1842</v>
      </c>
      <c r="BS988" t="s">
        <v>1719</v>
      </c>
      <c r="BT988" t="b">
        <v>0</v>
      </c>
      <c r="BU988" t="s">
        <v>3856</v>
      </c>
      <c r="BV988" t="s">
        <v>1668</v>
      </c>
      <c r="BW988">
        <v>13914</v>
      </c>
      <c r="BY988">
        <v>413449</v>
      </c>
      <c r="BZ988" t="s">
        <v>1701</v>
      </c>
      <c r="CA988">
        <v>1</v>
      </c>
      <c r="CB988" t="b">
        <v>1</v>
      </c>
      <c r="CC988">
        <v>0</v>
      </c>
      <c r="CD988" t="b">
        <v>0</v>
      </c>
      <c r="CE988" t="b">
        <v>0</v>
      </c>
      <c r="CF988" t="b">
        <v>1</v>
      </c>
      <c r="CG988">
        <v>2452842</v>
      </c>
      <c r="CH988" t="s">
        <v>1681</v>
      </c>
      <c r="CI988" s="10">
        <v>949950</v>
      </c>
      <c r="CJ988" s="7">
        <v>37883</v>
      </c>
    </row>
    <row r="989" spans="1:89">
      <c r="A989">
        <v>28007483</v>
      </c>
      <c r="B989" s="2" t="str">
        <f>HYPERLINK("http://www.redfin.com/stingray/do/printable-listing?listing-id=1393793","Active")</f>
        <v>Active</v>
      </c>
      <c r="D989" t="s">
        <v>184</v>
      </c>
      <c r="E989" t="s">
        <v>2926</v>
      </c>
      <c r="F989">
        <v>649000</v>
      </c>
      <c r="G989">
        <v>2008</v>
      </c>
      <c r="H989">
        <v>3210</v>
      </c>
      <c r="I989">
        <v>0</v>
      </c>
      <c r="J989">
        <v>5</v>
      </c>
      <c r="K989">
        <v>3</v>
      </c>
      <c r="M989" s="2" t="str">
        <f>HYPERLINK("http://maps.live.com/default.aspx?v=2&amp;lvl=15&amp;sp=Point.47.71487_-122.302115_11731 25th Ave NE&amp;cp=47.71487~-122.302115","Map")</f>
        <v>Map</v>
      </c>
      <c r="N989" s="2" t="str">
        <f>HYPERLINK("http://i-0.rfimg.us/photo/1/bigphoto/483/28007483_0.jpg","Photo")</f>
        <v>Photo</v>
      </c>
      <c r="AG989">
        <v>47.714869999999998</v>
      </c>
      <c r="AH989">
        <v>-122.302115</v>
      </c>
      <c r="AI989" t="s">
        <v>66</v>
      </c>
      <c r="AJ989">
        <v>98125</v>
      </c>
      <c r="AN989">
        <v>229900</v>
      </c>
      <c r="BC989" s="22">
        <v>39458.631631944445</v>
      </c>
      <c r="BI989" s="22">
        <v>39549.294907407406</v>
      </c>
      <c r="BL989">
        <v>12980</v>
      </c>
      <c r="BM989">
        <v>1393793</v>
      </c>
      <c r="BN989" t="s">
        <v>1710</v>
      </c>
      <c r="BO989" s="17">
        <f t="shared" ca="1" si="15"/>
        <v>90.677773958334001</v>
      </c>
      <c r="BP989" t="b">
        <v>0</v>
      </c>
      <c r="BQ989">
        <v>1</v>
      </c>
      <c r="BR989" t="s">
        <v>1667</v>
      </c>
      <c r="BS989" t="s">
        <v>1819</v>
      </c>
      <c r="BT989" t="b">
        <v>0</v>
      </c>
      <c r="BV989" t="s">
        <v>1668</v>
      </c>
      <c r="BW989">
        <v>11731</v>
      </c>
      <c r="BX989" t="s">
        <v>1738</v>
      </c>
      <c r="BY989">
        <v>116602</v>
      </c>
      <c r="BZ989" t="s">
        <v>1672</v>
      </c>
      <c r="CA989">
        <v>1</v>
      </c>
      <c r="CB989" t="b">
        <v>1</v>
      </c>
      <c r="CC989">
        <v>0</v>
      </c>
      <c r="CD989" t="b">
        <v>0</v>
      </c>
      <c r="CE989" t="b">
        <v>0</v>
      </c>
      <c r="CF989" t="b">
        <v>1</v>
      </c>
      <c r="CG989">
        <v>2429817</v>
      </c>
      <c r="CH989" t="s">
        <v>1681</v>
      </c>
      <c r="CI989" s="10">
        <v>649000</v>
      </c>
      <c r="CJ989" s="7">
        <v>38954</v>
      </c>
    </row>
    <row r="990" spans="1:89">
      <c r="A990">
        <v>28007492</v>
      </c>
      <c r="B990" s="2" t="str">
        <f>HYPERLINK("http://www.redfin.com/stingray/do/printable-listing?listing-id=1393941","Active")</f>
        <v>Active</v>
      </c>
      <c r="D990" t="s">
        <v>5915</v>
      </c>
      <c r="E990" t="s">
        <v>5914</v>
      </c>
      <c r="F990">
        <v>895000</v>
      </c>
      <c r="G990">
        <v>1935</v>
      </c>
      <c r="H990">
        <v>1404</v>
      </c>
      <c r="I990">
        <v>19602</v>
      </c>
      <c r="J990">
        <v>3</v>
      </c>
      <c r="K990">
        <v>1.5</v>
      </c>
      <c r="M990" s="2" t="str">
        <f>HYPERLINK("http://maps.live.com/default.aspx?v=2&amp;lvl=15&amp;sp=Point.47.532563_-122.166938_7816 129th Ave SE&amp;cp=47.532563~-122.166938","Map")</f>
        <v>Map</v>
      </c>
      <c r="N990" s="2" t="str">
        <f>HYPERLINK("http://i-0.rfimg.us/photo/1/bigphoto/492/28007492_7.jpg","Photo")</f>
        <v>Photo</v>
      </c>
      <c r="AG990">
        <v>47.532563000000003</v>
      </c>
      <c r="AH990">
        <v>-122.166938</v>
      </c>
      <c r="AI990" t="s">
        <v>3885</v>
      </c>
      <c r="AJ990">
        <v>98056</v>
      </c>
      <c r="AN990">
        <v>225000</v>
      </c>
      <c r="BC990" s="22">
        <v>39458.656238425923</v>
      </c>
      <c r="BI990" s="22">
        <v>39549.294907407406</v>
      </c>
      <c r="BL990">
        <v>17900</v>
      </c>
      <c r="BM990">
        <v>1393941</v>
      </c>
      <c r="BN990" t="s">
        <v>4033</v>
      </c>
      <c r="BO990" s="17">
        <f t="shared" ca="1" si="15"/>
        <v>90.653167476855742</v>
      </c>
      <c r="BP990" t="b">
        <v>0</v>
      </c>
      <c r="BQ990">
        <v>1</v>
      </c>
      <c r="BR990" t="s">
        <v>1667</v>
      </c>
      <c r="BS990" t="s">
        <v>2980</v>
      </c>
      <c r="BT990" t="b">
        <v>0</v>
      </c>
      <c r="BV990" t="s">
        <v>1668</v>
      </c>
      <c r="BW990">
        <v>7816</v>
      </c>
      <c r="BX990" t="s">
        <v>3856</v>
      </c>
      <c r="BY990">
        <v>413219</v>
      </c>
      <c r="BZ990" t="s">
        <v>2626</v>
      </c>
      <c r="CA990">
        <v>1</v>
      </c>
      <c r="CB990" t="b">
        <v>1</v>
      </c>
      <c r="CC990">
        <v>0</v>
      </c>
      <c r="CD990" t="b">
        <v>0</v>
      </c>
      <c r="CE990" t="b">
        <v>0</v>
      </c>
      <c r="CF990" t="b">
        <v>1</v>
      </c>
      <c r="CG990">
        <v>2776596</v>
      </c>
      <c r="CH990" t="s">
        <v>1681</v>
      </c>
      <c r="CI990" s="10">
        <v>895000</v>
      </c>
      <c r="CJ990" s="7">
        <v>33833</v>
      </c>
    </row>
    <row r="991" spans="1:89">
      <c r="A991">
        <v>28007499</v>
      </c>
      <c r="B991" s="15" t="str">
        <f>HYPERLINK("http://www.redfin.com/stingray/do/printable-listing?listing-id=1393929","Subject To Inspection")</f>
        <v>Subject To Inspection</v>
      </c>
      <c r="D991" t="s">
        <v>3885</v>
      </c>
      <c r="E991" t="s">
        <v>6054</v>
      </c>
      <c r="F991">
        <v>549900</v>
      </c>
      <c r="G991">
        <v>1996</v>
      </c>
      <c r="H991">
        <v>2490</v>
      </c>
      <c r="I991">
        <v>10700</v>
      </c>
      <c r="J991">
        <v>4</v>
      </c>
      <c r="K991">
        <v>3</v>
      </c>
      <c r="M991" s="2" t="str">
        <f>HYPERLINK("http://maps.live.com/default.aspx?v=2&amp;lvl=15&amp;sp=Point.47.515335_-122.178474_3214 NE 26th Ct&amp;cp=47.515335~-122.178474","Map")</f>
        <v>Map</v>
      </c>
      <c r="N991" s="2" t="str">
        <f>HYPERLINK("http://i-0.rfimg.us/photo/1/bigphoto/499/28007499_0.jpg","Photo")</f>
        <v>Photo</v>
      </c>
      <c r="AG991">
        <v>47.515335</v>
      </c>
      <c r="AH991">
        <v>-122.17847399999999</v>
      </c>
      <c r="AI991" t="s">
        <v>1077</v>
      </c>
      <c r="AJ991">
        <v>98056</v>
      </c>
      <c r="AN991">
        <v>457975</v>
      </c>
      <c r="BC991" s="22">
        <v>39458.652511574073</v>
      </c>
      <c r="BI991" s="22">
        <v>39547.913935185185</v>
      </c>
      <c r="BL991">
        <v>10998</v>
      </c>
      <c r="BM991">
        <v>1393929</v>
      </c>
      <c r="BN991" t="s">
        <v>1688</v>
      </c>
      <c r="BO991" s="17">
        <f t="shared" ca="1" si="15"/>
        <v>90.656894328705675</v>
      </c>
      <c r="BP991" t="b">
        <v>0</v>
      </c>
      <c r="BQ991">
        <v>1</v>
      </c>
      <c r="BR991" t="s">
        <v>3768</v>
      </c>
      <c r="BS991" t="s">
        <v>1769</v>
      </c>
      <c r="BT991" t="b">
        <v>0</v>
      </c>
      <c r="BU991" t="s">
        <v>1738</v>
      </c>
      <c r="BV991" t="s">
        <v>1668</v>
      </c>
      <c r="BW991">
        <v>3214</v>
      </c>
      <c r="BY991">
        <v>411861</v>
      </c>
      <c r="BZ991" t="s">
        <v>1672</v>
      </c>
      <c r="CA991">
        <v>1</v>
      </c>
      <c r="CB991" t="b">
        <v>1</v>
      </c>
      <c r="CC991">
        <v>0</v>
      </c>
      <c r="CD991" t="b">
        <v>0</v>
      </c>
      <c r="CE991" t="b">
        <v>0</v>
      </c>
      <c r="CF991" t="b">
        <v>1</v>
      </c>
      <c r="CG991">
        <v>2788418</v>
      </c>
      <c r="CH991" t="s">
        <v>1681</v>
      </c>
      <c r="CI991" s="10">
        <v>549900</v>
      </c>
      <c r="CJ991" s="7">
        <v>38232</v>
      </c>
    </row>
    <row r="992" spans="1:89">
      <c r="A992">
        <v>28007529</v>
      </c>
      <c r="B992" s="2" t="str">
        <f>HYPERLINK("http://www.redfin.com/stingray/do/printable-listing?listing-id=1394102","Active")</f>
        <v>Active</v>
      </c>
      <c r="D992" t="s">
        <v>4663</v>
      </c>
      <c r="E992" t="s">
        <v>5045</v>
      </c>
      <c r="F992">
        <v>585000</v>
      </c>
      <c r="G992">
        <v>1966</v>
      </c>
      <c r="H992">
        <v>1470</v>
      </c>
      <c r="I992">
        <v>12800</v>
      </c>
      <c r="J992">
        <v>3</v>
      </c>
      <c r="K992">
        <v>2</v>
      </c>
      <c r="M992" s="2" t="str">
        <f>HYPERLINK("http://maps.live.com/default.aspx?v=2&amp;lvl=15&amp;sp=Point.47.631901_-122.1708_2401 127th Ave NE&amp;cp=47.631901~-122.1708","Map")</f>
        <v>Map</v>
      </c>
      <c r="N992" s="2" t="str">
        <f>HYPERLINK("http://i-0.rfimg.us/photo/1/bigphoto/529/28007529_0.jpg","Photo")</f>
        <v>Photo</v>
      </c>
      <c r="AG992">
        <v>47.631900999999999</v>
      </c>
      <c r="AH992">
        <v>-122.1708</v>
      </c>
      <c r="AI992" t="s">
        <v>369</v>
      </c>
      <c r="AJ992">
        <v>98005</v>
      </c>
      <c r="AN992">
        <v>267500</v>
      </c>
      <c r="BC992" s="22">
        <v>39458.673009259262</v>
      </c>
      <c r="BI992" s="22">
        <v>39549.294907407406</v>
      </c>
      <c r="BL992">
        <v>11700</v>
      </c>
      <c r="BM992">
        <v>1394102</v>
      </c>
      <c r="BN992" t="s">
        <v>1737</v>
      </c>
      <c r="BO992" s="17">
        <f t="shared" ca="1" si="15"/>
        <v>90.636396643516491</v>
      </c>
      <c r="BP992" t="b">
        <v>0</v>
      </c>
      <c r="BQ992">
        <v>1</v>
      </c>
      <c r="BR992" t="s">
        <v>1667</v>
      </c>
      <c r="BS992" t="s">
        <v>2698</v>
      </c>
      <c r="BT992" t="b">
        <v>0</v>
      </c>
      <c r="BV992" t="s">
        <v>1668</v>
      </c>
      <c r="BW992">
        <v>2401</v>
      </c>
      <c r="BX992" t="s">
        <v>1738</v>
      </c>
      <c r="BY992">
        <v>508389</v>
      </c>
      <c r="BZ992" t="s">
        <v>1747</v>
      </c>
      <c r="CA992">
        <v>1</v>
      </c>
      <c r="CB992" t="b">
        <v>1</v>
      </c>
      <c r="CC992">
        <v>0</v>
      </c>
      <c r="CD992" t="b">
        <v>0</v>
      </c>
      <c r="CE992" t="b">
        <v>0</v>
      </c>
      <c r="CF992" t="b">
        <v>1</v>
      </c>
      <c r="CG992">
        <v>2491043</v>
      </c>
      <c r="CH992" t="s">
        <v>1681</v>
      </c>
      <c r="CI992" s="10">
        <v>585000</v>
      </c>
      <c r="CJ992" s="7">
        <v>37200</v>
      </c>
    </row>
    <row r="993" spans="1:89">
      <c r="A993">
        <v>28007542</v>
      </c>
      <c r="B993" s="2" t="str">
        <f>HYPERLINK("http://www.redfin.com/stingray/do/printable-listing?listing-id=1394119","Active")</f>
        <v>Active</v>
      </c>
      <c r="D993" t="s">
        <v>6064</v>
      </c>
      <c r="E993" t="s">
        <v>6062</v>
      </c>
      <c r="F993">
        <v>488000</v>
      </c>
      <c r="G993">
        <v>1987</v>
      </c>
      <c r="H993">
        <v>2210</v>
      </c>
      <c r="I993">
        <v>7874</v>
      </c>
      <c r="J993">
        <v>4</v>
      </c>
      <c r="K993">
        <v>2.75</v>
      </c>
      <c r="M993" s="2" t="str">
        <f>HYPERLINK("http://maps.live.com/default.aspx?v=2&amp;lvl=15&amp;sp=Point.47.511394_-122.154216_2212 Elma Ave NE&amp;cp=47.511394~-122.154216","Map")</f>
        <v>Map</v>
      </c>
      <c r="N993" s="2" t="str">
        <f>HYPERLINK("http://i-0.rfimg.us/photo/1/bigphoto/542/28007542_0.jpg","Photo")</f>
        <v>Photo</v>
      </c>
      <c r="AG993">
        <v>47.511394000000003</v>
      </c>
      <c r="AH993">
        <v>-122.15421600000001</v>
      </c>
      <c r="AI993" t="s">
        <v>1077</v>
      </c>
      <c r="AJ993">
        <v>98059</v>
      </c>
      <c r="AN993">
        <v>457950</v>
      </c>
      <c r="BC993" s="22">
        <v>39458.676932870374</v>
      </c>
      <c r="BI993" s="22">
        <v>39549.294907407406</v>
      </c>
      <c r="BL993">
        <v>9760</v>
      </c>
      <c r="BM993">
        <v>1394119</v>
      </c>
      <c r="BN993" t="s">
        <v>6061</v>
      </c>
      <c r="BO993" s="17">
        <f t="shared" ca="1" si="15"/>
        <v>90.63247303240496</v>
      </c>
      <c r="BP993" t="b">
        <v>0</v>
      </c>
      <c r="BQ993">
        <v>1</v>
      </c>
      <c r="BR993" t="s">
        <v>1667</v>
      </c>
      <c r="BS993" t="s">
        <v>6063</v>
      </c>
      <c r="BT993" t="b">
        <v>0</v>
      </c>
      <c r="BV993" t="s">
        <v>1668</v>
      </c>
      <c r="BW993">
        <v>2212</v>
      </c>
      <c r="BX993" t="s">
        <v>1738</v>
      </c>
      <c r="BY993">
        <v>410043</v>
      </c>
      <c r="BZ993" t="s">
        <v>1747</v>
      </c>
      <c r="CA993">
        <v>1</v>
      </c>
      <c r="CB993" t="b">
        <v>1</v>
      </c>
      <c r="CC993">
        <v>0</v>
      </c>
      <c r="CD993" t="b">
        <v>0</v>
      </c>
      <c r="CE993" t="b">
        <v>0</v>
      </c>
      <c r="CF993" t="b">
        <v>1</v>
      </c>
      <c r="CG993">
        <v>2417782</v>
      </c>
      <c r="CH993" t="s">
        <v>1681</v>
      </c>
      <c r="CI993" s="10">
        <v>488000</v>
      </c>
      <c r="CJ993" s="7">
        <v>38911</v>
      </c>
    </row>
    <row r="994" spans="1:89">
      <c r="A994">
        <v>28007566</v>
      </c>
      <c r="B994" s="2" t="str">
        <f>HYPERLINK("http://www.redfin.com/stingray/do/printable-listing?listing-id=1394113","Active")</f>
        <v>Active</v>
      </c>
      <c r="D994" t="s">
        <v>3704</v>
      </c>
      <c r="E994" t="s">
        <v>4147</v>
      </c>
      <c r="F994">
        <v>835000</v>
      </c>
      <c r="G994">
        <v>1930</v>
      </c>
      <c r="H994">
        <v>3360</v>
      </c>
      <c r="I994">
        <v>2242</v>
      </c>
      <c r="J994">
        <v>4</v>
      </c>
      <c r="K994">
        <v>3.5</v>
      </c>
      <c r="M994" s="2" t="str">
        <f>HYPERLINK("http://maps.live.com/default.aspx?v=2&amp;lvl=15&amp;sp=Point.47.619192_-122.307134_122 19th Ave E&amp;cp=47.619192~-122.307134","Map")</f>
        <v>Map</v>
      </c>
      <c r="N994" s="2" t="str">
        <f>HYPERLINK("http://i-0.rfimg.us/photo/1/bigphoto/566/28007566_2.jpg","Photo")</f>
        <v>Photo</v>
      </c>
      <c r="AG994">
        <v>47.619191999999998</v>
      </c>
      <c r="AH994">
        <v>-122.307134</v>
      </c>
      <c r="AI994" t="s">
        <v>66</v>
      </c>
      <c r="AJ994">
        <v>98112</v>
      </c>
      <c r="AN994">
        <v>445000</v>
      </c>
      <c r="BC994" s="22">
        <v>39458.676817129628</v>
      </c>
      <c r="BI994" s="22">
        <v>39549.294907407406</v>
      </c>
      <c r="BL994">
        <v>16700</v>
      </c>
      <c r="BM994">
        <v>1394113</v>
      </c>
      <c r="BN994" t="s">
        <v>3253</v>
      </c>
      <c r="BO994" s="17">
        <f t="shared" ca="1" si="15"/>
        <v>90.632588773150928</v>
      </c>
      <c r="BP994" t="b">
        <v>0</v>
      </c>
      <c r="BQ994">
        <v>1</v>
      </c>
      <c r="BR994" t="s">
        <v>1667</v>
      </c>
      <c r="BS994" t="s">
        <v>1906</v>
      </c>
      <c r="BT994" t="b">
        <v>0</v>
      </c>
      <c r="BV994" t="s">
        <v>1668</v>
      </c>
      <c r="BW994">
        <v>122</v>
      </c>
      <c r="BX994" t="s">
        <v>2436</v>
      </c>
      <c r="BY994">
        <v>144646</v>
      </c>
      <c r="BZ994" t="s">
        <v>2794</v>
      </c>
      <c r="CA994">
        <v>1</v>
      </c>
      <c r="CB994" t="b">
        <v>1</v>
      </c>
      <c r="CC994">
        <v>0</v>
      </c>
      <c r="CD994" t="b">
        <v>0</v>
      </c>
      <c r="CE994" t="b">
        <v>0</v>
      </c>
      <c r="CF994" t="b">
        <v>1</v>
      </c>
      <c r="CG994">
        <v>2828428</v>
      </c>
      <c r="CH994" t="s">
        <v>1681</v>
      </c>
      <c r="CI994" s="10">
        <v>835000</v>
      </c>
      <c r="CJ994" s="7">
        <v>39029</v>
      </c>
    </row>
    <row r="995" spans="1:89">
      <c r="A995">
        <v>28007573</v>
      </c>
      <c r="B995" s="2" t="str">
        <f>HYPERLINK("http://www.redfin.com/stingray/do/printable-listing?listing-id=1394168","Active")</f>
        <v>Active</v>
      </c>
      <c r="D995" t="s">
        <v>3066</v>
      </c>
      <c r="E995" t="s">
        <v>4892</v>
      </c>
      <c r="F995" s="19">
        <v>949950</v>
      </c>
      <c r="G995">
        <v>2007</v>
      </c>
      <c r="H995">
        <v>3041</v>
      </c>
      <c r="I995">
        <v>7648</v>
      </c>
      <c r="J995">
        <v>4</v>
      </c>
      <c r="K995">
        <v>2.5</v>
      </c>
      <c r="M995" s="2" t="str">
        <f>HYPERLINK("http://maps.live.com/default.aspx?v=2&amp;lvl=15&amp;sp=Point.47.675966_-122.177541_8010 122nd Ave NE&amp;cp=47.675966~-122.177541","Map")</f>
        <v>Map</v>
      </c>
      <c r="N995" s="2" t="str">
        <f>HYPERLINK("http://i-0.rfimg.us/photo/1/bigphoto/573/28007573_0.jpg","Photo")</f>
        <v>Photo</v>
      </c>
      <c r="AG995">
        <v>47.675966000000003</v>
      </c>
      <c r="AH995">
        <v>-122.17754100000001</v>
      </c>
      <c r="AI995" t="s">
        <v>1058</v>
      </c>
      <c r="AJ995">
        <v>98033</v>
      </c>
      <c r="BC995" s="22">
        <v>39458.694664351853</v>
      </c>
      <c r="BI995" s="22">
        <v>39549.294907407406</v>
      </c>
      <c r="BL995">
        <v>18799</v>
      </c>
      <c r="BM995">
        <v>1394168</v>
      </c>
      <c r="BN995" t="s">
        <v>3329</v>
      </c>
      <c r="BO995" s="17">
        <f t="shared" ca="1" si="15"/>
        <v>90.614741550925828</v>
      </c>
      <c r="BP995" t="b">
        <v>0</v>
      </c>
      <c r="BQ995">
        <v>1</v>
      </c>
      <c r="BR995" t="s">
        <v>1667</v>
      </c>
      <c r="BS995" t="s">
        <v>2672</v>
      </c>
      <c r="BT995" t="b">
        <v>0</v>
      </c>
      <c r="BV995" t="s">
        <v>1668</v>
      </c>
      <c r="BW995">
        <v>8010</v>
      </c>
      <c r="BX995" t="s">
        <v>1738</v>
      </c>
      <c r="BY995">
        <v>12303568</v>
      </c>
      <c r="BZ995" t="s">
        <v>1713</v>
      </c>
      <c r="CA995">
        <v>1</v>
      </c>
      <c r="CB995" t="b">
        <v>1</v>
      </c>
      <c r="CC995">
        <v>0</v>
      </c>
      <c r="CD995" t="b">
        <v>0</v>
      </c>
      <c r="CE995" t="b">
        <v>0</v>
      </c>
      <c r="CF995" t="b">
        <v>1</v>
      </c>
      <c r="CG995">
        <v>3024007</v>
      </c>
      <c r="CH995" t="s">
        <v>1681</v>
      </c>
      <c r="CI995" s="10">
        <v>939950</v>
      </c>
    </row>
    <row r="996" spans="1:89">
      <c r="A996">
        <v>28007613</v>
      </c>
      <c r="B996" s="2" t="str">
        <f>HYPERLINK("http://www.redfin.com/stingray/do/printable-listing?listing-id=1394559","Active")</f>
        <v>Active</v>
      </c>
      <c r="D996" t="s">
        <v>4611</v>
      </c>
      <c r="E996" t="s">
        <v>5003</v>
      </c>
      <c r="F996">
        <v>750000</v>
      </c>
      <c r="G996">
        <v>1976</v>
      </c>
      <c r="H996">
        <v>2560</v>
      </c>
      <c r="I996">
        <v>13160</v>
      </c>
      <c r="J996">
        <v>4</v>
      </c>
      <c r="K996">
        <v>2.5</v>
      </c>
      <c r="M996" s="2" t="str">
        <f>HYPERLINK("http://maps.live.com/default.aspx?v=2&amp;lvl=15&amp;sp=Point.47.665446_-122.138367_6613 152 Ave NE&amp;cp=47.665446~-122.138367","Map")</f>
        <v>Map</v>
      </c>
      <c r="N996" s="2" t="str">
        <f>HYPERLINK("http://i-0.rfimg.us/photo/1/bigphoto/613/28007613_2.jpg","Photo")</f>
        <v>Photo</v>
      </c>
      <c r="AG996">
        <v>47.665446000000003</v>
      </c>
      <c r="AH996">
        <v>-122.138367</v>
      </c>
      <c r="AI996" t="s">
        <v>4363</v>
      </c>
      <c r="AJ996">
        <v>98052</v>
      </c>
      <c r="AN996">
        <v>245000</v>
      </c>
      <c r="BC996" s="22">
        <v>39458.801215277781</v>
      </c>
      <c r="BI996" s="22">
        <v>39549.294907407406</v>
      </c>
      <c r="BL996">
        <v>15000</v>
      </c>
      <c r="BM996">
        <v>1394559</v>
      </c>
      <c r="BN996" t="s">
        <v>1735</v>
      </c>
      <c r="BO996" s="17">
        <f t="shared" ca="1" si="15"/>
        <v>90.508190624997951</v>
      </c>
      <c r="BP996" t="b">
        <v>0</v>
      </c>
      <c r="BQ996">
        <v>1</v>
      </c>
      <c r="BR996" t="s">
        <v>1667</v>
      </c>
      <c r="BS996">
        <v>152</v>
      </c>
      <c r="BT996" t="b">
        <v>0</v>
      </c>
      <c r="BV996" t="s">
        <v>1668</v>
      </c>
      <c r="BW996">
        <v>6613</v>
      </c>
      <c r="BX996" t="s">
        <v>1738</v>
      </c>
      <c r="BY996">
        <v>515087</v>
      </c>
      <c r="BZ996" t="s">
        <v>1730</v>
      </c>
      <c r="CA996">
        <v>1</v>
      </c>
      <c r="CB996" t="b">
        <v>1</v>
      </c>
      <c r="CC996">
        <v>0</v>
      </c>
      <c r="CD996" t="b">
        <v>0</v>
      </c>
      <c r="CE996" t="b">
        <v>0</v>
      </c>
      <c r="CF996" t="b">
        <v>1</v>
      </c>
      <c r="CG996">
        <v>2412165</v>
      </c>
      <c r="CH996" t="s">
        <v>1681</v>
      </c>
      <c r="CI996" s="10">
        <v>750000</v>
      </c>
      <c r="CJ996" s="7">
        <v>35846</v>
      </c>
    </row>
    <row r="997" spans="1:89">
      <c r="A997">
        <v>28007657</v>
      </c>
      <c r="B997" s="15" t="str">
        <f>HYPERLINK("http://www.redfin.com/stingray/do/printable-listing?listing-id=1394312","Subject To Inspection")</f>
        <v>Subject To Inspection</v>
      </c>
      <c r="D997" t="s">
        <v>3249</v>
      </c>
      <c r="E997" t="s">
        <v>3290</v>
      </c>
      <c r="F997">
        <v>509950</v>
      </c>
      <c r="G997">
        <v>2007</v>
      </c>
      <c r="H997">
        <v>1740</v>
      </c>
      <c r="I997">
        <v>0</v>
      </c>
      <c r="J997">
        <v>3</v>
      </c>
      <c r="K997">
        <v>2.5</v>
      </c>
      <c r="M997" s="2" t="str">
        <f>HYPERLINK("http://maps.live.com/default.aspx?v=2&amp;lvl=15&amp;sp=Point.47.648405_-122.358243_11 W Dravus St nA&amp;cp=47.648405~-122.358243","Map")</f>
        <v>Map</v>
      </c>
      <c r="N997" s="2" t="str">
        <f>HYPERLINK("http://i-0.rfimg.us/photo/1/bigphoto/657/28007657_4.jpg","Photo")</f>
        <v>Photo</v>
      </c>
      <c r="AG997">
        <v>47.648404999999997</v>
      </c>
      <c r="AH997">
        <v>-122.358243</v>
      </c>
      <c r="AI997" t="s">
        <v>66</v>
      </c>
      <c r="AJ997">
        <v>98119</v>
      </c>
      <c r="AM997" t="s">
        <v>1722</v>
      </c>
      <c r="BC997" s="22">
        <v>39458.715428240743</v>
      </c>
      <c r="BI997" s="22">
        <v>39549.294907407406</v>
      </c>
      <c r="BL997">
        <v>10199</v>
      </c>
      <c r="BM997">
        <v>1394312</v>
      </c>
      <c r="BN997" t="s">
        <v>3286</v>
      </c>
      <c r="BO997" s="17">
        <f t="shared" ca="1" si="15"/>
        <v>90.593977662036195</v>
      </c>
      <c r="BP997" t="b">
        <v>0</v>
      </c>
      <c r="BQ997">
        <v>1</v>
      </c>
      <c r="BR997" t="s">
        <v>1686</v>
      </c>
      <c r="BS997" t="s">
        <v>3288</v>
      </c>
      <c r="BT997" t="b">
        <v>0</v>
      </c>
      <c r="BU997" t="s">
        <v>2423</v>
      </c>
      <c r="BV997" t="s">
        <v>1668</v>
      </c>
      <c r="BW997">
        <v>11</v>
      </c>
      <c r="BY997">
        <v>12321533</v>
      </c>
      <c r="BZ997" t="s">
        <v>3291</v>
      </c>
      <c r="CA997">
        <v>1</v>
      </c>
      <c r="CB997" t="b">
        <v>1</v>
      </c>
      <c r="CC997">
        <v>0</v>
      </c>
      <c r="CD997" t="b">
        <v>0</v>
      </c>
      <c r="CE997" t="b">
        <v>0</v>
      </c>
      <c r="CF997" t="b">
        <v>1</v>
      </c>
      <c r="CG997">
        <v>15527570</v>
      </c>
      <c r="CH997" t="s">
        <v>1681</v>
      </c>
      <c r="CI997" s="10">
        <v>509950</v>
      </c>
    </row>
    <row r="998" spans="1:89">
      <c r="A998">
        <v>28007665</v>
      </c>
      <c r="B998" s="2" t="str">
        <f>HYPERLINK("http://www.redfin.com/stingray/do/printable-listing?listing-id=1395959","Active")</f>
        <v>Active</v>
      </c>
      <c r="D998" t="s">
        <v>88</v>
      </c>
      <c r="E998" t="s">
        <v>1181</v>
      </c>
      <c r="F998" s="19">
        <v>529950</v>
      </c>
      <c r="G998">
        <v>1918</v>
      </c>
      <c r="H998">
        <v>2010</v>
      </c>
      <c r="I998">
        <v>0</v>
      </c>
      <c r="J998">
        <v>4</v>
      </c>
      <c r="K998">
        <v>2</v>
      </c>
      <c r="M998" s="2" t="str">
        <f>HYPERLINK("http://maps.live.com/default.aspx?v=2&amp;lvl=15&amp;sp=Point.47.680576_-122.360814_7031 3rd Ave NW&amp;cp=47.680576~-122.360814","Map")</f>
        <v>Map</v>
      </c>
      <c r="N998" s="2" t="str">
        <f>HYPERLINK("http://i-0.rfimg.us/photo/1/bigphoto/665/28007665_1.jpg","Photo")</f>
        <v>Photo</v>
      </c>
      <c r="AG998">
        <v>47.680576000000002</v>
      </c>
      <c r="AH998">
        <v>-122.360814</v>
      </c>
      <c r="AI998" t="s">
        <v>66</v>
      </c>
      <c r="AJ998">
        <v>98117</v>
      </c>
      <c r="AN998">
        <v>305000</v>
      </c>
      <c r="BC998" s="22">
        <v>39459.337581018517</v>
      </c>
      <c r="BI998" s="22">
        <v>39549.294907407406</v>
      </c>
      <c r="BL998">
        <v>10700</v>
      </c>
      <c r="BM998">
        <v>1395959</v>
      </c>
      <c r="BN998" t="s">
        <v>1798</v>
      </c>
      <c r="BO998" s="17">
        <f t="shared" ca="1" si="15"/>
        <v>89.971825000000536</v>
      </c>
      <c r="BP998" t="b">
        <v>0</v>
      </c>
      <c r="BQ998">
        <v>1</v>
      </c>
      <c r="BR998" t="s">
        <v>1667</v>
      </c>
      <c r="BS998" t="s">
        <v>1796</v>
      </c>
      <c r="BT998" t="b">
        <v>0</v>
      </c>
      <c r="BV998" t="s">
        <v>1668</v>
      </c>
      <c r="BW998">
        <v>7031</v>
      </c>
      <c r="BX998" t="s">
        <v>1669</v>
      </c>
      <c r="BY998">
        <v>497236</v>
      </c>
      <c r="BZ998" t="s">
        <v>1799</v>
      </c>
      <c r="CA998">
        <v>1</v>
      </c>
      <c r="CB998" t="b">
        <v>1</v>
      </c>
      <c r="CC998">
        <v>0</v>
      </c>
      <c r="CD998" t="b">
        <v>0</v>
      </c>
      <c r="CE998" t="b">
        <v>0</v>
      </c>
      <c r="CF998" t="b">
        <v>1</v>
      </c>
      <c r="CG998">
        <v>2461105</v>
      </c>
      <c r="CH998" t="s">
        <v>1681</v>
      </c>
      <c r="CI998" s="10">
        <v>535000</v>
      </c>
      <c r="CJ998" s="7">
        <v>37061</v>
      </c>
      <c r="CK998" t="s">
        <v>2000</v>
      </c>
    </row>
    <row r="999" spans="1:89">
      <c r="A999">
        <v>28007808</v>
      </c>
      <c r="B999" s="2" t="str">
        <f>HYPERLINK("http://www.redfin.com/stingray/do/printable-listing?listing-id=1395214","Active")</f>
        <v>Active</v>
      </c>
      <c r="D999" t="s">
        <v>60</v>
      </c>
      <c r="E999" t="s">
        <v>2599</v>
      </c>
      <c r="F999" s="19">
        <v>675000</v>
      </c>
      <c r="G999">
        <v>1926</v>
      </c>
      <c r="H999">
        <v>2900</v>
      </c>
      <c r="I999">
        <v>3060</v>
      </c>
      <c r="J999">
        <v>5</v>
      </c>
      <c r="K999">
        <v>2.5</v>
      </c>
      <c r="M999" s="2" t="str">
        <f>HYPERLINK("http://maps.live.com/default.aspx?v=2&amp;lvl=15&amp;sp=Point.47.666234_-122.327975_109 NE 52 St&amp;cp=47.666234~-122.327975","Map")</f>
        <v>Map</v>
      </c>
      <c r="N999" s="2" t="str">
        <f>HYPERLINK("http://i-0.rfimg.us/photo/1/bigphoto/808/28007808_0.jpg","Photo")</f>
        <v>Photo</v>
      </c>
      <c r="AG999">
        <v>47.666234000000003</v>
      </c>
      <c r="AH999">
        <v>-122.327975</v>
      </c>
      <c r="AI999" t="s">
        <v>66</v>
      </c>
      <c r="AJ999">
        <v>98105</v>
      </c>
      <c r="AN999">
        <v>570000</v>
      </c>
      <c r="BC999" s="22">
        <v>39459.088171296295</v>
      </c>
      <c r="BI999" s="22">
        <v>39549.294907407406</v>
      </c>
      <c r="BL999">
        <v>13980</v>
      </c>
      <c r="BM999">
        <v>1395214</v>
      </c>
      <c r="BN999" t="s">
        <v>1678</v>
      </c>
      <c r="BO999" s="17">
        <f t="shared" ca="1" si="15"/>
        <v>90.221234722223016</v>
      </c>
      <c r="BP999" t="b">
        <v>0</v>
      </c>
      <c r="BQ999">
        <v>1</v>
      </c>
      <c r="BR999" t="s">
        <v>1686</v>
      </c>
      <c r="BS999">
        <v>52</v>
      </c>
      <c r="BT999" t="b">
        <v>0</v>
      </c>
      <c r="BU999" t="s">
        <v>1738</v>
      </c>
      <c r="BV999" t="s">
        <v>1668</v>
      </c>
      <c r="BW999">
        <v>109</v>
      </c>
      <c r="BY999">
        <v>306013</v>
      </c>
      <c r="BZ999" t="s">
        <v>1762</v>
      </c>
      <c r="CA999">
        <v>1</v>
      </c>
      <c r="CB999" t="b">
        <v>1</v>
      </c>
      <c r="CC999">
        <v>0</v>
      </c>
      <c r="CD999" t="b">
        <v>0</v>
      </c>
      <c r="CE999" t="b">
        <v>0</v>
      </c>
      <c r="CF999" t="b">
        <v>1</v>
      </c>
      <c r="CG999">
        <v>2964657</v>
      </c>
      <c r="CH999" t="s">
        <v>1681</v>
      </c>
      <c r="CI999" s="10">
        <v>699000</v>
      </c>
      <c r="CJ999" s="7">
        <v>38062</v>
      </c>
    </row>
    <row r="1000" spans="1:89">
      <c r="A1000">
        <v>28007827</v>
      </c>
      <c r="B1000" s="15" t="str">
        <f>HYPERLINK("http://www.redfin.com/stingray/do/printable-listing?listing-id=1395987","Subject To Inspection")</f>
        <v>Subject To Inspection</v>
      </c>
      <c r="D1000" t="s">
        <v>194</v>
      </c>
      <c r="E1000" t="s">
        <v>569</v>
      </c>
      <c r="F1000" s="19">
        <v>350000</v>
      </c>
      <c r="G1000">
        <v>1941</v>
      </c>
      <c r="H1000">
        <v>1940</v>
      </c>
      <c r="I1000">
        <v>4600</v>
      </c>
      <c r="J1000">
        <v>3</v>
      </c>
      <c r="K1000">
        <v>1.5</v>
      </c>
      <c r="M1000" s="2" t="str">
        <f>HYPERLINK("http://maps.live.com/default.aspx?v=2&amp;lvl=15&amp;sp=Point.47.692185_-122.302127_8800 Ravenna Ave NE&amp;cp=47.692185~-122.302127","Map")</f>
        <v>Map</v>
      </c>
      <c r="N1000" s="2" t="str">
        <f>HYPERLINK("http://i-0.rfimg.us/photo/1/bigphoto/827/28007827_0.jpg","Photo")</f>
        <v>Photo</v>
      </c>
      <c r="AG1000">
        <v>47.692185000000002</v>
      </c>
      <c r="AH1000">
        <v>-122.302127</v>
      </c>
      <c r="AI1000" t="s">
        <v>66</v>
      </c>
      <c r="AJ1000">
        <v>98115</v>
      </c>
      <c r="BC1000" s="22">
        <v>39459.369305555556</v>
      </c>
      <c r="BI1000" s="22">
        <v>39549.294907407406</v>
      </c>
      <c r="BL1000">
        <v>7598</v>
      </c>
      <c r="BM1000">
        <v>1395987</v>
      </c>
      <c r="BN1000" t="s">
        <v>1710</v>
      </c>
      <c r="BO1000" s="17">
        <f t="shared" ca="1" si="15"/>
        <v>89.940100347223051</v>
      </c>
      <c r="BP1000" t="b">
        <v>0</v>
      </c>
      <c r="BQ1000">
        <v>1</v>
      </c>
      <c r="BR1000" t="s">
        <v>1667</v>
      </c>
      <c r="BS1000" t="s">
        <v>218</v>
      </c>
      <c r="BT1000" t="b">
        <v>0</v>
      </c>
      <c r="BV1000" t="s">
        <v>1668</v>
      </c>
      <c r="BW1000">
        <v>8800</v>
      </c>
      <c r="BX1000" t="s">
        <v>1738</v>
      </c>
      <c r="BY1000">
        <v>314841</v>
      </c>
      <c r="BZ1000" t="s">
        <v>1747</v>
      </c>
      <c r="CA1000">
        <v>1</v>
      </c>
      <c r="CB1000" t="b">
        <v>1</v>
      </c>
      <c r="CC1000">
        <v>0</v>
      </c>
      <c r="CD1000" t="b">
        <v>0</v>
      </c>
      <c r="CE1000" t="b">
        <v>0</v>
      </c>
      <c r="CF1000" t="b">
        <v>1</v>
      </c>
      <c r="CG1000">
        <v>2606967</v>
      </c>
      <c r="CH1000" t="s">
        <v>1681</v>
      </c>
      <c r="CI1000" s="10">
        <v>379900</v>
      </c>
    </row>
    <row r="1001" spans="1:89">
      <c r="A1001">
        <v>28007877</v>
      </c>
      <c r="B1001" s="2" t="str">
        <f>HYPERLINK("http://www.redfin.com/stingray/do/printable-listing?listing-id=1397452","Active")</f>
        <v>Active</v>
      </c>
      <c r="D1001" t="s">
        <v>4663</v>
      </c>
      <c r="E1001" t="s">
        <v>4943</v>
      </c>
      <c r="F1001">
        <v>1089000</v>
      </c>
      <c r="G1001">
        <v>1969</v>
      </c>
      <c r="H1001">
        <v>4045</v>
      </c>
      <c r="I1001">
        <v>15130</v>
      </c>
      <c r="J1001">
        <v>4</v>
      </c>
      <c r="K1001">
        <v>2.5</v>
      </c>
      <c r="M1001" s="2" t="str">
        <f>HYPERLINK("http://maps.live.com/default.aspx?v=2&amp;lvl=15&amp;sp=Point.47.643043_-122.168447_12814 NE 36th St&amp;cp=47.643043~-122.168447","Map")</f>
        <v>Map</v>
      </c>
      <c r="N1001" s="2" t="str">
        <f>HYPERLINK("http://i-0.rfimg.us/photo/1/bigphoto/877/28007877_5.jpg","Photo")</f>
        <v>Photo</v>
      </c>
      <c r="AG1001">
        <v>47.643042999999999</v>
      </c>
      <c r="AH1001">
        <v>-122.168447</v>
      </c>
      <c r="AI1001" t="s">
        <v>369</v>
      </c>
      <c r="AJ1001">
        <v>98005</v>
      </c>
      <c r="BC1001" s="22">
        <v>39460.452916666669</v>
      </c>
      <c r="BI1001" s="22">
        <v>39549.294907407406</v>
      </c>
      <c r="BL1001">
        <v>21780</v>
      </c>
      <c r="BM1001">
        <v>1397452</v>
      </c>
      <c r="BN1001" t="s">
        <v>4942</v>
      </c>
      <c r="BO1001" s="17">
        <f t="shared" ca="1" si="15"/>
        <v>88.856489236110065</v>
      </c>
      <c r="BP1001" t="b">
        <v>0</v>
      </c>
      <c r="BQ1001">
        <v>1</v>
      </c>
      <c r="BR1001" t="s">
        <v>1686</v>
      </c>
      <c r="BS1001" t="s">
        <v>2911</v>
      </c>
      <c r="BT1001" t="b">
        <v>0</v>
      </c>
      <c r="BU1001" t="s">
        <v>1738</v>
      </c>
      <c r="BV1001" t="s">
        <v>1668</v>
      </c>
      <c r="BW1001">
        <v>12814</v>
      </c>
      <c r="BY1001">
        <v>431102</v>
      </c>
      <c r="BZ1001" t="s">
        <v>4944</v>
      </c>
      <c r="CA1001">
        <v>1</v>
      </c>
      <c r="CB1001" t="b">
        <v>1</v>
      </c>
      <c r="CC1001">
        <v>0</v>
      </c>
      <c r="CD1001" t="b">
        <v>0</v>
      </c>
      <c r="CE1001" t="b">
        <v>0</v>
      </c>
      <c r="CF1001" t="b">
        <v>1</v>
      </c>
      <c r="CG1001">
        <v>2666783</v>
      </c>
      <c r="CH1001" t="s">
        <v>1681</v>
      </c>
      <c r="CI1001" s="10">
        <v>1089000</v>
      </c>
    </row>
    <row r="1002" spans="1:89">
      <c r="A1002">
        <v>28007906</v>
      </c>
      <c r="B1002" s="2" t="str">
        <f>HYPERLINK("http://www.redfin.com/stingray/do/printable-listing?listing-id=1396274","Active")</f>
        <v>Active</v>
      </c>
      <c r="D1002" t="s">
        <v>369</v>
      </c>
      <c r="E1002" t="s">
        <v>5064</v>
      </c>
      <c r="F1002">
        <v>925000</v>
      </c>
      <c r="G1002">
        <v>2007</v>
      </c>
      <c r="H1002">
        <v>2200</v>
      </c>
      <c r="I1002">
        <v>0</v>
      </c>
      <c r="J1002">
        <v>2</v>
      </c>
      <c r="K1002">
        <v>2.5</v>
      </c>
      <c r="M1002" s="2" t="str">
        <f>HYPERLINK("http://maps.live.com/default.aspx?v=2&amp;lvl=15&amp;sp=Point.47.621237_-122.198895_10590 NE 12th St&amp;cp=47.621237~-122.198895","Map")</f>
        <v>Map</v>
      </c>
      <c r="N1002" s="2" t="str">
        <f>HYPERLINK("http://i-0.rfimg.us/photo/1/bigphoto/906/28007906_1.jpg","Photo")</f>
        <v>Photo</v>
      </c>
      <c r="AG1002">
        <v>47.621237000000001</v>
      </c>
      <c r="AH1002">
        <v>-122.19889499999999</v>
      </c>
      <c r="AI1002" t="s">
        <v>369</v>
      </c>
      <c r="AJ1002">
        <v>98004</v>
      </c>
      <c r="AN1002">
        <v>925000</v>
      </c>
      <c r="BC1002" s="22">
        <v>39459.516203703701</v>
      </c>
      <c r="BI1002" s="22">
        <v>39549.294907407406</v>
      </c>
      <c r="BL1002">
        <v>18500</v>
      </c>
      <c r="BM1002">
        <v>1396274</v>
      </c>
      <c r="BN1002" t="s">
        <v>4138</v>
      </c>
      <c r="BO1002" s="17">
        <f t="shared" ca="1" si="15"/>
        <v>89.793202199078223</v>
      </c>
      <c r="BP1002" t="b">
        <v>0</v>
      </c>
      <c r="BQ1002">
        <v>1</v>
      </c>
      <c r="BR1002" t="s">
        <v>1686</v>
      </c>
      <c r="BS1002" t="s">
        <v>1803</v>
      </c>
      <c r="BT1002" t="b">
        <v>0</v>
      </c>
      <c r="BU1002" t="s">
        <v>1738</v>
      </c>
      <c r="BV1002" t="s">
        <v>1668</v>
      </c>
      <c r="BW1002">
        <v>10590</v>
      </c>
      <c r="BY1002">
        <v>12307211</v>
      </c>
      <c r="BZ1002" t="s">
        <v>6930</v>
      </c>
      <c r="CA1002">
        <v>1</v>
      </c>
      <c r="CB1002" t="b">
        <v>1</v>
      </c>
      <c r="CC1002">
        <v>0</v>
      </c>
      <c r="CD1002" t="b">
        <v>0</v>
      </c>
      <c r="CE1002" t="b">
        <v>0</v>
      </c>
      <c r="CF1002" t="b">
        <v>1</v>
      </c>
      <c r="CG1002">
        <v>15514143</v>
      </c>
      <c r="CH1002" t="s">
        <v>1681</v>
      </c>
      <c r="CI1002" s="10">
        <v>925000</v>
      </c>
      <c r="CJ1002" s="7">
        <v>39490</v>
      </c>
    </row>
    <row r="1003" spans="1:89">
      <c r="A1003">
        <v>28007911</v>
      </c>
      <c r="B1003" s="2" t="str">
        <f>HYPERLINK("http://www.redfin.com/stingray/do/printable-listing?listing-id=1396272","Active")</f>
        <v>Active</v>
      </c>
      <c r="D1003" t="s">
        <v>3071</v>
      </c>
      <c r="E1003" t="s">
        <v>4471</v>
      </c>
      <c r="F1003" s="19">
        <v>500000</v>
      </c>
      <c r="G1003">
        <v>1977</v>
      </c>
      <c r="H1003">
        <v>1850</v>
      </c>
      <c r="I1003">
        <v>8176</v>
      </c>
      <c r="J1003">
        <v>4</v>
      </c>
      <c r="K1003">
        <v>2.5</v>
      </c>
      <c r="M1003" s="2" t="str">
        <f>HYPERLINK("http://maps.live.com/default.aspx?v=2&amp;lvl=15&amp;sp=Point.47.722563_-122.210509_13609 98th Ave NE&amp;cp=47.722563~-122.210509","Map")</f>
        <v>Map</v>
      </c>
      <c r="N1003" s="2" t="str">
        <f>HYPERLINK("http://i-0.rfimg.us/photo/1/bigphoto/911/28007911_0.jpg","Photo")</f>
        <v>Photo</v>
      </c>
      <c r="AG1003">
        <v>47.722563000000001</v>
      </c>
      <c r="AH1003">
        <v>-122.210509</v>
      </c>
      <c r="AI1003" t="s">
        <v>1058</v>
      </c>
      <c r="AJ1003">
        <v>98034</v>
      </c>
      <c r="AN1003">
        <v>315000</v>
      </c>
      <c r="BC1003" s="22">
        <v>39459.516018518516</v>
      </c>
      <c r="BI1003" s="22">
        <v>39549.294907407406</v>
      </c>
      <c r="BL1003">
        <v>9999</v>
      </c>
      <c r="BM1003">
        <v>1396272</v>
      </c>
      <c r="BN1003" t="s">
        <v>1823</v>
      </c>
      <c r="BO1003" s="17">
        <f t="shared" ca="1" si="15"/>
        <v>89.793387384263042</v>
      </c>
      <c r="BP1003" t="b">
        <v>0</v>
      </c>
      <c r="BQ1003">
        <v>1</v>
      </c>
      <c r="BR1003" t="s">
        <v>1667</v>
      </c>
      <c r="BS1003" t="s">
        <v>3007</v>
      </c>
      <c r="BT1003" t="b">
        <v>0</v>
      </c>
      <c r="BV1003" t="s">
        <v>1668</v>
      </c>
      <c r="BW1003">
        <v>13609</v>
      </c>
      <c r="BX1003" t="s">
        <v>1738</v>
      </c>
      <c r="BY1003">
        <v>278308</v>
      </c>
      <c r="BZ1003" t="s">
        <v>1670</v>
      </c>
      <c r="CA1003">
        <v>1</v>
      </c>
      <c r="CB1003" t="b">
        <v>1</v>
      </c>
      <c r="CC1003">
        <v>0</v>
      </c>
      <c r="CD1003" t="b">
        <v>0</v>
      </c>
      <c r="CE1003" t="b">
        <v>0</v>
      </c>
      <c r="CF1003" t="b">
        <v>1</v>
      </c>
      <c r="CG1003">
        <v>2719801</v>
      </c>
      <c r="CH1003" t="s">
        <v>1681</v>
      </c>
      <c r="CI1003" s="10">
        <v>499950</v>
      </c>
      <c r="CJ1003" s="7">
        <v>39311</v>
      </c>
    </row>
    <row r="1004" spans="1:89">
      <c r="A1004">
        <v>28007913</v>
      </c>
      <c r="B1004" s="2" t="str">
        <f>HYPERLINK("http://www.redfin.com/stingray/do/printable-listing?listing-id=1396276","Active")</f>
        <v>Active</v>
      </c>
      <c r="D1004" t="s">
        <v>369</v>
      </c>
      <c r="E1004" t="s">
        <v>5066</v>
      </c>
      <c r="F1004">
        <v>695000</v>
      </c>
      <c r="G1004">
        <v>2007</v>
      </c>
      <c r="H1004">
        <v>1575</v>
      </c>
      <c r="I1004">
        <v>0</v>
      </c>
      <c r="J1004">
        <v>2</v>
      </c>
      <c r="K1004">
        <v>2</v>
      </c>
      <c r="M1004" s="2" t="str">
        <f>HYPERLINK("http://maps.live.com/default.aspx?v=2&amp;lvl=15&amp;sp=Point.47.6215_-122.1952_10595 NE 12th Pl&amp;cp=47.6215~-122.1952","Map")</f>
        <v>Map</v>
      </c>
      <c r="N1004" s="2" t="str">
        <f>HYPERLINK("http://i-0.rfimg.us/photo/1/bigphoto/913/28007913_0.jpg","Photo")</f>
        <v>Photo</v>
      </c>
      <c r="AG1004">
        <v>47.621499999999997</v>
      </c>
      <c r="AH1004">
        <v>-122.1952</v>
      </c>
      <c r="AI1004" t="s">
        <v>369</v>
      </c>
      <c r="AJ1004">
        <v>98004</v>
      </c>
      <c r="AN1004">
        <v>695000</v>
      </c>
      <c r="BC1004" s="22">
        <v>39459.516226851854</v>
      </c>
      <c r="BI1004" s="22">
        <v>39549.294907407406</v>
      </c>
      <c r="BL1004">
        <v>13900</v>
      </c>
      <c r="BM1004">
        <v>1396276</v>
      </c>
      <c r="BN1004" t="s">
        <v>4138</v>
      </c>
      <c r="BO1004" s="17">
        <f t="shared" ca="1" si="15"/>
        <v>89.793179050924664</v>
      </c>
      <c r="BP1004" t="b">
        <v>0</v>
      </c>
      <c r="BQ1004">
        <v>1</v>
      </c>
      <c r="BR1004" t="s">
        <v>1842</v>
      </c>
      <c r="BS1004" t="s">
        <v>1803</v>
      </c>
      <c r="BT1004" t="b">
        <v>0</v>
      </c>
      <c r="BU1004" t="s">
        <v>1738</v>
      </c>
      <c r="BV1004" t="s">
        <v>1668</v>
      </c>
      <c r="BW1004">
        <v>10595</v>
      </c>
      <c r="BY1004">
        <v>12305163</v>
      </c>
      <c r="BZ1004" t="s">
        <v>1743</v>
      </c>
      <c r="CA1004">
        <v>1</v>
      </c>
      <c r="CB1004" t="b">
        <v>1</v>
      </c>
      <c r="CC1004">
        <v>0</v>
      </c>
      <c r="CD1004" t="b">
        <v>0</v>
      </c>
      <c r="CE1004" t="b">
        <v>0</v>
      </c>
      <c r="CF1004" t="b">
        <v>1</v>
      </c>
      <c r="CG1004">
        <v>15512096</v>
      </c>
      <c r="CH1004" t="s">
        <v>1681</v>
      </c>
      <c r="CI1004" s="10">
        <v>695000</v>
      </c>
      <c r="CJ1004" s="7">
        <v>39461</v>
      </c>
    </row>
    <row r="1005" spans="1:89">
      <c r="A1005">
        <v>28007970</v>
      </c>
      <c r="B1005" s="2" t="str">
        <f>HYPERLINK("http://www.redfin.com/stingray/do/printable-listing?listing-id=1396561","Active")</f>
        <v>Active</v>
      </c>
      <c r="D1005" t="s">
        <v>3066</v>
      </c>
      <c r="E1005" t="s">
        <v>4625</v>
      </c>
      <c r="F1005">
        <v>749950</v>
      </c>
      <c r="G1005">
        <v>2007</v>
      </c>
      <c r="H1005">
        <v>2881</v>
      </c>
      <c r="I1005">
        <v>6597</v>
      </c>
      <c r="J1005">
        <v>4</v>
      </c>
      <c r="K1005">
        <v>2.75</v>
      </c>
      <c r="M1005" s="2" t="str">
        <f>HYPERLINK("http://maps.live.com/default.aspx?v=2&amp;lvl=15&amp;sp=adr.8366 138th Ct NE (Unable to map),98052","Map")</f>
        <v>Map</v>
      </c>
      <c r="N1005" s="2" t="str">
        <f>HYPERLINK("http://i-0.rfimg.us/photo/1/bigphoto/970/28007970_1.jpg","Photo")</f>
        <v>Photo</v>
      </c>
      <c r="AI1005" t="s">
        <v>4363</v>
      </c>
      <c r="AJ1005">
        <v>98052</v>
      </c>
      <c r="BC1005" s="22">
        <v>39459.631018518521</v>
      </c>
      <c r="BI1005" s="22">
        <v>39549.294907407406</v>
      </c>
      <c r="BL1005">
        <v>14999</v>
      </c>
      <c r="BM1005">
        <v>1396561</v>
      </c>
      <c r="BN1005" t="s">
        <v>2136</v>
      </c>
      <c r="BO1005" s="17">
        <f t="shared" ca="1" si="15"/>
        <v>89.678387384257803</v>
      </c>
      <c r="BP1005" t="b">
        <v>0</v>
      </c>
      <c r="BQ1005">
        <v>1</v>
      </c>
      <c r="BR1005" t="s">
        <v>3768</v>
      </c>
      <c r="BS1005" t="s">
        <v>4421</v>
      </c>
      <c r="BT1005" t="b">
        <v>0</v>
      </c>
      <c r="BV1005" t="s">
        <v>1668</v>
      </c>
      <c r="BW1005">
        <v>8366</v>
      </c>
      <c r="BX1005" t="s">
        <v>1738</v>
      </c>
      <c r="BY1005">
        <v>0</v>
      </c>
      <c r="BZ1005" t="s">
        <v>1709</v>
      </c>
      <c r="CA1005">
        <v>1</v>
      </c>
      <c r="CB1005" t="b">
        <v>1</v>
      </c>
      <c r="CC1005">
        <v>0</v>
      </c>
      <c r="CD1005" t="b">
        <v>0</v>
      </c>
      <c r="CE1005" t="b">
        <v>0</v>
      </c>
      <c r="CF1005" t="b">
        <v>1</v>
      </c>
      <c r="CG1005" t="s">
        <v>1870</v>
      </c>
      <c r="CH1005" t="s">
        <v>1681</v>
      </c>
      <c r="CI1005" s="10">
        <v>749950</v>
      </c>
    </row>
    <row r="1006" spans="1:89">
      <c r="A1006">
        <v>28007983</v>
      </c>
      <c r="B1006" s="15" t="str">
        <f>HYPERLINK("http://www.redfin.com/stingray/do/printable-listing?listing-id=1396657","Subject To Inspection")</f>
        <v>Subject To Inspection</v>
      </c>
      <c r="D1006" t="s">
        <v>3704</v>
      </c>
      <c r="E1006" t="s">
        <v>4193</v>
      </c>
      <c r="F1006">
        <v>374950</v>
      </c>
      <c r="G1006">
        <v>1901</v>
      </c>
      <c r="H1006">
        <v>1730</v>
      </c>
      <c r="I1006">
        <v>2400</v>
      </c>
      <c r="J1006">
        <v>3</v>
      </c>
      <c r="K1006">
        <v>1</v>
      </c>
      <c r="M1006" s="2" t="str">
        <f>HYPERLINK("http://maps.live.com/default.aspx?v=2&amp;lvl=15&amp;sp=Point.47.620124_-122.318675_1016 E John St&amp;cp=47.620124~-122.318675","Map")</f>
        <v>Map</v>
      </c>
      <c r="N1006" s="2" t="str">
        <f>HYPERLINK("http://i-0.rfimg.us/photo/1/bigphoto/983/28007983_1.jpg","Photo")</f>
        <v>Photo</v>
      </c>
      <c r="AG1006">
        <v>47.620123999999997</v>
      </c>
      <c r="AH1006">
        <v>-122.318675</v>
      </c>
      <c r="AI1006" t="s">
        <v>66</v>
      </c>
      <c r="AJ1006">
        <v>98102</v>
      </c>
      <c r="BC1006" s="22">
        <v>39459.672986111109</v>
      </c>
      <c r="BI1006" s="22">
        <v>39549.294907407406</v>
      </c>
      <c r="BL1006">
        <v>7499</v>
      </c>
      <c r="BM1006">
        <v>1396657</v>
      </c>
      <c r="BN1006" t="s">
        <v>1678</v>
      </c>
      <c r="BO1006" s="17">
        <f t="shared" ca="1" si="15"/>
        <v>89.63641979167005</v>
      </c>
      <c r="BP1006" t="b">
        <v>0</v>
      </c>
      <c r="BQ1006">
        <v>1</v>
      </c>
      <c r="BR1006" t="s">
        <v>1686</v>
      </c>
      <c r="BS1006" t="s">
        <v>4194</v>
      </c>
      <c r="BT1006" t="b">
        <v>0</v>
      </c>
      <c r="BU1006" t="s">
        <v>2436</v>
      </c>
      <c r="BV1006" t="s">
        <v>1668</v>
      </c>
      <c r="BW1006">
        <v>1016</v>
      </c>
      <c r="BY1006">
        <v>143885</v>
      </c>
      <c r="BZ1006" t="s">
        <v>2646</v>
      </c>
      <c r="CA1006">
        <v>1</v>
      </c>
      <c r="CB1006" t="b">
        <v>1</v>
      </c>
      <c r="CC1006">
        <v>0</v>
      </c>
      <c r="CD1006" t="b">
        <v>1</v>
      </c>
      <c r="CE1006" t="b">
        <v>0</v>
      </c>
      <c r="CF1006" t="b">
        <v>1</v>
      </c>
      <c r="CG1006">
        <v>2833211</v>
      </c>
      <c r="CH1006" t="s">
        <v>1681</v>
      </c>
      <c r="CI1006" s="10">
        <v>374950</v>
      </c>
    </row>
    <row r="1007" spans="1:89">
      <c r="A1007">
        <v>28008014</v>
      </c>
      <c r="B1007" s="2" t="str">
        <f>HYPERLINK("http://www.redfin.com/stingray/do/printable-listing?listing-id=1396805","Active")</f>
        <v>Active</v>
      </c>
      <c r="D1007" t="s">
        <v>369</v>
      </c>
      <c r="E1007" t="s">
        <v>6855</v>
      </c>
      <c r="F1007">
        <v>1249000</v>
      </c>
      <c r="G1007">
        <v>2008</v>
      </c>
      <c r="H1007">
        <v>3840</v>
      </c>
      <c r="I1007">
        <v>10140</v>
      </c>
      <c r="J1007">
        <v>4</v>
      </c>
      <c r="K1007">
        <v>3.5</v>
      </c>
      <c r="M1007" s="2" t="str">
        <f>HYPERLINK("http://maps.live.com/default.aspx?v=2&amp;lvl=15&amp;sp=Point.47.614065_-122.135882_15251 NE 6 St&amp;cp=47.614065~-122.135882","Map")</f>
        <v>Map</v>
      </c>
      <c r="N1007" s="2" t="str">
        <f>HYPERLINK("http://i-0.rfimg.us/photo/1/bigphoto/014/28008014_6.jpg","Photo")</f>
        <v>Photo</v>
      </c>
      <c r="AG1007">
        <v>47.614064999999997</v>
      </c>
      <c r="AH1007">
        <v>-122.135882</v>
      </c>
      <c r="AI1007" t="s">
        <v>369</v>
      </c>
      <c r="AJ1007">
        <v>98007</v>
      </c>
      <c r="AN1007">
        <v>550000</v>
      </c>
      <c r="BC1007" s="22">
        <v>39459.775821759256</v>
      </c>
      <c r="BI1007" s="22">
        <v>39549.294907407406</v>
      </c>
      <c r="BL1007">
        <v>24980</v>
      </c>
      <c r="BM1007">
        <v>1396805</v>
      </c>
      <c r="BN1007" t="s">
        <v>1735</v>
      </c>
      <c r="BO1007" s="17">
        <f t="shared" ca="1" si="15"/>
        <v>89.533584143522603</v>
      </c>
      <c r="BP1007" t="b">
        <v>0</v>
      </c>
      <c r="BQ1007">
        <v>1</v>
      </c>
      <c r="BR1007" t="s">
        <v>1686</v>
      </c>
      <c r="BS1007">
        <v>6</v>
      </c>
      <c r="BT1007" t="b">
        <v>0</v>
      </c>
      <c r="BU1007" t="s">
        <v>1738</v>
      </c>
      <c r="BV1007" t="s">
        <v>1668</v>
      </c>
      <c r="BW1007">
        <v>15251</v>
      </c>
      <c r="BY1007">
        <v>501796</v>
      </c>
      <c r="BZ1007" s="21">
        <v>6.9444444444444447E-4</v>
      </c>
      <c r="CA1007">
        <v>1</v>
      </c>
      <c r="CB1007" t="b">
        <v>1</v>
      </c>
      <c r="CC1007">
        <v>0</v>
      </c>
      <c r="CD1007" t="b">
        <v>0</v>
      </c>
      <c r="CE1007" t="b">
        <v>0</v>
      </c>
      <c r="CF1007" t="b">
        <v>1</v>
      </c>
      <c r="CG1007">
        <v>2709399</v>
      </c>
      <c r="CH1007" t="s">
        <v>1681</v>
      </c>
      <c r="CI1007" s="10">
        <v>1249000</v>
      </c>
      <c r="CJ1007" s="7">
        <v>38996</v>
      </c>
    </row>
    <row r="1008" spans="1:89">
      <c r="A1008">
        <v>28008105</v>
      </c>
      <c r="B1008" s="2" t="str">
        <f>HYPERLINK("http://www.redfin.com/stingray/do/printable-listing?listing-id=1397525","Active")</f>
        <v>Active</v>
      </c>
      <c r="D1008" t="s">
        <v>78</v>
      </c>
      <c r="E1008" t="s">
        <v>1169</v>
      </c>
      <c r="F1008" s="19">
        <v>524950</v>
      </c>
      <c r="G1008">
        <v>1940</v>
      </c>
      <c r="H1008">
        <v>1540</v>
      </c>
      <c r="I1008">
        <v>3880</v>
      </c>
      <c r="J1008">
        <v>4</v>
      </c>
      <c r="K1008">
        <v>2</v>
      </c>
      <c r="M1008" s="2" t="str">
        <f>HYPERLINK("http://maps.live.com/default.aspx?v=2&amp;lvl=15&amp;sp=Point.47.685636_-122.392241_7721 Earl Ave NW&amp;cp=47.685636~-122.392241","Map")</f>
        <v>Map</v>
      </c>
      <c r="N1008" s="2" t="str">
        <f>HYPERLINK("http://i-0.rfimg.us/photo/1/bigphoto/105/28008105_L.jpg","Photo")</f>
        <v>Photo</v>
      </c>
      <c r="AG1008">
        <v>47.685636000000002</v>
      </c>
      <c r="AH1008">
        <v>-122.392241</v>
      </c>
      <c r="AI1008" t="s">
        <v>66</v>
      </c>
      <c r="AJ1008">
        <v>98117</v>
      </c>
      <c r="AN1008">
        <v>430000</v>
      </c>
      <c r="BC1008" s="22">
        <v>39460.515370370369</v>
      </c>
      <c r="BI1008" s="22">
        <v>39549.294907407406</v>
      </c>
      <c r="BL1008">
        <v>10499</v>
      </c>
      <c r="BM1008">
        <v>1397525</v>
      </c>
      <c r="BN1008" t="s">
        <v>1753</v>
      </c>
      <c r="BO1008" s="17">
        <f t="shared" ca="1" si="15"/>
        <v>88.794035648148565</v>
      </c>
      <c r="BP1008" t="b">
        <v>0</v>
      </c>
      <c r="BQ1008">
        <v>1</v>
      </c>
      <c r="BR1008" t="s">
        <v>1667</v>
      </c>
      <c r="BS1008" t="s">
        <v>1754</v>
      </c>
      <c r="BT1008" t="b">
        <v>0</v>
      </c>
      <c r="BV1008" t="s">
        <v>1668</v>
      </c>
      <c r="BW1008">
        <v>7721</v>
      </c>
      <c r="BX1008" t="s">
        <v>1669</v>
      </c>
      <c r="BY1008">
        <v>167052</v>
      </c>
      <c r="BZ1008" t="s">
        <v>1755</v>
      </c>
      <c r="CA1008">
        <v>1</v>
      </c>
      <c r="CB1008" t="b">
        <v>1</v>
      </c>
      <c r="CC1008">
        <v>0</v>
      </c>
      <c r="CD1008" t="b">
        <v>0</v>
      </c>
      <c r="CE1008" t="b">
        <v>0</v>
      </c>
      <c r="CF1008" t="b">
        <v>1</v>
      </c>
      <c r="CG1008">
        <v>2644271</v>
      </c>
      <c r="CH1008" t="s">
        <v>1681</v>
      </c>
      <c r="CI1008" s="10">
        <v>524950</v>
      </c>
      <c r="CJ1008" s="7">
        <v>38686</v>
      </c>
    </row>
    <row r="1009" spans="1:89">
      <c r="A1009">
        <v>28008220</v>
      </c>
      <c r="B1009" s="2" t="str">
        <f>HYPERLINK("http://www.redfin.com/stingray/do/printable-listing?listing-id=1397905","Active")</f>
        <v>Active</v>
      </c>
      <c r="D1009" t="s">
        <v>55</v>
      </c>
      <c r="E1009" t="s">
        <v>256</v>
      </c>
      <c r="F1009" s="19">
        <v>474950</v>
      </c>
      <c r="G1009">
        <v>1925</v>
      </c>
      <c r="H1009">
        <v>1180</v>
      </c>
      <c r="I1009">
        <v>4700</v>
      </c>
      <c r="J1009">
        <v>3</v>
      </c>
      <c r="K1009">
        <v>1.5</v>
      </c>
      <c r="M1009" s="2" t="str">
        <f>HYPERLINK("http://maps.live.com/default.aspx?v=2&amp;lvl=15&amp;sp=Point.47.690873_-122.364758_632 NW 85 St&amp;cp=47.690873~-122.364758","Map")</f>
        <v>Map</v>
      </c>
      <c r="N1009" s="2" t="str">
        <f>HYPERLINK("http://i-0.rfimg.us/photo/1/bigphoto/220/28008220_0.jpg","Photo")</f>
        <v>Photo</v>
      </c>
      <c r="AG1009">
        <v>47.690873000000003</v>
      </c>
      <c r="AH1009">
        <v>-122.36475799999999</v>
      </c>
      <c r="AI1009" t="s">
        <v>66</v>
      </c>
      <c r="AJ1009">
        <v>98117</v>
      </c>
      <c r="BC1009" s="22">
        <v>39460.776238425926</v>
      </c>
      <c r="BI1009" s="22">
        <v>39549.294907407406</v>
      </c>
      <c r="BL1009">
        <v>9999</v>
      </c>
      <c r="BM1009">
        <v>1397905</v>
      </c>
      <c r="BN1009" t="s">
        <v>1847</v>
      </c>
      <c r="BO1009" s="17">
        <f t="shared" ca="1" si="15"/>
        <v>88.533167592591781</v>
      </c>
      <c r="BP1009" t="b">
        <v>0</v>
      </c>
      <c r="BQ1009">
        <v>1</v>
      </c>
      <c r="BR1009" t="s">
        <v>1686</v>
      </c>
      <c r="BS1009">
        <v>85</v>
      </c>
      <c r="BT1009" t="b">
        <v>0</v>
      </c>
      <c r="BU1009" t="s">
        <v>1669</v>
      </c>
      <c r="BV1009" t="s">
        <v>1668</v>
      </c>
      <c r="BW1009">
        <v>632</v>
      </c>
      <c r="BY1009">
        <v>100543</v>
      </c>
      <c r="BZ1009" t="s">
        <v>1741</v>
      </c>
      <c r="CA1009">
        <v>1</v>
      </c>
      <c r="CB1009" t="b">
        <v>1</v>
      </c>
      <c r="CC1009">
        <v>0</v>
      </c>
      <c r="CD1009" t="b">
        <v>1</v>
      </c>
      <c r="CE1009" t="b">
        <v>0</v>
      </c>
      <c r="CF1009" t="b">
        <v>1</v>
      </c>
      <c r="CG1009">
        <v>2479283</v>
      </c>
      <c r="CH1009" t="s">
        <v>1681</v>
      </c>
      <c r="CI1009" s="10">
        <v>499950</v>
      </c>
    </row>
    <row r="1010" spans="1:89">
      <c r="A1010">
        <v>28008254</v>
      </c>
      <c r="B1010" s="2" t="str">
        <f>HYPERLINK("http://www.redfin.com/stingray/do/printable-listing?listing-id=1399874","Active")</f>
        <v>Active</v>
      </c>
      <c r="D1010" t="s">
        <v>63</v>
      </c>
      <c r="E1010" t="s">
        <v>1428</v>
      </c>
      <c r="F1010">
        <v>499950</v>
      </c>
      <c r="G1010">
        <v>2008</v>
      </c>
      <c r="H1010">
        <v>1780</v>
      </c>
      <c r="I1010">
        <v>0</v>
      </c>
      <c r="J1010">
        <v>3</v>
      </c>
      <c r="K1010">
        <v>3</v>
      </c>
      <c r="M1010" s="2" t="str">
        <f>HYPERLINK("http://maps.live.com/default.aspx?v=2&amp;lvl=15&amp;sp=Point.47.673237_-122.384162_2040 NW 61st St&amp;cp=47.673237~-122.384162","Map")</f>
        <v>Map</v>
      </c>
      <c r="N1010" s="2" t="str">
        <f>HYPERLINK("http://i-0.rfimg.us/photo/1/bigphoto/254/28008254_0.jpg","Photo")</f>
        <v>Photo</v>
      </c>
      <c r="AG1010">
        <v>47.673237</v>
      </c>
      <c r="AH1010">
        <v>-122.384162</v>
      </c>
      <c r="AI1010" t="s">
        <v>66</v>
      </c>
      <c r="AJ1010">
        <v>98107</v>
      </c>
      <c r="BC1010" s="22">
        <v>39461.759363425925</v>
      </c>
      <c r="BI1010" s="22">
        <v>39549.294907407406</v>
      </c>
      <c r="BL1010">
        <v>9999</v>
      </c>
      <c r="BM1010">
        <v>1399874</v>
      </c>
      <c r="BN1010" t="s">
        <v>1737</v>
      </c>
      <c r="BO1010" s="17">
        <f t="shared" ca="1" si="15"/>
        <v>87.550042592592945</v>
      </c>
      <c r="BP1010" t="b">
        <v>0</v>
      </c>
      <c r="BQ1010">
        <v>1</v>
      </c>
      <c r="BR1010" t="s">
        <v>1686</v>
      </c>
      <c r="BS1010" t="s">
        <v>2431</v>
      </c>
      <c r="BT1010" t="b">
        <v>0</v>
      </c>
      <c r="BU1010" t="s">
        <v>1669</v>
      </c>
      <c r="BV1010" t="s">
        <v>1668</v>
      </c>
      <c r="BW1010">
        <v>2040</v>
      </c>
      <c r="BY1010">
        <v>12418777</v>
      </c>
      <c r="BZ1010" s="21">
        <v>0</v>
      </c>
      <c r="CA1010">
        <v>1</v>
      </c>
      <c r="CB1010" t="b">
        <v>1</v>
      </c>
      <c r="CC1010">
        <v>0</v>
      </c>
      <c r="CD1010" t="b">
        <v>0</v>
      </c>
      <c r="CE1010" t="b">
        <v>0</v>
      </c>
      <c r="CF1010" t="b">
        <v>1</v>
      </c>
      <c r="CG1010">
        <v>15622525</v>
      </c>
      <c r="CH1010" t="s">
        <v>1681</v>
      </c>
      <c r="CI1010" s="10">
        <v>499950</v>
      </c>
    </row>
    <row r="1011" spans="1:89">
      <c r="A1011">
        <v>28008273</v>
      </c>
      <c r="B1011" s="2" t="str">
        <f>HYPERLINK("http://www.redfin.com/stingray/do/printable-listing?listing-id=1398258","Active")</f>
        <v>Active</v>
      </c>
      <c r="D1011" t="s">
        <v>4974</v>
      </c>
      <c r="E1011" t="s">
        <v>5098</v>
      </c>
      <c r="F1011">
        <v>1099000</v>
      </c>
      <c r="G1011">
        <v>1947</v>
      </c>
      <c r="H1011">
        <v>1934</v>
      </c>
      <c r="I1011">
        <v>13860</v>
      </c>
      <c r="J1011">
        <v>3</v>
      </c>
      <c r="K1011">
        <v>2</v>
      </c>
      <c r="M1011" s="2" t="str">
        <f>HYPERLINK("http://maps.live.com/default.aspx?v=2&amp;lvl=15&amp;sp=Point.47.623548_-122.206693_1418 100th Ave NE&amp;cp=47.623548~-122.206693","Map")</f>
        <v>Map</v>
      </c>
      <c r="N1011" s="2" t="str">
        <f>HYPERLINK("http://i-0.rfimg.us/photo/1/bigphoto/273/28008273_7.jpg","Photo")</f>
        <v>Photo</v>
      </c>
      <c r="AG1011">
        <v>47.623548</v>
      </c>
      <c r="AH1011">
        <v>-122.206693</v>
      </c>
      <c r="AI1011" t="s">
        <v>369</v>
      </c>
      <c r="AJ1011">
        <v>98004</v>
      </c>
      <c r="AN1011">
        <v>389950</v>
      </c>
      <c r="BC1011" s="22">
        <v>39461.088310185187</v>
      </c>
      <c r="BI1011" s="7">
        <v>39539</v>
      </c>
      <c r="BL1011">
        <v>21980</v>
      </c>
      <c r="BM1011">
        <v>1398258</v>
      </c>
      <c r="BN1011" t="s">
        <v>1674</v>
      </c>
      <c r="BO1011" s="17">
        <f t="shared" ca="1" si="15"/>
        <v>88.221095717592107</v>
      </c>
      <c r="BP1011" t="b">
        <v>0</v>
      </c>
      <c r="BQ1011">
        <v>1</v>
      </c>
      <c r="BR1011" t="s">
        <v>1667</v>
      </c>
      <c r="BS1011" t="s">
        <v>2806</v>
      </c>
      <c r="BT1011" t="b">
        <v>0</v>
      </c>
      <c r="BV1011" t="s">
        <v>1668</v>
      </c>
      <c r="BW1011">
        <v>1418</v>
      </c>
      <c r="BX1011" t="s">
        <v>1738</v>
      </c>
      <c r="BY1011">
        <v>506469</v>
      </c>
      <c r="BZ1011" t="s">
        <v>5099</v>
      </c>
      <c r="CA1011">
        <v>1</v>
      </c>
      <c r="CB1011" t="b">
        <v>1</v>
      </c>
      <c r="CC1011">
        <v>0</v>
      </c>
      <c r="CD1011" t="b">
        <v>0</v>
      </c>
      <c r="CE1011" t="b">
        <v>0</v>
      </c>
      <c r="CF1011" t="b">
        <v>1</v>
      </c>
      <c r="CG1011">
        <v>2721447</v>
      </c>
      <c r="CH1011" t="s">
        <v>1681</v>
      </c>
      <c r="CI1011" s="10">
        <v>1099000</v>
      </c>
      <c r="CJ1011" s="7">
        <v>36341</v>
      </c>
    </row>
    <row r="1012" spans="1:89">
      <c r="A1012">
        <v>28008284</v>
      </c>
      <c r="B1012" s="2" t="str">
        <f>HYPERLINK("http://www.redfin.com/stingray/do/printable-listing?listing-id=1398259","Active")</f>
        <v>Active</v>
      </c>
      <c r="D1012" t="s">
        <v>60</v>
      </c>
      <c r="E1012" t="s">
        <v>3200</v>
      </c>
      <c r="F1012">
        <v>549950</v>
      </c>
      <c r="G1012">
        <v>1996</v>
      </c>
      <c r="H1012">
        <v>2890</v>
      </c>
      <c r="I1012">
        <v>3000</v>
      </c>
      <c r="J1012">
        <v>4</v>
      </c>
      <c r="K1012">
        <v>3.5</v>
      </c>
      <c r="M1012" s="2" t="str">
        <f>HYPERLINK("http://maps.live.com/default.aspx?v=2&amp;lvl=15&amp;sp=Point.47.672909_-122.322613_6021 6th Ave NE&amp;cp=47.672909~-122.322613","Map")</f>
        <v>Map</v>
      </c>
      <c r="N1012" s="2" t="str">
        <f>HYPERLINK("http://i-0.rfimg.us/photo/1/bigphoto/284/28008284_1.jpg","Photo")</f>
        <v>Photo</v>
      </c>
      <c r="AG1012">
        <v>47.672908999999997</v>
      </c>
      <c r="AH1012">
        <v>-122.322613</v>
      </c>
      <c r="AI1012" t="s">
        <v>66</v>
      </c>
      <c r="AJ1012">
        <v>98115</v>
      </c>
      <c r="AN1012">
        <v>425000</v>
      </c>
      <c r="BC1012" s="22">
        <v>39461.088495370372</v>
      </c>
      <c r="BI1012" s="7">
        <v>39541</v>
      </c>
      <c r="BL1012">
        <v>10999</v>
      </c>
      <c r="BM1012">
        <v>1398259</v>
      </c>
      <c r="BN1012" t="s">
        <v>1685</v>
      </c>
      <c r="BO1012" s="17">
        <f t="shared" ca="1" si="15"/>
        <v>88.220910532407288</v>
      </c>
      <c r="BP1012" t="b">
        <v>0</v>
      </c>
      <c r="BQ1012">
        <v>1</v>
      </c>
      <c r="BR1012" t="s">
        <v>1667</v>
      </c>
      <c r="BS1012" t="s">
        <v>1739</v>
      </c>
      <c r="BT1012" t="b">
        <v>0</v>
      </c>
      <c r="BV1012" t="s">
        <v>1668</v>
      </c>
      <c r="BW1012">
        <v>6021</v>
      </c>
      <c r="BX1012" t="s">
        <v>1738</v>
      </c>
      <c r="BY1012">
        <v>304981</v>
      </c>
      <c r="BZ1012" t="s">
        <v>3201</v>
      </c>
      <c r="CA1012">
        <v>1</v>
      </c>
      <c r="CB1012" t="b">
        <v>1</v>
      </c>
      <c r="CC1012">
        <v>0</v>
      </c>
      <c r="CD1012" t="b">
        <v>0</v>
      </c>
      <c r="CE1012" t="b">
        <v>0</v>
      </c>
      <c r="CF1012" t="b">
        <v>1</v>
      </c>
      <c r="CG1012">
        <v>2905903</v>
      </c>
      <c r="CH1012" t="s">
        <v>1681</v>
      </c>
      <c r="CI1012" s="10">
        <v>549950</v>
      </c>
      <c r="CJ1012" s="7">
        <v>38223</v>
      </c>
    </row>
    <row r="1013" spans="1:89">
      <c r="A1013">
        <v>28008413</v>
      </c>
      <c r="B1013" s="2" t="str">
        <f>HYPERLINK("http://www.redfin.com/stingray/do/printable-listing?listing-id=1398601","Subject To Inspection")</f>
        <v>Subject To Inspection</v>
      </c>
      <c r="D1013" t="s">
        <v>4777</v>
      </c>
      <c r="E1013" t="s">
        <v>4958</v>
      </c>
      <c r="F1013">
        <v>469900</v>
      </c>
      <c r="G1013">
        <v>1978</v>
      </c>
      <c r="H1013">
        <v>1930</v>
      </c>
      <c r="I1013">
        <v>11607</v>
      </c>
      <c r="J1013">
        <v>4</v>
      </c>
      <c r="K1013">
        <v>3</v>
      </c>
      <c r="M1013" s="2" t="str">
        <f>HYPERLINK("http://maps.live.com/default.aspx?v=2&amp;lvl=15&amp;sp=Point.47.654153_-122.1879_4918 114th Ave NE&amp;cp=47.654153~-122.1879","Map")</f>
        <v>Map</v>
      </c>
      <c r="N1013" s="2" t="str">
        <f>HYPERLINK("http://i-0.rfimg.us/photo/1/bigphoto/413/28008413_0.jpg","Photo")</f>
        <v>Photo</v>
      </c>
      <c r="AG1013">
        <v>47.654153000000001</v>
      </c>
      <c r="AH1013">
        <v>-122.1879</v>
      </c>
      <c r="AI1013" t="s">
        <v>1058</v>
      </c>
      <c r="AJ1013">
        <v>98033</v>
      </c>
      <c r="BC1013" s="22">
        <v>39461.433923611112</v>
      </c>
      <c r="BI1013" s="22">
        <v>39549.294907407406</v>
      </c>
      <c r="BL1013">
        <v>9398</v>
      </c>
      <c r="BM1013">
        <v>1398601</v>
      </c>
      <c r="BN1013" t="s">
        <v>1674</v>
      </c>
      <c r="BO1013" s="17">
        <f t="shared" ca="1" si="15"/>
        <v>87.87548229166714</v>
      </c>
      <c r="BP1013" t="b">
        <v>0</v>
      </c>
      <c r="BQ1013">
        <v>2</v>
      </c>
      <c r="BR1013" t="s">
        <v>1667</v>
      </c>
      <c r="BS1013" t="s">
        <v>4835</v>
      </c>
      <c r="BT1013" t="b">
        <v>0</v>
      </c>
      <c r="BV1013" t="s">
        <v>1668</v>
      </c>
      <c r="BW1013">
        <v>4918</v>
      </c>
      <c r="BX1013" t="s">
        <v>1738</v>
      </c>
      <c r="BY1013">
        <v>460283</v>
      </c>
      <c r="BZ1013" t="s">
        <v>4959</v>
      </c>
      <c r="CA1013">
        <v>1</v>
      </c>
      <c r="CB1013" t="b">
        <v>1</v>
      </c>
      <c r="CC1013">
        <v>0</v>
      </c>
      <c r="CD1013" t="b">
        <v>0</v>
      </c>
      <c r="CE1013" t="b">
        <v>0</v>
      </c>
      <c r="CF1013" t="b">
        <v>1</v>
      </c>
      <c r="CG1013">
        <v>2800960</v>
      </c>
      <c r="CH1013" t="s">
        <v>1681</v>
      </c>
      <c r="CI1013" s="10">
        <v>469900</v>
      </c>
    </row>
    <row r="1014" spans="1:89">
      <c r="A1014">
        <v>28008433</v>
      </c>
      <c r="B1014" s="2" t="str">
        <f>HYPERLINK("http://www.redfin.com/stingray/do/printable-listing?listing-id=1418734","Active")</f>
        <v>Active</v>
      </c>
      <c r="D1014" t="s">
        <v>5926</v>
      </c>
      <c r="E1014" t="s">
        <v>6113</v>
      </c>
      <c r="F1014">
        <v>380000</v>
      </c>
      <c r="G1014">
        <v>1963</v>
      </c>
      <c r="H1014">
        <v>2600</v>
      </c>
      <c r="I1014">
        <v>7228</v>
      </c>
      <c r="J1014">
        <v>5</v>
      </c>
      <c r="K1014">
        <v>2.75</v>
      </c>
      <c r="M1014" s="2" t="str">
        <f>HYPERLINK("http://maps.live.com/default.aspx?v=2&amp;lvl=15&amp;sp=Point.47.509298_-122.188044_1916 Camas Ave NE&amp;cp=47.509298~-122.188044","Map")</f>
        <v>Map</v>
      </c>
      <c r="N1014" s="2" t="str">
        <f>HYPERLINK("http://i-0.rfimg.us/photo/1/bigphoto/433/28008433_2.jpg","Photo")</f>
        <v>Photo</v>
      </c>
      <c r="AG1014">
        <v>47.509298000000001</v>
      </c>
      <c r="AH1014">
        <v>-122.188044</v>
      </c>
      <c r="AI1014" t="s">
        <v>1077</v>
      </c>
      <c r="AJ1014">
        <v>98056</v>
      </c>
      <c r="AN1014">
        <v>254200</v>
      </c>
      <c r="BC1014" s="22">
        <v>39468.95275462963</v>
      </c>
      <c r="BI1014" s="22">
        <v>39549.294907407406</v>
      </c>
      <c r="BL1014">
        <v>7600</v>
      </c>
      <c r="BM1014">
        <v>1418734</v>
      </c>
      <c r="BN1014" t="s">
        <v>1725</v>
      </c>
      <c r="BO1014" s="17">
        <f t="shared" ca="1" si="15"/>
        <v>80.3566512731486</v>
      </c>
      <c r="BP1014" t="b">
        <v>0</v>
      </c>
      <c r="BQ1014">
        <v>1</v>
      </c>
      <c r="BR1014" t="s">
        <v>1667</v>
      </c>
      <c r="BS1014" t="s">
        <v>6114</v>
      </c>
      <c r="BT1014" t="b">
        <v>0</v>
      </c>
      <c r="BV1014" t="s">
        <v>1668</v>
      </c>
      <c r="BW1014">
        <v>1916</v>
      </c>
      <c r="BX1014" t="s">
        <v>1738</v>
      </c>
      <c r="BY1014">
        <v>409945</v>
      </c>
      <c r="BZ1014" t="s">
        <v>6115</v>
      </c>
      <c r="CA1014">
        <v>1</v>
      </c>
      <c r="CB1014" t="b">
        <v>1</v>
      </c>
      <c r="CC1014">
        <v>0</v>
      </c>
      <c r="CD1014" t="b">
        <v>0</v>
      </c>
      <c r="CE1014" t="b">
        <v>0</v>
      </c>
      <c r="CF1014" t="b">
        <v>1</v>
      </c>
      <c r="CG1014">
        <v>2428760</v>
      </c>
      <c r="CH1014" t="s">
        <v>1681</v>
      </c>
      <c r="CI1014" s="10">
        <v>380000</v>
      </c>
      <c r="CJ1014" s="7">
        <v>38176</v>
      </c>
    </row>
    <row r="1015" spans="1:89">
      <c r="A1015">
        <v>28008476</v>
      </c>
      <c r="B1015" s="2" t="str">
        <f>HYPERLINK("http://www.redfin.com/stingray/do/printable-listing?listing-id=1398883","Active")</f>
        <v>Active</v>
      </c>
      <c r="D1015" t="s">
        <v>60</v>
      </c>
      <c r="E1015" t="s">
        <v>2731</v>
      </c>
      <c r="F1015">
        <v>417950</v>
      </c>
      <c r="G1015">
        <v>2008</v>
      </c>
      <c r="H1015">
        <v>1800</v>
      </c>
      <c r="I1015">
        <v>1120</v>
      </c>
      <c r="J1015">
        <v>3</v>
      </c>
      <c r="K1015">
        <v>3</v>
      </c>
      <c r="M1015" s="2" t="str">
        <f>HYPERLINK("http://maps.live.com/default.aspx?v=2&amp;lvl=15&amp;sp=Point.47.696564_-122.342324_1150 N 93rd St&amp;cp=47.696564~-122.342324","Map")</f>
        <v>Map</v>
      </c>
      <c r="N1015" s="2" t="str">
        <f>HYPERLINK("http://i-0.rfimg.us/photo/1/bigphoto/476/28008476_0.jpg","Photo")</f>
        <v>Photo</v>
      </c>
      <c r="AG1015">
        <v>47.696564000000002</v>
      </c>
      <c r="AH1015">
        <v>-122.342324</v>
      </c>
      <c r="AI1015" t="s">
        <v>66</v>
      </c>
      <c r="AJ1015">
        <v>98103</v>
      </c>
      <c r="AN1015">
        <v>486000</v>
      </c>
      <c r="BC1015" s="22">
        <v>39461.498645833337</v>
      </c>
      <c r="BI1015" s="22">
        <v>39549.294907407406</v>
      </c>
      <c r="BL1015">
        <v>8359</v>
      </c>
      <c r="BM1015">
        <v>1398883</v>
      </c>
      <c r="BN1015" t="s">
        <v>1823</v>
      </c>
      <c r="BO1015" s="17">
        <f t="shared" ca="1" si="15"/>
        <v>87.81076006944204</v>
      </c>
      <c r="BP1015" t="b">
        <v>0</v>
      </c>
      <c r="BQ1015">
        <v>1</v>
      </c>
      <c r="BR1015" t="s">
        <v>1686</v>
      </c>
      <c r="BS1015" t="s">
        <v>2732</v>
      </c>
      <c r="BT1015" t="b">
        <v>0</v>
      </c>
      <c r="BU1015" t="s">
        <v>1712</v>
      </c>
      <c r="BV1015" t="s">
        <v>1668</v>
      </c>
      <c r="BW1015">
        <v>1150</v>
      </c>
      <c r="BY1015">
        <v>105213</v>
      </c>
      <c r="BZ1015" s="21">
        <v>0</v>
      </c>
      <c r="CA1015">
        <v>1</v>
      </c>
      <c r="CB1015" t="b">
        <v>1</v>
      </c>
      <c r="CC1015">
        <v>0</v>
      </c>
      <c r="CD1015" t="b">
        <v>0</v>
      </c>
      <c r="CE1015" t="b">
        <v>0</v>
      </c>
      <c r="CF1015" t="b">
        <v>1</v>
      </c>
      <c r="CG1015">
        <v>2425365</v>
      </c>
      <c r="CH1015" t="s">
        <v>1681</v>
      </c>
      <c r="CI1015" s="10">
        <v>417950</v>
      </c>
      <c r="CJ1015" s="7">
        <v>38722</v>
      </c>
    </row>
    <row r="1016" spans="1:89">
      <c r="A1016">
        <v>28008482</v>
      </c>
      <c r="B1016" s="2" t="str">
        <f>HYPERLINK("http://www.redfin.com/stingray/do/printable-listing?listing-id=1398739","Active")</f>
        <v>Active</v>
      </c>
      <c r="D1016" t="s">
        <v>4663</v>
      </c>
      <c r="E1016" t="s">
        <v>4914</v>
      </c>
      <c r="F1016" s="19">
        <v>710000</v>
      </c>
      <c r="G1016">
        <v>1972</v>
      </c>
      <c r="H1016">
        <v>2800</v>
      </c>
      <c r="I1016">
        <v>8917</v>
      </c>
      <c r="J1016">
        <v>4</v>
      </c>
      <c r="K1016">
        <v>2.5</v>
      </c>
      <c r="M1016" s="2" t="str">
        <f>HYPERLINK("http://maps.live.com/default.aspx?v=2&amp;lvl=15&amp;sp=Point.47.666977_-122.175724_12308 NE 68th Pl&amp;cp=47.666977~-122.175724","Map")</f>
        <v>Map</v>
      </c>
      <c r="N1016" s="2" t="str">
        <f>HYPERLINK("http://i-0.rfimg.us/photo/1/bigphoto/482/28008482_0.jpg","Photo")</f>
        <v>Photo</v>
      </c>
      <c r="AG1016">
        <v>47.666977000000003</v>
      </c>
      <c r="AH1016">
        <v>-122.175724</v>
      </c>
      <c r="AI1016" t="s">
        <v>1058</v>
      </c>
      <c r="AJ1016">
        <v>98033</v>
      </c>
      <c r="BC1016" s="22">
        <v>39461.46466435185</v>
      </c>
      <c r="BI1016" s="22">
        <v>39549.294907407406</v>
      </c>
      <c r="BL1016">
        <v>14518</v>
      </c>
      <c r="BM1016">
        <v>1398739</v>
      </c>
      <c r="BN1016" t="s">
        <v>4913</v>
      </c>
      <c r="BO1016" s="17">
        <f t="shared" ca="1" si="15"/>
        <v>87.844741550929029</v>
      </c>
      <c r="BP1016" t="b">
        <v>0</v>
      </c>
      <c r="BQ1016">
        <v>1</v>
      </c>
      <c r="BR1016" t="s">
        <v>1842</v>
      </c>
      <c r="BS1016" t="s">
        <v>1863</v>
      </c>
      <c r="BT1016" t="b">
        <v>0</v>
      </c>
      <c r="BU1016" t="s">
        <v>1738</v>
      </c>
      <c r="BV1016" t="s">
        <v>1668</v>
      </c>
      <c r="BW1016">
        <v>12308</v>
      </c>
      <c r="BY1016">
        <v>516176</v>
      </c>
      <c r="BZ1016" t="s">
        <v>1670</v>
      </c>
      <c r="CA1016">
        <v>1</v>
      </c>
      <c r="CB1016" t="b">
        <v>1</v>
      </c>
      <c r="CC1016">
        <v>0</v>
      </c>
      <c r="CD1016" t="b">
        <v>0</v>
      </c>
      <c r="CE1016" t="b">
        <v>0</v>
      </c>
      <c r="CF1016" t="b">
        <v>1</v>
      </c>
      <c r="CG1016">
        <v>2973435</v>
      </c>
      <c r="CH1016" t="s">
        <v>1681</v>
      </c>
      <c r="CI1016" s="10">
        <v>725900</v>
      </c>
    </row>
    <row r="1017" spans="1:89">
      <c r="A1017">
        <v>28008502</v>
      </c>
      <c r="B1017" s="2" t="str">
        <f>HYPERLINK("http://www.redfin.com/stingray/do/printable-listing?listing-id=1398779","Active")</f>
        <v>Active</v>
      </c>
      <c r="D1017" t="s">
        <v>5490</v>
      </c>
      <c r="E1017" t="s">
        <v>5759</v>
      </c>
      <c r="F1017">
        <v>1059000</v>
      </c>
      <c r="G1017">
        <v>2008</v>
      </c>
      <c r="H1017">
        <v>3260</v>
      </c>
      <c r="I1017">
        <v>10200</v>
      </c>
      <c r="J1017">
        <v>4</v>
      </c>
      <c r="K1017">
        <v>2.75</v>
      </c>
      <c r="M1017" s="2" t="str">
        <f>HYPERLINK("http://maps.live.com/default.aspx?v=2&amp;lvl=15&amp;sp=Point.47.5641_-122.0818_16129 SE 45 Pl&amp;cp=47.5641~-122.0818","Map")</f>
        <v>Map</v>
      </c>
      <c r="N1017" s="2" t="str">
        <f>HYPERLINK("http://i-0.rfimg.us/photo/1/bigphoto/502/28008502_3.jpg","Photo")</f>
        <v>Photo</v>
      </c>
      <c r="AG1017">
        <v>47.564100000000003</v>
      </c>
      <c r="AH1017">
        <v>-122.0818</v>
      </c>
      <c r="AI1017" t="s">
        <v>5280</v>
      </c>
      <c r="AJ1017">
        <v>98027</v>
      </c>
      <c r="AN1017">
        <v>2520000</v>
      </c>
      <c r="BC1017" s="22">
        <v>39461.48678240741</v>
      </c>
      <c r="BI1017" s="22">
        <v>39549.294907407406</v>
      </c>
      <c r="BL1017">
        <v>21180</v>
      </c>
      <c r="BM1017">
        <v>1398779</v>
      </c>
      <c r="BN1017" t="s">
        <v>1768</v>
      </c>
      <c r="BO1017" s="17">
        <f t="shared" ca="1" si="15"/>
        <v>87.822623495369044</v>
      </c>
      <c r="BP1017" t="b">
        <v>0</v>
      </c>
      <c r="BQ1017">
        <v>1</v>
      </c>
      <c r="BR1017" t="s">
        <v>1842</v>
      </c>
      <c r="BS1017">
        <v>45</v>
      </c>
      <c r="BT1017" t="b">
        <v>0</v>
      </c>
      <c r="BU1017" t="s">
        <v>3856</v>
      </c>
      <c r="BV1017" t="s">
        <v>1668</v>
      </c>
      <c r="BW1017">
        <v>16129</v>
      </c>
      <c r="BY1017">
        <v>12333069</v>
      </c>
      <c r="BZ1017" t="s">
        <v>5760</v>
      </c>
      <c r="CA1017">
        <v>1</v>
      </c>
      <c r="CB1017" t="b">
        <v>1</v>
      </c>
      <c r="CC1017">
        <v>0</v>
      </c>
      <c r="CD1017" t="b">
        <v>0</v>
      </c>
      <c r="CE1017" t="b">
        <v>0</v>
      </c>
      <c r="CF1017" t="b">
        <v>1</v>
      </c>
      <c r="CG1017">
        <v>15511006</v>
      </c>
      <c r="CH1017" t="s">
        <v>1681</v>
      </c>
      <c r="CI1017" s="10">
        <v>1059000</v>
      </c>
      <c r="CJ1017" s="7">
        <v>39126</v>
      </c>
    </row>
    <row r="1018" spans="1:89">
      <c r="A1018">
        <v>28008518</v>
      </c>
      <c r="B1018" s="2" t="str">
        <f>HYPERLINK("http://www.redfin.com/stingray/do/printable-listing?listing-id=1398941","Active")</f>
        <v>Active</v>
      </c>
      <c r="D1018" t="s">
        <v>3061</v>
      </c>
      <c r="E1018" t="s">
        <v>4514</v>
      </c>
      <c r="F1018">
        <v>689000</v>
      </c>
      <c r="G1018">
        <v>2006</v>
      </c>
      <c r="H1018">
        <v>3080</v>
      </c>
      <c r="I1018">
        <v>0</v>
      </c>
      <c r="J1018">
        <v>5</v>
      </c>
      <c r="K1018">
        <v>2.5</v>
      </c>
      <c r="M1018" s="2" t="str">
        <f>HYPERLINK("http://maps.live.com/default.aspx?v=2&amp;lvl=15&amp;sp=Point.47.724045009217_-122.16361805667_13217 NE 137th Ct&amp;cp=47.724045009217~-122.16361805667","Map")</f>
        <v>Map</v>
      </c>
      <c r="N1018" s="2" t="str">
        <f>HYPERLINK("http://i-0.rfimg.us/photo/1/bigphoto/518/28008518_0.jpg","Photo")</f>
        <v>Photo</v>
      </c>
      <c r="AG1018">
        <v>47.724045009217001</v>
      </c>
      <c r="AH1018">
        <v>-122.16361805667</v>
      </c>
      <c r="AI1018" t="s">
        <v>1058</v>
      </c>
      <c r="AJ1018">
        <v>98034</v>
      </c>
      <c r="AN1018">
        <v>669950</v>
      </c>
      <c r="BC1018" s="22">
        <v>39461.520381944443</v>
      </c>
      <c r="BI1018" s="7">
        <v>39539</v>
      </c>
      <c r="BL1018">
        <v>13780</v>
      </c>
      <c r="BM1018">
        <v>1398941</v>
      </c>
      <c r="BN1018" t="s">
        <v>1768</v>
      </c>
      <c r="BO1018" s="17">
        <f t="shared" ca="1" si="15"/>
        <v>87.789023958335747</v>
      </c>
      <c r="BP1018" t="b">
        <v>0</v>
      </c>
      <c r="BQ1018">
        <v>1</v>
      </c>
      <c r="BR1018" t="s">
        <v>3768</v>
      </c>
      <c r="BS1018" t="s">
        <v>3855</v>
      </c>
      <c r="BT1018" t="b">
        <v>0</v>
      </c>
      <c r="BU1018" t="s">
        <v>1738</v>
      </c>
      <c r="BV1018" t="s">
        <v>1668</v>
      </c>
      <c r="BW1018">
        <v>13217</v>
      </c>
      <c r="BY1018">
        <v>2064652</v>
      </c>
      <c r="BZ1018" t="s">
        <v>1670</v>
      </c>
      <c r="CA1018">
        <v>1</v>
      </c>
      <c r="CB1018" t="b">
        <v>1</v>
      </c>
      <c r="CC1018">
        <v>0</v>
      </c>
      <c r="CD1018" t="b">
        <v>0</v>
      </c>
      <c r="CE1018" t="b">
        <v>0</v>
      </c>
      <c r="CF1018" t="b">
        <v>1</v>
      </c>
      <c r="CG1018">
        <v>2438501</v>
      </c>
      <c r="CH1018" t="s">
        <v>1681</v>
      </c>
      <c r="CI1018" s="10">
        <v>689000</v>
      </c>
      <c r="CJ1018" s="7">
        <v>38828</v>
      </c>
    </row>
    <row r="1019" spans="1:89">
      <c r="A1019">
        <v>28008545</v>
      </c>
      <c r="B1019" s="2" t="str">
        <f>HYPERLINK("http://www.redfin.com/stingray/do/printable-listing?listing-id=1398881","Active")</f>
        <v>Active</v>
      </c>
      <c r="D1019" t="s">
        <v>3249</v>
      </c>
      <c r="E1019" t="s">
        <v>3660</v>
      </c>
      <c r="F1019" s="19">
        <v>479000</v>
      </c>
      <c r="G1019">
        <v>2008</v>
      </c>
      <c r="H1019">
        <v>1566</v>
      </c>
      <c r="I1019">
        <v>0</v>
      </c>
      <c r="J1019">
        <v>3</v>
      </c>
      <c r="K1019">
        <v>2.5</v>
      </c>
      <c r="M1019" s="2" t="str">
        <f>HYPERLINK("http://maps.live.com/default.aspx?v=2&amp;lvl=15&amp;sp=Point.47.632862_-122.345587_1516 Taylor Ave N&amp;cp=47.632862~-122.345587","Map")</f>
        <v>Map</v>
      </c>
      <c r="N1019" s="2" t="str">
        <f>HYPERLINK("http://i-0.rfimg.us/photo/1/bigphoto/545/28008545_2.jpg","Photo")</f>
        <v>Photo</v>
      </c>
      <c r="AG1019">
        <v>47.632862000000003</v>
      </c>
      <c r="AH1019">
        <v>-122.34558699999999</v>
      </c>
      <c r="AI1019" t="s">
        <v>66</v>
      </c>
      <c r="AJ1019">
        <v>98109</v>
      </c>
      <c r="AN1019">
        <v>932500</v>
      </c>
      <c r="BC1019" s="22">
        <v>39461.498437499999</v>
      </c>
      <c r="BI1019" s="22">
        <v>39549.294907407406</v>
      </c>
      <c r="BL1019">
        <v>10100</v>
      </c>
      <c r="BM1019">
        <v>1398881</v>
      </c>
      <c r="BN1019" t="s">
        <v>1674</v>
      </c>
      <c r="BO1019" s="17">
        <f t="shared" ca="1" si="15"/>
        <v>87.810968402780418</v>
      </c>
      <c r="BP1019" t="b">
        <v>0</v>
      </c>
      <c r="BQ1019">
        <v>1</v>
      </c>
      <c r="BR1019" t="s">
        <v>1667</v>
      </c>
      <c r="BS1019" t="s">
        <v>3054</v>
      </c>
      <c r="BT1019" t="b">
        <v>0</v>
      </c>
      <c r="BV1019" t="s">
        <v>1668</v>
      </c>
      <c r="BW1019">
        <v>1516</v>
      </c>
      <c r="BX1019" t="s">
        <v>1712</v>
      </c>
      <c r="BY1019">
        <v>132242</v>
      </c>
      <c r="BZ1019" t="s">
        <v>6352</v>
      </c>
      <c r="CA1019">
        <v>1</v>
      </c>
      <c r="CB1019" t="b">
        <v>1</v>
      </c>
      <c r="CC1019">
        <v>0</v>
      </c>
      <c r="CD1019" t="b">
        <v>0</v>
      </c>
      <c r="CE1019" t="b">
        <v>0</v>
      </c>
      <c r="CF1019" t="b">
        <v>1</v>
      </c>
      <c r="CG1019">
        <v>2873368</v>
      </c>
      <c r="CH1019" t="s">
        <v>1681</v>
      </c>
      <c r="CI1019" s="10">
        <v>505000</v>
      </c>
      <c r="CJ1019" s="7">
        <v>38622</v>
      </c>
    </row>
    <row r="1020" spans="1:89">
      <c r="A1020">
        <v>28008556</v>
      </c>
      <c r="B1020" s="2" t="str">
        <f>HYPERLINK("http://www.redfin.com/stingray/do/printable-listing?listing-id=1416619","Active")</f>
        <v>Active</v>
      </c>
      <c r="D1020" t="s">
        <v>4004</v>
      </c>
      <c r="E1020" t="s">
        <v>4005</v>
      </c>
      <c r="F1020">
        <v>2395000</v>
      </c>
      <c r="G1020">
        <v>1991</v>
      </c>
      <c r="H1020">
        <v>4180</v>
      </c>
      <c r="I1020">
        <v>5090</v>
      </c>
      <c r="J1020">
        <v>3</v>
      </c>
      <c r="K1020">
        <v>3.5</v>
      </c>
      <c r="M1020" s="2" t="str">
        <f>HYPERLINK("http://maps.live.com/default.aspx?v=2&amp;lvl=15&amp;sp=Point.47.613467_-122.281676_1448 Madrona Dr&amp;cp=47.613467~-122.281676","Map")</f>
        <v>Map</v>
      </c>
      <c r="N1020" s="2" t="str">
        <f>HYPERLINK("http://i-0.rfimg.us/photo/1/bigphoto/556/28008556_3.jpg","Photo")</f>
        <v>Photo</v>
      </c>
      <c r="AG1020">
        <v>47.613467</v>
      </c>
      <c r="AH1020">
        <v>-122.281676</v>
      </c>
      <c r="AI1020" t="s">
        <v>66</v>
      </c>
      <c r="AJ1020">
        <v>98122</v>
      </c>
      <c r="AN1020">
        <v>1550000</v>
      </c>
      <c r="BC1020" s="22">
        <v>39467.765231481484</v>
      </c>
      <c r="BI1020" s="22">
        <v>39549.294907407406</v>
      </c>
      <c r="BL1020">
        <v>47900</v>
      </c>
      <c r="BM1020">
        <v>1416619</v>
      </c>
      <c r="BN1020" t="s">
        <v>1688</v>
      </c>
      <c r="BO1020" s="17">
        <f t="shared" ca="1" si="15"/>
        <v>81.544174421294883</v>
      </c>
      <c r="BP1020" t="b">
        <v>0</v>
      </c>
      <c r="BQ1020">
        <v>1</v>
      </c>
      <c r="BR1020" t="s">
        <v>1816</v>
      </c>
      <c r="BS1020" t="s">
        <v>3966</v>
      </c>
      <c r="BT1020" t="b">
        <v>0</v>
      </c>
      <c r="BV1020" t="s">
        <v>1668</v>
      </c>
      <c r="BW1020">
        <v>1448</v>
      </c>
      <c r="BY1020">
        <v>140448</v>
      </c>
      <c r="BZ1020" t="s">
        <v>4006</v>
      </c>
      <c r="CA1020">
        <v>1</v>
      </c>
      <c r="CB1020" t="b">
        <v>1</v>
      </c>
      <c r="CC1020">
        <v>0</v>
      </c>
      <c r="CD1020" t="b">
        <v>0</v>
      </c>
      <c r="CE1020" t="b">
        <v>0</v>
      </c>
      <c r="CF1020" t="b">
        <v>1</v>
      </c>
      <c r="CG1020">
        <v>2396170</v>
      </c>
      <c r="CH1020" t="s">
        <v>1681</v>
      </c>
      <c r="CI1020" s="10">
        <v>2395000</v>
      </c>
      <c r="CJ1020" s="7">
        <v>36669</v>
      </c>
    </row>
    <row r="1021" spans="1:89">
      <c r="A1021">
        <v>28008565</v>
      </c>
      <c r="B1021" s="2" t="str">
        <f>HYPERLINK("http://www.redfin.com/stingray/do/printable-listing?listing-id=1398942","Active")</f>
        <v>Active</v>
      </c>
      <c r="D1021" t="s">
        <v>3249</v>
      </c>
      <c r="E1021" t="s">
        <v>3296</v>
      </c>
      <c r="F1021" s="19">
        <v>519000</v>
      </c>
      <c r="G1021">
        <v>2008</v>
      </c>
      <c r="H1021">
        <v>1566</v>
      </c>
      <c r="I1021">
        <v>0</v>
      </c>
      <c r="J1021">
        <v>3</v>
      </c>
      <c r="K1021">
        <v>2.5</v>
      </c>
      <c r="M1021" s="2" t="str">
        <f>HYPERLINK("http://maps.live.com/default.aspx?v=2&amp;lvl=15&amp;sp=Point.47.632515_-122.345795_1510 Taylor Ave N&amp;cp=47.632515~-122.345795","Map")</f>
        <v>Map</v>
      </c>
      <c r="N1021" s="2" t="str">
        <f>HYPERLINK("http://i-0.rfimg.us/photo/1/bigphoto/565/28008565_1.jpg","Photo")</f>
        <v>Photo</v>
      </c>
      <c r="AG1021">
        <v>47.632514999999998</v>
      </c>
      <c r="AH1021">
        <v>-122.345795</v>
      </c>
      <c r="AI1021" t="s">
        <v>66</v>
      </c>
      <c r="AJ1021">
        <v>98109</v>
      </c>
      <c r="BC1021" s="22">
        <v>39461.520474537036</v>
      </c>
      <c r="BI1021" s="22">
        <v>39549.294907407406</v>
      </c>
      <c r="BL1021">
        <v>10580</v>
      </c>
      <c r="BM1021">
        <v>1398942</v>
      </c>
      <c r="BN1021" t="s">
        <v>1674</v>
      </c>
      <c r="BO1021" s="17">
        <f t="shared" ca="1" si="15"/>
        <v>87.788931365743338</v>
      </c>
      <c r="BP1021" t="b">
        <v>0</v>
      </c>
      <c r="BQ1021">
        <v>1</v>
      </c>
      <c r="BR1021" t="s">
        <v>1667</v>
      </c>
      <c r="BS1021" t="s">
        <v>3054</v>
      </c>
      <c r="BT1021" t="b">
        <v>0</v>
      </c>
      <c r="BV1021" t="s">
        <v>1668</v>
      </c>
      <c r="BW1021">
        <v>1510</v>
      </c>
      <c r="BX1021" t="s">
        <v>1712</v>
      </c>
      <c r="BY1021">
        <v>12333089</v>
      </c>
      <c r="BZ1021" t="s">
        <v>2646</v>
      </c>
      <c r="CA1021">
        <v>1</v>
      </c>
      <c r="CB1021" t="b">
        <v>1</v>
      </c>
      <c r="CC1021">
        <v>0</v>
      </c>
      <c r="CD1021" t="b">
        <v>0</v>
      </c>
      <c r="CE1021" t="b">
        <v>0</v>
      </c>
      <c r="CF1021" t="b">
        <v>1</v>
      </c>
      <c r="CG1021">
        <v>15537246</v>
      </c>
      <c r="CH1021" t="s">
        <v>1681</v>
      </c>
      <c r="CI1021" s="10">
        <v>529000</v>
      </c>
    </row>
    <row r="1022" spans="1:89">
      <c r="A1022">
        <v>28008583</v>
      </c>
      <c r="B1022" s="2" t="str">
        <f>HYPERLINK("http://www.redfin.com/stingray/do/printable-listing?listing-id=1398892","Active")</f>
        <v>Active</v>
      </c>
      <c r="D1022" t="s">
        <v>3249</v>
      </c>
      <c r="E1022" t="s">
        <v>3660</v>
      </c>
      <c r="F1022">
        <v>499000</v>
      </c>
      <c r="G1022">
        <v>2008</v>
      </c>
      <c r="H1022">
        <v>0</v>
      </c>
      <c r="I1022">
        <v>0</v>
      </c>
      <c r="J1022">
        <v>3</v>
      </c>
      <c r="K1022">
        <v>2.5</v>
      </c>
      <c r="M1022" s="2" t="str">
        <f>HYPERLINK("http://maps.live.com/default.aspx?v=2&amp;lvl=15&amp;sp=Point.47.632862_-122.345587_1516 Taylor Ave N&amp;cp=47.632862~-122.345587","Map")</f>
        <v>Map</v>
      </c>
      <c r="N1022" s="2" t="str">
        <f>HYPERLINK("http://i-0.rfimg.us/photo/1/bigphoto/583/28008583_1.jpg","Photo")</f>
        <v>Photo</v>
      </c>
      <c r="AG1022">
        <v>47.632862000000003</v>
      </c>
      <c r="AH1022">
        <v>-122.34558699999999</v>
      </c>
      <c r="AI1022" t="s">
        <v>66</v>
      </c>
      <c r="AJ1022">
        <v>98109</v>
      </c>
      <c r="AN1022">
        <v>932500</v>
      </c>
      <c r="BC1022" s="22">
        <v>39461.507951388892</v>
      </c>
      <c r="BI1022" s="22">
        <v>39549.294907407406</v>
      </c>
      <c r="BL1022">
        <v>9980</v>
      </c>
      <c r="BM1022">
        <v>1398892</v>
      </c>
      <c r="BN1022" t="s">
        <v>1674</v>
      </c>
      <c r="BO1022" s="17">
        <f t="shared" ca="1" si="15"/>
        <v>87.801454513886711</v>
      </c>
      <c r="BP1022" t="b">
        <v>0</v>
      </c>
      <c r="BQ1022">
        <v>1</v>
      </c>
      <c r="BR1022" t="s">
        <v>1667</v>
      </c>
      <c r="BS1022" t="s">
        <v>3054</v>
      </c>
      <c r="BT1022" t="b">
        <v>0</v>
      </c>
      <c r="BV1022" t="s">
        <v>1668</v>
      </c>
      <c r="BW1022">
        <v>1516</v>
      </c>
      <c r="BX1022" t="s">
        <v>1712</v>
      </c>
      <c r="BY1022">
        <v>132242</v>
      </c>
      <c r="BZ1022" t="s">
        <v>2646</v>
      </c>
      <c r="CA1022">
        <v>1</v>
      </c>
      <c r="CB1022" t="b">
        <v>1</v>
      </c>
      <c r="CC1022">
        <v>0</v>
      </c>
      <c r="CD1022" t="b">
        <v>0</v>
      </c>
      <c r="CE1022" t="b">
        <v>0</v>
      </c>
      <c r="CF1022" t="b">
        <v>1</v>
      </c>
      <c r="CG1022">
        <v>2873368</v>
      </c>
      <c r="CH1022" t="s">
        <v>1681</v>
      </c>
      <c r="CI1022" s="10">
        <v>499000</v>
      </c>
      <c r="CJ1022" s="7">
        <v>38622</v>
      </c>
    </row>
    <row r="1023" spans="1:89">
      <c r="A1023">
        <v>28008620</v>
      </c>
      <c r="B1023" s="2" t="str">
        <f>HYPERLINK("http://www.redfin.com/stingray/do/printable-listing?listing-id=1405318","Active")</f>
        <v>Active</v>
      </c>
      <c r="D1023" t="s">
        <v>101</v>
      </c>
      <c r="E1023" t="s">
        <v>1306</v>
      </c>
      <c r="F1023">
        <v>1795000</v>
      </c>
      <c r="G1023">
        <v>1970</v>
      </c>
      <c r="H1023">
        <v>3830</v>
      </c>
      <c r="I1023">
        <v>16048</v>
      </c>
      <c r="J1023">
        <v>4</v>
      </c>
      <c r="K1023">
        <v>3.5</v>
      </c>
      <c r="M1023" s="2" t="str">
        <f>HYPERLINK("http://maps.live.com/default.aspx?v=2&amp;lvl=15&amp;sp=Point.47.695791_-122.40205_9111 View Ave NW&amp;cp=47.695791~-122.40205","Map")</f>
        <v>Map</v>
      </c>
      <c r="N1023" s="2" t="str">
        <f>HYPERLINK("http://i-0.rfimg.us/photo/1/bigphoto/620/28008620_0.jpg","Photo")</f>
        <v>Photo</v>
      </c>
      <c r="AG1023">
        <v>47.695791</v>
      </c>
      <c r="AH1023">
        <v>-122.40205</v>
      </c>
      <c r="AI1023" t="s">
        <v>66</v>
      </c>
      <c r="AJ1023">
        <v>98117</v>
      </c>
      <c r="BC1023" s="22">
        <v>39463.649398148147</v>
      </c>
      <c r="BI1023" s="22">
        <v>39549.294907407406</v>
      </c>
      <c r="BL1023">
        <v>35900</v>
      </c>
      <c r="BM1023">
        <v>1405318</v>
      </c>
      <c r="BN1023" t="s">
        <v>1749</v>
      </c>
      <c r="BO1023" s="17">
        <f t="shared" ca="1" si="15"/>
        <v>85.660007870370464</v>
      </c>
      <c r="BP1023" t="b">
        <v>0</v>
      </c>
      <c r="BQ1023">
        <v>1</v>
      </c>
      <c r="BR1023" t="s">
        <v>1667</v>
      </c>
      <c r="BS1023" t="s">
        <v>32</v>
      </c>
      <c r="BT1023" t="b">
        <v>0</v>
      </c>
      <c r="BV1023" t="s">
        <v>1668</v>
      </c>
      <c r="BW1023">
        <v>9111</v>
      </c>
      <c r="BX1023" t="s">
        <v>1669</v>
      </c>
      <c r="BY1023">
        <v>289315</v>
      </c>
      <c r="BZ1023" t="s">
        <v>1713</v>
      </c>
      <c r="CA1023">
        <v>1</v>
      </c>
      <c r="CB1023" t="b">
        <v>1</v>
      </c>
      <c r="CC1023">
        <v>0</v>
      </c>
      <c r="CD1023" t="b">
        <v>0</v>
      </c>
      <c r="CE1023" t="b">
        <v>0</v>
      </c>
      <c r="CF1023" t="b">
        <v>1</v>
      </c>
      <c r="CG1023">
        <v>2649638</v>
      </c>
      <c r="CH1023" t="s">
        <v>1681</v>
      </c>
      <c r="CI1023" s="10">
        <v>1795000</v>
      </c>
      <c r="CK1023" t="s">
        <v>2061</v>
      </c>
    </row>
    <row r="1024" spans="1:89">
      <c r="A1024">
        <v>28008627</v>
      </c>
      <c r="B1024" s="2" t="str">
        <f>HYPERLINK("http://www.redfin.com/stingray/do/printable-listing?listing-id=1399016","Active")</f>
        <v>Active</v>
      </c>
      <c r="D1024" t="s">
        <v>2850</v>
      </c>
      <c r="E1024" t="s">
        <v>4445</v>
      </c>
      <c r="F1024" s="19">
        <v>795000</v>
      </c>
      <c r="G1024">
        <v>1977</v>
      </c>
      <c r="H1024">
        <v>2720</v>
      </c>
      <c r="I1024">
        <v>9720</v>
      </c>
      <c r="J1024">
        <v>4</v>
      </c>
      <c r="K1024">
        <v>2.75</v>
      </c>
      <c r="M1024" s="2" t="str">
        <f>HYPERLINK("http://maps.live.com/default.aspx?v=2&amp;lvl=15&amp;sp=Point.47.703433_-122.232997_8131 NE 115th Way&amp;cp=47.703433~-122.232997","Map")</f>
        <v>Map</v>
      </c>
      <c r="N1024" s="2" t="str">
        <f>HYPERLINK("http://i-0.rfimg.us/photo/1/bigphoto/627/28008627_2.jpg","Photo")</f>
        <v>Photo</v>
      </c>
      <c r="AG1024">
        <v>47.703432999999997</v>
      </c>
      <c r="AH1024">
        <v>-122.232997</v>
      </c>
      <c r="AI1024" t="s">
        <v>1058</v>
      </c>
      <c r="AJ1024">
        <v>98034</v>
      </c>
      <c r="AN1024">
        <v>249500</v>
      </c>
      <c r="BC1024" s="22">
        <v>39461.540844907409</v>
      </c>
      <c r="BI1024" s="22">
        <v>39549.294907407406</v>
      </c>
      <c r="BL1024">
        <v>16980</v>
      </c>
      <c r="BM1024">
        <v>1399016</v>
      </c>
      <c r="BN1024" t="s">
        <v>1735</v>
      </c>
      <c r="BO1024" s="17">
        <f t="shared" ca="1" si="15"/>
        <v>87.768560995369626</v>
      </c>
      <c r="BP1024" t="b">
        <v>0</v>
      </c>
      <c r="BQ1024">
        <v>1</v>
      </c>
      <c r="BR1024" t="s">
        <v>2463</v>
      </c>
      <c r="BS1024" t="s">
        <v>4439</v>
      </c>
      <c r="BT1024" t="b">
        <v>0</v>
      </c>
      <c r="BU1024" t="s">
        <v>1738</v>
      </c>
      <c r="BV1024" t="s">
        <v>1668</v>
      </c>
      <c r="BW1024">
        <v>8131</v>
      </c>
      <c r="BY1024">
        <v>280969</v>
      </c>
      <c r="BZ1024" t="s">
        <v>4446</v>
      </c>
      <c r="CA1024">
        <v>1</v>
      </c>
      <c r="CB1024" t="b">
        <v>1</v>
      </c>
      <c r="CC1024">
        <v>0</v>
      </c>
      <c r="CD1024" t="b">
        <v>0</v>
      </c>
      <c r="CE1024" t="b">
        <v>0</v>
      </c>
      <c r="CF1024" t="b">
        <v>1</v>
      </c>
      <c r="CG1024">
        <v>2409837</v>
      </c>
      <c r="CH1024" t="s">
        <v>1681</v>
      </c>
      <c r="CI1024" s="10">
        <v>849000</v>
      </c>
      <c r="CJ1024" s="7">
        <v>33928</v>
      </c>
    </row>
    <row r="1025" spans="1:88">
      <c r="A1025">
        <v>28008631</v>
      </c>
      <c r="B1025" s="2" t="str">
        <f>HYPERLINK("http://www.redfin.com/stingray/do/printable-listing?listing-id=1399017","Active")</f>
        <v>Active</v>
      </c>
      <c r="D1025" t="s">
        <v>3959</v>
      </c>
      <c r="E1025" t="s">
        <v>4158</v>
      </c>
      <c r="F1025">
        <v>449000</v>
      </c>
      <c r="G1025">
        <v>1991</v>
      </c>
      <c r="H1025">
        <v>1510</v>
      </c>
      <c r="I1025">
        <v>2242</v>
      </c>
      <c r="J1025">
        <v>3</v>
      </c>
      <c r="K1025">
        <v>2.5</v>
      </c>
      <c r="M1025" s="2" t="str">
        <f>HYPERLINK("http://maps.live.com/default.aspx?v=2&amp;lvl=15&amp;sp=Point.47.611339_-122.305283_943 21st Ave&amp;cp=47.611339~-122.305283","Map")</f>
        <v>Map</v>
      </c>
      <c r="N1025" s="2" t="str">
        <f>HYPERLINK("http://i-0.rfimg.us/photo/1/bigphoto/631/28008631_0.jpg","Photo")</f>
        <v>Photo</v>
      </c>
      <c r="AG1025">
        <v>47.611339000000001</v>
      </c>
      <c r="AH1025">
        <v>-122.305283</v>
      </c>
      <c r="AI1025" t="s">
        <v>66</v>
      </c>
      <c r="AJ1025">
        <v>98122</v>
      </c>
      <c r="BC1025" s="22">
        <v>39461.540902777779</v>
      </c>
      <c r="BI1025" s="22">
        <v>39549.294907407406</v>
      </c>
      <c r="BL1025">
        <v>8980</v>
      </c>
      <c r="BM1025">
        <v>1399017</v>
      </c>
      <c r="BN1025" t="s">
        <v>1710</v>
      </c>
      <c r="BO1025" s="17">
        <f t="shared" ca="1" si="15"/>
        <v>87.768503125000279</v>
      </c>
      <c r="BP1025" t="b">
        <v>0</v>
      </c>
      <c r="BQ1025">
        <v>1</v>
      </c>
      <c r="BR1025" t="s">
        <v>1667</v>
      </c>
      <c r="BS1025" t="s">
        <v>1903</v>
      </c>
      <c r="BT1025" t="b">
        <v>0</v>
      </c>
      <c r="BV1025" t="s">
        <v>1668</v>
      </c>
      <c r="BW1025">
        <v>943</v>
      </c>
      <c r="BY1025">
        <v>145236</v>
      </c>
      <c r="BZ1025" t="s">
        <v>1713</v>
      </c>
      <c r="CA1025">
        <v>1</v>
      </c>
      <c r="CB1025" t="b">
        <v>1</v>
      </c>
      <c r="CC1025">
        <v>0</v>
      </c>
      <c r="CD1025" t="b">
        <v>0</v>
      </c>
      <c r="CE1025" t="b">
        <v>0</v>
      </c>
      <c r="CF1025" t="b">
        <v>1</v>
      </c>
      <c r="CG1025">
        <v>2788596</v>
      </c>
      <c r="CH1025" t="s">
        <v>1681</v>
      </c>
      <c r="CI1025" s="10">
        <v>449000</v>
      </c>
    </row>
    <row r="1026" spans="1:88">
      <c r="A1026">
        <v>28008656</v>
      </c>
      <c r="B1026" s="2" t="str">
        <f>HYPERLINK("http://www.redfin.com/stingray/do/printable-listing?listing-id=1399119","Active")</f>
        <v>Active</v>
      </c>
      <c r="D1026" t="s">
        <v>4663</v>
      </c>
      <c r="E1026" t="s">
        <v>6641</v>
      </c>
      <c r="F1026">
        <v>1249000</v>
      </c>
      <c r="G1026">
        <v>1985</v>
      </c>
      <c r="H1026">
        <v>4331</v>
      </c>
      <c r="I1026">
        <v>35000</v>
      </c>
      <c r="J1026">
        <v>4</v>
      </c>
      <c r="K1026">
        <v>4.5</v>
      </c>
      <c r="M1026" s="2" t="str">
        <f>HYPERLINK("http://maps.live.com/default.aspx?v=2&amp;lvl=15&amp;sp=Point.47.647547_-122.185077_4107 117th Ave NE&amp;cp=47.647547~-122.185077","Map")</f>
        <v>Map</v>
      </c>
      <c r="N1026" s="2" t="str">
        <f>HYPERLINK("http://i-0.rfimg.us/photo/1/bigphoto/656/28008656_0.jpg","Photo")</f>
        <v>Photo</v>
      </c>
      <c r="AG1026">
        <v>47.647547000000003</v>
      </c>
      <c r="AH1026">
        <v>-122.18507700000001</v>
      </c>
      <c r="AI1026" t="s">
        <v>1058</v>
      </c>
      <c r="AJ1026">
        <v>98033</v>
      </c>
      <c r="AN1026">
        <v>914000</v>
      </c>
      <c r="BC1026" s="22">
        <v>39461.568923611114</v>
      </c>
      <c r="BI1026" s="22">
        <v>39549.294907407406</v>
      </c>
      <c r="BL1026">
        <v>24980</v>
      </c>
      <c r="BM1026">
        <v>1399119</v>
      </c>
      <c r="BN1026" t="s">
        <v>1725</v>
      </c>
      <c r="BO1026" s="17">
        <f t="shared" ref="BO1026:BO1089" ca="1" si="16">NOW()-BC1026</f>
        <v>87.740482291665103</v>
      </c>
      <c r="BP1026" t="b">
        <v>0</v>
      </c>
      <c r="BQ1026">
        <v>1</v>
      </c>
      <c r="BR1026" t="s">
        <v>1667</v>
      </c>
      <c r="BS1026" t="s">
        <v>2743</v>
      </c>
      <c r="BT1026" t="b">
        <v>0</v>
      </c>
      <c r="BV1026" t="s">
        <v>1668</v>
      </c>
      <c r="BW1026">
        <v>4107</v>
      </c>
      <c r="BX1026" t="s">
        <v>1738</v>
      </c>
      <c r="BY1026">
        <v>430473</v>
      </c>
      <c r="BZ1026" t="s">
        <v>1672</v>
      </c>
      <c r="CA1026">
        <v>1</v>
      </c>
      <c r="CB1026" t="b">
        <v>1</v>
      </c>
      <c r="CC1026">
        <v>0</v>
      </c>
      <c r="CD1026" t="b">
        <v>0</v>
      </c>
      <c r="CE1026" t="b">
        <v>0</v>
      </c>
      <c r="CF1026" t="b">
        <v>1</v>
      </c>
      <c r="CG1026">
        <v>2448655</v>
      </c>
      <c r="CH1026" t="s">
        <v>1681</v>
      </c>
      <c r="CI1026" s="10">
        <v>1249000</v>
      </c>
      <c r="CJ1026" s="7">
        <v>38985</v>
      </c>
    </row>
    <row r="1027" spans="1:88">
      <c r="A1027">
        <v>28008662</v>
      </c>
      <c r="B1027" s="2" t="str">
        <f>HYPERLINK("http://www.redfin.com/stingray/do/printable-listing?listing-id=1399149","Active")</f>
        <v>Active</v>
      </c>
      <c r="D1027" t="s">
        <v>109</v>
      </c>
      <c r="E1027" t="s">
        <v>3697</v>
      </c>
      <c r="F1027" s="19">
        <v>769000</v>
      </c>
      <c r="G1027">
        <v>1924</v>
      </c>
      <c r="H1027">
        <v>0</v>
      </c>
      <c r="I1027">
        <v>4000</v>
      </c>
      <c r="J1027">
        <v>4</v>
      </c>
      <c r="K1027">
        <v>3</v>
      </c>
      <c r="M1027" s="2" t="str">
        <f>HYPERLINK("http://maps.live.com/default.aspx?v=2&amp;lvl=15&amp;sp=Point.47.656121_-122.32423_4018 4th Ave NE&amp;cp=47.656121~-122.32423","Map")</f>
        <v>Map</v>
      </c>
      <c r="N1027" s="2" t="str">
        <f>HYPERLINK("http://i-0.rfimg.us/photo/1/bigphoto/662/28008662_1.jpg","Photo")</f>
        <v>Photo</v>
      </c>
      <c r="AG1027">
        <v>47.656120999999999</v>
      </c>
      <c r="AH1027">
        <v>-122.32423</v>
      </c>
      <c r="AI1027" t="s">
        <v>66</v>
      </c>
      <c r="AJ1027">
        <v>98105</v>
      </c>
      <c r="AN1027">
        <v>464500</v>
      </c>
      <c r="BC1027" s="22">
        <v>39461.592129629629</v>
      </c>
      <c r="BI1027" s="22">
        <v>39549.294907407406</v>
      </c>
      <c r="BL1027">
        <v>15980</v>
      </c>
      <c r="BM1027">
        <v>1399149</v>
      </c>
      <c r="BN1027" t="s">
        <v>3253</v>
      </c>
      <c r="BO1027" s="17">
        <f t="shared" ca="1" si="16"/>
        <v>87.717276273149764</v>
      </c>
      <c r="BP1027" t="b">
        <v>0</v>
      </c>
      <c r="BQ1027">
        <v>1</v>
      </c>
      <c r="BR1027" t="s">
        <v>1667</v>
      </c>
      <c r="BS1027" t="s">
        <v>1724</v>
      </c>
      <c r="BT1027" t="b">
        <v>0</v>
      </c>
      <c r="BV1027" t="s">
        <v>1668</v>
      </c>
      <c r="BW1027">
        <v>4018</v>
      </c>
      <c r="BX1027" t="s">
        <v>1738</v>
      </c>
      <c r="BY1027">
        <v>117322</v>
      </c>
      <c r="BZ1027" t="s">
        <v>1836</v>
      </c>
      <c r="CA1027">
        <v>1</v>
      </c>
      <c r="CB1027" t="b">
        <v>1</v>
      </c>
      <c r="CC1027">
        <v>0</v>
      </c>
      <c r="CD1027" t="b">
        <v>0</v>
      </c>
      <c r="CE1027" t="b">
        <v>0</v>
      </c>
      <c r="CF1027" t="b">
        <v>1</v>
      </c>
      <c r="CG1027">
        <v>2543319</v>
      </c>
      <c r="CH1027" t="s">
        <v>1681</v>
      </c>
      <c r="CI1027" s="10">
        <v>799000</v>
      </c>
      <c r="CJ1027" s="7">
        <v>39106</v>
      </c>
    </row>
    <row r="1028" spans="1:88">
      <c r="A1028">
        <v>28008688</v>
      </c>
      <c r="B1028" s="2" t="str">
        <f>HYPERLINK("http://www.redfin.com/stingray/do/printable-listing?listing-id=1399242","Active")</f>
        <v>Active</v>
      </c>
      <c r="D1028" t="s">
        <v>3249</v>
      </c>
      <c r="E1028" t="s">
        <v>3297</v>
      </c>
      <c r="F1028" s="19">
        <v>489000</v>
      </c>
      <c r="G1028">
        <v>2008</v>
      </c>
      <c r="H1028">
        <v>1697</v>
      </c>
      <c r="I1028">
        <v>0</v>
      </c>
      <c r="J1028">
        <v>3</v>
      </c>
      <c r="K1028">
        <v>2.5</v>
      </c>
      <c r="M1028" s="2" t="str">
        <f>HYPERLINK("http://maps.live.com/default.aspx?v=2&amp;lvl=15&amp;sp=Point.47.632515_-122.345795_1510 Taylor N&amp;cp=47.632515~-122.345795","Map")</f>
        <v>Map</v>
      </c>
      <c r="N1028" s="2" t="str">
        <f>HYPERLINK("http://i-0.rfimg.us/photo/1/bigphoto/688/28008688_1.jpg","Photo")</f>
        <v>Photo</v>
      </c>
      <c r="AG1028">
        <v>47.632514999999998</v>
      </c>
      <c r="AH1028">
        <v>-122.345795</v>
      </c>
      <c r="AI1028" t="s">
        <v>66</v>
      </c>
      <c r="AJ1028">
        <v>98109</v>
      </c>
      <c r="BC1028" s="22">
        <v>39461.615219907406</v>
      </c>
      <c r="BI1028" s="22">
        <v>39549.294907407406</v>
      </c>
      <c r="BL1028">
        <v>10100</v>
      </c>
      <c r="BM1028">
        <v>1399242</v>
      </c>
      <c r="BN1028" t="s">
        <v>1674</v>
      </c>
      <c r="BO1028" s="17">
        <f t="shared" ca="1" si="16"/>
        <v>87.694185995373118</v>
      </c>
      <c r="BP1028" t="b">
        <v>0</v>
      </c>
      <c r="BQ1028">
        <v>1</v>
      </c>
      <c r="BR1028" t="s">
        <v>1667</v>
      </c>
      <c r="BS1028" t="s">
        <v>3054</v>
      </c>
      <c r="BT1028" t="b">
        <v>0</v>
      </c>
      <c r="BV1028" t="s">
        <v>1668</v>
      </c>
      <c r="BW1028">
        <v>1510</v>
      </c>
      <c r="BX1028" t="s">
        <v>1712</v>
      </c>
      <c r="BY1028">
        <v>12333089</v>
      </c>
      <c r="BZ1028" t="s">
        <v>2646</v>
      </c>
      <c r="CA1028">
        <v>1</v>
      </c>
      <c r="CB1028" t="b">
        <v>1</v>
      </c>
      <c r="CC1028">
        <v>0</v>
      </c>
      <c r="CD1028" t="b">
        <v>0</v>
      </c>
      <c r="CE1028" t="b">
        <v>0</v>
      </c>
      <c r="CF1028" t="b">
        <v>1</v>
      </c>
      <c r="CG1028">
        <v>15537246</v>
      </c>
      <c r="CH1028" t="s">
        <v>1681</v>
      </c>
      <c r="CI1028" s="10">
        <v>505000</v>
      </c>
    </row>
    <row r="1029" spans="1:88">
      <c r="A1029">
        <v>28008698</v>
      </c>
      <c r="B1029" s="2" t="str">
        <f>HYPERLINK("http://www.redfin.com/stingray/do/printable-listing?listing-id=1399144","Subject To Inspection")</f>
        <v>Subject To Inspection</v>
      </c>
      <c r="D1029" t="s">
        <v>100</v>
      </c>
      <c r="E1029" t="s">
        <v>845</v>
      </c>
      <c r="F1029">
        <v>479950</v>
      </c>
      <c r="G1029">
        <v>2007</v>
      </c>
      <c r="H1029">
        <v>0</v>
      </c>
      <c r="I1029">
        <v>0</v>
      </c>
      <c r="J1029">
        <v>3</v>
      </c>
      <c r="K1029">
        <v>2.5</v>
      </c>
      <c r="M1029" s="2" t="str">
        <f>HYPERLINK("http://maps.live.com/default.aspx?v=2&amp;lvl=15&amp;sp=Point.47.65328_-122.355803_3645 Greenwood Ave N&amp;cp=47.65328~-122.355803","Map")</f>
        <v>Map</v>
      </c>
      <c r="N1029" s="2" t="str">
        <f>HYPERLINK("http://i-0.rfimg.us/photo/1/bigphoto/698/28008698_4.jpg","Photo")</f>
        <v>Photo</v>
      </c>
      <c r="AG1029">
        <v>47.653280000000002</v>
      </c>
      <c r="AH1029">
        <v>-122.35580299999999</v>
      </c>
      <c r="AI1029" t="s">
        <v>66</v>
      </c>
      <c r="AJ1029">
        <v>98103</v>
      </c>
      <c r="BC1029" s="22">
        <v>39461.589490740742</v>
      </c>
      <c r="BI1029" s="7">
        <v>39538</v>
      </c>
      <c r="BL1029">
        <v>9599</v>
      </c>
      <c r="BM1029">
        <v>1399144</v>
      </c>
      <c r="BN1029" t="s">
        <v>1693</v>
      </c>
      <c r="BO1029" s="17">
        <f t="shared" ca="1" si="16"/>
        <v>87.719915162037069</v>
      </c>
      <c r="BP1029" t="b">
        <v>0</v>
      </c>
      <c r="BQ1029">
        <v>2</v>
      </c>
      <c r="BR1029" t="s">
        <v>1667</v>
      </c>
      <c r="BS1029" t="s">
        <v>55</v>
      </c>
      <c r="BT1029" t="b">
        <v>0</v>
      </c>
      <c r="BV1029" t="s">
        <v>1668</v>
      </c>
      <c r="BW1029">
        <v>3645</v>
      </c>
      <c r="BX1029" t="s">
        <v>1712</v>
      </c>
      <c r="BY1029">
        <v>12333113</v>
      </c>
      <c r="BZ1029" t="s">
        <v>3333</v>
      </c>
      <c r="CA1029">
        <v>1</v>
      </c>
      <c r="CB1029" t="b">
        <v>1</v>
      </c>
      <c r="CC1029">
        <v>0</v>
      </c>
      <c r="CD1029" t="b">
        <v>0</v>
      </c>
      <c r="CE1029" t="b">
        <v>0</v>
      </c>
      <c r="CF1029" t="b">
        <v>1</v>
      </c>
      <c r="CG1029">
        <v>15537270</v>
      </c>
      <c r="CH1029" t="s">
        <v>1681</v>
      </c>
      <c r="CI1029" s="10">
        <v>479950</v>
      </c>
    </row>
    <row r="1030" spans="1:88">
      <c r="A1030">
        <v>28008808</v>
      </c>
      <c r="B1030" s="2" t="str">
        <f>HYPERLINK("http://www.redfin.com/stingray/do/printable-listing?listing-id=1412018","Active")</f>
        <v>Active</v>
      </c>
      <c r="D1030" t="s">
        <v>60</v>
      </c>
      <c r="E1030" t="s">
        <v>2615</v>
      </c>
      <c r="F1030" s="19">
        <v>365000</v>
      </c>
      <c r="G1030">
        <v>2004</v>
      </c>
      <c r="H1030">
        <v>1520</v>
      </c>
      <c r="I1030">
        <v>0</v>
      </c>
      <c r="J1030">
        <v>3</v>
      </c>
      <c r="K1030">
        <v>2.5</v>
      </c>
      <c r="M1030" s="2" t="str">
        <f>HYPERLINK("http://maps.live.com/default.aspx?v=2&amp;lvl=15&amp;sp=Point.47.691807_-122.340403_8509 Interlake Ave N nA&amp;cp=47.691807~-122.340403","Map")</f>
        <v>Map</v>
      </c>
      <c r="N1030" s="2" t="str">
        <f>HYPERLINK("http://i-0.rfimg.us/photo/1/bigphoto/808/28008808_0.jpg","Photo")</f>
        <v>Photo</v>
      </c>
      <c r="AG1030">
        <v>47.691806999999997</v>
      </c>
      <c r="AH1030">
        <v>-122.34040299999999</v>
      </c>
      <c r="AI1030" t="s">
        <v>66</v>
      </c>
      <c r="AJ1030">
        <v>98133</v>
      </c>
      <c r="AM1030" t="s">
        <v>1722</v>
      </c>
      <c r="BC1030" s="22">
        <v>39465.538831018515</v>
      </c>
      <c r="BI1030" s="22">
        <v>39549.294907407406</v>
      </c>
      <c r="BL1030">
        <v>7580</v>
      </c>
      <c r="BM1030">
        <v>1412018</v>
      </c>
      <c r="BN1030" t="s">
        <v>1710</v>
      </c>
      <c r="BO1030" s="17">
        <f t="shared" ca="1" si="16"/>
        <v>83.770575000002282</v>
      </c>
      <c r="BP1030" t="b">
        <v>0</v>
      </c>
      <c r="BQ1030">
        <v>1</v>
      </c>
      <c r="BR1030" t="s">
        <v>1667</v>
      </c>
      <c r="BS1030" t="s">
        <v>2378</v>
      </c>
      <c r="BT1030" t="b">
        <v>0</v>
      </c>
      <c r="BV1030" t="s">
        <v>1668</v>
      </c>
      <c r="BW1030">
        <v>8509</v>
      </c>
      <c r="BX1030" t="s">
        <v>1712</v>
      </c>
      <c r="BY1030">
        <v>12385081</v>
      </c>
      <c r="BZ1030" t="s">
        <v>1672</v>
      </c>
      <c r="CA1030">
        <v>1</v>
      </c>
      <c r="CB1030" t="b">
        <v>1</v>
      </c>
      <c r="CC1030">
        <v>0</v>
      </c>
      <c r="CD1030" t="b">
        <v>0</v>
      </c>
      <c r="CE1030" t="b">
        <v>0</v>
      </c>
      <c r="CF1030" t="b">
        <v>1</v>
      </c>
      <c r="CG1030">
        <v>15588829</v>
      </c>
      <c r="CH1030" t="s">
        <v>1681</v>
      </c>
      <c r="CI1030" s="10">
        <v>379000</v>
      </c>
    </row>
    <row r="1031" spans="1:88">
      <c r="A1031">
        <v>28008821</v>
      </c>
      <c r="B1031" s="2" t="str">
        <f>HYPERLINK("http://www.redfin.com/stingray/do/printable-listing?listing-id=1399488","Active")</f>
        <v>Active</v>
      </c>
      <c r="D1031" t="s">
        <v>88</v>
      </c>
      <c r="E1031" t="s">
        <v>2506</v>
      </c>
      <c r="F1031">
        <v>589000</v>
      </c>
      <c r="G1031">
        <v>2008</v>
      </c>
      <c r="H1031">
        <v>1820</v>
      </c>
      <c r="I1031">
        <v>0</v>
      </c>
      <c r="J1031">
        <v>3</v>
      </c>
      <c r="K1031">
        <v>3.5</v>
      </c>
      <c r="M1031" s="2" t="str">
        <f>HYPERLINK("http://maps.live.com/default.aspx?v=2&amp;lvl=15&amp;sp=Point.47.668264_-122.360182_5415 Baker Ave NW nA&amp;cp=47.668264~-122.360182","Map")</f>
        <v>Map</v>
      </c>
      <c r="N1031" s="2" t="str">
        <f>HYPERLINK("http://i-0.rfimg.us/photo/1/bigphoto/821/28008821_0.jpg","Photo")</f>
        <v>Photo</v>
      </c>
      <c r="AG1031">
        <v>47.668264000000001</v>
      </c>
      <c r="AH1031">
        <v>-122.36018199999999</v>
      </c>
      <c r="AI1031" t="s">
        <v>66</v>
      </c>
      <c r="AJ1031">
        <v>98107</v>
      </c>
      <c r="AM1031" t="s">
        <v>1722</v>
      </c>
      <c r="BC1031" s="22">
        <v>39461.658900462964</v>
      </c>
      <c r="BI1031" s="22">
        <v>39549.294907407406</v>
      </c>
      <c r="BL1031">
        <v>11780</v>
      </c>
      <c r="BM1031">
        <v>1399488</v>
      </c>
      <c r="BN1031" t="s">
        <v>1674</v>
      </c>
      <c r="BO1031" s="17">
        <f t="shared" ca="1" si="16"/>
        <v>87.650505555553536</v>
      </c>
      <c r="BP1031" t="b">
        <v>0</v>
      </c>
      <c r="BQ1031">
        <v>1</v>
      </c>
      <c r="BR1031" t="s">
        <v>1667</v>
      </c>
      <c r="BS1031" t="s">
        <v>2484</v>
      </c>
      <c r="BT1031" t="b">
        <v>0</v>
      </c>
      <c r="BV1031" t="s">
        <v>1668</v>
      </c>
      <c r="BW1031">
        <v>5415</v>
      </c>
      <c r="BX1031" t="s">
        <v>1669</v>
      </c>
      <c r="BY1031">
        <v>12333149</v>
      </c>
      <c r="BZ1031" s="21">
        <v>0</v>
      </c>
      <c r="CA1031">
        <v>1</v>
      </c>
      <c r="CB1031" t="b">
        <v>1</v>
      </c>
      <c r="CC1031">
        <v>0</v>
      </c>
      <c r="CD1031" t="b">
        <v>0</v>
      </c>
      <c r="CE1031" t="b">
        <v>0</v>
      </c>
      <c r="CF1031" t="b">
        <v>1</v>
      </c>
      <c r="CG1031">
        <v>15537333</v>
      </c>
      <c r="CH1031" t="s">
        <v>1681</v>
      </c>
      <c r="CI1031" s="10">
        <v>589000</v>
      </c>
    </row>
    <row r="1032" spans="1:88">
      <c r="A1032">
        <v>28008839</v>
      </c>
      <c r="B1032" s="2" t="str">
        <f>HYPERLINK("http://www.redfin.com/stingray/do/printable-listing?listing-id=1399487","Active")</f>
        <v>Active</v>
      </c>
      <c r="D1032" t="s">
        <v>88</v>
      </c>
      <c r="E1032" t="s">
        <v>2570</v>
      </c>
      <c r="F1032" s="19">
        <v>599000</v>
      </c>
      <c r="G1032">
        <v>2008</v>
      </c>
      <c r="H1032">
        <v>1970</v>
      </c>
      <c r="I1032">
        <v>0</v>
      </c>
      <c r="J1032">
        <v>3</v>
      </c>
      <c r="K1032">
        <v>2.5</v>
      </c>
      <c r="M1032" s="2" t="str">
        <f>HYPERLINK("http://maps.live.com/default.aspx?v=2&amp;lvl=15&amp;sp=Point.47.668254_-122.360191_5413 Baker Ave NW&amp;cp=47.668254~-122.360191","Map")</f>
        <v>Map</v>
      </c>
      <c r="N1032" s="2" t="str">
        <f>HYPERLINK("http://i-0.rfimg.us/photo/1/bigphoto/839/28008839_0.jpg","Photo")</f>
        <v>Photo</v>
      </c>
      <c r="AG1032">
        <v>47.668253999999997</v>
      </c>
      <c r="AH1032">
        <v>-122.360191</v>
      </c>
      <c r="AI1032" t="s">
        <v>66</v>
      </c>
      <c r="AJ1032">
        <v>98107</v>
      </c>
      <c r="BC1032" s="22">
        <v>39461.658900462964</v>
      </c>
      <c r="BI1032" s="22">
        <v>39549.294907407406</v>
      </c>
      <c r="BL1032">
        <v>12380</v>
      </c>
      <c r="BM1032">
        <v>1399487</v>
      </c>
      <c r="BN1032" t="s">
        <v>1674</v>
      </c>
      <c r="BO1032" s="17">
        <f t="shared" ca="1" si="16"/>
        <v>87.650505555553536</v>
      </c>
      <c r="BP1032" t="b">
        <v>0</v>
      </c>
      <c r="BQ1032">
        <v>1</v>
      </c>
      <c r="BR1032" t="s">
        <v>1667</v>
      </c>
      <c r="BS1032" t="s">
        <v>2484</v>
      </c>
      <c r="BT1032" t="b">
        <v>0</v>
      </c>
      <c r="BV1032" t="s">
        <v>1668</v>
      </c>
      <c r="BW1032">
        <v>5413</v>
      </c>
      <c r="BX1032" t="s">
        <v>1669</v>
      </c>
      <c r="BY1032">
        <v>12333148</v>
      </c>
      <c r="BZ1032" s="21">
        <v>0</v>
      </c>
      <c r="CA1032">
        <v>1</v>
      </c>
      <c r="CB1032" t="b">
        <v>1</v>
      </c>
      <c r="CC1032">
        <v>0</v>
      </c>
      <c r="CD1032" t="b">
        <v>0</v>
      </c>
      <c r="CE1032" t="b">
        <v>0</v>
      </c>
      <c r="CF1032" t="b">
        <v>1</v>
      </c>
      <c r="CG1032">
        <v>15537305</v>
      </c>
      <c r="CH1032" t="s">
        <v>1681</v>
      </c>
      <c r="CI1032" s="10">
        <v>619000</v>
      </c>
    </row>
    <row r="1033" spans="1:88">
      <c r="A1033">
        <v>28008883</v>
      </c>
      <c r="B1033" s="2" t="str">
        <f>HYPERLINK("http://www.redfin.com/stingray/do/printable-listing?listing-id=1399534","Active")</f>
        <v>Active</v>
      </c>
      <c r="D1033" t="s">
        <v>88</v>
      </c>
      <c r="E1033" t="s">
        <v>2569</v>
      </c>
      <c r="F1033" s="19">
        <v>589000</v>
      </c>
      <c r="G1033">
        <v>2008</v>
      </c>
      <c r="H1033">
        <v>1970</v>
      </c>
      <c r="I1033">
        <v>0</v>
      </c>
      <c r="J1033">
        <v>3</v>
      </c>
      <c r="K1033">
        <v>2.5</v>
      </c>
      <c r="M1033" s="2" t="str">
        <f>HYPERLINK("http://maps.live.com/default.aspx?v=2&amp;lvl=15&amp;sp=Point.47.668273_-122.360172_5417 Baker Ave NW&amp;cp=47.668273~-122.360172","Map")</f>
        <v>Map</v>
      </c>
      <c r="N1033" s="2" t="str">
        <f>HYPERLINK("http://i-0.rfimg.us/photo/1/bigphoto/883/28008883_0.jpg","Photo")</f>
        <v>Photo</v>
      </c>
      <c r="AG1033">
        <v>47.668272999999999</v>
      </c>
      <c r="AH1033">
        <v>-122.36017200000001</v>
      </c>
      <c r="AI1033" t="s">
        <v>66</v>
      </c>
      <c r="AJ1033">
        <v>98107</v>
      </c>
      <c r="BC1033" s="22">
        <v>39461.678379629629</v>
      </c>
      <c r="BI1033" s="22">
        <v>39549.294907407406</v>
      </c>
      <c r="BL1033">
        <v>12700</v>
      </c>
      <c r="BM1033">
        <v>1399534</v>
      </c>
      <c r="BN1033" t="s">
        <v>1674</v>
      </c>
      <c r="BO1033" s="17">
        <f t="shared" ca="1" si="16"/>
        <v>87.631026388888131</v>
      </c>
      <c r="BP1033" t="b">
        <v>0</v>
      </c>
      <c r="BQ1033">
        <v>1</v>
      </c>
      <c r="BR1033" t="s">
        <v>1667</v>
      </c>
      <c r="BS1033" t="s">
        <v>2484</v>
      </c>
      <c r="BT1033" t="b">
        <v>0</v>
      </c>
      <c r="BV1033" t="s">
        <v>1668</v>
      </c>
      <c r="BW1033">
        <v>5417</v>
      </c>
      <c r="BX1033" t="s">
        <v>1669</v>
      </c>
      <c r="BY1033">
        <v>12333158</v>
      </c>
      <c r="BZ1033" s="21">
        <v>0</v>
      </c>
      <c r="CA1033">
        <v>1</v>
      </c>
      <c r="CB1033" t="b">
        <v>1</v>
      </c>
      <c r="CC1033">
        <v>0</v>
      </c>
      <c r="CD1033" t="b">
        <v>0</v>
      </c>
      <c r="CE1033" t="b">
        <v>0</v>
      </c>
      <c r="CF1033" t="b">
        <v>1</v>
      </c>
      <c r="CG1033">
        <v>15537315</v>
      </c>
      <c r="CH1033" t="s">
        <v>1681</v>
      </c>
      <c r="CI1033" s="10">
        <v>635000</v>
      </c>
    </row>
    <row r="1034" spans="1:88">
      <c r="A1034">
        <v>28008969</v>
      </c>
      <c r="B1034" s="2" t="str">
        <f>HYPERLINK("http://www.redfin.com/stingray/do/printable-listing?listing-id=1401325","Active")</f>
        <v>Active</v>
      </c>
      <c r="D1034" t="s">
        <v>3704</v>
      </c>
      <c r="E1034" t="s">
        <v>4185</v>
      </c>
      <c r="F1034">
        <v>2050000</v>
      </c>
      <c r="G1034">
        <v>2005</v>
      </c>
      <c r="H1034">
        <v>3900</v>
      </c>
      <c r="I1034">
        <v>0</v>
      </c>
      <c r="J1034">
        <v>3</v>
      </c>
      <c r="K1034">
        <v>4.25</v>
      </c>
      <c r="M1034" s="2" t="str">
        <f>HYPERLINK("http://maps.live.com/default.aspx?v=2&amp;lvl=15&amp;sp=Point.47.625623_-122.322603_725 Harvard Ave E&amp;cp=47.625623~-122.322603","Map")</f>
        <v>Map</v>
      </c>
      <c r="N1034" s="2" t="str">
        <f>HYPERLINK("http://i-0.rfimg.us/photo/1/bigphoto/969/28008969_1.jpg","Photo")</f>
        <v>Photo</v>
      </c>
      <c r="AG1034">
        <v>47.625622999999997</v>
      </c>
      <c r="AH1034">
        <v>-122.322603</v>
      </c>
      <c r="AI1034" t="s">
        <v>66</v>
      </c>
      <c r="AJ1034">
        <v>98102</v>
      </c>
      <c r="AN1034">
        <v>1925000</v>
      </c>
      <c r="BC1034" s="22">
        <v>39462.442743055559</v>
      </c>
      <c r="BI1034" s="22">
        <v>39549.294907407406</v>
      </c>
      <c r="BL1034">
        <v>41000</v>
      </c>
      <c r="BM1034">
        <v>1401325</v>
      </c>
      <c r="BN1034" t="s">
        <v>1829</v>
      </c>
      <c r="BO1034" s="17">
        <f t="shared" ca="1" si="16"/>
        <v>86.866662847220141</v>
      </c>
      <c r="BP1034" t="b">
        <v>0</v>
      </c>
      <c r="BQ1034">
        <v>1</v>
      </c>
      <c r="BR1034" t="s">
        <v>1667</v>
      </c>
      <c r="BS1034" t="s">
        <v>3737</v>
      </c>
      <c r="BT1034" t="b">
        <v>0</v>
      </c>
      <c r="BV1034" t="s">
        <v>1668</v>
      </c>
      <c r="BW1034">
        <v>725</v>
      </c>
      <c r="BX1034" t="s">
        <v>2436</v>
      </c>
      <c r="BY1034">
        <v>12088521</v>
      </c>
      <c r="BZ1034" t="s">
        <v>2609</v>
      </c>
      <c r="CA1034">
        <v>1</v>
      </c>
      <c r="CB1034" t="b">
        <v>1</v>
      </c>
      <c r="CC1034">
        <v>0</v>
      </c>
      <c r="CD1034" t="b">
        <v>0</v>
      </c>
      <c r="CE1034" t="b">
        <v>0</v>
      </c>
      <c r="CF1034" t="b">
        <v>1</v>
      </c>
      <c r="CG1034">
        <v>2489912</v>
      </c>
      <c r="CH1034" t="s">
        <v>1681</v>
      </c>
      <c r="CI1034" s="10">
        <v>2050000</v>
      </c>
      <c r="CJ1034" s="7">
        <v>38511</v>
      </c>
    </row>
    <row r="1035" spans="1:88">
      <c r="A1035">
        <v>28008975</v>
      </c>
      <c r="B1035" s="2" t="str">
        <f>HYPERLINK("http://www.redfin.com/stingray/do/printable-listing?listing-id=1399713","Subject To Inspection")</f>
        <v>Subject To Inspection</v>
      </c>
      <c r="D1035" t="s">
        <v>109</v>
      </c>
      <c r="E1035" t="s">
        <v>2199</v>
      </c>
      <c r="F1035">
        <v>499000</v>
      </c>
      <c r="G1035">
        <v>1906</v>
      </c>
      <c r="H1035">
        <v>1360</v>
      </c>
      <c r="I1035">
        <v>3750</v>
      </c>
      <c r="J1035">
        <v>2</v>
      </c>
      <c r="K1035">
        <v>1.75</v>
      </c>
      <c r="M1035" s="2" t="str">
        <f>HYPERLINK("http://maps.live.com/default.aspx?v=2&amp;lvl=15&amp;sp=Point.47.658435_-122.344917_4223 Woodland Park Ave N&amp;cp=47.658435~-122.344917","Map")</f>
        <v>Map</v>
      </c>
      <c r="N1035" s="2" t="str">
        <f>HYPERLINK("http://i-0.rfimg.us/photo/1/bigphoto/975/28008975_1.jpg","Photo")</f>
        <v>Photo</v>
      </c>
      <c r="AG1035">
        <v>47.658434999999997</v>
      </c>
      <c r="AH1035">
        <v>-122.344917</v>
      </c>
      <c r="AI1035" t="s">
        <v>66</v>
      </c>
      <c r="AJ1035">
        <v>98103</v>
      </c>
      <c r="AN1035">
        <v>367000</v>
      </c>
      <c r="BC1035" s="22">
        <v>39461.719247685185</v>
      </c>
      <c r="BI1035" s="7">
        <v>39534</v>
      </c>
      <c r="BL1035">
        <v>9980</v>
      </c>
      <c r="BM1035">
        <v>1399713</v>
      </c>
      <c r="BN1035" t="s">
        <v>1710</v>
      </c>
      <c r="BO1035" s="17">
        <f t="shared" ca="1" si="16"/>
        <v>87.590158217593853</v>
      </c>
      <c r="BP1035" t="b">
        <v>0</v>
      </c>
      <c r="BQ1035">
        <v>2</v>
      </c>
      <c r="BR1035" t="s">
        <v>1667</v>
      </c>
      <c r="BS1035" t="s">
        <v>1141</v>
      </c>
      <c r="BT1035" t="b">
        <v>0</v>
      </c>
      <c r="BV1035" t="s">
        <v>1668</v>
      </c>
      <c r="BW1035">
        <v>4223</v>
      </c>
      <c r="BX1035" t="s">
        <v>1712</v>
      </c>
      <c r="BY1035">
        <v>119127</v>
      </c>
      <c r="BZ1035" t="s">
        <v>1704</v>
      </c>
      <c r="CA1035">
        <v>1</v>
      </c>
      <c r="CB1035" t="b">
        <v>1</v>
      </c>
      <c r="CC1035">
        <v>0</v>
      </c>
      <c r="CD1035" t="b">
        <v>0</v>
      </c>
      <c r="CE1035" t="b">
        <v>0</v>
      </c>
      <c r="CF1035" t="b">
        <v>1</v>
      </c>
      <c r="CG1035">
        <v>2549636</v>
      </c>
      <c r="CH1035" t="s">
        <v>1681</v>
      </c>
      <c r="CI1035" s="10">
        <v>499000</v>
      </c>
      <c r="CJ1035" s="7">
        <v>37389</v>
      </c>
    </row>
    <row r="1036" spans="1:88">
      <c r="A1036">
        <v>28008996</v>
      </c>
      <c r="B1036" s="2" t="str">
        <f>HYPERLINK("http://www.redfin.com/stingray/do/printable-listing?listing-id=1399711","Subject To Inspection")</f>
        <v>Subject To Inspection</v>
      </c>
      <c r="D1036" t="s">
        <v>88</v>
      </c>
      <c r="E1036" t="s">
        <v>2505</v>
      </c>
      <c r="F1036">
        <v>589000</v>
      </c>
      <c r="G1036">
        <v>2008</v>
      </c>
      <c r="H1036">
        <v>1820</v>
      </c>
      <c r="I1036">
        <v>0</v>
      </c>
      <c r="J1036">
        <v>3</v>
      </c>
      <c r="K1036">
        <v>3.5</v>
      </c>
      <c r="M1036" s="2" t="str">
        <f>HYPERLINK("http://maps.live.com/default.aspx?v=2&amp;lvl=15&amp;sp=Point.47.668264_-122.360182_5415 Baker Ave NW nC&amp;cp=47.668264~-122.360182","Map")</f>
        <v>Map</v>
      </c>
      <c r="N1036" s="2" t="str">
        <f>HYPERLINK("http://i-0.rfimg.us/photo/1/bigphoto/996/28008996_0.jpg","Photo")</f>
        <v>Photo</v>
      </c>
      <c r="AG1036">
        <v>47.668264000000001</v>
      </c>
      <c r="AH1036">
        <v>-122.36018199999999</v>
      </c>
      <c r="AI1036" t="s">
        <v>66</v>
      </c>
      <c r="AJ1036">
        <v>98107</v>
      </c>
      <c r="AM1036" t="s">
        <v>2341</v>
      </c>
      <c r="BC1036" s="22">
        <v>39461.719201388885</v>
      </c>
      <c r="BI1036" s="22">
        <v>39549.294907407406</v>
      </c>
      <c r="BL1036">
        <v>11780</v>
      </c>
      <c r="BM1036">
        <v>1399711</v>
      </c>
      <c r="BN1036" t="s">
        <v>1674</v>
      </c>
      <c r="BO1036" s="17">
        <f t="shared" ca="1" si="16"/>
        <v>87.590204513893696</v>
      </c>
      <c r="BP1036" t="b">
        <v>0</v>
      </c>
      <c r="BQ1036">
        <v>2</v>
      </c>
      <c r="BR1036" t="s">
        <v>1667</v>
      </c>
      <c r="BS1036" t="s">
        <v>2484</v>
      </c>
      <c r="BT1036" t="b">
        <v>0</v>
      </c>
      <c r="BV1036" t="s">
        <v>1668</v>
      </c>
      <c r="BW1036">
        <v>5415</v>
      </c>
      <c r="BX1036" t="s">
        <v>1669</v>
      </c>
      <c r="BY1036">
        <v>12333182</v>
      </c>
      <c r="BZ1036" s="21">
        <v>0</v>
      </c>
      <c r="CA1036">
        <v>1</v>
      </c>
      <c r="CB1036" t="b">
        <v>1</v>
      </c>
      <c r="CC1036">
        <v>0</v>
      </c>
      <c r="CD1036" t="b">
        <v>0</v>
      </c>
      <c r="CE1036" t="b">
        <v>0</v>
      </c>
      <c r="CF1036" t="b">
        <v>1</v>
      </c>
      <c r="CG1036">
        <v>15537306</v>
      </c>
      <c r="CH1036" t="s">
        <v>1681</v>
      </c>
      <c r="CI1036" s="10">
        <v>589000</v>
      </c>
    </row>
    <row r="1037" spans="1:88">
      <c r="A1037">
        <v>28009014</v>
      </c>
      <c r="B1037" s="2" t="str">
        <f>HYPERLINK("http://www.redfin.com/stingray/do/printable-listing?listing-id=1405285","Active")</f>
        <v>Active</v>
      </c>
      <c r="D1037" t="s">
        <v>1058</v>
      </c>
      <c r="E1037" t="s">
        <v>1657</v>
      </c>
      <c r="F1037">
        <v>2500000</v>
      </c>
      <c r="G1037">
        <v>2001</v>
      </c>
      <c r="H1037">
        <v>5526</v>
      </c>
      <c r="I1037">
        <v>2988</v>
      </c>
      <c r="J1037">
        <v>4</v>
      </c>
      <c r="K1037">
        <v>3.5</v>
      </c>
      <c r="M1037" s="2" t="str">
        <f>HYPERLINK("http://maps.live.com/default.aspx?v=2&amp;lvl=15&amp;sp=adr.Undisclosed,98033","Map")</f>
        <v>Map</v>
      </c>
      <c r="N1037" s="2" t="str">
        <f>HYPERLINK("http://i-0.rfimg.us/photo/1/bigphoto/014/28009014_2.jpg","Photo")</f>
        <v>Photo</v>
      </c>
      <c r="AI1037" t="s">
        <v>1058</v>
      </c>
      <c r="AJ1037">
        <v>98033</v>
      </c>
      <c r="BC1037" s="22">
        <v>39463.646956018521</v>
      </c>
      <c r="BI1037" s="22">
        <v>39549.294907407406</v>
      </c>
      <c r="BL1037">
        <v>50000</v>
      </c>
      <c r="BM1037">
        <v>1405285</v>
      </c>
      <c r="BN1037" t="s">
        <v>1674</v>
      </c>
      <c r="BO1037" s="17">
        <f t="shared" ca="1" si="16"/>
        <v>85.662449884257512</v>
      </c>
      <c r="BP1037" t="b">
        <v>0</v>
      </c>
      <c r="BQ1037">
        <v>1</v>
      </c>
      <c r="BT1037" t="b">
        <v>1</v>
      </c>
      <c r="BV1037" t="s">
        <v>1668</v>
      </c>
      <c r="BY1037">
        <v>0</v>
      </c>
      <c r="BZ1037" t="s">
        <v>1730</v>
      </c>
      <c r="CA1037">
        <v>1</v>
      </c>
      <c r="CB1037" t="b">
        <v>1</v>
      </c>
      <c r="CC1037">
        <v>0</v>
      </c>
      <c r="CD1037" t="b">
        <v>0</v>
      </c>
      <c r="CE1037" t="b">
        <v>0</v>
      </c>
      <c r="CF1037" t="b">
        <v>1</v>
      </c>
      <c r="CG1037" t="s">
        <v>1870</v>
      </c>
      <c r="CH1037" t="s">
        <v>1681</v>
      </c>
      <c r="CI1037" s="10">
        <v>2500000</v>
      </c>
    </row>
    <row r="1038" spans="1:88">
      <c r="A1038">
        <v>28009023</v>
      </c>
      <c r="B1038" s="2" t="str">
        <f>HYPERLINK("http://www.redfin.com/stingray/do/printable-listing?listing-id=1405308","Active")</f>
        <v>Active</v>
      </c>
      <c r="D1038" t="s">
        <v>3066</v>
      </c>
      <c r="E1038" t="s">
        <v>4870</v>
      </c>
      <c r="F1038" s="19">
        <v>500000</v>
      </c>
      <c r="G1038">
        <v>1985</v>
      </c>
      <c r="H1038">
        <v>1750</v>
      </c>
      <c r="I1038">
        <v>2962</v>
      </c>
      <c r="J1038">
        <v>2</v>
      </c>
      <c r="K1038">
        <v>2.5</v>
      </c>
      <c r="M1038" s="2" t="str">
        <f>HYPERLINK("http://maps.live.com/default.aspx?v=2&amp;lvl=15&amp;sp=Point.47.680166_-122.16299_8612 133 Ave NE&amp;cp=47.680166~-122.16299","Map")</f>
        <v>Map</v>
      </c>
      <c r="N1038" s="2" t="str">
        <f>HYPERLINK("http://i-0.rfimg.us/photo/1/bigphoto/023/28009023_4.jpg","Photo")</f>
        <v>Photo</v>
      </c>
      <c r="AG1038">
        <v>47.680166</v>
      </c>
      <c r="AH1038">
        <v>-122.16298999999999</v>
      </c>
      <c r="AI1038" t="s">
        <v>4363</v>
      </c>
      <c r="AJ1038">
        <v>98052</v>
      </c>
      <c r="AN1038">
        <v>139950</v>
      </c>
      <c r="BC1038" s="22">
        <v>39463.649108796293</v>
      </c>
      <c r="BI1038" s="22">
        <v>39549.294907407406</v>
      </c>
      <c r="BL1038">
        <v>10399</v>
      </c>
      <c r="BM1038">
        <v>1405308</v>
      </c>
      <c r="BN1038" t="s">
        <v>1674</v>
      </c>
      <c r="BO1038" s="17">
        <f t="shared" ca="1" si="16"/>
        <v>85.660297106485814</v>
      </c>
      <c r="BP1038" t="b">
        <v>0</v>
      </c>
      <c r="BQ1038">
        <v>1</v>
      </c>
      <c r="BR1038" t="s">
        <v>1667</v>
      </c>
      <c r="BS1038">
        <v>133</v>
      </c>
      <c r="BT1038" t="b">
        <v>0</v>
      </c>
      <c r="BV1038" t="s">
        <v>1668</v>
      </c>
      <c r="BW1038">
        <v>8612</v>
      </c>
      <c r="BX1038" t="s">
        <v>1738</v>
      </c>
      <c r="BY1038">
        <v>511340</v>
      </c>
      <c r="BZ1038" t="s">
        <v>4871</v>
      </c>
      <c r="CA1038">
        <v>1</v>
      </c>
      <c r="CB1038" t="b">
        <v>1</v>
      </c>
      <c r="CC1038">
        <v>0</v>
      </c>
      <c r="CD1038" t="b">
        <v>0</v>
      </c>
      <c r="CE1038" t="b">
        <v>0</v>
      </c>
      <c r="CF1038" t="b">
        <v>1</v>
      </c>
      <c r="CG1038">
        <v>2876487</v>
      </c>
      <c r="CH1038" t="s">
        <v>1681</v>
      </c>
      <c r="CI1038" s="10">
        <v>519950</v>
      </c>
      <c r="CJ1038" s="7">
        <v>31769</v>
      </c>
    </row>
    <row r="1039" spans="1:88">
      <c r="A1039">
        <v>28009029</v>
      </c>
      <c r="B1039" s="2" t="str">
        <f>HYPERLINK("http://www.redfin.com/stingray/do/printable-listing?listing-id=1418744","Active")</f>
        <v>Active</v>
      </c>
      <c r="D1039" t="s">
        <v>3064</v>
      </c>
      <c r="E1039" t="s">
        <v>4834</v>
      </c>
      <c r="F1039">
        <v>489000</v>
      </c>
      <c r="G1039">
        <v>1970</v>
      </c>
      <c r="H1039">
        <v>1320</v>
      </c>
      <c r="I1039">
        <v>9000</v>
      </c>
      <c r="J1039">
        <v>3</v>
      </c>
      <c r="K1039">
        <v>2</v>
      </c>
      <c r="M1039" s="2" t="str">
        <f>HYPERLINK("http://maps.live.com/default.aspx?v=2&amp;lvl=15&amp;sp=Point.47.685809_-122.188684_9419 114th Ave NE&amp;cp=47.685809~-122.188684","Map")</f>
        <v>Map</v>
      </c>
      <c r="N1039" s="2" t="str">
        <f>HYPERLINK("http://i-0.rfimg.us/photo/1/bigphoto/029/28009029_0.jpg","Photo")</f>
        <v>Photo</v>
      </c>
      <c r="AG1039">
        <v>47.685808999999999</v>
      </c>
      <c r="AH1039">
        <v>-122.18868399999999</v>
      </c>
      <c r="AI1039" t="s">
        <v>1058</v>
      </c>
      <c r="AJ1039">
        <v>98033</v>
      </c>
      <c r="AN1039">
        <v>295000</v>
      </c>
      <c r="BC1039" s="22">
        <v>39468.974004629628</v>
      </c>
      <c r="BI1039" s="7">
        <v>39540</v>
      </c>
      <c r="BL1039">
        <v>9780</v>
      </c>
      <c r="BM1039">
        <v>1418744</v>
      </c>
      <c r="BN1039" t="s">
        <v>2203</v>
      </c>
      <c r="BO1039" s="17">
        <f t="shared" ca="1" si="16"/>
        <v>80.335401273150637</v>
      </c>
      <c r="BP1039" t="b">
        <v>0</v>
      </c>
      <c r="BQ1039">
        <v>1</v>
      </c>
      <c r="BR1039" t="s">
        <v>1667</v>
      </c>
      <c r="BS1039" t="s">
        <v>4835</v>
      </c>
      <c r="BT1039" t="b">
        <v>0</v>
      </c>
      <c r="BV1039" t="s">
        <v>1668</v>
      </c>
      <c r="BW1039">
        <v>9419</v>
      </c>
      <c r="BX1039" t="s">
        <v>1738</v>
      </c>
      <c r="BY1039">
        <v>462943</v>
      </c>
      <c r="BZ1039" t="s">
        <v>1672</v>
      </c>
      <c r="CA1039">
        <v>1</v>
      </c>
      <c r="CB1039" t="b">
        <v>1</v>
      </c>
      <c r="CC1039">
        <v>0</v>
      </c>
      <c r="CD1039" t="b">
        <v>0</v>
      </c>
      <c r="CE1039" t="b">
        <v>0</v>
      </c>
      <c r="CF1039" t="b">
        <v>1</v>
      </c>
      <c r="CG1039">
        <v>2398654</v>
      </c>
      <c r="CH1039" t="s">
        <v>1681</v>
      </c>
      <c r="CI1039" s="10">
        <v>489000</v>
      </c>
      <c r="CJ1039" s="7">
        <v>38068</v>
      </c>
    </row>
    <row r="1040" spans="1:88">
      <c r="A1040">
        <v>28009042</v>
      </c>
      <c r="B1040" s="2" t="str">
        <f>HYPERLINK("http://www.redfin.com/stingray/do/printable-listing?listing-id=1399931","Active")</f>
        <v>Active</v>
      </c>
      <c r="D1040" t="s">
        <v>1058</v>
      </c>
      <c r="E1040" t="s">
        <v>6636</v>
      </c>
      <c r="F1040">
        <v>589000</v>
      </c>
      <c r="G1040">
        <v>1999</v>
      </c>
      <c r="H1040">
        <v>2331</v>
      </c>
      <c r="I1040">
        <v>0</v>
      </c>
      <c r="J1040">
        <v>3</v>
      </c>
      <c r="K1040">
        <v>2.5</v>
      </c>
      <c r="M1040" s="2" t="str">
        <f>HYPERLINK("http://maps.live.com/default.aspx?v=2&amp;lvl=15&amp;sp=Point.47.705301_-122.188501_11706 114th Pl NE&amp;cp=47.705301~-122.188501","Map")</f>
        <v>Map</v>
      </c>
      <c r="N1040" s="2" t="str">
        <f>HYPERLINK("http://i-0.rfimg.us/photo/1/bigphoto/042/28009042_1.jpg","Photo")</f>
        <v>Photo</v>
      </c>
      <c r="AG1040">
        <v>47.705300999999999</v>
      </c>
      <c r="AH1040">
        <v>-122.188501</v>
      </c>
      <c r="AI1040" t="s">
        <v>1058</v>
      </c>
      <c r="AJ1040">
        <v>98034</v>
      </c>
      <c r="BC1040" s="22">
        <v>39461.77716435185</v>
      </c>
      <c r="BI1040" s="22">
        <v>39549.294907407406</v>
      </c>
      <c r="BL1040">
        <v>11780</v>
      </c>
      <c r="BM1040">
        <v>1399931</v>
      </c>
      <c r="BN1040" t="s">
        <v>1688</v>
      </c>
      <c r="BO1040" s="17">
        <f t="shared" ca="1" si="16"/>
        <v>87.532241550929029</v>
      </c>
      <c r="BP1040" t="b">
        <v>0</v>
      </c>
      <c r="BQ1040">
        <v>1</v>
      </c>
      <c r="BR1040" t="s">
        <v>1842</v>
      </c>
      <c r="BS1040" t="s">
        <v>4835</v>
      </c>
      <c r="BT1040" t="b">
        <v>0</v>
      </c>
      <c r="BV1040" t="s">
        <v>1668</v>
      </c>
      <c r="BW1040">
        <v>11706</v>
      </c>
      <c r="BX1040" t="s">
        <v>1738</v>
      </c>
      <c r="BY1040">
        <v>12333210</v>
      </c>
      <c r="BZ1040" t="s">
        <v>6637</v>
      </c>
      <c r="CA1040">
        <v>1</v>
      </c>
      <c r="CB1040" t="b">
        <v>1</v>
      </c>
      <c r="CC1040">
        <v>0</v>
      </c>
      <c r="CD1040" t="b">
        <v>0</v>
      </c>
      <c r="CE1040" t="b">
        <v>0</v>
      </c>
      <c r="CF1040" t="b">
        <v>1</v>
      </c>
      <c r="CG1040">
        <v>15537367</v>
      </c>
      <c r="CH1040" t="s">
        <v>1681</v>
      </c>
      <c r="CI1040" s="10">
        <v>589000</v>
      </c>
    </row>
    <row r="1041" spans="1:89">
      <c r="A1041">
        <v>28009111</v>
      </c>
      <c r="B1041" s="2" t="str">
        <f>HYPERLINK("http://www.redfin.com/stingray/do/printable-listing?listing-id=1400247","Active")</f>
        <v>Active</v>
      </c>
      <c r="D1041" t="s">
        <v>4542</v>
      </c>
      <c r="E1041" t="s">
        <v>4666</v>
      </c>
      <c r="F1041">
        <v>599900</v>
      </c>
      <c r="G1041">
        <v>1961</v>
      </c>
      <c r="H1041">
        <v>1250</v>
      </c>
      <c r="I1041">
        <v>9000</v>
      </c>
      <c r="J1041">
        <v>2</v>
      </c>
      <c r="K1041">
        <v>1.75</v>
      </c>
      <c r="M1041" s="2" t="str">
        <f>HYPERLINK("http://maps.live.com/default.aspx?v=2&amp;lvl=15&amp;sp=Point.47.692712_-122.207783_1942 1st St&amp;cp=47.692712~-122.207783","Map")</f>
        <v>Map</v>
      </c>
      <c r="N1041" s="2" t="str">
        <f>HYPERLINK("http://i-0.rfimg.us/photo/1/bigphoto/111/28009111_0.jpg","Photo")</f>
        <v>Photo</v>
      </c>
      <c r="AG1041">
        <v>47.692712</v>
      </c>
      <c r="AH1041">
        <v>-122.20778300000001</v>
      </c>
      <c r="AI1041" t="s">
        <v>1058</v>
      </c>
      <c r="AJ1041">
        <v>98033</v>
      </c>
      <c r="AN1041">
        <v>342000</v>
      </c>
      <c r="BC1041" s="22">
        <v>39461.933217592596</v>
      </c>
      <c r="BI1041" s="22">
        <v>39549.294907407406</v>
      </c>
      <c r="BL1041">
        <v>11998</v>
      </c>
      <c r="BM1041">
        <v>1400247</v>
      </c>
      <c r="BN1041" t="s">
        <v>1768</v>
      </c>
      <c r="BO1041" s="17">
        <f t="shared" ca="1" si="16"/>
        <v>87.376188310183352</v>
      </c>
      <c r="BP1041" t="b">
        <v>0</v>
      </c>
      <c r="BQ1041">
        <v>1</v>
      </c>
      <c r="BR1041" t="s">
        <v>1686</v>
      </c>
      <c r="BS1041" t="s">
        <v>1822</v>
      </c>
      <c r="BT1041" t="b">
        <v>0</v>
      </c>
      <c r="BV1041" t="s">
        <v>1668</v>
      </c>
      <c r="BW1041">
        <v>1942</v>
      </c>
      <c r="BY1041">
        <v>462958</v>
      </c>
      <c r="BZ1041" t="s">
        <v>1701</v>
      </c>
      <c r="CA1041">
        <v>1</v>
      </c>
      <c r="CB1041" t="b">
        <v>1</v>
      </c>
      <c r="CC1041">
        <v>0</v>
      </c>
      <c r="CD1041" t="b">
        <v>0</v>
      </c>
      <c r="CE1041" t="b">
        <v>0</v>
      </c>
      <c r="CF1041" t="b">
        <v>1</v>
      </c>
      <c r="CG1041">
        <v>2891908</v>
      </c>
      <c r="CH1041" t="s">
        <v>1681</v>
      </c>
      <c r="CI1041" s="10">
        <v>599900</v>
      </c>
      <c r="CJ1041" s="7">
        <v>37616</v>
      </c>
    </row>
    <row r="1042" spans="1:89">
      <c r="A1042">
        <v>28009131</v>
      </c>
      <c r="B1042" s="2" t="str">
        <f>HYPERLINK("http://www.redfin.com/stingray/do/printable-listing?listing-id=1405534","Active")</f>
        <v>Active</v>
      </c>
      <c r="D1042" t="s">
        <v>5739</v>
      </c>
      <c r="E1042" t="s">
        <v>5737</v>
      </c>
      <c r="F1042">
        <v>898000</v>
      </c>
      <c r="G1042">
        <v>1985</v>
      </c>
      <c r="H1042">
        <v>2790</v>
      </c>
      <c r="I1042">
        <v>10125</v>
      </c>
      <c r="J1042">
        <v>3</v>
      </c>
      <c r="K1042">
        <v>1.75</v>
      </c>
      <c r="M1042" s="2" t="str">
        <f>HYPERLINK("http://maps.live.com/default.aspx?v=2&amp;lvl=15&amp;sp=Point.47.56511_-122.219851_4510 89TH Ave SE&amp;cp=47.56511~-122.219851","Map")</f>
        <v>Map</v>
      </c>
      <c r="N1042" s="2" t="str">
        <f>HYPERLINK("http://i-0.rfimg.us/photo/1/bigphoto/131/28009131_0.jpg","Photo")</f>
        <v>Photo</v>
      </c>
      <c r="AG1042">
        <v>47.565109999999997</v>
      </c>
      <c r="AH1042">
        <v>-122.21985100000001</v>
      </c>
      <c r="AI1042" t="s">
        <v>5139</v>
      </c>
      <c r="AJ1042">
        <v>98040</v>
      </c>
      <c r="AN1042">
        <v>870000</v>
      </c>
      <c r="BC1042" s="22">
        <v>39463.660567129627</v>
      </c>
      <c r="BI1042" s="22">
        <v>39549.294907407406</v>
      </c>
      <c r="BL1042">
        <v>17960</v>
      </c>
      <c r="BM1042">
        <v>1405534</v>
      </c>
      <c r="BN1042" t="s">
        <v>2902</v>
      </c>
      <c r="BO1042" s="17">
        <f t="shared" ca="1" si="16"/>
        <v>85.64883877315151</v>
      </c>
      <c r="BP1042" t="b">
        <v>0</v>
      </c>
      <c r="BQ1042">
        <v>1</v>
      </c>
      <c r="BR1042" t="s">
        <v>1667</v>
      </c>
      <c r="BS1042" t="s">
        <v>5738</v>
      </c>
      <c r="BT1042" t="b">
        <v>0</v>
      </c>
      <c r="BV1042" t="s">
        <v>1668</v>
      </c>
      <c r="BW1042">
        <v>4510</v>
      </c>
      <c r="BX1042" t="s">
        <v>3856</v>
      </c>
      <c r="BY1042">
        <v>256013</v>
      </c>
      <c r="BZ1042" t="s">
        <v>1743</v>
      </c>
      <c r="CA1042">
        <v>1</v>
      </c>
      <c r="CB1042" t="b">
        <v>1</v>
      </c>
      <c r="CC1042">
        <v>0</v>
      </c>
      <c r="CD1042" t="b">
        <v>0</v>
      </c>
      <c r="CE1042" t="b">
        <v>0</v>
      </c>
      <c r="CF1042" t="b">
        <v>1</v>
      </c>
      <c r="CG1042">
        <v>2571432</v>
      </c>
      <c r="CH1042" t="s">
        <v>1681</v>
      </c>
      <c r="CI1042" s="10">
        <v>898000</v>
      </c>
      <c r="CJ1042" s="7">
        <v>39167</v>
      </c>
    </row>
    <row r="1043" spans="1:89">
      <c r="A1043">
        <v>28009138</v>
      </c>
      <c r="B1043" s="15" t="str">
        <f>HYPERLINK("http://www.redfin.com/stingray/do/printable-listing?listing-id=1400334","Subject To Inspection")</f>
        <v>Subject To Inspection</v>
      </c>
      <c r="D1043" t="s">
        <v>5204</v>
      </c>
      <c r="E1043" t="s">
        <v>5224</v>
      </c>
      <c r="F1043">
        <v>495000</v>
      </c>
      <c r="G1043">
        <v>1961</v>
      </c>
      <c r="H1043">
        <v>2050</v>
      </c>
      <c r="I1043">
        <v>5950</v>
      </c>
      <c r="J1043">
        <v>4</v>
      </c>
      <c r="K1043">
        <v>2.5</v>
      </c>
      <c r="M1043" s="2" t="str">
        <f>HYPERLINK("http://maps.live.com/default.aspx?v=2&amp;lvl=15&amp;sp=Point.47.61184_-122.135655_15236 NE 1st Pl&amp;cp=47.61184~-122.135655","Map")</f>
        <v>Map</v>
      </c>
      <c r="N1043" s="2" t="str">
        <f>HYPERLINK("http://i-0.rfimg.us/photo/1/bigphoto/138/28009138_1.jpg","Photo")</f>
        <v>Photo</v>
      </c>
      <c r="AG1043">
        <v>47.611840000000001</v>
      </c>
      <c r="AH1043">
        <v>-122.135655</v>
      </c>
      <c r="AI1043" t="s">
        <v>369</v>
      </c>
      <c r="AJ1043">
        <v>98007</v>
      </c>
      <c r="AN1043">
        <v>333000</v>
      </c>
      <c r="BC1043" s="22">
        <v>39462.099236111113</v>
      </c>
      <c r="BI1043" s="22">
        <v>39549.294907407406</v>
      </c>
      <c r="BL1043">
        <v>9900</v>
      </c>
      <c r="BM1043">
        <v>1400334</v>
      </c>
      <c r="BN1043" t="s">
        <v>1688</v>
      </c>
      <c r="BO1043" s="17">
        <f t="shared" ca="1" si="16"/>
        <v>87.210169791665976</v>
      </c>
      <c r="BP1043" t="b">
        <v>0</v>
      </c>
      <c r="BQ1043">
        <v>1</v>
      </c>
      <c r="BR1043" t="s">
        <v>1842</v>
      </c>
      <c r="BS1043" t="s">
        <v>1822</v>
      </c>
      <c r="BT1043" t="b">
        <v>0</v>
      </c>
      <c r="BU1043" t="s">
        <v>1738</v>
      </c>
      <c r="BV1043" t="s">
        <v>1668</v>
      </c>
      <c r="BW1043">
        <v>15236</v>
      </c>
      <c r="BY1043">
        <v>500252</v>
      </c>
      <c r="BZ1043" t="s">
        <v>1704</v>
      </c>
      <c r="CA1043">
        <v>1</v>
      </c>
      <c r="CB1043" t="b">
        <v>1</v>
      </c>
      <c r="CC1043">
        <v>0</v>
      </c>
      <c r="CD1043" t="b">
        <v>0</v>
      </c>
      <c r="CE1043" t="b">
        <v>0</v>
      </c>
      <c r="CF1043" t="b">
        <v>1</v>
      </c>
      <c r="CG1043">
        <v>2446955</v>
      </c>
      <c r="CH1043" t="s">
        <v>1681</v>
      </c>
      <c r="CI1043" s="10">
        <v>495000</v>
      </c>
      <c r="CJ1043" s="7">
        <v>38195</v>
      </c>
    </row>
    <row r="1044" spans="1:89">
      <c r="A1044">
        <v>28009328</v>
      </c>
      <c r="B1044" s="2" t="str">
        <f>HYPERLINK("http://www.redfin.com/stingray/do/printable-listing?listing-id=1405421","Active")</f>
        <v>Active</v>
      </c>
      <c r="D1044" t="s">
        <v>3064</v>
      </c>
      <c r="E1044" t="s">
        <v>4655</v>
      </c>
      <c r="F1044">
        <v>545000</v>
      </c>
      <c r="G1044">
        <v>1980</v>
      </c>
      <c r="H1044">
        <v>1980</v>
      </c>
      <c r="I1044">
        <v>10800</v>
      </c>
      <c r="J1044">
        <v>3</v>
      </c>
      <c r="K1044">
        <v>2.25</v>
      </c>
      <c r="M1044" s="2" t="str">
        <f>HYPERLINK("http://maps.live.com/default.aspx?v=2&amp;lvl=15&amp;sp=Point.47.692322_-122.18323_11819 NE 103rd Pl&amp;cp=47.692322~-122.18323","Map")</f>
        <v>Map</v>
      </c>
      <c r="N1044" s="2" t="str">
        <f>HYPERLINK("http://i-0.rfimg.us/photo/1/bigphoto/328/28009328_0.jpg","Photo")</f>
        <v>Photo</v>
      </c>
      <c r="AG1044">
        <v>47.692321999999997</v>
      </c>
      <c r="AH1044">
        <v>-122.18322999999999</v>
      </c>
      <c r="AI1044" t="s">
        <v>1058</v>
      </c>
      <c r="AJ1044">
        <v>98033</v>
      </c>
      <c r="AN1044">
        <v>389000</v>
      </c>
      <c r="BC1044" s="22">
        <v>39463.656446759262</v>
      </c>
      <c r="BI1044" s="22">
        <v>39549.294907407406</v>
      </c>
      <c r="BL1044">
        <v>10900</v>
      </c>
      <c r="BM1044">
        <v>1405421</v>
      </c>
      <c r="BN1044" t="s">
        <v>1768</v>
      </c>
      <c r="BO1044" s="17">
        <f t="shared" ca="1" si="16"/>
        <v>85.652959143517364</v>
      </c>
      <c r="BP1044" t="b">
        <v>0</v>
      </c>
      <c r="BQ1044">
        <v>1</v>
      </c>
      <c r="BR1044" t="s">
        <v>1842</v>
      </c>
      <c r="BS1044" t="s">
        <v>2691</v>
      </c>
      <c r="BT1044" t="b">
        <v>0</v>
      </c>
      <c r="BU1044" t="s">
        <v>1738</v>
      </c>
      <c r="BV1044" t="s">
        <v>1668</v>
      </c>
      <c r="BW1044">
        <v>11819</v>
      </c>
      <c r="BY1044">
        <v>463883</v>
      </c>
      <c r="BZ1044" t="s">
        <v>1743</v>
      </c>
      <c r="CA1044">
        <v>1</v>
      </c>
      <c r="CB1044" t="b">
        <v>1</v>
      </c>
      <c r="CC1044">
        <v>0</v>
      </c>
      <c r="CD1044" t="b">
        <v>0</v>
      </c>
      <c r="CE1044" t="b">
        <v>0</v>
      </c>
      <c r="CF1044" t="b">
        <v>1</v>
      </c>
      <c r="CG1044">
        <v>2907776</v>
      </c>
      <c r="CH1044" t="s">
        <v>1681</v>
      </c>
      <c r="CI1044" s="10">
        <v>545000</v>
      </c>
      <c r="CJ1044" s="7">
        <v>38533</v>
      </c>
    </row>
    <row r="1045" spans="1:89">
      <c r="A1045">
        <v>28009398</v>
      </c>
      <c r="B1045" s="2" t="str">
        <f>HYPERLINK("http://www.redfin.com/stingray/do/printable-listing?listing-id=1413756","Active")</f>
        <v>Active</v>
      </c>
      <c r="D1045" t="s">
        <v>983</v>
      </c>
      <c r="E1045" t="s">
        <v>2941</v>
      </c>
      <c r="F1045">
        <v>1099000</v>
      </c>
      <c r="G1045">
        <v>1987</v>
      </c>
      <c r="H1045">
        <v>5040</v>
      </c>
      <c r="I1045">
        <v>6600</v>
      </c>
      <c r="J1045">
        <v>5</v>
      </c>
      <c r="K1045">
        <v>3.25</v>
      </c>
      <c r="M1045" s="2" t="str">
        <f>HYPERLINK("http://maps.live.com/default.aspx?v=2&amp;lvl=15&amp;sp=Point.47.712286_-122.280829_11351 Durland Ave NE&amp;cp=47.712286~-122.280829","Map")</f>
        <v>Map</v>
      </c>
      <c r="N1045" s="2" t="str">
        <f>HYPERLINK("http://i-0.rfimg.us/photo/1/bigphoto/398/28009398_5.jpg","Photo")</f>
        <v>Photo</v>
      </c>
      <c r="AG1045">
        <v>47.712285999999999</v>
      </c>
      <c r="AH1045">
        <v>-122.280829</v>
      </c>
      <c r="AI1045" t="s">
        <v>66</v>
      </c>
      <c r="AJ1045">
        <v>98125</v>
      </c>
      <c r="AN1045">
        <v>375000</v>
      </c>
      <c r="BC1045" s="22">
        <v>39465.872233796297</v>
      </c>
      <c r="BI1045" s="22">
        <v>39549.294907407406</v>
      </c>
      <c r="BL1045">
        <v>21980</v>
      </c>
      <c r="BM1045">
        <v>1413756</v>
      </c>
      <c r="BN1045" t="s">
        <v>1710</v>
      </c>
      <c r="BO1045" s="17">
        <f t="shared" ca="1" si="16"/>
        <v>83.437172106481739</v>
      </c>
      <c r="BP1045" t="b">
        <v>0</v>
      </c>
      <c r="BQ1045">
        <v>1</v>
      </c>
      <c r="BR1045" t="s">
        <v>1667</v>
      </c>
      <c r="BS1045" t="s">
        <v>2942</v>
      </c>
      <c r="BT1045" t="b">
        <v>0</v>
      </c>
      <c r="BV1045" t="s">
        <v>1668</v>
      </c>
      <c r="BW1045">
        <v>11351</v>
      </c>
      <c r="BX1045" t="s">
        <v>1738</v>
      </c>
      <c r="BY1045">
        <v>319922</v>
      </c>
      <c r="BZ1045" t="s">
        <v>2943</v>
      </c>
      <c r="CA1045">
        <v>1</v>
      </c>
      <c r="CB1045" t="b">
        <v>1</v>
      </c>
      <c r="CC1045">
        <v>0</v>
      </c>
      <c r="CD1045" t="b">
        <v>0</v>
      </c>
      <c r="CE1045" t="b">
        <v>0</v>
      </c>
      <c r="CF1045" t="b">
        <v>1</v>
      </c>
      <c r="CG1045">
        <v>2866712</v>
      </c>
      <c r="CH1045" t="s">
        <v>1681</v>
      </c>
      <c r="CI1045" s="10">
        <v>1099000</v>
      </c>
      <c r="CJ1045" s="7">
        <v>33959</v>
      </c>
    </row>
    <row r="1046" spans="1:89">
      <c r="A1046">
        <v>28009407</v>
      </c>
      <c r="B1046" s="15" t="str">
        <f>HYPERLINK("http://www.redfin.com/stingray/do/printable-listing?listing-id=1403149","Contingent")</f>
        <v>Contingent</v>
      </c>
      <c r="D1046" t="s">
        <v>1023</v>
      </c>
      <c r="E1046" t="s">
        <v>1216</v>
      </c>
      <c r="F1046">
        <v>589000</v>
      </c>
      <c r="G1046">
        <v>1965</v>
      </c>
      <c r="H1046">
        <v>3020</v>
      </c>
      <c r="I1046">
        <v>0</v>
      </c>
      <c r="J1046">
        <v>4</v>
      </c>
      <c r="K1046">
        <v>2.5</v>
      </c>
      <c r="M1046" s="2" t="str">
        <f>HYPERLINK("http://maps.live.com/default.aspx?v=2&amp;lvl=15&amp;sp=Point.47.677096_-122.395246_2851 NW 67th St&amp;cp=47.677096~-122.395246","Map")</f>
        <v>Map</v>
      </c>
      <c r="N1046" s="2" t="str">
        <f>HYPERLINK("http://i-0.rfimg.us/photo/1/bigphoto/407/28009407_0.jpg","Photo")</f>
        <v>Photo</v>
      </c>
      <c r="AG1046">
        <v>47.677095999999999</v>
      </c>
      <c r="AH1046">
        <v>-122.395246</v>
      </c>
      <c r="AI1046" t="s">
        <v>66</v>
      </c>
      <c r="AJ1046">
        <v>98117</v>
      </c>
      <c r="AN1046">
        <v>443000</v>
      </c>
      <c r="BC1046" s="22">
        <v>39462.88076388889</v>
      </c>
      <c r="BI1046" s="22">
        <v>39549.294907407406</v>
      </c>
      <c r="BL1046">
        <v>11780</v>
      </c>
      <c r="BM1046">
        <v>1403149</v>
      </c>
      <c r="BN1046" t="s">
        <v>1937</v>
      </c>
      <c r="BO1046" s="17">
        <f t="shared" ca="1" si="16"/>
        <v>86.428642129627406</v>
      </c>
      <c r="BP1046" t="b">
        <v>0</v>
      </c>
      <c r="BQ1046">
        <v>1</v>
      </c>
      <c r="BR1046" t="s">
        <v>1686</v>
      </c>
      <c r="BS1046" t="s">
        <v>1864</v>
      </c>
      <c r="BT1046" t="b">
        <v>0</v>
      </c>
      <c r="BU1046" t="s">
        <v>1669</v>
      </c>
      <c r="BV1046" t="s">
        <v>1668</v>
      </c>
      <c r="BW1046">
        <v>2851</v>
      </c>
      <c r="BY1046">
        <v>163152</v>
      </c>
      <c r="BZ1046" t="s">
        <v>1762</v>
      </c>
      <c r="CA1046">
        <v>1</v>
      </c>
      <c r="CB1046" t="b">
        <v>1</v>
      </c>
      <c r="CC1046">
        <v>0</v>
      </c>
      <c r="CD1046" t="b">
        <v>0</v>
      </c>
      <c r="CE1046" t="b">
        <v>0</v>
      </c>
      <c r="CF1046" t="b">
        <v>1</v>
      </c>
      <c r="CG1046">
        <v>2671629</v>
      </c>
      <c r="CH1046" t="s">
        <v>1681</v>
      </c>
      <c r="CI1046" s="10">
        <v>589000</v>
      </c>
      <c r="CJ1046" s="7">
        <v>38428</v>
      </c>
    </row>
    <row r="1047" spans="1:89">
      <c r="A1047">
        <v>28009467</v>
      </c>
      <c r="B1047" s="2" t="str">
        <f>HYPERLINK("http://www.redfin.com/stingray/do/printable-listing?listing-id=1405456","Active")</f>
        <v>Active</v>
      </c>
      <c r="D1047" t="s">
        <v>4710</v>
      </c>
      <c r="E1047" t="s">
        <v>5064</v>
      </c>
      <c r="F1047">
        <v>870000</v>
      </c>
      <c r="G1047">
        <v>2007</v>
      </c>
      <c r="H1047">
        <v>1954</v>
      </c>
      <c r="I1047">
        <v>0</v>
      </c>
      <c r="J1047">
        <v>2</v>
      </c>
      <c r="K1047">
        <v>2.5</v>
      </c>
      <c r="M1047" s="2" t="str">
        <f>HYPERLINK("http://maps.live.com/default.aspx?v=2&amp;lvl=15&amp;sp=Point.47.621237_-122.198895_10590 NE 12th St&amp;cp=47.621237~-122.198895","Map")</f>
        <v>Map</v>
      </c>
      <c r="N1047" s="2" t="str">
        <f>HYPERLINK("http://i-0.rfimg.us/photo/1/bigphoto/467/28009467_0.jpg","Photo")</f>
        <v>Photo</v>
      </c>
      <c r="AG1047">
        <v>47.621237000000001</v>
      </c>
      <c r="AH1047">
        <v>-122.19889499999999</v>
      </c>
      <c r="AI1047" t="s">
        <v>369</v>
      </c>
      <c r="AJ1047">
        <v>98004</v>
      </c>
      <c r="AN1047">
        <v>925000</v>
      </c>
      <c r="BC1047" s="22">
        <v>39463.658449074072</v>
      </c>
      <c r="BI1047" s="22">
        <v>39549.294907407406</v>
      </c>
      <c r="BL1047">
        <v>17400</v>
      </c>
      <c r="BM1047">
        <v>1405456</v>
      </c>
      <c r="BN1047" t="s">
        <v>4138</v>
      </c>
      <c r="BO1047" s="17">
        <f t="shared" ca="1" si="16"/>
        <v>85.650956828707422</v>
      </c>
      <c r="BP1047" t="b">
        <v>0</v>
      </c>
      <c r="BQ1047">
        <v>1</v>
      </c>
      <c r="BR1047" t="s">
        <v>1686</v>
      </c>
      <c r="BS1047" t="s">
        <v>1803</v>
      </c>
      <c r="BT1047" t="b">
        <v>0</v>
      </c>
      <c r="BU1047" t="s">
        <v>1738</v>
      </c>
      <c r="BV1047" t="s">
        <v>1668</v>
      </c>
      <c r="BW1047">
        <v>10590</v>
      </c>
      <c r="BY1047">
        <v>12307211</v>
      </c>
      <c r="BZ1047" t="s">
        <v>1713</v>
      </c>
      <c r="CA1047">
        <v>1</v>
      </c>
      <c r="CB1047" t="b">
        <v>1</v>
      </c>
      <c r="CC1047">
        <v>0</v>
      </c>
      <c r="CD1047" t="b">
        <v>0</v>
      </c>
      <c r="CE1047" t="b">
        <v>0</v>
      </c>
      <c r="CF1047" t="b">
        <v>1</v>
      </c>
      <c r="CG1047">
        <v>15514143</v>
      </c>
      <c r="CH1047" t="s">
        <v>1681</v>
      </c>
      <c r="CI1047" s="10">
        <v>870000</v>
      </c>
      <c r="CJ1047" s="7">
        <v>39490</v>
      </c>
    </row>
    <row r="1048" spans="1:89">
      <c r="A1048">
        <v>28009520</v>
      </c>
      <c r="B1048" s="2" t="str">
        <f>HYPERLINK("http://www.redfin.com/stingray/do/printable-listing?listing-id=1405672","Active")</f>
        <v>Active</v>
      </c>
      <c r="D1048" t="s">
        <v>88</v>
      </c>
      <c r="E1048" t="s">
        <v>1834</v>
      </c>
      <c r="F1048">
        <v>439990</v>
      </c>
      <c r="G1048">
        <v>2007</v>
      </c>
      <c r="H1048">
        <v>912</v>
      </c>
      <c r="I1048">
        <v>0</v>
      </c>
      <c r="J1048">
        <v>1</v>
      </c>
      <c r="K1048">
        <v>1.5</v>
      </c>
      <c r="M1048" s="2" t="str">
        <f>HYPERLINK("http://maps.live.com/default.aspx?v=2&amp;lvl=15&amp;sp=Point.47.678846_-122.355503_6801 Greenwood Ave N n410&amp;cp=47.678846~-122.355503","Map")</f>
        <v>Map</v>
      </c>
      <c r="N1048" s="2" t="str">
        <f>HYPERLINK("http://i-0.rfimg.us/photo/1/bigphoto/520/28009520_0.jpg","Photo")</f>
        <v>Photo</v>
      </c>
      <c r="AG1048">
        <v>47.678846</v>
      </c>
      <c r="AH1048">
        <v>-122.355503</v>
      </c>
      <c r="AI1048" t="s">
        <v>66</v>
      </c>
      <c r="AJ1048">
        <v>98103</v>
      </c>
      <c r="AM1048" t="s">
        <v>1835</v>
      </c>
      <c r="BC1048" s="22">
        <v>39463.666215277779</v>
      </c>
      <c r="BI1048" s="7">
        <v>39530</v>
      </c>
      <c r="BL1048">
        <v>8800</v>
      </c>
      <c r="BM1048">
        <v>1405672</v>
      </c>
      <c r="BN1048" t="s">
        <v>1833</v>
      </c>
      <c r="BO1048" s="17">
        <f t="shared" ca="1" si="16"/>
        <v>85.643190740738646</v>
      </c>
      <c r="BP1048" t="b">
        <v>0</v>
      </c>
      <c r="BQ1048">
        <v>1</v>
      </c>
      <c r="BR1048" t="s">
        <v>1667</v>
      </c>
      <c r="BS1048" t="s">
        <v>55</v>
      </c>
      <c r="BT1048" t="b">
        <v>0</v>
      </c>
      <c r="BV1048" t="s">
        <v>1668</v>
      </c>
      <c r="BW1048">
        <v>6801</v>
      </c>
      <c r="BX1048" t="s">
        <v>1712</v>
      </c>
      <c r="BY1048">
        <v>11906825</v>
      </c>
      <c r="BZ1048" t="s">
        <v>1743</v>
      </c>
      <c r="CA1048">
        <v>1</v>
      </c>
      <c r="CB1048" t="b">
        <v>1</v>
      </c>
      <c r="CC1048">
        <v>0</v>
      </c>
      <c r="CD1048" t="b">
        <v>0</v>
      </c>
      <c r="CE1048" t="b">
        <v>0</v>
      </c>
      <c r="CF1048" t="b">
        <v>1</v>
      </c>
      <c r="CG1048">
        <v>15161045</v>
      </c>
      <c r="CH1048" t="s">
        <v>1666</v>
      </c>
      <c r="CI1048" s="10">
        <v>439990</v>
      </c>
      <c r="CK1048" t="s">
        <v>1998</v>
      </c>
    </row>
    <row r="1049" spans="1:89">
      <c r="A1049">
        <v>28009525</v>
      </c>
      <c r="B1049" s="2" t="str">
        <f>HYPERLINK("http://www.redfin.com/stingray/do/printable-listing?listing-id=1405383","Active")</f>
        <v>Active</v>
      </c>
      <c r="D1049" t="s">
        <v>2850</v>
      </c>
      <c r="E1049" t="s">
        <v>4608</v>
      </c>
      <c r="F1049">
        <v>459000</v>
      </c>
      <c r="G1049">
        <v>1994</v>
      </c>
      <c r="H1049">
        <v>1900</v>
      </c>
      <c r="I1049">
        <v>5164</v>
      </c>
      <c r="J1049">
        <v>3</v>
      </c>
      <c r="K1049">
        <v>2.5</v>
      </c>
      <c r="M1049" s="2" t="str">
        <f>HYPERLINK("http://maps.live.com/default.aspx?v=2&amp;lvl=15&amp;sp=Point.47.712536_-122.233453_8106 NE 125th St&amp;cp=47.712536~-122.233453","Map")</f>
        <v>Map</v>
      </c>
      <c r="N1049" s="2" t="str">
        <f>HYPERLINK("http://i-0.rfimg.us/photo/1/bigphoto/525/28009525_0.jpg","Photo")</f>
        <v>Photo</v>
      </c>
      <c r="AG1049">
        <v>47.712536</v>
      </c>
      <c r="AH1049">
        <v>-122.233453</v>
      </c>
      <c r="AI1049" t="s">
        <v>1058</v>
      </c>
      <c r="AJ1049">
        <v>98034</v>
      </c>
      <c r="AN1049">
        <v>415000</v>
      </c>
      <c r="BC1049" s="22">
        <v>39463.655092592591</v>
      </c>
      <c r="BI1049" s="22">
        <v>39549.294907407406</v>
      </c>
      <c r="BL1049">
        <v>9180</v>
      </c>
      <c r="BM1049">
        <v>1405383</v>
      </c>
      <c r="BN1049" t="s">
        <v>1737</v>
      </c>
      <c r="BO1049" s="17">
        <f t="shared" ca="1" si="16"/>
        <v>85.654313310187717</v>
      </c>
      <c r="BP1049" t="b">
        <v>0</v>
      </c>
      <c r="BQ1049">
        <v>1</v>
      </c>
      <c r="BR1049" t="s">
        <v>1686</v>
      </c>
      <c r="BS1049" t="s">
        <v>2677</v>
      </c>
      <c r="BT1049" t="b">
        <v>0</v>
      </c>
      <c r="BU1049" t="s">
        <v>1738</v>
      </c>
      <c r="BV1049" t="s">
        <v>1668</v>
      </c>
      <c r="BW1049">
        <v>8106</v>
      </c>
      <c r="BY1049">
        <v>275401</v>
      </c>
      <c r="BZ1049" t="s">
        <v>1696</v>
      </c>
      <c r="CA1049">
        <v>1</v>
      </c>
      <c r="CB1049" t="b">
        <v>1</v>
      </c>
      <c r="CC1049">
        <v>0</v>
      </c>
      <c r="CD1049" t="b">
        <v>0</v>
      </c>
      <c r="CE1049" t="b">
        <v>0</v>
      </c>
      <c r="CF1049" t="b">
        <v>1</v>
      </c>
      <c r="CG1049">
        <v>2886853</v>
      </c>
      <c r="CH1049" t="s">
        <v>1681</v>
      </c>
      <c r="CI1049" s="10">
        <v>459000</v>
      </c>
      <c r="CJ1049" s="7">
        <v>38632</v>
      </c>
    </row>
    <row r="1050" spans="1:89">
      <c r="A1050">
        <v>28009527</v>
      </c>
      <c r="B1050" s="2" t="str">
        <f>HYPERLINK("http://www.redfin.com/stingray/do/printable-listing?listing-id=1405542","Active")</f>
        <v>Active</v>
      </c>
      <c r="D1050" t="s">
        <v>3064</v>
      </c>
      <c r="E1050" t="s">
        <v>6094</v>
      </c>
      <c r="F1050">
        <v>519950</v>
      </c>
      <c r="G1050">
        <v>2008</v>
      </c>
      <c r="H1050">
        <v>3100</v>
      </c>
      <c r="I1050">
        <v>4325</v>
      </c>
      <c r="J1050">
        <v>4</v>
      </c>
      <c r="K1050">
        <v>3.5</v>
      </c>
      <c r="M1050" s="2" t="str">
        <f>HYPERLINK("http://maps.live.com/default.aspx?v=2&amp;lvl=15&amp;sp=Point.47.4912_-122.1541_1363 Elma Pl NE&amp;cp=47.4912~-122.1541","Map")</f>
        <v>Map</v>
      </c>
      <c r="N1050" s="2" t="str">
        <f>HYPERLINK("http://i-0.rfimg.us/photo/1/bigphoto/527/28009527_1.jpg","Photo")</f>
        <v>Photo</v>
      </c>
      <c r="AG1050">
        <v>47.491199999999999</v>
      </c>
      <c r="AH1050">
        <v>-122.1541</v>
      </c>
      <c r="AI1050" t="s">
        <v>1077</v>
      </c>
      <c r="AJ1050">
        <v>98059</v>
      </c>
      <c r="BC1050" s="22">
        <v>39463.66070601852</v>
      </c>
      <c r="BI1050" s="7">
        <v>39535</v>
      </c>
      <c r="BL1050">
        <v>10399</v>
      </c>
      <c r="BM1050">
        <v>1405542</v>
      </c>
      <c r="BN1050" t="s">
        <v>6076</v>
      </c>
      <c r="BO1050" s="17">
        <f t="shared" ca="1" si="16"/>
        <v>85.648699884259258</v>
      </c>
      <c r="BP1050" t="b">
        <v>0</v>
      </c>
      <c r="BQ1050">
        <v>1</v>
      </c>
      <c r="BR1050" t="s">
        <v>1842</v>
      </c>
      <c r="BS1050" t="s">
        <v>6063</v>
      </c>
      <c r="BT1050" t="b">
        <v>0</v>
      </c>
      <c r="BV1050" t="s">
        <v>1668</v>
      </c>
      <c r="BW1050">
        <v>1363</v>
      </c>
      <c r="BX1050" t="s">
        <v>1738</v>
      </c>
      <c r="BY1050">
        <v>12328752</v>
      </c>
      <c r="BZ1050" t="s">
        <v>1679</v>
      </c>
      <c r="CA1050">
        <v>1</v>
      </c>
      <c r="CB1050" t="b">
        <v>1</v>
      </c>
      <c r="CC1050">
        <v>0</v>
      </c>
      <c r="CD1050" t="b">
        <v>0</v>
      </c>
      <c r="CE1050" t="b">
        <v>0</v>
      </c>
      <c r="CF1050" t="b">
        <v>1</v>
      </c>
      <c r="CG1050">
        <v>15615982</v>
      </c>
      <c r="CH1050" t="s">
        <v>1681</v>
      </c>
      <c r="CI1050" s="10">
        <v>519950</v>
      </c>
    </row>
    <row r="1051" spans="1:89">
      <c r="A1051">
        <v>28009564</v>
      </c>
      <c r="B1051" s="15" t="str">
        <f>HYPERLINK("http://www.redfin.com/stingray/do/printable-listing?listing-id=1405471","Subject To Inspection")</f>
        <v>Subject To Inspection</v>
      </c>
      <c r="D1051" t="s">
        <v>3089</v>
      </c>
      <c r="E1051" t="s">
        <v>3693</v>
      </c>
      <c r="F1051">
        <v>775000</v>
      </c>
      <c r="G1051">
        <v>1927</v>
      </c>
      <c r="H1051">
        <v>2460</v>
      </c>
      <c r="I1051">
        <v>4000</v>
      </c>
      <c r="J1051">
        <v>3</v>
      </c>
      <c r="K1051">
        <v>1.75</v>
      </c>
      <c r="M1051" s="2" t="str">
        <f>HYPERLINK("http://maps.live.com/default.aspx?v=2&amp;lvl=15&amp;sp=Point.47.658159_-122.275158_4833 NE 41st St&amp;cp=47.658159~-122.275158","Map")</f>
        <v>Map</v>
      </c>
      <c r="N1051" s="2" t="str">
        <f>HYPERLINK("http://i-0.rfimg.us/photo/1/bigphoto/564/28009564_2.jpg","Photo")</f>
        <v>Photo</v>
      </c>
      <c r="AG1051">
        <v>47.658158999999998</v>
      </c>
      <c r="AH1051">
        <v>-122.275158</v>
      </c>
      <c r="AI1051" t="s">
        <v>66</v>
      </c>
      <c r="AJ1051">
        <v>98105</v>
      </c>
      <c r="AN1051">
        <v>575000</v>
      </c>
      <c r="BC1051" s="22">
        <v>39463.658946759257</v>
      </c>
      <c r="BI1051" s="22">
        <v>39549.294907407406</v>
      </c>
      <c r="BL1051">
        <v>15500</v>
      </c>
      <c r="BM1051">
        <v>1405471</v>
      </c>
      <c r="BN1051" t="s">
        <v>1710</v>
      </c>
      <c r="BO1051" s="17">
        <f t="shared" ca="1" si="16"/>
        <v>85.650459143522312</v>
      </c>
      <c r="BP1051" t="b">
        <v>0</v>
      </c>
      <c r="BQ1051">
        <v>1</v>
      </c>
      <c r="BR1051" t="s">
        <v>1686</v>
      </c>
      <c r="BS1051" t="s">
        <v>3222</v>
      </c>
      <c r="BT1051" t="b">
        <v>0</v>
      </c>
      <c r="BU1051" t="s">
        <v>1738</v>
      </c>
      <c r="BV1051" t="s">
        <v>1668</v>
      </c>
      <c r="BW1051">
        <v>4833</v>
      </c>
      <c r="BY1051">
        <v>121770</v>
      </c>
      <c r="BZ1051" t="s">
        <v>3694</v>
      </c>
      <c r="CA1051">
        <v>1</v>
      </c>
      <c r="CB1051" t="b">
        <v>1</v>
      </c>
      <c r="CC1051">
        <v>0</v>
      </c>
      <c r="CD1051" t="b">
        <v>0</v>
      </c>
      <c r="CE1051" t="b">
        <v>0</v>
      </c>
      <c r="CF1051" t="b">
        <v>1</v>
      </c>
      <c r="CG1051">
        <v>2678689</v>
      </c>
      <c r="CH1051" t="s">
        <v>1681</v>
      </c>
      <c r="CI1051" s="10">
        <v>775000</v>
      </c>
      <c r="CJ1051" s="7">
        <v>37410</v>
      </c>
    </row>
    <row r="1052" spans="1:89">
      <c r="A1052">
        <v>28009571</v>
      </c>
      <c r="B1052" s="2" t="str">
        <f>HYPERLINK("http://www.redfin.com/stingray/do/printable-listing?listing-id=1429164","Active")</f>
        <v>Active</v>
      </c>
      <c r="D1052" t="s">
        <v>4777</v>
      </c>
      <c r="E1052" t="s">
        <v>4971</v>
      </c>
      <c r="F1052">
        <v>949500</v>
      </c>
      <c r="G1052">
        <v>1998</v>
      </c>
      <c r="H1052">
        <v>2591</v>
      </c>
      <c r="I1052">
        <v>0</v>
      </c>
      <c r="J1052">
        <v>2</v>
      </c>
      <c r="K1052">
        <v>2.5</v>
      </c>
      <c r="M1052" s="2" t="str">
        <f>HYPERLINK("http://maps.live.com/default.aspx?v=2&amp;lvl=15&amp;sp=Point.47.662337_-122.204198_10212 NE 62nd St&amp;cp=47.662337~-122.204198","Map")</f>
        <v>Map</v>
      </c>
      <c r="N1052" s="2" t="str">
        <f>HYPERLINK("http://i-0.rfimg.us/photo/1/bigphoto/571/28009571_0.jpg","Photo")</f>
        <v>Photo</v>
      </c>
      <c r="AG1052">
        <v>47.662337000000001</v>
      </c>
      <c r="AH1052">
        <v>-122.20419800000001</v>
      </c>
      <c r="AI1052" t="s">
        <v>1058</v>
      </c>
      <c r="AJ1052">
        <v>98033</v>
      </c>
      <c r="BC1052" s="22">
        <v>39472.518773148149</v>
      </c>
      <c r="BI1052" s="22">
        <v>39549.294907407406</v>
      </c>
      <c r="BL1052">
        <v>18990</v>
      </c>
      <c r="BM1052">
        <v>1429164</v>
      </c>
      <c r="BN1052" t="s">
        <v>1768</v>
      </c>
      <c r="BO1052" s="17">
        <f t="shared" ca="1" si="16"/>
        <v>76.790632754629769</v>
      </c>
      <c r="BP1052" t="b">
        <v>0</v>
      </c>
      <c r="BQ1052">
        <v>1</v>
      </c>
      <c r="BR1052" t="s">
        <v>1686</v>
      </c>
      <c r="BS1052" t="s">
        <v>2565</v>
      </c>
      <c r="BT1052" t="b">
        <v>0</v>
      </c>
      <c r="BU1052" t="s">
        <v>1738</v>
      </c>
      <c r="BV1052" t="s">
        <v>1668</v>
      </c>
      <c r="BW1052">
        <v>10212</v>
      </c>
      <c r="BY1052">
        <v>12369012</v>
      </c>
      <c r="BZ1052" t="s">
        <v>1672</v>
      </c>
      <c r="CA1052">
        <v>1</v>
      </c>
      <c r="CB1052" t="b">
        <v>1</v>
      </c>
      <c r="CC1052">
        <v>0</v>
      </c>
      <c r="CD1052" t="b">
        <v>0</v>
      </c>
      <c r="CE1052" t="b">
        <v>0</v>
      </c>
      <c r="CF1052" t="b">
        <v>1</v>
      </c>
      <c r="CG1052">
        <v>15572760</v>
      </c>
      <c r="CH1052" t="s">
        <v>1681</v>
      </c>
      <c r="CI1052" s="10">
        <v>949500</v>
      </c>
    </row>
    <row r="1053" spans="1:89">
      <c r="A1053">
        <v>28009574</v>
      </c>
      <c r="B1053" s="2" t="str">
        <f>HYPERLINK("http://www.redfin.com/stingray/do/printable-listing?listing-id=1405087","Active")</f>
        <v>Active</v>
      </c>
      <c r="D1053" t="s">
        <v>2552</v>
      </c>
      <c r="E1053" t="s">
        <v>3410</v>
      </c>
      <c r="F1053">
        <v>675000</v>
      </c>
      <c r="G1053">
        <v>1994</v>
      </c>
      <c r="H1053">
        <v>2270</v>
      </c>
      <c r="I1053">
        <v>5475</v>
      </c>
      <c r="J1053">
        <v>4</v>
      </c>
      <c r="K1053">
        <v>3</v>
      </c>
      <c r="M1053" s="2" t="str">
        <f>HYPERLINK("http://maps.live.com/default.aspx?v=2&amp;lvl=15&amp;sp=Point.47.653303_-122.386544_3641 23rd Ave W&amp;cp=47.653303~-122.386544","Map")</f>
        <v>Map</v>
      </c>
      <c r="N1053" s="2" t="str">
        <f>HYPERLINK("http://i-0.rfimg.us/photo/1/bigphoto/574/28009574_0.jpg","Photo")</f>
        <v>Photo</v>
      </c>
      <c r="AG1053">
        <v>47.653303000000001</v>
      </c>
      <c r="AH1053">
        <v>-122.386544</v>
      </c>
      <c r="AI1053" t="s">
        <v>66</v>
      </c>
      <c r="AJ1053">
        <v>98199</v>
      </c>
      <c r="AN1053">
        <v>380000</v>
      </c>
      <c r="BC1053" s="22">
        <v>39463.641574074078</v>
      </c>
      <c r="BI1053" s="22">
        <v>39549.294907407406</v>
      </c>
      <c r="BL1053">
        <v>13500</v>
      </c>
      <c r="BM1053">
        <v>1405087</v>
      </c>
      <c r="BN1053" t="s">
        <v>1702</v>
      </c>
      <c r="BO1053" s="17">
        <f t="shared" ca="1" si="16"/>
        <v>85.66783182870131</v>
      </c>
      <c r="BP1053" t="b">
        <v>0</v>
      </c>
      <c r="BQ1053">
        <v>1</v>
      </c>
      <c r="BR1053" t="s">
        <v>1667</v>
      </c>
      <c r="BS1053" t="s">
        <v>1839</v>
      </c>
      <c r="BT1053" t="b">
        <v>0</v>
      </c>
      <c r="BV1053" t="s">
        <v>1668</v>
      </c>
      <c r="BW1053">
        <v>3641</v>
      </c>
      <c r="BX1053" t="s">
        <v>2423</v>
      </c>
      <c r="BY1053">
        <v>124619</v>
      </c>
      <c r="BZ1053" t="s">
        <v>1672</v>
      </c>
      <c r="CA1053">
        <v>1</v>
      </c>
      <c r="CB1053" t="b">
        <v>1</v>
      </c>
      <c r="CC1053">
        <v>0</v>
      </c>
      <c r="CD1053" t="b">
        <v>0</v>
      </c>
      <c r="CE1053" t="b">
        <v>0</v>
      </c>
      <c r="CF1053" t="b">
        <v>1</v>
      </c>
      <c r="CG1053">
        <v>2540864</v>
      </c>
      <c r="CH1053" t="s">
        <v>1681</v>
      </c>
      <c r="CI1053" s="10">
        <v>675000</v>
      </c>
      <c r="CJ1053" s="7">
        <v>37672</v>
      </c>
    </row>
    <row r="1054" spans="1:89">
      <c r="A1054">
        <v>28009671</v>
      </c>
      <c r="B1054" s="2" t="str">
        <f>HYPERLINK("http://www.redfin.com/stingray/do/printable-listing?listing-id=1405501","Active")</f>
        <v>Active</v>
      </c>
      <c r="D1054" t="s">
        <v>4180</v>
      </c>
      <c r="E1054" t="s">
        <v>4179</v>
      </c>
      <c r="F1054">
        <v>416000</v>
      </c>
      <c r="G1054">
        <v>2006</v>
      </c>
      <c r="H1054">
        <v>1340</v>
      </c>
      <c r="I1054">
        <v>1464</v>
      </c>
      <c r="J1054">
        <v>2</v>
      </c>
      <c r="K1054">
        <v>1.5</v>
      </c>
      <c r="M1054" s="2" t="str">
        <f>HYPERLINK("http://maps.live.com/default.aspx?v=2&amp;lvl=15&amp;sp=Point.47.6005_-122.301_2813 24th Ave S&amp;cp=47.6005~-122.301","Map")</f>
        <v>Map</v>
      </c>
      <c r="N1054" s="2" t="str">
        <f>HYPERLINK("http://i-0.rfimg.us/photo/1/bigphoto/671/28009671_0.jpg","Photo")</f>
        <v>Photo</v>
      </c>
      <c r="AG1054">
        <v>47.600499999999997</v>
      </c>
      <c r="AH1054">
        <v>-122.301</v>
      </c>
      <c r="AI1054" t="s">
        <v>66</v>
      </c>
      <c r="AJ1054">
        <v>98144</v>
      </c>
      <c r="BC1054" s="22">
        <v>39463.660104166665</v>
      </c>
      <c r="BI1054" s="22">
        <v>39549.294907407406</v>
      </c>
      <c r="BL1054">
        <v>8320</v>
      </c>
      <c r="BM1054">
        <v>1405501</v>
      </c>
      <c r="BN1054" t="s">
        <v>1746</v>
      </c>
      <c r="BO1054" s="17">
        <f t="shared" ca="1" si="16"/>
        <v>85.649301736113557</v>
      </c>
      <c r="BP1054" t="b">
        <v>0</v>
      </c>
      <c r="BQ1054">
        <v>1</v>
      </c>
      <c r="BR1054" t="s">
        <v>1667</v>
      </c>
      <c r="BS1054" t="s">
        <v>1740</v>
      </c>
      <c r="BT1054" t="b">
        <v>0</v>
      </c>
      <c r="BV1054" t="s">
        <v>1668</v>
      </c>
      <c r="BW1054">
        <v>2813</v>
      </c>
      <c r="BX1054" t="s">
        <v>1881</v>
      </c>
      <c r="BY1054">
        <v>12196492</v>
      </c>
      <c r="BZ1054" t="s">
        <v>1672</v>
      </c>
      <c r="CA1054">
        <v>1</v>
      </c>
      <c r="CB1054" t="b">
        <v>1</v>
      </c>
      <c r="CC1054">
        <v>0</v>
      </c>
      <c r="CD1054" t="b">
        <v>0</v>
      </c>
      <c r="CE1054" t="b">
        <v>0</v>
      </c>
      <c r="CF1054" t="b">
        <v>1</v>
      </c>
      <c r="CG1054">
        <v>15425784</v>
      </c>
      <c r="CH1054" t="s">
        <v>1681</v>
      </c>
      <c r="CI1054" s="10">
        <v>416000</v>
      </c>
    </row>
    <row r="1055" spans="1:89">
      <c r="A1055">
        <v>28009725</v>
      </c>
      <c r="B1055" s="2" t="str">
        <f>HYPERLINK("http://www.redfin.com/stingray/do/printable-listing?listing-id=1405439","Active")</f>
        <v>Active</v>
      </c>
      <c r="D1055" t="s">
        <v>218</v>
      </c>
      <c r="E1055" t="s">
        <v>3164</v>
      </c>
      <c r="F1055">
        <v>949000</v>
      </c>
      <c r="G1055">
        <v>2007</v>
      </c>
      <c r="H1055">
        <v>0</v>
      </c>
      <c r="I1055">
        <v>0</v>
      </c>
      <c r="J1055">
        <v>4</v>
      </c>
      <c r="K1055">
        <v>3.5</v>
      </c>
      <c r="M1055" s="2" t="str">
        <f>HYPERLINK("http://maps.live.com/default.aspx?v=2&amp;lvl=15&amp;sp=Point.47.679007_-122.310181_6847 17th Ave NE&amp;cp=47.679007~-122.310181","Map")</f>
        <v>Map</v>
      </c>
      <c r="N1055" s="2" t="str">
        <f>HYPERLINK("http://i-0.rfimg.us/photo/1/bigphoto/725/28009725_5.jpg","Photo")</f>
        <v>Photo</v>
      </c>
      <c r="AG1055">
        <v>47.679006999999999</v>
      </c>
      <c r="AH1055">
        <v>-122.310181</v>
      </c>
      <c r="AI1055" t="s">
        <v>66</v>
      </c>
      <c r="AJ1055">
        <v>98115</v>
      </c>
      <c r="AN1055">
        <v>565000</v>
      </c>
      <c r="BC1055" s="22">
        <v>39463.657222222224</v>
      </c>
      <c r="BI1055" s="22">
        <v>39549.294907407406</v>
      </c>
      <c r="BL1055">
        <v>18980</v>
      </c>
      <c r="BM1055">
        <v>1405439</v>
      </c>
      <c r="BN1055" t="s">
        <v>1693</v>
      </c>
      <c r="BO1055" s="17">
        <f t="shared" ca="1" si="16"/>
        <v>85.652183680555027</v>
      </c>
      <c r="BP1055" t="b">
        <v>0</v>
      </c>
      <c r="BQ1055">
        <v>1</v>
      </c>
      <c r="BR1055" t="s">
        <v>1667</v>
      </c>
      <c r="BS1055" t="s">
        <v>1683</v>
      </c>
      <c r="BT1055" t="b">
        <v>0</v>
      </c>
      <c r="BV1055" t="s">
        <v>1668</v>
      </c>
      <c r="BW1055">
        <v>6847</v>
      </c>
      <c r="BX1055" t="s">
        <v>1738</v>
      </c>
      <c r="BY1055">
        <v>309365</v>
      </c>
      <c r="BZ1055" t="s">
        <v>3165</v>
      </c>
      <c r="CA1055">
        <v>1</v>
      </c>
      <c r="CB1055" t="b">
        <v>1</v>
      </c>
      <c r="CC1055">
        <v>0</v>
      </c>
      <c r="CD1055" t="b">
        <v>0</v>
      </c>
      <c r="CE1055" t="b">
        <v>0</v>
      </c>
      <c r="CF1055" t="b">
        <v>1</v>
      </c>
      <c r="CG1055">
        <v>2429039</v>
      </c>
      <c r="CH1055" t="s">
        <v>1681</v>
      </c>
      <c r="CI1055" s="10">
        <v>949000</v>
      </c>
      <c r="CJ1055" s="7">
        <v>38912</v>
      </c>
    </row>
    <row r="1056" spans="1:89">
      <c r="A1056">
        <v>28009732</v>
      </c>
      <c r="B1056" s="2" t="str">
        <f>HYPERLINK("http://www.redfin.com/stingray/do/printable-listing?listing-id=1405494","Active")</f>
        <v>Active</v>
      </c>
      <c r="D1056" t="s">
        <v>5490</v>
      </c>
      <c r="E1056" t="s">
        <v>5681</v>
      </c>
      <c r="F1056">
        <v>1195555</v>
      </c>
      <c r="G1056">
        <v>1995</v>
      </c>
      <c r="H1056">
        <v>4860</v>
      </c>
      <c r="I1056">
        <v>15000</v>
      </c>
      <c r="J1056">
        <v>6</v>
      </c>
      <c r="K1056">
        <v>4.5</v>
      </c>
      <c r="M1056" s="2" t="str">
        <f>HYPERLINK("http://maps.live.com/default.aspx?v=2&amp;lvl=15&amp;sp=Point.47.550598_-122.12103_16410 SE 58th Pl&amp;cp=47.550598~-122.12103","Map")</f>
        <v>Map</v>
      </c>
      <c r="N1056" s="2" t="str">
        <f>HYPERLINK("http://i-0.rfimg.us/photo/1/bigphoto/732/28009732_2.jpg","Photo")</f>
        <v>Photo</v>
      </c>
      <c r="AG1056">
        <v>47.550598000000001</v>
      </c>
      <c r="AH1056">
        <v>-122.12103</v>
      </c>
      <c r="AI1056" t="s">
        <v>369</v>
      </c>
      <c r="AJ1056">
        <v>98006</v>
      </c>
      <c r="AN1056">
        <v>725000</v>
      </c>
      <c r="BC1056" s="22">
        <v>39463.659849537034</v>
      </c>
      <c r="BI1056" s="22">
        <v>39549.294907407406</v>
      </c>
      <c r="BL1056">
        <v>23911</v>
      </c>
      <c r="BM1056">
        <v>1405494</v>
      </c>
      <c r="BN1056" t="s">
        <v>3236</v>
      </c>
      <c r="BO1056" s="17">
        <f t="shared" ca="1" si="16"/>
        <v>85.649556365744502</v>
      </c>
      <c r="BP1056" t="b">
        <v>0</v>
      </c>
      <c r="BQ1056">
        <v>1</v>
      </c>
      <c r="BR1056" t="s">
        <v>1842</v>
      </c>
      <c r="BS1056" t="s">
        <v>2490</v>
      </c>
      <c r="BT1056" t="b">
        <v>0</v>
      </c>
      <c r="BU1056" t="s">
        <v>3856</v>
      </c>
      <c r="BV1056" t="s">
        <v>1668</v>
      </c>
      <c r="BW1056">
        <v>16410</v>
      </c>
      <c r="BY1056">
        <v>419177</v>
      </c>
      <c r="BZ1056" t="s">
        <v>1730</v>
      </c>
      <c r="CA1056">
        <v>1</v>
      </c>
      <c r="CB1056" t="b">
        <v>1</v>
      </c>
      <c r="CC1056">
        <v>0</v>
      </c>
      <c r="CD1056" t="b">
        <v>0</v>
      </c>
      <c r="CE1056" t="b">
        <v>0</v>
      </c>
      <c r="CF1056" t="b">
        <v>1</v>
      </c>
      <c r="CG1056">
        <v>2771737</v>
      </c>
      <c r="CH1056" t="s">
        <v>1681</v>
      </c>
      <c r="CI1056" s="10">
        <v>1195555</v>
      </c>
      <c r="CJ1056" s="7">
        <v>36474</v>
      </c>
    </row>
    <row r="1057" spans="1:88">
      <c r="A1057">
        <v>28009831</v>
      </c>
      <c r="B1057" s="2" t="str">
        <f>HYPERLINK("http://www.redfin.com/stingray/do/printable-listing?listing-id=1405498","Active")</f>
        <v>Active</v>
      </c>
      <c r="D1057" t="s">
        <v>3071</v>
      </c>
      <c r="E1057" t="s">
        <v>4519</v>
      </c>
      <c r="F1057">
        <v>469950</v>
      </c>
      <c r="G1057">
        <v>1963</v>
      </c>
      <c r="H1057">
        <v>1940</v>
      </c>
      <c r="I1057">
        <v>9514</v>
      </c>
      <c r="J1057">
        <v>3</v>
      </c>
      <c r="K1057">
        <v>1.75</v>
      </c>
      <c r="M1057" s="2" t="str">
        <f>HYPERLINK("http://maps.live.com/default.aspx?v=2&amp;lvl=15&amp;sp=Point.47.72589_-122.228985_8404 NE 139 St&amp;cp=47.72589~-122.228985","Map")</f>
        <v>Map</v>
      </c>
      <c r="N1057" s="2" t="str">
        <f>HYPERLINK("http://i-0.rfimg.us/photo/1/bigphoto/831/28009831_0.jpg","Photo")</f>
        <v>Photo</v>
      </c>
      <c r="AG1057">
        <v>47.72589</v>
      </c>
      <c r="AH1057">
        <v>-122.22898499999999</v>
      </c>
      <c r="AI1057" t="s">
        <v>1058</v>
      </c>
      <c r="AJ1057">
        <v>98034</v>
      </c>
      <c r="AN1057">
        <v>171000</v>
      </c>
      <c r="BC1057" s="22">
        <v>39463.660000000003</v>
      </c>
      <c r="BI1057" s="22">
        <v>39549.294907407406</v>
      </c>
      <c r="BL1057">
        <v>9399</v>
      </c>
      <c r="BM1057">
        <v>1405498</v>
      </c>
      <c r="BN1057" t="s">
        <v>3611</v>
      </c>
      <c r="BO1057" s="17">
        <f t="shared" ca="1" si="16"/>
        <v>85.64940590277547</v>
      </c>
      <c r="BP1057" t="b">
        <v>0</v>
      </c>
      <c r="BQ1057">
        <v>1</v>
      </c>
      <c r="BR1057" t="s">
        <v>1686</v>
      </c>
      <c r="BS1057">
        <v>139</v>
      </c>
      <c r="BT1057" t="b">
        <v>0</v>
      </c>
      <c r="BU1057" t="s">
        <v>1738</v>
      </c>
      <c r="BV1057" t="s">
        <v>1668</v>
      </c>
      <c r="BW1057">
        <v>8404</v>
      </c>
      <c r="BY1057">
        <v>279528</v>
      </c>
      <c r="BZ1057" t="s">
        <v>1672</v>
      </c>
      <c r="CA1057">
        <v>1</v>
      </c>
      <c r="CB1057" t="b">
        <v>1</v>
      </c>
      <c r="CC1057">
        <v>0</v>
      </c>
      <c r="CD1057" t="b">
        <v>0</v>
      </c>
      <c r="CE1057" t="b">
        <v>0</v>
      </c>
      <c r="CF1057" t="b">
        <v>1</v>
      </c>
      <c r="CG1057">
        <v>2544918</v>
      </c>
      <c r="CH1057" t="s">
        <v>1681</v>
      </c>
      <c r="CI1057" s="10">
        <v>469950</v>
      </c>
      <c r="CJ1057" s="7">
        <v>35412</v>
      </c>
    </row>
    <row r="1058" spans="1:88">
      <c r="A1058">
        <v>28009836</v>
      </c>
      <c r="B1058" s="2" t="str">
        <f>HYPERLINK("http://www.redfin.com/stingray/do/printable-listing?listing-id=1405385","Active")</f>
        <v>Active</v>
      </c>
      <c r="D1058" t="s">
        <v>3924</v>
      </c>
      <c r="E1058" t="s">
        <v>4248</v>
      </c>
      <c r="F1058">
        <v>659000</v>
      </c>
      <c r="G1058">
        <v>1912</v>
      </c>
      <c r="H1058">
        <v>0</v>
      </c>
      <c r="I1058">
        <v>0</v>
      </c>
      <c r="J1058">
        <v>3</v>
      </c>
      <c r="K1058">
        <v>1</v>
      </c>
      <c r="M1058" s="2" t="str">
        <f>HYPERLINK("http://maps.live.com/default.aspx?v=2&amp;lvl=15&amp;sp=Point.47.616194_-122.297846_1629 27th Ave&amp;cp=47.616194~-122.297846","Map")</f>
        <v>Map</v>
      </c>
      <c r="N1058" s="2" t="str">
        <f>HYPERLINK("http://i-0.rfimg.us/photo/1/bigphoto/836/28009836_0.jpg","Photo")</f>
        <v>Photo</v>
      </c>
      <c r="AG1058">
        <v>47.616194</v>
      </c>
      <c r="AH1058">
        <v>-122.29784600000001</v>
      </c>
      <c r="AI1058" t="s">
        <v>66</v>
      </c>
      <c r="AJ1058">
        <v>98122</v>
      </c>
      <c r="AN1058">
        <v>113500</v>
      </c>
      <c r="BC1058" s="22">
        <v>39463.655173611114</v>
      </c>
      <c r="BI1058" s="7">
        <v>39539</v>
      </c>
      <c r="BL1058">
        <v>13180</v>
      </c>
      <c r="BM1058">
        <v>1405385</v>
      </c>
      <c r="BN1058" t="s">
        <v>1688</v>
      </c>
      <c r="BO1058" s="17">
        <f t="shared" ca="1" si="16"/>
        <v>85.654232291664812</v>
      </c>
      <c r="BP1058" t="b">
        <v>0</v>
      </c>
      <c r="BQ1058">
        <v>1</v>
      </c>
      <c r="BR1058" t="s">
        <v>1667</v>
      </c>
      <c r="BS1058" t="s">
        <v>1751</v>
      </c>
      <c r="BT1058" t="b">
        <v>0</v>
      </c>
      <c r="BV1058" t="s">
        <v>1668</v>
      </c>
      <c r="BW1058">
        <v>1629</v>
      </c>
      <c r="BY1058">
        <v>146193</v>
      </c>
      <c r="BZ1058" t="s">
        <v>1743</v>
      </c>
      <c r="CA1058">
        <v>1</v>
      </c>
      <c r="CB1058" t="b">
        <v>1</v>
      </c>
      <c r="CC1058">
        <v>0</v>
      </c>
      <c r="CD1058" t="b">
        <v>0</v>
      </c>
      <c r="CE1058" t="b">
        <v>0</v>
      </c>
      <c r="CF1058" t="b">
        <v>1</v>
      </c>
      <c r="CG1058">
        <v>2839295</v>
      </c>
      <c r="CH1058" t="s">
        <v>1681</v>
      </c>
      <c r="CI1058" s="10">
        <v>659000</v>
      </c>
      <c r="CJ1058" s="7">
        <v>33710</v>
      </c>
    </row>
    <row r="1059" spans="1:88">
      <c r="A1059">
        <v>28009863</v>
      </c>
      <c r="B1059" s="2" t="str">
        <f>HYPERLINK("http://www.redfin.com/stingray/do/printable-listing?listing-id=1405325","Active")</f>
        <v>Active</v>
      </c>
      <c r="D1059" t="s">
        <v>1077</v>
      </c>
      <c r="E1059" t="s">
        <v>6150</v>
      </c>
      <c r="F1059">
        <v>659950</v>
      </c>
      <c r="G1059">
        <v>1997</v>
      </c>
      <c r="H1059">
        <v>3450</v>
      </c>
      <c r="I1059">
        <v>7405</v>
      </c>
      <c r="J1059">
        <v>5</v>
      </c>
      <c r="K1059">
        <v>3</v>
      </c>
      <c r="M1059" s="2" t="str">
        <f>HYPERLINK("http://maps.live.com/default.aspx?v=2&amp;lvl=15&amp;sp=Point.47.512281_-122.174975_3426 NE 23 Pl&amp;cp=47.512281~-122.174975","Map")</f>
        <v>Map</v>
      </c>
      <c r="N1059" s="2" t="str">
        <f>HYPERLINK("http://i-0.rfimg.us/photo/1/bigphoto/863/28009863_1.jpg","Photo")</f>
        <v>Photo</v>
      </c>
      <c r="AG1059">
        <v>47.512281000000002</v>
      </c>
      <c r="AH1059">
        <v>-122.174975</v>
      </c>
      <c r="AI1059" t="s">
        <v>1077</v>
      </c>
      <c r="AJ1059">
        <v>98056</v>
      </c>
      <c r="AN1059">
        <v>449000</v>
      </c>
      <c r="BC1059" s="22">
        <v>39463.649837962963</v>
      </c>
      <c r="BI1059" s="22">
        <v>39549.294907407406</v>
      </c>
      <c r="BL1059">
        <v>13199</v>
      </c>
      <c r="BM1059">
        <v>1405325</v>
      </c>
      <c r="BN1059" t="s">
        <v>3023</v>
      </c>
      <c r="BO1059" s="17">
        <f t="shared" ca="1" si="16"/>
        <v>85.659567939816043</v>
      </c>
      <c r="BP1059" t="b">
        <v>0</v>
      </c>
      <c r="BQ1059">
        <v>1</v>
      </c>
      <c r="BR1059" t="s">
        <v>1842</v>
      </c>
      <c r="BS1059">
        <v>23</v>
      </c>
      <c r="BT1059" t="b">
        <v>0</v>
      </c>
      <c r="BU1059" t="s">
        <v>1738</v>
      </c>
      <c r="BV1059" t="s">
        <v>1668</v>
      </c>
      <c r="BW1059">
        <v>3426</v>
      </c>
      <c r="BY1059">
        <v>411396</v>
      </c>
      <c r="BZ1059" t="s">
        <v>2646</v>
      </c>
      <c r="CA1059">
        <v>1</v>
      </c>
      <c r="CB1059" t="b">
        <v>1</v>
      </c>
      <c r="CC1059">
        <v>0</v>
      </c>
      <c r="CD1059" t="b">
        <v>0</v>
      </c>
      <c r="CE1059" t="b">
        <v>0</v>
      </c>
      <c r="CF1059" t="b">
        <v>1</v>
      </c>
      <c r="CG1059">
        <v>2382799</v>
      </c>
      <c r="CH1059" t="s">
        <v>1681</v>
      </c>
      <c r="CI1059" s="10">
        <v>659950</v>
      </c>
      <c r="CJ1059" s="7">
        <v>36796</v>
      </c>
    </row>
    <row r="1060" spans="1:88">
      <c r="A1060">
        <v>28009889</v>
      </c>
      <c r="B1060" s="2" t="str">
        <f>HYPERLINK("http://www.redfin.com/stingray/do/printable-listing?listing-id=1405155","Active")</f>
        <v>Active</v>
      </c>
      <c r="D1060" t="s">
        <v>5204</v>
      </c>
      <c r="E1060" t="s">
        <v>5412</v>
      </c>
      <c r="F1060" s="19">
        <v>499900</v>
      </c>
      <c r="G1060">
        <v>1961</v>
      </c>
      <c r="H1060">
        <v>2020</v>
      </c>
      <c r="I1060">
        <v>8625</v>
      </c>
      <c r="J1060">
        <v>4</v>
      </c>
      <c r="K1060">
        <v>2</v>
      </c>
      <c r="M1060" s="2" t="str">
        <f>HYPERLINK("http://maps.live.com/default.aspx?v=2&amp;lvl=15&amp;sp=Point.47.606513_-122.128056_15842 SE 4th St&amp;cp=47.606513~-122.128056","Map")</f>
        <v>Map</v>
      </c>
      <c r="N1060" s="2" t="str">
        <f>HYPERLINK("http://i-0.rfimg.us/photo/1/bigphoto/889/28009889_0.jpg","Photo")</f>
        <v>Photo</v>
      </c>
      <c r="AG1060">
        <v>47.606513</v>
      </c>
      <c r="AH1060">
        <v>-122.128056</v>
      </c>
      <c r="AI1060" t="s">
        <v>369</v>
      </c>
      <c r="AJ1060">
        <v>98008</v>
      </c>
      <c r="BC1060" s="22">
        <v>39463.644282407404</v>
      </c>
      <c r="BI1060" s="22">
        <v>39549.294907407406</v>
      </c>
      <c r="BL1060">
        <v>10500</v>
      </c>
      <c r="BM1060">
        <v>1405155</v>
      </c>
      <c r="BN1060" t="s">
        <v>1783</v>
      </c>
      <c r="BO1060" s="17">
        <f t="shared" ca="1" si="16"/>
        <v>85.665123495375155</v>
      </c>
      <c r="BP1060" t="b">
        <v>0</v>
      </c>
      <c r="BQ1060">
        <v>1</v>
      </c>
      <c r="BR1060" t="s">
        <v>1686</v>
      </c>
      <c r="BS1060" t="s">
        <v>1724</v>
      </c>
      <c r="BT1060" t="b">
        <v>0</v>
      </c>
      <c r="BU1060" t="s">
        <v>3856</v>
      </c>
      <c r="BV1060" t="s">
        <v>1668</v>
      </c>
      <c r="BW1060">
        <v>15842</v>
      </c>
      <c r="BY1060">
        <v>427222</v>
      </c>
      <c r="BZ1060" t="s">
        <v>1713</v>
      </c>
      <c r="CA1060">
        <v>1</v>
      </c>
      <c r="CB1060" t="b">
        <v>1</v>
      </c>
      <c r="CC1060">
        <v>0</v>
      </c>
      <c r="CD1060" t="b">
        <v>0</v>
      </c>
      <c r="CE1060" t="b">
        <v>0</v>
      </c>
      <c r="CF1060" t="b">
        <v>1</v>
      </c>
      <c r="CG1060">
        <v>2541813</v>
      </c>
      <c r="CH1060" t="s">
        <v>1681</v>
      </c>
      <c r="CI1060" s="10">
        <v>525000</v>
      </c>
    </row>
    <row r="1061" spans="1:88">
      <c r="A1061">
        <v>28009905</v>
      </c>
      <c r="B1061" s="15" t="str">
        <f>HYPERLINK("http://www.redfin.com/stingray/do/printable-listing?listing-id=1438357","Subject To Inspection")</f>
        <v>Subject To Inspection</v>
      </c>
      <c r="D1061" t="s">
        <v>4041</v>
      </c>
      <c r="E1061" t="s">
        <v>5176</v>
      </c>
      <c r="F1061">
        <v>1098000</v>
      </c>
      <c r="G1061">
        <v>1963</v>
      </c>
      <c r="H1061">
        <v>2513</v>
      </c>
      <c r="I1061">
        <v>9600</v>
      </c>
      <c r="J1061">
        <v>3</v>
      </c>
      <c r="K1061">
        <v>3</v>
      </c>
      <c r="M1061" s="2" t="str">
        <f>HYPERLINK("http://maps.live.com/default.aspx?v=2&amp;lvl=15&amp;sp=Point.47.580911_-122.244339_6935 SE 33rd St&amp;cp=47.580911~-122.244339","Map")</f>
        <v>Map</v>
      </c>
      <c r="N1061" s="2" t="str">
        <f>HYPERLINK("http://i-0.rfimg.us/photo/1/bigphoto/905/28009905_4.jpg","Photo")</f>
        <v>Photo</v>
      </c>
      <c r="AG1061">
        <v>47.580911</v>
      </c>
      <c r="AH1061">
        <v>-122.244339</v>
      </c>
      <c r="AI1061" t="s">
        <v>5139</v>
      </c>
      <c r="AJ1061">
        <v>98040</v>
      </c>
      <c r="AN1061">
        <v>505000</v>
      </c>
      <c r="BC1061" s="22">
        <v>39476.809548611112</v>
      </c>
      <c r="BI1061" s="22">
        <v>39549.294907407406</v>
      </c>
      <c r="BL1061">
        <v>21960</v>
      </c>
      <c r="BM1061">
        <v>1438357</v>
      </c>
      <c r="BN1061" t="s">
        <v>4563</v>
      </c>
      <c r="BO1061" s="17">
        <f t="shared" ca="1" si="16"/>
        <v>72.499857291666558</v>
      </c>
      <c r="BP1061" t="b">
        <v>0</v>
      </c>
      <c r="BQ1061">
        <v>1</v>
      </c>
      <c r="BR1061" t="s">
        <v>1686</v>
      </c>
      <c r="BS1061" t="s">
        <v>3460</v>
      </c>
      <c r="BT1061" t="b">
        <v>0</v>
      </c>
      <c r="BU1061" t="s">
        <v>3856</v>
      </c>
      <c r="BV1061" t="s">
        <v>1668</v>
      </c>
      <c r="BW1061">
        <v>6935</v>
      </c>
      <c r="BY1061">
        <v>258266</v>
      </c>
      <c r="BZ1061" t="s">
        <v>3696</v>
      </c>
      <c r="CA1061">
        <v>1</v>
      </c>
      <c r="CB1061" t="b">
        <v>1</v>
      </c>
      <c r="CC1061">
        <v>0</v>
      </c>
      <c r="CD1061" t="b">
        <v>0</v>
      </c>
      <c r="CE1061" t="b">
        <v>0</v>
      </c>
      <c r="CF1061" t="b">
        <v>1</v>
      </c>
      <c r="CG1061">
        <v>2601402</v>
      </c>
      <c r="CH1061" t="s">
        <v>1681</v>
      </c>
      <c r="CI1061" s="10">
        <v>1098000</v>
      </c>
      <c r="CJ1061" s="7">
        <v>36312</v>
      </c>
    </row>
    <row r="1062" spans="1:88">
      <c r="A1062">
        <v>28009913</v>
      </c>
      <c r="B1062" s="2" t="str">
        <f>HYPERLINK("http://www.redfin.com/stingray/do/printable-listing?listing-id=1405121","Active")</f>
        <v>Active</v>
      </c>
      <c r="D1062" t="s">
        <v>109</v>
      </c>
      <c r="E1062" t="s">
        <v>3315</v>
      </c>
      <c r="F1062">
        <v>509000</v>
      </c>
      <c r="G1062">
        <v>1901</v>
      </c>
      <c r="H1062">
        <v>1620</v>
      </c>
      <c r="I1062">
        <v>0</v>
      </c>
      <c r="J1062">
        <v>2</v>
      </c>
      <c r="K1062">
        <v>1.75</v>
      </c>
      <c r="M1062" s="2" t="str">
        <f>HYPERLINK("http://maps.live.com/default.aspx?v=2&amp;lvl=15&amp;sp=Point.47.650042_-122.339556_3527 Carr Pl N&amp;cp=47.650042~-122.339556","Map")</f>
        <v>Map</v>
      </c>
      <c r="N1062" s="2" t="str">
        <f>HYPERLINK("http://i-0.rfimg.us/photo/1/bigphoto/913/28009913_0.jpg","Photo")</f>
        <v>Photo</v>
      </c>
      <c r="AG1062">
        <v>47.650041999999999</v>
      </c>
      <c r="AH1062">
        <v>-122.339556</v>
      </c>
      <c r="AI1062" t="s">
        <v>66</v>
      </c>
      <c r="AJ1062">
        <v>98103</v>
      </c>
      <c r="AN1062">
        <v>369900</v>
      </c>
      <c r="BC1062" s="22">
        <v>39463.642893518518</v>
      </c>
      <c r="BI1062" s="7">
        <v>39534</v>
      </c>
      <c r="BL1062">
        <v>10180</v>
      </c>
      <c r="BM1062">
        <v>1405121</v>
      </c>
      <c r="BN1062" t="s">
        <v>1685</v>
      </c>
      <c r="BO1062" s="17">
        <f t="shared" ca="1" si="16"/>
        <v>85.666512384261296</v>
      </c>
      <c r="BP1062" t="b">
        <v>0</v>
      </c>
      <c r="BQ1062">
        <v>1</v>
      </c>
      <c r="BR1062" t="s">
        <v>1842</v>
      </c>
      <c r="BS1062" t="s">
        <v>3316</v>
      </c>
      <c r="BT1062" t="b">
        <v>0</v>
      </c>
      <c r="BV1062" t="s">
        <v>1668</v>
      </c>
      <c r="BW1062">
        <v>3527</v>
      </c>
      <c r="BX1062" t="s">
        <v>1712</v>
      </c>
      <c r="BY1062">
        <v>119018</v>
      </c>
      <c r="BZ1062" t="s">
        <v>1672</v>
      </c>
      <c r="CA1062">
        <v>1</v>
      </c>
      <c r="CB1062" t="b">
        <v>1</v>
      </c>
      <c r="CC1062">
        <v>0</v>
      </c>
      <c r="CD1062" t="b">
        <v>0</v>
      </c>
      <c r="CE1062" t="b">
        <v>0</v>
      </c>
      <c r="CF1062" t="b">
        <v>1</v>
      </c>
      <c r="CG1062">
        <v>2642551</v>
      </c>
      <c r="CH1062" t="s">
        <v>1681</v>
      </c>
      <c r="CI1062" s="10">
        <v>509000</v>
      </c>
      <c r="CJ1062" s="7">
        <v>37760</v>
      </c>
    </row>
    <row r="1063" spans="1:88">
      <c r="A1063">
        <v>28009930</v>
      </c>
      <c r="B1063" s="2" t="str">
        <f>HYPERLINK("http://www.redfin.com/stingray/do/printable-listing?listing-id=1405153","Active")</f>
        <v>Active</v>
      </c>
      <c r="D1063" t="s">
        <v>70</v>
      </c>
      <c r="E1063" t="s">
        <v>2779</v>
      </c>
      <c r="F1063">
        <v>524000</v>
      </c>
      <c r="G1063">
        <v>1963</v>
      </c>
      <c r="H1063">
        <v>2580</v>
      </c>
      <c r="I1063">
        <v>6851</v>
      </c>
      <c r="J1063">
        <v>4</v>
      </c>
      <c r="K1063">
        <v>2.5</v>
      </c>
      <c r="M1063" s="2" t="str">
        <f>HYPERLINK("http://maps.live.com/default.aspx?v=2&amp;lvl=15&amp;sp=Point.47.71792_-122.349112_800 N 122nd St&amp;cp=47.71792~-122.349112","Map")</f>
        <v>Map</v>
      </c>
      <c r="N1063" s="2" t="str">
        <f>HYPERLINK("http://i-0.rfimg.us/photo/1/bigphoto/930/28009930_A.jpg","Photo")</f>
        <v>Photo</v>
      </c>
      <c r="AG1063">
        <v>47.717919999999999</v>
      </c>
      <c r="AH1063">
        <v>-122.34911200000001</v>
      </c>
      <c r="AI1063" t="s">
        <v>66</v>
      </c>
      <c r="AJ1063">
        <v>98133</v>
      </c>
      <c r="AN1063">
        <v>325000</v>
      </c>
      <c r="BC1063" s="22">
        <v>39463.644178240742</v>
      </c>
      <c r="BI1063" s="7">
        <v>39538</v>
      </c>
      <c r="BL1063">
        <v>10480</v>
      </c>
      <c r="BM1063">
        <v>1405153</v>
      </c>
      <c r="BN1063" t="s">
        <v>1814</v>
      </c>
      <c r="BO1063" s="17">
        <f t="shared" ca="1" si="16"/>
        <v>85.665227777775726</v>
      </c>
      <c r="BP1063" t="b">
        <v>0</v>
      </c>
      <c r="BQ1063">
        <v>1</v>
      </c>
      <c r="BR1063" t="s">
        <v>1686</v>
      </c>
      <c r="BS1063" t="s">
        <v>2672</v>
      </c>
      <c r="BT1063" t="b">
        <v>0</v>
      </c>
      <c r="BU1063" t="s">
        <v>1712</v>
      </c>
      <c r="BV1063" t="s">
        <v>1668</v>
      </c>
      <c r="BW1063">
        <v>800</v>
      </c>
      <c r="BY1063">
        <v>97543</v>
      </c>
      <c r="BZ1063" t="s">
        <v>2780</v>
      </c>
      <c r="CA1063">
        <v>1</v>
      </c>
      <c r="CB1063" t="b">
        <v>1</v>
      </c>
      <c r="CC1063">
        <v>0</v>
      </c>
      <c r="CD1063" t="b">
        <v>0</v>
      </c>
      <c r="CE1063" t="b">
        <v>0</v>
      </c>
      <c r="CF1063" t="b">
        <v>1</v>
      </c>
      <c r="CG1063">
        <v>2751456</v>
      </c>
      <c r="CH1063" t="s">
        <v>1681</v>
      </c>
      <c r="CI1063" s="10">
        <v>524000</v>
      </c>
      <c r="CJ1063" s="7">
        <v>38371</v>
      </c>
    </row>
    <row r="1064" spans="1:88">
      <c r="A1064">
        <v>28009950</v>
      </c>
      <c r="B1064" s="2" t="str">
        <f>HYPERLINK("http://www.redfin.com/stingray/do/printable-listing?listing-id=1405506","Active")</f>
        <v>Active</v>
      </c>
      <c r="D1064" t="s">
        <v>3249</v>
      </c>
      <c r="E1064" t="s">
        <v>3661</v>
      </c>
      <c r="F1064">
        <v>685000</v>
      </c>
      <c r="G1064">
        <v>2007</v>
      </c>
      <c r="H1064">
        <v>1812</v>
      </c>
      <c r="I1064">
        <v>0</v>
      </c>
      <c r="J1064">
        <v>4</v>
      </c>
      <c r="K1064">
        <v>2.5</v>
      </c>
      <c r="M1064" s="2" t="str">
        <f>HYPERLINK("http://maps.live.com/default.aspx?v=2&amp;lvl=15&amp;sp=Point.47.641354_-122.345771_2462 Birch Ave N&amp;cp=47.641354~-122.345771","Map")</f>
        <v>Map</v>
      </c>
      <c r="N1064" s="2" t="str">
        <f>HYPERLINK("http://i-0.rfimg.us/photo/1/bigphoto/950/28009950_0.jpg","Photo")</f>
        <v>Photo</v>
      </c>
      <c r="AG1064">
        <v>47.641354</v>
      </c>
      <c r="AH1064">
        <v>-122.345771</v>
      </c>
      <c r="AI1064" t="s">
        <v>66</v>
      </c>
      <c r="AJ1064">
        <v>98109</v>
      </c>
      <c r="AN1064">
        <v>455000</v>
      </c>
      <c r="BC1064" s="22">
        <v>39463.660185185188</v>
      </c>
      <c r="BI1064" s="22">
        <v>39549.294907407406</v>
      </c>
      <c r="BL1064">
        <v>13700</v>
      </c>
      <c r="BM1064">
        <v>1405506</v>
      </c>
      <c r="BN1064" t="s">
        <v>1744</v>
      </c>
      <c r="BO1064" s="17">
        <f t="shared" ca="1" si="16"/>
        <v>85.649220717590651</v>
      </c>
      <c r="BP1064" t="b">
        <v>0</v>
      </c>
      <c r="BQ1064">
        <v>1</v>
      </c>
      <c r="BR1064" t="s">
        <v>1667</v>
      </c>
      <c r="BS1064" t="s">
        <v>3662</v>
      </c>
      <c r="BT1064" t="b">
        <v>0</v>
      </c>
      <c r="BV1064" t="s">
        <v>1668</v>
      </c>
      <c r="BW1064">
        <v>2462</v>
      </c>
      <c r="BX1064" t="s">
        <v>1712</v>
      </c>
      <c r="BY1064">
        <v>132262</v>
      </c>
      <c r="BZ1064" t="s">
        <v>1713</v>
      </c>
      <c r="CA1064">
        <v>1</v>
      </c>
      <c r="CB1064" t="b">
        <v>1</v>
      </c>
      <c r="CC1064">
        <v>0</v>
      </c>
      <c r="CD1064" t="b">
        <v>0</v>
      </c>
      <c r="CE1064" t="b">
        <v>0</v>
      </c>
      <c r="CF1064" t="b">
        <v>1</v>
      </c>
      <c r="CG1064">
        <v>2462589</v>
      </c>
      <c r="CH1064" t="s">
        <v>1681</v>
      </c>
      <c r="CI1064" s="10">
        <v>685000</v>
      </c>
      <c r="CJ1064" s="7">
        <v>38379</v>
      </c>
    </row>
    <row r="1065" spans="1:88">
      <c r="A1065">
        <v>28009952</v>
      </c>
      <c r="B1065" s="2" t="str">
        <f>HYPERLINK("http://www.redfin.com/stingray/do/printable-listing?listing-id=1405230","Active")</f>
        <v>Active</v>
      </c>
      <c r="D1065" t="s">
        <v>4359</v>
      </c>
      <c r="E1065" t="s">
        <v>4841</v>
      </c>
      <c r="F1065">
        <v>599950</v>
      </c>
      <c r="G1065">
        <v>1962</v>
      </c>
      <c r="H1065">
        <v>2820</v>
      </c>
      <c r="I1065">
        <v>17990</v>
      </c>
      <c r="J1065">
        <v>5</v>
      </c>
      <c r="K1065">
        <v>2.5</v>
      </c>
      <c r="M1065" s="2" t="str">
        <f>HYPERLINK("http://maps.live.com/default.aspx?v=2&amp;lvl=15&amp;sp=Point.47.689257_-122.177459_12221 NE 100th St&amp;cp=47.689257~-122.177459","Map")</f>
        <v>Map</v>
      </c>
      <c r="N1065" s="2" t="str">
        <f>HYPERLINK("http://i-0.rfimg.us/photo/1/bigphoto/952/28009952_0.jpg","Photo")</f>
        <v>Photo</v>
      </c>
      <c r="AG1065">
        <v>47.689256999999998</v>
      </c>
      <c r="AH1065">
        <v>-122.177459</v>
      </c>
      <c r="AI1065" t="s">
        <v>1058</v>
      </c>
      <c r="AJ1065">
        <v>98033</v>
      </c>
      <c r="AN1065">
        <v>344000</v>
      </c>
      <c r="BC1065" s="22">
        <v>39463.64607638889</v>
      </c>
      <c r="BI1065" s="22">
        <v>39549.294907407406</v>
      </c>
      <c r="BL1065">
        <v>11999</v>
      </c>
      <c r="BM1065">
        <v>1405230</v>
      </c>
      <c r="BN1065" t="s">
        <v>1688</v>
      </c>
      <c r="BO1065" s="17">
        <f t="shared" ca="1" si="16"/>
        <v>85.663329513889039</v>
      </c>
      <c r="BP1065" t="b">
        <v>0</v>
      </c>
      <c r="BQ1065">
        <v>1</v>
      </c>
      <c r="BR1065" t="s">
        <v>1686</v>
      </c>
      <c r="BS1065" t="s">
        <v>2806</v>
      </c>
      <c r="BT1065" t="b">
        <v>0</v>
      </c>
      <c r="BU1065" t="s">
        <v>1738</v>
      </c>
      <c r="BV1065" t="s">
        <v>1668</v>
      </c>
      <c r="BW1065">
        <v>12221</v>
      </c>
      <c r="BY1065">
        <v>511757</v>
      </c>
      <c r="BZ1065" t="s">
        <v>1713</v>
      </c>
      <c r="CA1065">
        <v>1</v>
      </c>
      <c r="CB1065" t="b">
        <v>1</v>
      </c>
      <c r="CC1065">
        <v>0</v>
      </c>
      <c r="CD1065" t="b">
        <v>0</v>
      </c>
      <c r="CE1065" t="b">
        <v>0</v>
      </c>
      <c r="CF1065" t="b">
        <v>1</v>
      </c>
      <c r="CG1065">
        <v>2539690</v>
      </c>
      <c r="CH1065" t="s">
        <v>1681</v>
      </c>
      <c r="CI1065" s="10">
        <v>599950</v>
      </c>
      <c r="CJ1065" s="7">
        <v>37531</v>
      </c>
    </row>
    <row r="1066" spans="1:88">
      <c r="A1066">
        <v>28009967</v>
      </c>
      <c r="B1066" s="2" t="str">
        <f>HYPERLINK("http://www.redfin.com/stingray/do/printable-listing?listing-id=1405544","Active")</f>
        <v>Active</v>
      </c>
      <c r="D1066" t="s">
        <v>218</v>
      </c>
      <c r="E1066" t="s">
        <v>3174</v>
      </c>
      <c r="F1066">
        <v>719950</v>
      </c>
      <c r="G1066">
        <v>1914</v>
      </c>
      <c r="H1066">
        <v>2780</v>
      </c>
      <c r="I1066">
        <v>4000</v>
      </c>
      <c r="J1066">
        <v>5</v>
      </c>
      <c r="K1066">
        <v>2.75</v>
      </c>
      <c r="M1066" s="2" t="str">
        <f>HYPERLINK("http://maps.live.com/default.aspx?v=2&amp;lvl=15&amp;sp=Point.47.671054_-122.314764_1207 NE Ravenna Blvd&amp;cp=47.671054~-122.314764","Map")</f>
        <v>Map</v>
      </c>
      <c r="N1066" s="2" t="str">
        <f>HYPERLINK("http://i-0.rfimg.us/photo/1/bigphoto/967/28009967_0.jpg","Photo")</f>
        <v>Photo</v>
      </c>
      <c r="AG1066">
        <v>47.671053999999998</v>
      </c>
      <c r="AH1066">
        <v>-122.314764</v>
      </c>
      <c r="AI1066" t="s">
        <v>66</v>
      </c>
      <c r="AJ1066">
        <v>98105</v>
      </c>
      <c r="BC1066" s="22">
        <v>39463.660844907405</v>
      </c>
      <c r="BI1066" s="22">
        <v>39549.294907407406</v>
      </c>
      <c r="BL1066">
        <v>14399</v>
      </c>
      <c r="BM1066">
        <v>1405544</v>
      </c>
      <c r="BN1066" t="s">
        <v>3117</v>
      </c>
      <c r="BO1066" s="17">
        <f t="shared" ca="1" si="16"/>
        <v>85.648560995374282</v>
      </c>
      <c r="BP1066" t="b">
        <v>0</v>
      </c>
      <c r="BQ1066">
        <v>1</v>
      </c>
      <c r="BR1066" t="s">
        <v>3141</v>
      </c>
      <c r="BS1066" t="s">
        <v>218</v>
      </c>
      <c r="BT1066" t="b">
        <v>0</v>
      </c>
      <c r="BU1066" t="s">
        <v>1738</v>
      </c>
      <c r="BV1066" t="s">
        <v>1668</v>
      </c>
      <c r="BW1066">
        <v>1207</v>
      </c>
      <c r="BY1066">
        <v>311919</v>
      </c>
      <c r="BZ1066" t="s">
        <v>1741</v>
      </c>
      <c r="CA1066">
        <v>1</v>
      </c>
      <c r="CB1066" t="b">
        <v>1</v>
      </c>
      <c r="CC1066">
        <v>0</v>
      </c>
      <c r="CD1066" t="b">
        <v>0</v>
      </c>
      <c r="CE1066" t="b">
        <v>0</v>
      </c>
      <c r="CF1066" t="b">
        <v>1</v>
      </c>
      <c r="CG1066">
        <v>2545915</v>
      </c>
      <c r="CH1066" t="s">
        <v>1681</v>
      </c>
      <c r="CI1066" s="10">
        <v>719950</v>
      </c>
    </row>
    <row r="1067" spans="1:88">
      <c r="A1067">
        <v>28010049</v>
      </c>
      <c r="B1067" s="15" t="str">
        <f>HYPERLINK("http://www.redfin.com/stingray/do/printable-listing?listing-id=1405075","Subject To Inspection")</f>
        <v>Subject To Inspection</v>
      </c>
      <c r="D1067" t="s">
        <v>4805</v>
      </c>
      <c r="E1067" t="s">
        <v>4919</v>
      </c>
      <c r="F1067">
        <v>588000</v>
      </c>
      <c r="G1067">
        <v>1979</v>
      </c>
      <c r="H1067">
        <v>2510</v>
      </c>
      <c r="I1067">
        <v>10411</v>
      </c>
      <c r="J1067">
        <v>4</v>
      </c>
      <c r="K1067">
        <v>2.5</v>
      </c>
      <c r="M1067" s="2" t="str">
        <f>HYPERLINK("http://maps.live.com/default.aspx?v=2&amp;lvl=15&amp;sp=Point.47.664042_-122.147146_14434 NE 64th St&amp;cp=47.664042~-122.147146","Map")</f>
        <v>Map</v>
      </c>
      <c r="N1067" s="2" t="str">
        <f>HYPERLINK("http://i-0.rfimg.us/photo/1/bigphoto/049/28010049_3.jpg","Photo")</f>
        <v>Photo</v>
      </c>
      <c r="AG1067">
        <v>47.664042000000002</v>
      </c>
      <c r="AH1067">
        <v>-122.14714600000001</v>
      </c>
      <c r="AI1067" t="s">
        <v>4363</v>
      </c>
      <c r="AJ1067">
        <v>98052</v>
      </c>
      <c r="BC1067" s="22">
        <v>39463.641168981485</v>
      </c>
      <c r="BI1067" s="22">
        <v>39549.294907407406</v>
      </c>
      <c r="BL1067">
        <v>11760</v>
      </c>
      <c r="BM1067">
        <v>1405075</v>
      </c>
      <c r="BN1067" t="s">
        <v>1735</v>
      </c>
      <c r="BO1067" s="17">
        <f t="shared" ca="1" si="16"/>
        <v>85.66823692129401</v>
      </c>
      <c r="BP1067" t="b">
        <v>0</v>
      </c>
      <c r="BQ1067">
        <v>1</v>
      </c>
      <c r="BR1067" t="s">
        <v>1686</v>
      </c>
      <c r="BS1067" t="s">
        <v>2405</v>
      </c>
      <c r="BT1067" t="b">
        <v>0</v>
      </c>
      <c r="BU1067" t="s">
        <v>1738</v>
      </c>
      <c r="BV1067" t="s">
        <v>1668</v>
      </c>
      <c r="BW1067">
        <v>14434</v>
      </c>
      <c r="BY1067">
        <v>517487</v>
      </c>
      <c r="BZ1067" t="s">
        <v>4920</v>
      </c>
      <c r="CA1067">
        <v>1</v>
      </c>
      <c r="CB1067" t="b">
        <v>1</v>
      </c>
      <c r="CC1067">
        <v>0</v>
      </c>
      <c r="CD1067" t="b">
        <v>0</v>
      </c>
      <c r="CE1067" t="b">
        <v>0</v>
      </c>
      <c r="CF1067" t="b">
        <v>1</v>
      </c>
      <c r="CG1067">
        <v>2450534</v>
      </c>
      <c r="CH1067" t="s">
        <v>1681</v>
      </c>
      <c r="CI1067" s="10">
        <v>588000</v>
      </c>
    </row>
    <row r="1068" spans="1:88">
      <c r="A1068">
        <v>28010054</v>
      </c>
      <c r="B1068" s="2" t="str">
        <f>HYPERLINK("http://www.redfin.com/stingray/do/printable-listing?listing-id=1411949","Active")</f>
        <v>Active</v>
      </c>
      <c r="D1068" t="s">
        <v>3885</v>
      </c>
      <c r="E1068" t="s">
        <v>5745</v>
      </c>
      <c r="F1068">
        <v>1085000</v>
      </c>
      <c r="G1068">
        <v>2005</v>
      </c>
      <c r="H1068">
        <v>3590</v>
      </c>
      <c r="I1068">
        <v>8047</v>
      </c>
      <c r="J1068">
        <v>4</v>
      </c>
      <c r="K1068">
        <v>3.25</v>
      </c>
      <c r="M1068" s="2" t="str">
        <f>HYPERLINK("http://maps.live.com/default.aspx?v=2&amp;lvl=15&amp;sp=Point.47.534463_-122.180418_11935 SE 76th St&amp;cp=47.534463~-122.180418","Map")</f>
        <v>Map</v>
      </c>
      <c r="N1068" s="2" t="str">
        <f>HYPERLINK("http://i-0.rfimg.us/photo/1/bigphoto/054/28010054_2.jpg","Photo")</f>
        <v>Photo</v>
      </c>
      <c r="AG1068">
        <v>47.534463000000002</v>
      </c>
      <c r="AH1068">
        <v>-122.180418</v>
      </c>
      <c r="AI1068" t="s">
        <v>3885</v>
      </c>
      <c r="AJ1068">
        <v>98056</v>
      </c>
      <c r="AN1068">
        <v>999950</v>
      </c>
      <c r="BC1068" s="22">
        <v>39465.506597222222</v>
      </c>
      <c r="BI1068" s="22">
        <v>39549.294907407406</v>
      </c>
      <c r="BL1068">
        <v>21700</v>
      </c>
      <c r="BM1068">
        <v>1411949</v>
      </c>
      <c r="BN1068" t="s">
        <v>1768</v>
      </c>
      <c r="BO1068" s="17">
        <f t="shared" ca="1" si="16"/>
        <v>83.802808680557064</v>
      </c>
      <c r="BP1068" t="b">
        <v>0</v>
      </c>
      <c r="BQ1068">
        <v>1</v>
      </c>
      <c r="BR1068" t="s">
        <v>1686</v>
      </c>
      <c r="BS1068" t="s">
        <v>2057</v>
      </c>
      <c r="BT1068" t="b">
        <v>0</v>
      </c>
      <c r="BU1068" t="s">
        <v>3856</v>
      </c>
      <c r="BV1068" t="s">
        <v>1668</v>
      </c>
      <c r="BW1068">
        <v>11935</v>
      </c>
      <c r="BY1068">
        <v>2069753</v>
      </c>
      <c r="BZ1068" t="s">
        <v>5746</v>
      </c>
      <c r="CA1068">
        <v>1</v>
      </c>
      <c r="CB1068" t="b">
        <v>1</v>
      </c>
      <c r="CC1068">
        <v>0</v>
      </c>
      <c r="CD1068" t="b">
        <v>0</v>
      </c>
      <c r="CE1068" t="b">
        <v>0</v>
      </c>
      <c r="CF1068" t="b">
        <v>1</v>
      </c>
      <c r="CG1068">
        <v>2521809</v>
      </c>
      <c r="CH1068" t="s">
        <v>1681</v>
      </c>
      <c r="CI1068" s="10">
        <v>1085000</v>
      </c>
      <c r="CJ1068" s="7">
        <v>38652</v>
      </c>
    </row>
    <row r="1069" spans="1:88">
      <c r="A1069">
        <v>28010056</v>
      </c>
      <c r="B1069" s="2" t="str">
        <f>HYPERLINK("http://www.redfin.com/stingray/do/printable-listing?listing-id=1405117","Active")</f>
        <v>Active</v>
      </c>
      <c r="D1069" t="s">
        <v>3681</v>
      </c>
      <c r="E1069" t="s">
        <v>3757</v>
      </c>
      <c r="F1069" s="19">
        <v>849000</v>
      </c>
      <c r="G1069">
        <v>1912</v>
      </c>
      <c r="H1069">
        <v>3100</v>
      </c>
      <c r="I1069">
        <v>66</v>
      </c>
      <c r="J1069">
        <v>3</v>
      </c>
      <c r="K1069">
        <v>3</v>
      </c>
      <c r="M1069" s="2" t="str">
        <f>HYPERLINK("http://maps.live.com/default.aspx?v=2&amp;lvl=15&amp;sp=Point.47.635823_-122.302095_1810 23rd Ave E&amp;cp=47.635823~-122.302095","Map")</f>
        <v>Map</v>
      </c>
      <c r="N1069" s="2" t="str">
        <f>HYPERLINK("http://i-0.rfimg.us/photo/1/bigphoto/056/28010056_0.jpg","Photo")</f>
        <v>Photo</v>
      </c>
      <c r="AG1069">
        <v>47.635823000000002</v>
      </c>
      <c r="AH1069">
        <v>-122.30209499999999</v>
      </c>
      <c r="AI1069" t="s">
        <v>66</v>
      </c>
      <c r="AJ1069">
        <v>98112</v>
      </c>
      <c r="AN1069">
        <v>734500</v>
      </c>
      <c r="BC1069" s="22">
        <v>39463.642812500002</v>
      </c>
      <c r="BI1069" s="22">
        <v>39549.294907407406</v>
      </c>
      <c r="BL1069">
        <v>18588</v>
      </c>
      <c r="BM1069">
        <v>1405117</v>
      </c>
      <c r="BN1069" t="s">
        <v>1688</v>
      </c>
      <c r="BO1069" s="17">
        <f t="shared" ca="1" si="16"/>
        <v>85.666593402776925</v>
      </c>
      <c r="BP1069" t="b">
        <v>0</v>
      </c>
      <c r="BQ1069">
        <v>1</v>
      </c>
      <c r="BR1069" t="s">
        <v>1667</v>
      </c>
      <c r="BS1069" t="s">
        <v>1839</v>
      </c>
      <c r="BT1069" t="b">
        <v>0</v>
      </c>
      <c r="BV1069" t="s">
        <v>1668</v>
      </c>
      <c r="BW1069">
        <v>1810</v>
      </c>
      <c r="BX1069" t="s">
        <v>2436</v>
      </c>
      <c r="BY1069">
        <v>138242</v>
      </c>
      <c r="BZ1069" t="s">
        <v>1672</v>
      </c>
      <c r="CA1069">
        <v>1</v>
      </c>
      <c r="CB1069" t="b">
        <v>1</v>
      </c>
      <c r="CC1069">
        <v>0</v>
      </c>
      <c r="CD1069" t="b">
        <v>0</v>
      </c>
      <c r="CE1069" t="b">
        <v>0</v>
      </c>
      <c r="CF1069" t="b">
        <v>1</v>
      </c>
      <c r="CG1069">
        <v>2794168</v>
      </c>
      <c r="CH1069" t="s">
        <v>1681</v>
      </c>
      <c r="CI1069" s="10">
        <v>929400</v>
      </c>
      <c r="CJ1069" s="7">
        <v>39157</v>
      </c>
    </row>
    <row r="1070" spans="1:88">
      <c r="A1070">
        <v>28010059</v>
      </c>
      <c r="B1070" s="2" t="str">
        <f>HYPERLINK("http://www.redfin.com/stingray/do/printable-listing?listing-id=1405194","Active")</f>
        <v>Active</v>
      </c>
      <c r="D1070" t="s">
        <v>184</v>
      </c>
      <c r="E1070" t="s">
        <v>2918</v>
      </c>
      <c r="F1070">
        <v>515000</v>
      </c>
      <c r="G1070">
        <v>2005</v>
      </c>
      <c r="H1070">
        <v>1860</v>
      </c>
      <c r="I1070">
        <v>0</v>
      </c>
      <c r="J1070">
        <v>3</v>
      </c>
      <c r="K1070">
        <v>2.5</v>
      </c>
      <c r="M1070" s="2" t="str">
        <f>HYPERLINK("http://maps.live.com/default.aspx?v=2&amp;lvl=15&amp;sp=Point.47.719209_-122.308047_1909 NE 125th St&amp;cp=47.719209~-122.308047","Map")</f>
        <v>Map</v>
      </c>
      <c r="N1070" s="2" t="str">
        <f>HYPERLINK("http://i-0.rfimg.us/photo/1/bigphoto/059/28010059_0.jpg","Photo")</f>
        <v>Photo</v>
      </c>
      <c r="AG1070">
        <v>47.719208999999999</v>
      </c>
      <c r="AH1070">
        <v>-122.308047</v>
      </c>
      <c r="AI1070" t="s">
        <v>66</v>
      </c>
      <c r="AJ1070">
        <v>98125</v>
      </c>
      <c r="AN1070">
        <v>489500</v>
      </c>
      <c r="BC1070" s="22">
        <v>39463.645405092589</v>
      </c>
      <c r="BI1070" s="22">
        <v>39549.294907407406</v>
      </c>
      <c r="BL1070">
        <v>10300</v>
      </c>
      <c r="BM1070">
        <v>1405194</v>
      </c>
      <c r="BN1070" t="s">
        <v>2917</v>
      </c>
      <c r="BO1070" s="17">
        <f t="shared" ca="1" si="16"/>
        <v>85.664000810189464</v>
      </c>
      <c r="BP1070" t="b">
        <v>0</v>
      </c>
      <c r="BQ1070">
        <v>1</v>
      </c>
      <c r="BR1070" t="s">
        <v>1686</v>
      </c>
      <c r="BS1070" t="s">
        <v>2677</v>
      </c>
      <c r="BT1070" t="b">
        <v>0</v>
      </c>
      <c r="BU1070" t="s">
        <v>1738</v>
      </c>
      <c r="BV1070" t="s">
        <v>1668</v>
      </c>
      <c r="BW1070">
        <v>1909</v>
      </c>
      <c r="BY1070">
        <v>8186020</v>
      </c>
      <c r="BZ1070" t="s">
        <v>1672</v>
      </c>
      <c r="CA1070">
        <v>1</v>
      </c>
      <c r="CB1070" t="b">
        <v>1</v>
      </c>
      <c r="CC1070">
        <v>0</v>
      </c>
      <c r="CD1070" t="b">
        <v>0</v>
      </c>
      <c r="CE1070" t="b">
        <v>0</v>
      </c>
      <c r="CF1070" t="b">
        <v>1</v>
      </c>
      <c r="CG1070">
        <v>2564359</v>
      </c>
      <c r="CH1070" t="s">
        <v>1681</v>
      </c>
      <c r="CI1070" s="10">
        <v>515000</v>
      </c>
      <c r="CJ1070" s="7">
        <v>38848</v>
      </c>
    </row>
    <row r="1071" spans="1:88">
      <c r="A1071">
        <v>28010144</v>
      </c>
      <c r="B1071" s="2" t="str">
        <f>HYPERLINK("http://www.redfin.com/stingray/do/printable-listing?listing-id=1405184","Active")</f>
        <v>Active</v>
      </c>
      <c r="D1071" t="s">
        <v>2850</v>
      </c>
      <c r="E1071" t="s">
        <v>4531</v>
      </c>
      <c r="F1071">
        <v>1200000</v>
      </c>
      <c r="G1071">
        <v>1977</v>
      </c>
      <c r="H1071">
        <v>1430</v>
      </c>
      <c r="I1071">
        <v>100188</v>
      </c>
      <c r="J1071">
        <v>3</v>
      </c>
      <c r="K1071">
        <v>1.75</v>
      </c>
      <c r="M1071" s="2" t="str">
        <f>HYPERLINK("http://maps.live.com/default.aspx?v=2&amp;lvl=15&amp;sp=Point.47.71115_-122.223147_12312 89th Ave NE&amp;cp=47.71115~-122.223147","Map")</f>
        <v>Map</v>
      </c>
      <c r="N1071" s="2" t="str">
        <f>HYPERLINK("http://i-0.rfimg.us/photo/1/bigphoto/144/28010144_1.jpg","Photo")</f>
        <v>Photo</v>
      </c>
      <c r="AG1071">
        <v>47.711150000000004</v>
      </c>
      <c r="AH1071">
        <v>-122.223147</v>
      </c>
      <c r="AI1071" t="s">
        <v>1058</v>
      </c>
      <c r="AJ1071">
        <v>98034</v>
      </c>
      <c r="BC1071" s="22">
        <v>39463.645208333335</v>
      </c>
      <c r="BI1071" s="22">
        <v>39549.294907407406</v>
      </c>
      <c r="BL1071">
        <v>24000</v>
      </c>
      <c r="BM1071">
        <v>1405184</v>
      </c>
      <c r="BN1071" t="s">
        <v>1688</v>
      </c>
      <c r="BO1071" s="17">
        <f t="shared" ca="1" si="16"/>
        <v>85.664197569443786</v>
      </c>
      <c r="BP1071" t="b">
        <v>0</v>
      </c>
      <c r="BQ1071">
        <v>1</v>
      </c>
      <c r="BR1071" t="s">
        <v>1667</v>
      </c>
      <c r="BS1071" t="s">
        <v>2741</v>
      </c>
      <c r="BT1071" t="b">
        <v>0</v>
      </c>
      <c r="BV1071" t="s">
        <v>1668</v>
      </c>
      <c r="BW1071">
        <v>12312</v>
      </c>
      <c r="BX1071" t="s">
        <v>1738</v>
      </c>
      <c r="BY1071">
        <v>281506</v>
      </c>
      <c r="BZ1071" t="s">
        <v>2133</v>
      </c>
      <c r="CA1071">
        <v>1</v>
      </c>
      <c r="CB1071" t="b">
        <v>1</v>
      </c>
      <c r="CC1071">
        <v>0</v>
      </c>
      <c r="CD1071" t="b">
        <v>0</v>
      </c>
      <c r="CE1071" t="b">
        <v>0</v>
      </c>
      <c r="CF1071" t="b">
        <v>1</v>
      </c>
      <c r="CG1071">
        <v>2972485</v>
      </c>
      <c r="CH1071" t="s">
        <v>1681</v>
      </c>
      <c r="CI1071" s="10">
        <v>1200000</v>
      </c>
    </row>
    <row r="1072" spans="1:88">
      <c r="A1072">
        <v>28010205</v>
      </c>
      <c r="B1072" s="2" t="str">
        <f>HYPERLINK("http://www.redfin.com/stingray/do/printable-listing?listing-id=1405343","Active")</f>
        <v>Active</v>
      </c>
      <c r="D1072" t="s">
        <v>63</v>
      </c>
      <c r="E1072" t="s">
        <v>1205</v>
      </c>
      <c r="F1072" s="19">
        <v>575000</v>
      </c>
      <c r="G1072">
        <v>1941</v>
      </c>
      <c r="H1072">
        <v>1650</v>
      </c>
      <c r="I1072">
        <v>4640</v>
      </c>
      <c r="J1072">
        <v>4</v>
      </c>
      <c r="K1072">
        <v>2</v>
      </c>
      <c r="M1072" s="2" t="str">
        <f>HYPERLINK("http://maps.live.com/default.aspx?v=2&amp;lvl=15&amp;sp=Point.47.68822_-122.396109_8051 30th Ave NW&amp;cp=47.68822~-122.396109","Map")</f>
        <v>Map</v>
      </c>
      <c r="N1072" s="2" t="str">
        <f>HYPERLINK("http://i-0.rfimg.us/photo/1/bigphoto/205/28010205_0.jpg","Photo")</f>
        <v>Photo</v>
      </c>
      <c r="AG1072">
        <v>47.688220000000001</v>
      </c>
      <c r="AH1072">
        <v>-122.396109</v>
      </c>
      <c r="AI1072" t="s">
        <v>66</v>
      </c>
      <c r="AJ1072">
        <v>98117</v>
      </c>
      <c r="AN1072">
        <v>444000</v>
      </c>
      <c r="BC1072" s="22">
        <v>39463.652499999997</v>
      </c>
      <c r="BI1072" s="7">
        <v>39538</v>
      </c>
      <c r="BL1072">
        <v>11700</v>
      </c>
      <c r="BM1072">
        <v>1405343</v>
      </c>
      <c r="BN1072" t="s">
        <v>1868</v>
      </c>
      <c r="BO1072" s="17">
        <f t="shared" ca="1" si="16"/>
        <v>85.656906018521113</v>
      </c>
      <c r="BP1072" t="b">
        <v>0</v>
      </c>
      <c r="BQ1072">
        <v>1</v>
      </c>
      <c r="BR1072" t="s">
        <v>1667</v>
      </c>
      <c r="BS1072" t="s">
        <v>1818</v>
      </c>
      <c r="BT1072" t="b">
        <v>0</v>
      </c>
      <c r="BV1072" t="s">
        <v>1668</v>
      </c>
      <c r="BW1072">
        <v>8051</v>
      </c>
      <c r="BX1072" t="s">
        <v>1669</v>
      </c>
      <c r="BY1072">
        <v>164774</v>
      </c>
      <c r="BZ1072" t="s">
        <v>1743</v>
      </c>
      <c r="CA1072">
        <v>1</v>
      </c>
      <c r="CB1072" t="b">
        <v>1</v>
      </c>
      <c r="CC1072">
        <v>0</v>
      </c>
      <c r="CD1072" t="b">
        <v>0</v>
      </c>
      <c r="CE1072" t="b">
        <v>0</v>
      </c>
      <c r="CF1072" t="b">
        <v>1</v>
      </c>
      <c r="CG1072">
        <v>2594524</v>
      </c>
      <c r="CH1072" t="s">
        <v>1681</v>
      </c>
      <c r="CI1072" s="10">
        <v>585000</v>
      </c>
      <c r="CJ1072" s="7">
        <v>39148</v>
      </c>
    </row>
    <row r="1073" spans="1:88">
      <c r="A1073">
        <v>28010274</v>
      </c>
      <c r="B1073" s="2" t="str">
        <f>HYPERLINK("http://www.redfin.com/stingray/do/printable-listing?listing-id=1405231","Active")</f>
        <v>Active</v>
      </c>
      <c r="D1073" t="s">
        <v>1058</v>
      </c>
      <c r="E1073" t="s">
        <v>4461</v>
      </c>
      <c r="F1073">
        <v>469950</v>
      </c>
      <c r="G1073">
        <v>1974</v>
      </c>
      <c r="H1073">
        <v>1840</v>
      </c>
      <c r="I1073">
        <v>7176</v>
      </c>
      <c r="J1073">
        <v>3</v>
      </c>
      <c r="K1073">
        <v>2</v>
      </c>
      <c r="M1073" s="2" t="str">
        <f>HYPERLINK("http://maps.live.com/default.aspx?v=2&amp;lvl=15&amp;sp=Point.47.71844_-122.224551_8721 NE 132nd St&amp;cp=47.71844~-122.224551","Map")</f>
        <v>Map</v>
      </c>
      <c r="N1073" s="2" t="str">
        <f>HYPERLINK("http://i-0.rfimg.us/photo/1/bigphoto/274/28010274_0.jpg","Photo")</f>
        <v>Photo</v>
      </c>
      <c r="AG1073">
        <v>47.718440000000001</v>
      </c>
      <c r="AH1073">
        <v>-122.22455100000001</v>
      </c>
      <c r="AI1073" t="s">
        <v>1058</v>
      </c>
      <c r="AJ1073">
        <v>98034</v>
      </c>
      <c r="AN1073">
        <v>430000</v>
      </c>
      <c r="BC1073" s="22">
        <v>39463.646087962959</v>
      </c>
      <c r="BI1073" s="22">
        <v>39549.294907407406</v>
      </c>
      <c r="BL1073">
        <v>9399</v>
      </c>
      <c r="BM1073">
        <v>1405231</v>
      </c>
      <c r="BN1073" t="s">
        <v>1720</v>
      </c>
      <c r="BO1073" s="17">
        <f t="shared" ca="1" si="16"/>
        <v>85.663317939819535</v>
      </c>
      <c r="BP1073" t="b">
        <v>0</v>
      </c>
      <c r="BQ1073">
        <v>1</v>
      </c>
      <c r="BR1073" t="s">
        <v>1686</v>
      </c>
      <c r="BS1073" t="s">
        <v>4362</v>
      </c>
      <c r="BT1073" t="b">
        <v>0</v>
      </c>
      <c r="BU1073" t="s">
        <v>1738</v>
      </c>
      <c r="BV1073" t="s">
        <v>1668</v>
      </c>
      <c r="BW1073">
        <v>8721</v>
      </c>
      <c r="BY1073">
        <v>278775</v>
      </c>
      <c r="BZ1073" t="s">
        <v>1801</v>
      </c>
      <c r="CA1073">
        <v>1</v>
      </c>
      <c r="CB1073" t="b">
        <v>1</v>
      </c>
      <c r="CC1073">
        <v>0</v>
      </c>
      <c r="CD1073" t="b">
        <v>0</v>
      </c>
      <c r="CE1073" t="b">
        <v>0</v>
      </c>
      <c r="CF1073" t="b">
        <v>1</v>
      </c>
      <c r="CG1073">
        <v>2979856</v>
      </c>
      <c r="CH1073" t="s">
        <v>1681</v>
      </c>
      <c r="CI1073" s="10">
        <v>469950</v>
      </c>
      <c r="CJ1073" s="7">
        <v>38939</v>
      </c>
    </row>
    <row r="1074" spans="1:88">
      <c r="A1074">
        <v>28010289</v>
      </c>
      <c r="B1074" s="2" t="str">
        <f>HYPERLINK("http://www.redfin.com/stingray/do/printable-listing?listing-id=1405273","Active")</f>
        <v>Active</v>
      </c>
      <c r="D1074" t="s">
        <v>3959</v>
      </c>
      <c r="E1074" t="s">
        <v>4133</v>
      </c>
      <c r="F1074">
        <v>329950</v>
      </c>
      <c r="G1074">
        <v>2007</v>
      </c>
      <c r="H1074">
        <v>0</v>
      </c>
      <c r="I1074">
        <v>0</v>
      </c>
      <c r="J1074">
        <v>2</v>
      </c>
      <c r="K1074">
        <v>2.5</v>
      </c>
      <c r="M1074" s="2" t="str">
        <f>HYPERLINK("http://maps.live.com/default.aspx?v=2&amp;lvl=15&amp;sp=Point.47.608579_-122.299238_717 26th Ave&amp;cp=47.608579~-122.299238","Map")</f>
        <v>Map</v>
      </c>
      <c r="N1074" s="2" t="str">
        <f>HYPERLINK("http://i-0.rfimg.us/photo/1/bigphoto/289/28010289_0.jpg","Photo")</f>
        <v>Photo</v>
      </c>
      <c r="AG1074">
        <v>47.608578999999999</v>
      </c>
      <c r="AH1074">
        <v>-122.299238</v>
      </c>
      <c r="AI1074" t="s">
        <v>66</v>
      </c>
      <c r="AJ1074">
        <v>98122</v>
      </c>
      <c r="BC1074" s="22">
        <v>39463.646643518521</v>
      </c>
      <c r="BI1074" s="22">
        <v>39549.294907407406</v>
      </c>
      <c r="BL1074">
        <v>6599</v>
      </c>
      <c r="BM1074">
        <v>1405273</v>
      </c>
      <c r="BN1074" t="s">
        <v>4132</v>
      </c>
      <c r="BO1074" s="17">
        <f t="shared" ca="1" si="16"/>
        <v>85.662762384257803</v>
      </c>
      <c r="BP1074" t="b">
        <v>0</v>
      </c>
      <c r="BQ1074">
        <v>1</v>
      </c>
      <c r="BR1074" t="s">
        <v>1667</v>
      </c>
      <c r="BS1074" t="s">
        <v>1769</v>
      </c>
      <c r="BT1074" t="b">
        <v>0</v>
      </c>
      <c r="BV1074" t="s">
        <v>1668</v>
      </c>
      <c r="BW1074">
        <v>717</v>
      </c>
      <c r="BY1074">
        <v>12304019</v>
      </c>
      <c r="BZ1074" t="s">
        <v>1670</v>
      </c>
      <c r="CA1074">
        <v>1</v>
      </c>
      <c r="CB1074" t="b">
        <v>1</v>
      </c>
      <c r="CC1074">
        <v>0</v>
      </c>
      <c r="CD1074" t="b">
        <v>0</v>
      </c>
      <c r="CE1074" t="b">
        <v>0</v>
      </c>
      <c r="CF1074" t="b">
        <v>1</v>
      </c>
      <c r="CG1074">
        <v>15510953</v>
      </c>
      <c r="CH1074" t="s">
        <v>1681</v>
      </c>
      <c r="CI1074" s="10">
        <v>329950</v>
      </c>
    </row>
    <row r="1075" spans="1:88">
      <c r="A1075">
        <v>28010325</v>
      </c>
      <c r="B1075" s="2" t="str">
        <f>HYPERLINK("http://www.redfin.com/stingray/do/printable-listing?listing-id=1419387","Active")</f>
        <v>Active</v>
      </c>
      <c r="D1075" t="s">
        <v>192</v>
      </c>
      <c r="E1075" t="s">
        <v>3110</v>
      </c>
      <c r="F1075">
        <v>649950</v>
      </c>
      <c r="G1075">
        <v>1928</v>
      </c>
      <c r="H1075">
        <v>2350</v>
      </c>
      <c r="I1075">
        <v>0</v>
      </c>
      <c r="J1075">
        <v>3</v>
      </c>
      <c r="K1075">
        <v>2</v>
      </c>
      <c r="M1075" s="2" t="str">
        <f>HYPERLINK("http://maps.live.com/default.aspx?v=2&amp;lvl=15&amp;sp=Point.47.685438_-122.313043_7714 14th Ave NE&amp;cp=47.685438~-122.313043","Map")</f>
        <v>Map</v>
      </c>
      <c r="N1075" s="2" t="str">
        <f>HYPERLINK("http://i-0.rfimg.us/photo/1/bigphoto/325/28010325_2.jpg","Photo")</f>
        <v>Photo</v>
      </c>
      <c r="AG1075">
        <v>47.685437999999998</v>
      </c>
      <c r="AH1075">
        <v>-122.31304299999999</v>
      </c>
      <c r="AI1075" t="s">
        <v>66</v>
      </c>
      <c r="AJ1075">
        <v>98115</v>
      </c>
      <c r="AN1075">
        <v>255000</v>
      </c>
      <c r="BC1075" s="22">
        <v>39469.379733796297</v>
      </c>
      <c r="BI1075" s="22">
        <v>39549.294907407406</v>
      </c>
      <c r="BL1075">
        <v>12999</v>
      </c>
      <c r="BM1075">
        <v>1419387</v>
      </c>
      <c r="BN1075" t="s">
        <v>1710</v>
      </c>
      <c r="BO1075" s="17">
        <f t="shared" ca="1" si="16"/>
        <v>79.92967210648203</v>
      </c>
      <c r="BP1075" t="b">
        <v>0</v>
      </c>
      <c r="BQ1075">
        <v>1</v>
      </c>
      <c r="BR1075" t="s">
        <v>1667</v>
      </c>
      <c r="BS1075" t="s">
        <v>1900</v>
      </c>
      <c r="BT1075" t="b">
        <v>0</v>
      </c>
      <c r="BV1075" t="s">
        <v>1668</v>
      </c>
      <c r="BW1075">
        <v>7714</v>
      </c>
      <c r="BX1075" t="s">
        <v>1738</v>
      </c>
      <c r="BY1075">
        <v>310023</v>
      </c>
      <c r="BZ1075" t="s">
        <v>1730</v>
      </c>
      <c r="CA1075">
        <v>1</v>
      </c>
      <c r="CB1075" t="b">
        <v>1</v>
      </c>
      <c r="CC1075">
        <v>0</v>
      </c>
      <c r="CD1075" t="b">
        <v>0</v>
      </c>
      <c r="CE1075" t="b">
        <v>0</v>
      </c>
      <c r="CF1075" t="b">
        <v>1</v>
      </c>
      <c r="CG1075">
        <v>2989501</v>
      </c>
      <c r="CH1075" t="s">
        <v>1681</v>
      </c>
      <c r="CI1075" s="10">
        <v>649950</v>
      </c>
      <c r="CJ1075" s="7">
        <v>36342</v>
      </c>
    </row>
    <row r="1076" spans="1:88">
      <c r="A1076">
        <v>28010336</v>
      </c>
      <c r="B1076" s="2" t="str">
        <f>HYPERLINK("http://www.redfin.com/stingray/do/printable-listing?listing-id=1405773","Active")</f>
        <v>Active</v>
      </c>
      <c r="D1076" t="s">
        <v>3959</v>
      </c>
      <c r="E1076" t="s">
        <v>4133</v>
      </c>
      <c r="F1076" s="19">
        <v>319950</v>
      </c>
      <c r="G1076">
        <v>2007</v>
      </c>
      <c r="H1076">
        <v>0</v>
      </c>
      <c r="I1076">
        <v>0</v>
      </c>
      <c r="J1076">
        <v>2</v>
      </c>
      <c r="K1076">
        <v>2.5</v>
      </c>
      <c r="M1076" s="2" t="str">
        <f>HYPERLINK("http://maps.live.com/default.aspx?v=2&amp;lvl=15&amp;sp=Point.47.608579_-122.299238_717 26th Ave&amp;cp=47.608579~-122.299238","Map")</f>
        <v>Map</v>
      </c>
      <c r="N1076" s="2" t="str">
        <f>HYPERLINK("http://i-0.rfimg.us/photo/1/bigphoto/336/28010336_0.jpg","Photo")</f>
        <v>Photo</v>
      </c>
      <c r="AG1076">
        <v>47.608578999999999</v>
      </c>
      <c r="AH1076">
        <v>-122.299238</v>
      </c>
      <c r="AI1076" t="s">
        <v>66</v>
      </c>
      <c r="AJ1076">
        <v>98122</v>
      </c>
      <c r="BC1076" s="22">
        <v>39463.688726851855</v>
      </c>
      <c r="BI1076" s="22">
        <v>39549.294907407406</v>
      </c>
      <c r="BL1076">
        <v>6599</v>
      </c>
      <c r="BM1076">
        <v>1405773</v>
      </c>
      <c r="BN1076" t="s">
        <v>4132</v>
      </c>
      <c r="BO1076" s="17">
        <f t="shared" ca="1" si="16"/>
        <v>85.620679050924082</v>
      </c>
      <c r="BP1076" t="b">
        <v>0</v>
      </c>
      <c r="BQ1076">
        <v>1</v>
      </c>
      <c r="BR1076" t="s">
        <v>1667</v>
      </c>
      <c r="BS1076" t="s">
        <v>1769</v>
      </c>
      <c r="BT1076" t="b">
        <v>0</v>
      </c>
      <c r="BV1076" t="s">
        <v>1668</v>
      </c>
      <c r="BW1076">
        <v>717</v>
      </c>
      <c r="BY1076">
        <v>12304019</v>
      </c>
      <c r="BZ1076" t="s">
        <v>1676</v>
      </c>
      <c r="CA1076">
        <v>1</v>
      </c>
      <c r="CB1076" t="b">
        <v>1</v>
      </c>
      <c r="CC1076">
        <v>0</v>
      </c>
      <c r="CD1076" t="b">
        <v>0</v>
      </c>
      <c r="CE1076" t="b">
        <v>0</v>
      </c>
      <c r="CF1076" t="b">
        <v>1</v>
      </c>
      <c r="CG1076">
        <v>15510953</v>
      </c>
      <c r="CH1076" t="s">
        <v>1681</v>
      </c>
      <c r="CI1076" s="10">
        <v>329950</v>
      </c>
    </row>
    <row r="1077" spans="1:88">
      <c r="A1077">
        <v>28010354</v>
      </c>
      <c r="B1077" s="2" t="str">
        <f>HYPERLINK("http://www.redfin.com/stingray/do/printable-listing?listing-id=1405742","Contingent")</f>
        <v>Contingent</v>
      </c>
      <c r="D1077" t="s">
        <v>3302</v>
      </c>
      <c r="E1077" t="s">
        <v>3695</v>
      </c>
      <c r="F1077">
        <v>499888</v>
      </c>
      <c r="G1077">
        <v>2007</v>
      </c>
      <c r="H1077">
        <v>1400</v>
      </c>
      <c r="I1077">
        <v>0</v>
      </c>
      <c r="J1077">
        <v>3</v>
      </c>
      <c r="K1077">
        <v>2.5</v>
      </c>
      <c r="M1077" s="2" t="str">
        <f>HYPERLINK("http://maps.live.com/default.aspx?v=2&amp;lvl=15&amp;sp=Point.47.637097_-122.325695_2026 Eastlake Ave E&amp;cp=47.637097~-122.325695","Map")</f>
        <v>Map</v>
      </c>
      <c r="N1077" s="2" t="str">
        <f>HYPERLINK("http://i-0.rfimg.us/photo/1/bigphoto/354/28010354_4.jpg","Photo")</f>
        <v>Photo</v>
      </c>
      <c r="AG1077">
        <v>47.637096999999997</v>
      </c>
      <c r="AH1077">
        <v>-122.325695</v>
      </c>
      <c r="AI1077" t="s">
        <v>66</v>
      </c>
      <c r="AJ1077">
        <v>98102</v>
      </c>
      <c r="BC1077" s="22">
        <v>39463.684710648151</v>
      </c>
      <c r="BI1077" s="22">
        <v>39549.294907407406</v>
      </c>
      <c r="BL1077">
        <v>9998</v>
      </c>
      <c r="BM1077">
        <v>1405742</v>
      </c>
      <c r="BN1077" t="s">
        <v>1746</v>
      </c>
      <c r="BO1077" s="17">
        <f t="shared" ca="1" si="16"/>
        <v>85.624695254628023</v>
      </c>
      <c r="BP1077" t="b">
        <v>0</v>
      </c>
      <c r="BQ1077">
        <v>2</v>
      </c>
      <c r="BR1077" t="s">
        <v>1667</v>
      </c>
      <c r="BS1077" t="s">
        <v>3302</v>
      </c>
      <c r="BT1077" t="b">
        <v>0</v>
      </c>
      <c r="BV1077" t="s">
        <v>1668</v>
      </c>
      <c r="BW1077">
        <v>2026</v>
      </c>
      <c r="BX1077" t="s">
        <v>2436</v>
      </c>
      <c r="BY1077">
        <v>12096280</v>
      </c>
      <c r="BZ1077" t="s">
        <v>3696</v>
      </c>
      <c r="CA1077">
        <v>1</v>
      </c>
      <c r="CB1077" t="b">
        <v>1</v>
      </c>
      <c r="CC1077">
        <v>0</v>
      </c>
      <c r="CD1077" t="b">
        <v>0</v>
      </c>
      <c r="CE1077" t="b">
        <v>0</v>
      </c>
      <c r="CF1077" t="b">
        <v>1</v>
      </c>
      <c r="CG1077">
        <v>15349832</v>
      </c>
      <c r="CH1077" t="s">
        <v>1681</v>
      </c>
      <c r="CI1077" s="10">
        <v>499888</v>
      </c>
    </row>
    <row r="1078" spans="1:88">
      <c r="A1078">
        <v>28010355</v>
      </c>
      <c r="B1078" s="15" t="str">
        <f>HYPERLINK("http://www.redfin.com/stingray/do/printable-listing?listing-id=1405761","Subject To Inspection")</f>
        <v>Subject To Inspection</v>
      </c>
      <c r="D1078" t="s">
        <v>3959</v>
      </c>
      <c r="E1078" t="s">
        <v>4289</v>
      </c>
      <c r="F1078">
        <v>325000</v>
      </c>
      <c r="G1078">
        <v>1930</v>
      </c>
      <c r="H1078">
        <v>0</v>
      </c>
      <c r="I1078">
        <v>0</v>
      </c>
      <c r="J1078">
        <v>2</v>
      </c>
      <c r="K1078">
        <v>1</v>
      </c>
      <c r="M1078" s="2" t="str">
        <f>HYPERLINK("http://maps.live.com/default.aspx?v=2&amp;lvl=15&amp;sp=Point.47.608571_-122.299103_719 26th Ave&amp;cp=47.608571~-122.299103","Map")</f>
        <v>Map</v>
      </c>
      <c r="N1078" s="2" t="str">
        <f>HYPERLINK("http://i-0.rfimg.us/photo/1/bigphoto/355/28010355_0.jpg","Photo")</f>
        <v>Photo</v>
      </c>
      <c r="AG1078">
        <v>47.608570999999998</v>
      </c>
      <c r="AH1078">
        <v>-122.299103</v>
      </c>
      <c r="AI1078" t="s">
        <v>66</v>
      </c>
      <c r="AJ1078">
        <v>98122</v>
      </c>
      <c r="AN1078">
        <v>120000</v>
      </c>
      <c r="BC1078" s="22">
        <v>39463.685254629629</v>
      </c>
      <c r="BI1078" s="22">
        <v>39549.294907407406</v>
      </c>
      <c r="BL1078">
        <v>6500</v>
      </c>
      <c r="BM1078">
        <v>1405761</v>
      </c>
      <c r="BN1078" t="s">
        <v>4132</v>
      </c>
      <c r="BO1078" s="17">
        <f t="shared" ca="1" si="16"/>
        <v>85.624151273150346</v>
      </c>
      <c r="BP1078" t="b">
        <v>0</v>
      </c>
      <c r="BQ1078">
        <v>1</v>
      </c>
      <c r="BR1078" t="s">
        <v>1667</v>
      </c>
      <c r="BS1078" t="s">
        <v>1769</v>
      </c>
      <c r="BT1078" t="b">
        <v>0</v>
      </c>
      <c r="BV1078" t="s">
        <v>1668</v>
      </c>
      <c r="BW1078">
        <v>719</v>
      </c>
      <c r="BY1078">
        <v>147641</v>
      </c>
      <c r="BZ1078" t="s">
        <v>1713</v>
      </c>
      <c r="CA1078">
        <v>1</v>
      </c>
      <c r="CB1078" t="b">
        <v>1</v>
      </c>
      <c r="CC1078">
        <v>0</v>
      </c>
      <c r="CD1078" t="b">
        <v>0</v>
      </c>
      <c r="CE1078" t="b">
        <v>0</v>
      </c>
      <c r="CF1078" t="b">
        <v>1</v>
      </c>
      <c r="CG1078">
        <v>2376674</v>
      </c>
      <c r="CH1078" t="s">
        <v>1681</v>
      </c>
      <c r="CI1078" s="10">
        <v>325000</v>
      </c>
      <c r="CJ1078" s="7">
        <v>34766</v>
      </c>
    </row>
    <row r="1079" spans="1:88">
      <c r="A1079">
        <v>28010411</v>
      </c>
      <c r="B1079" s="2" t="str">
        <f>HYPERLINK("http://www.redfin.com/stingray/do/printable-listing?listing-id=1405743","Active")</f>
        <v>Active</v>
      </c>
      <c r="D1079" t="s">
        <v>63</v>
      </c>
      <c r="E1079" t="s">
        <v>2546</v>
      </c>
      <c r="F1079">
        <v>479950</v>
      </c>
      <c r="G1079">
        <v>2007</v>
      </c>
      <c r="H1079">
        <v>2219</v>
      </c>
      <c r="I1079">
        <v>0</v>
      </c>
      <c r="J1079">
        <v>3</v>
      </c>
      <c r="K1079">
        <v>2.5</v>
      </c>
      <c r="M1079" s="2" t="str">
        <f>HYPERLINK("http://maps.live.com/default.aspx?v=2&amp;lvl=15&amp;sp=Point.47.666693_-122.381204_5233 Russell Ave NW&amp;cp=47.666693~-122.381204","Map")</f>
        <v>Map</v>
      </c>
      <c r="N1079" s="2" t="str">
        <f>HYPERLINK("http://i-0.rfimg.us/photo/1/bigphoto/411/28010411_0.jpg","Photo")</f>
        <v>Photo</v>
      </c>
      <c r="AG1079">
        <v>47.666693000000002</v>
      </c>
      <c r="AH1079">
        <v>-122.381204</v>
      </c>
      <c r="AI1079" t="s">
        <v>66</v>
      </c>
      <c r="AJ1079">
        <v>98107</v>
      </c>
      <c r="AN1079">
        <v>499950</v>
      </c>
      <c r="BC1079" s="22">
        <v>39463.684791666667</v>
      </c>
      <c r="BI1079" s="22">
        <v>39549.294907407406</v>
      </c>
      <c r="BL1079">
        <v>9599</v>
      </c>
      <c r="BM1079">
        <v>1405743</v>
      </c>
      <c r="BN1079" t="s">
        <v>1725</v>
      </c>
      <c r="BO1079" s="17">
        <f t="shared" ca="1" si="16"/>
        <v>85.624614351851051</v>
      </c>
      <c r="BP1079" t="b">
        <v>0</v>
      </c>
      <c r="BQ1079">
        <v>1</v>
      </c>
      <c r="BR1079" t="s">
        <v>1667</v>
      </c>
      <c r="BS1079" t="s">
        <v>2547</v>
      </c>
      <c r="BT1079" t="b">
        <v>0</v>
      </c>
      <c r="BV1079" t="s">
        <v>1668</v>
      </c>
      <c r="BW1079">
        <v>5233</v>
      </c>
      <c r="BX1079" t="s">
        <v>1669</v>
      </c>
      <c r="BY1079">
        <v>493397</v>
      </c>
      <c r="BZ1079" t="s">
        <v>1701</v>
      </c>
      <c r="CA1079">
        <v>1</v>
      </c>
      <c r="CB1079" t="b">
        <v>1</v>
      </c>
      <c r="CC1079">
        <v>0</v>
      </c>
      <c r="CD1079" t="b">
        <v>0</v>
      </c>
      <c r="CE1079" t="b">
        <v>0</v>
      </c>
      <c r="CF1079" t="b">
        <v>1</v>
      </c>
      <c r="CG1079">
        <v>2822454</v>
      </c>
      <c r="CH1079" t="s">
        <v>1681</v>
      </c>
      <c r="CI1079" s="10">
        <v>479950</v>
      </c>
      <c r="CJ1079" s="7">
        <v>38686</v>
      </c>
    </row>
    <row r="1080" spans="1:88">
      <c r="A1080">
        <v>28010430</v>
      </c>
      <c r="B1080" s="2" t="str">
        <f>HYPERLINK("http://www.redfin.com/stingray/do/printable-listing?listing-id=1405782","Subject To Inspection")</f>
        <v>Subject To Inspection</v>
      </c>
      <c r="D1080" t="s">
        <v>63</v>
      </c>
      <c r="E1080" t="s">
        <v>2548</v>
      </c>
      <c r="F1080">
        <v>479950</v>
      </c>
      <c r="G1080">
        <v>2007</v>
      </c>
      <c r="H1080">
        <v>2219</v>
      </c>
      <c r="I1080">
        <v>0</v>
      </c>
      <c r="J1080">
        <v>3</v>
      </c>
      <c r="K1080">
        <v>2.5</v>
      </c>
      <c r="M1080" s="2" t="str">
        <f>HYPERLINK("http://maps.live.com/default.aspx?v=2&amp;lvl=15&amp;sp=Point.47.666609_-122.380953_5231 Russell Ave NW&amp;cp=47.666609~-122.380953","Map")</f>
        <v>Map</v>
      </c>
      <c r="N1080" s="2" t="str">
        <f>HYPERLINK("http://i-0.rfimg.us/photo/1/bigphoto/430/28010430_0.jpg","Photo")</f>
        <v>Photo</v>
      </c>
      <c r="AG1080">
        <v>47.666609000000001</v>
      </c>
      <c r="AH1080">
        <v>-122.38095300000001</v>
      </c>
      <c r="AI1080" t="s">
        <v>66</v>
      </c>
      <c r="AJ1080">
        <v>98107</v>
      </c>
      <c r="BC1080" s="22">
        <v>39463.68891203704</v>
      </c>
      <c r="BI1080" s="22">
        <v>39547.913935185185</v>
      </c>
      <c r="BL1080">
        <v>9599</v>
      </c>
      <c r="BM1080">
        <v>1405782</v>
      </c>
      <c r="BN1080" t="s">
        <v>1725</v>
      </c>
      <c r="BO1080" s="17">
        <f t="shared" ca="1" si="16"/>
        <v>85.620493981477921</v>
      </c>
      <c r="BP1080" t="b">
        <v>0</v>
      </c>
      <c r="BQ1080">
        <v>2</v>
      </c>
      <c r="BR1080" t="s">
        <v>1667</v>
      </c>
      <c r="BS1080" t="s">
        <v>2547</v>
      </c>
      <c r="BT1080" t="b">
        <v>0</v>
      </c>
      <c r="BV1080" t="s">
        <v>1668</v>
      </c>
      <c r="BW1080">
        <v>5231</v>
      </c>
      <c r="BX1080" t="s">
        <v>1669</v>
      </c>
      <c r="BY1080">
        <v>12344667</v>
      </c>
      <c r="BZ1080" t="s">
        <v>1701</v>
      </c>
      <c r="CA1080">
        <v>1</v>
      </c>
      <c r="CB1080" t="b">
        <v>1</v>
      </c>
      <c r="CC1080">
        <v>0</v>
      </c>
      <c r="CD1080" t="b">
        <v>0</v>
      </c>
      <c r="CE1080" t="b">
        <v>0</v>
      </c>
      <c r="CF1080" t="b">
        <v>1</v>
      </c>
      <c r="CG1080">
        <v>15548415</v>
      </c>
      <c r="CH1080" t="s">
        <v>1681</v>
      </c>
      <c r="CI1080" s="10">
        <v>479950</v>
      </c>
    </row>
    <row r="1081" spans="1:88">
      <c r="A1081">
        <v>28010441</v>
      </c>
      <c r="B1081" s="2" t="str">
        <f>HYPERLINK("http://www.redfin.com/stingray/do/printable-listing?listing-id=1405783","Active")</f>
        <v>Active</v>
      </c>
      <c r="D1081" t="s">
        <v>63</v>
      </c>
      <c r="E1081" t="s">
        <v>2548</v>
      </c>
      <c r="F1081">
        <v>479950</v>
      </c>
      <c r="G1081">
        <v>2007</v>
      </c>
      <c r="H1081">
        <v>2219</v>
      </c>
      <c r="I1081">
        <v>0</v>
      </c>
      <c r="J1081">
        <v>3</v>
      </c>
      <c r="K1081">
        <v>2.5</v>
      </c>
      <c r="M1081" s="2" t="str">
        <f>HYPERLINK("http://maps.live.com/default.aspx?v=2&amp;lvl=15&amp;sp=Point.47.666609_-122.380953_5231 Russell Ave NW&amp;cp=47.666609~-122.380953","Map")</f>
        <v>Map</v>
      </c>
      <c r="N1081" s="2" t="str">
        <f>HYPERLINK("http://i-0.rfimg.us/photo/1/bigphoto/441/28010441_0.jpg","Photo")</f>
        <v>Photo</v>
      </c>
      <c r="AG1081">
        <v>47.666609000000001</v>
      </c>
      <c r="AH1081">
        <v>-122.38095300000001</v>
      </c>
      <c r="AI1081" t="s">
        <v>66</v>
      </c>
      <c r="AJ1081">
        <v>98107</v>
      </c>
      <c r="BC1081" s="22">
        <v>39463.68891203704</v>
      </c>
      <c r="BI1081" s="22">
        <v>39549.294907407406</v>
      </c>
      <c r="BL1081">
        <v>9599</v>
      </c>
      <c r="BM1081">
        <v>1405783</v>
      </c>
      <c r="BN1081" t="s">
        <v>1725</v>
      </c>
      <c r="BO1081" s="17">
        <f t="shared" ca="1" si="16"/>
        <v>85.620493865739263</v>
      </c>
      <c r="BP1081" t="b">
        <v>0</v>
      </c>
      <c r="BQ1081">
        <v>1</v>
      </c>
      <c r="BR1081" t="s">
        <v>1667</v>
      </c>
      <c r="BS1081" t="s">
        <v>2547</v>
      </c>
      <c r="BT1081" t="b">
        <v>0</v>
      </c>
      <c r="BV1081" t="s">
        <v>1668</v>
      </c>
      <c r="BW1081">
        <v>5231</v>
      </c>
      <c r="BX1081" t="s">
        <v>1669</v>
      </c>
      <c r="BY1081">
        <v>12344667</v>
      </c>
      <c r="BZ1081" t="s">
        <v>1701</v>
      </c>
      <c r="CA1081">
        <v>1</v>
      </c>
      <c r="CB1081" t="b">
        <v>1</v>
      </c>
      <c r="CC1081">
        <v>0</v>
      </c>
      <c r="CD1081" t="b">
        <v>0</v>
      </c>
      <c r="CE1081" t="b">
        <v>0</v>
      </c>
      <c r="CF1081" t="b">
        <v>1</v>
      </c>
      <c r="CG1081">
        <v>15548415</v>
      </c>
      <c r="CH1081" t="s">
        <v>1681</v>
      </c>
      <c r="CI1081" s="10">
        <v>479950</v>
      </c>
    </row>
    <row r="1082" spans="1:88">
      <c r="A1082">
        <v>28010449</v>
      </c>
      <c r="B1082" s="2" t="str">
        <f>HYPERLINK("http://www.redfin.com/stingray/do/printable-listing?listing-id=1412390","Active")</f>
        <v>Active</v>
      </c>
      <c r="D1082" t="s">
        <v>3959</v>
      </c>
      <c r="E1082" t="s">
        <v>3990</v>
      </c>
      <c r="F1082" s="19">
        <v>299950</v>
      </c>
      <c r="G1082">
        <v>2008</v>
      </c>
      <c r="H1082">
        <v>1148</v>
      </c>
      <c r="I1082">
        <v>0</v>
      </c>
      <c r="J1082">
        <v>2</v>
      </c>
      <c r="K1082">
        <v>1.5</v>
      </c>
      <c r="M1082" s="2" t="str">
        <f>HYPERLINK("http://maps.live.com/default.aspx?v=2&amp;lvl=15&amp;sp=Point.47.600137_-122.305645_2028 S Main St nA&amp;cp=47.600137~-122.305645","Map")</f>
        <v>Map</v>
      </c>
      <c r="N1082" s="2" t="str">
        <f>HYPERLINK("http://i-0.rfimg.us/photo/1/bigphoto/449/28010449_2.jpg","Photo")</f>
        <v>Photo</v>
      </c>
      <c r="AG1082">
        <v>47.600136999999997</v>
      </c>
      <c r="AH1082">
        <v>-122.305645</v>
      </c>
      <c r="AI1082" t="s">
        <v>66</v>
      </c>
      <c r="AJ1082">
        <v>98144</v>
      </c>
      <c r="AM1082" t="s">
        <v>1722</v>
      </c>
      <c r="BC1082" s="22">
        <v>39465.658946759257</v>
      </c>
      <c r="BI1082" s="22">
        <v>39549.294907407406</v>
      </c>
      <c r="BL1082">
        <v>6199</v>
      </c>
      <c r="BM1082">
        <v>1412390</v>
      </c>
      <c r="BN1082" t="s">
        <v>1710</v>
      </c>
      <c r="BO1082" s="17">
        <f t="shared" ca="1" si="16"/>
        <v>83.650459143522312</v>
      </c>
      <c r="BP1082" t="b">
        <v>0</v>
      </c>
      <c r="BQ1082">
        <v>1</v>
      </c>
      <c r="BR1082" t="s">
        <v>1686</v>
      </c>
      <c r="BS1082" t="s">
        <v>3986</v>
      </c>
      <c r="BT1082" t="b">
        <v>0</v>
      </c>
      <c r="BU1082" t="s">
        <v>1881</v>
      </c>
      <c r="BV1082" t="s">
        <v>1668</v>
      </c>
      <c r="BW1082">
        <v>2028</v>
      </c>
      <c r="BY1082">
        <v>12352532</v>
      </c>
      <c r="BZ1082" t="s">
        <v>3991</v>
      </c>
      <c r="CA1082">
        <v>1</v>
      </c>
      <c r="CB1082" t="b">
        <v>1</v>
      </c>
      <c r="CC1082">
        <v>0</v>
      </c>
      <c r="CD1082" t="b">
        <v>0</v>
      </c>
      <c r="CE1082" t="b">
        <v>0</v>
      </c>
      <c r="CF1082" t="b">
        <v>1</v>
      </c>
      <c r="CG1082">
        <v>15590117</v>
      </c>
      <c r="CH1082" t="s">
        <v>1681</v>
      </c>
      <c r="CI1082" s="10">
        <v>309950</v>
      </c>
    </row>
    <row r="1083" spans="1:88">
      <c r="A1083">
        <v>28010475</v>
      </c>
      <c r="B1083" s="15" t="str">
        <f>HYPERLINK("http://www.redfin.com/stingray/do/printable-listing?listing-id=1412389","Subject To Inspection")</f>
        <v>Subject To Inspection</v>
      </c>
      <c r="D1083" t="s">
        <v>3959</v>
      </c>
      <c r="E1083" t="s">
        <v>4159</v>
      </c>
      <c r="F1083">
        <v>299950</v>
      </c>
      <c r="G1083">
        <v>1918</v>
      </c>
      <c r="H1083">
        <v>1350</v>
      </c>
      <c r="I1083">
        <v>0</v>
      </c>
      <c r="J1083">
        <v>2</v>
      </c>
      <c r="K1083">
        <v>1</v>
      </c>
      <c r="M1083" s="2" t="str">
        <f>HYPERLINK("http://maps.live.com/default.aspx?v=2&amp;lvl=15&amp;sp=Point.47.600251_-122.304969_2030 S Main St&amp;cp=47.600251~-122.304969","Map")</f>
        <v>Map</v>
      </c>
      <c r="N1083" s="2" t="str">
        <f>HYPERLINK("http://i-0.rfimg.us/photo/1/bigphoto/475/28010475_3.jpg","Photo")</f>
        <v>Photo</v>
      </c>
      <c r="AG1083">
        <v>47.600251</v>
      </c>
      <c r="AH1083">
        <v>-122.304969</v>
      </c>
      <c r="AI1083" t="s">
        <v>66</v>
      </c>
      <c r="AJ1083">
        <v>98144</v>
      </c>
      <c r="AN1083">
        <v>400000</v>
      </c>
      <c r="BC1083" s="22">
        <v>39465.658935185187</v>
      </c>
      <c r="BI1083" s="22">
        <v>39549.294907407406</v>
      </c>
      <c r="BL1083">
        <v>5999</v>
      </c>
      <c r="BM1083">
        <v>1412389</v>
      </c>
      <c r="BN1083" t="s">
        <v>1710</v>
      </c>
      <c r="BO1083" s="17">
        <f t="shared" ca="1" si="16"/>
        <v>83.650470717591816</v>
      </c>
      <c r="BP1083" t="b">
        <v>0</v>
      </c>
      <c r="BQ1083">
        <v>1</v>
      </c>
      <c r="BR1083" t="s">
        <v>1686</v>
      </c>
      <c r="BS1083" t="s">
        <v>3986</v>
      </c>
      <c r="BT1083" t="b">
        <v>0</v>
      </c>
      <c r="BU1083" t="s">
        <v>1881</v>
      </c>
      <c r="BV1083" t="s">
        <v>1668</v>
      </c>
      <c r="BW1083">
        <v>2030</v>
      </c>
      <c r="BY1083">
        <v>143566</v>
      </c>
      <c r="BZ1083" t="s">
        <v>4160</v>
      </c>
      <c r="CA1083">
        <v>1</v>
      </c>
      <c r="CB1083" t="b">
        <v>1</v>
      </c>
      <c r="CC1083">
        <v>0</v>
      </c>
      <c r="CD1083" t="b">
        <v>0</v>
      </c>
      <c r="CE1083" t="b">
        <v>0</v>
      </c>
      <c r="CF1083" t="b">
        <v>1</v>
      </c>
      <c r="CG1083">
        <v>2350709</v>
      </c>
      <c r="CH1083" t="s">
        <v>1681</v>
      </c>
      <c r="CI1083" s="10">
        <v>299950</v>
      </c>
      <c r="CJ1083" s="7">
        <v>38961</v>
      </c>
    </row>
    <row r="1084" spans="1:88">
      <c r="A1084">
        <v>28010482</v>
      </c>
      <c r="B1084" s="15" t="str">
        <f>HYPERLINK("http://www.redfin.com/stingray/do/printable-listing?listing-id=1406234","Subject To Inspection")</f>
        <v>Subject To Inspection</v>
      </c>
      <c r="D1084" t="s">
        <v>4378</v>
      </c>
      <c r="E1084" t="s">
        <v>4385</v>
      </c>
      <c r="F1084">
        <v>899000</v>
      </c>
      <c r="G1084">
        <v>1980</v>
      </c>
      <c r="H1084">
        <v>3010</v>
      </c>
      <c r="I1084">
        <v>10830</v>
      </c>
      <c r="J1084">
        <v>4</v>
      </c>
      <c r="K1084">
        <v>2.75</v>
      </c>
      <c r="M1084" s="2" t="str">
        <f>HYPERLINK("http://maps.live.com/default.aspx?v=2&amp;lvl=15&amp;sp=Point.47.700504_-122.23236_8122 NE 110 Pl&amp;cp=47.700504~-122.23236","Map")</f>
        <v>Map</v>
      </c>
      <c r="N1084" s="2" t="str">
        <f>HYPERLINK("http://i-0.rfimg.us/photo/1/bigphoto/482/28010482_3.jpg","Photo")</f>
        <v>Photo</v>
      </c>
      <c r="AG1084">
        <v>47.700504000000002</v>
      </c>
      <c r="AH1084">
        <v>-122.23236</v>
      </c>
      <c r="AI1084" t="s">
        <v>1058</v>
      </c>
      <c r="AJ1084">
        <v>98034</v>
      </c>
      <c r="BC1084" s="22">
        <v>39463.709282407406</v>
      </c>
      <c r="BI1084" s="7">
        <v>39542</v>
      </c>
      <c r="BL1084">
        <v>17980</v>
      </c>
      <c r="BM1084">
        <v>1406234</v>
      </c>
      <c r="BN1084" t="s">
        <v>1798</v>
      </c>
      <c r="BO1084" s="17">
        <f t="shared" ca="1" si="16"/>
        <v>85.600123495372827</v>
      </c>
      <c r="BP1084" t="b">
        <v>0</v>
      </c>
      <c r="BQ1084">
        <v>1</v>
      </c>
      <c r="BR1084" t="s">
        <v>1842</v>
      </c>
      <c r="BS1084">
        <v>110</v>
      </c>
      <c r="BT1084" t="b">
        <v>0</v>
      </c>
      <c r="BU1084" t="s">
        <v>1738</v>
      </c>
      <c r="BV1084" t="s">
        <v>1668</v>
      </c>
      <c r="BW1084">
        <v>8122</v>
      </c>
      <c r="BY1084">
        <v>281066</v>
      </c>
      <c r="BZ1084" t="s">
        <v>2592</v>
      </c>
      <c r="CA1084">
        <v>1</v>
      </c>
      <c r="CB1084" t="b">
        <v>1</v>
      </c>
      <c r="CC1084">
        <v>0</v>
      </c>
      <c r="CD1084" t="b">
        <v>0</v>
      </c>
      <c r="CE1084" t="b">
        <v>0</v>
      </c>
      <c r="CF1084" t="b">
        <v>1</v>
      </c>
      <c r="CG1084">
        <v>2771410</v>
      </c>
      <c r="CH1084" t="s">
        <v>1681</v>
      </c>
      <c r="CI1084" s="10">
        <v>899000</v>
      </c>
    </row>
    <row r="1085" spans="1:88">
      <c r="A1085">
        <v>28010504</v>
      </c>
      <c r="B1085" s="2" t="str">
        <f>HYPERLINK("http://www.redfin.com/stingray/do/printable-listing?listing-id=1406299","Active")</f>
        <v>Active</v>
      </c>
      <c r="D1085" t="s">
        <v>3071</v>
      </c>
      <c r="E1085" t="s">
        <v>4495</v>
      </c>
      <c r="F1085">
        <v>639900</v>
      </c>
      <c r="G1085">
        <v>1976</v>
      </c>
      <c r="H1085">
        <v>2820</v>
      </c>
      <c r="I1085">
        <v>12066</v>
      </c>
      <c r="J1085">
        <v>4</v>
      </c>
      <c r="K1085">
        <v>2.5</v>
      </c>
      <c r="M1085" s="2" t="str">
        <f>HYPERLINK("http://maps.live.com/default.aspx?v=2&amp;lvl=15&amp;sp=Point.47.712324_-122.221706_12504 89 Pl NE&amp;cp=47.712324~-122.221706","Map")</f>
        <v>Map</v>
      </c>
      <c r="N1085" s="2" t="str">
        <f>HYPERLINK("http://i-0.rfimg.us/photo/1/bigphoto/504/28010504_0.jpg","Photo")</f>
        <v>Photo</v>
      </c>
      <c r="AG1085">
        <v>47.712324000000002</v>
      </c>
      <c r="AH1085">
        <v>-122.221706</v>
      </c>
      <c r="AI1085" t="s">
        <v>1058</v>
      </c>
      <c r="AJ1085">
        <v>98034</v>
      </c>
      <c r="BC1085" s="22">
        <v>39463.730543981481</v>
      </c>
      <c r="BI1085" s="22">
        <v>39549.294907407406</v>
      </c>
      <c r="BL1085">
        <v>12798</v>
      </c>
      <c r="BM1085">
        <v>1406299</v>
      </c>
      <c r="BN1085" t="s">
        <v>1725</v>
      </c>
      <c r="BO1085" s="17">
        <f t="shared" ca="1" si="16"/>
        <v>85.578861921298085</v>
      </c>
      <c r="BP1085" t="b">
        <v>0</v>
      </c>
      <c r="BQ1085">
        <v>1</v>
      </c>
      <c r="BR1085" t="s">
        <v>1842</v>
      </c>
      <c r="BS1085">
        <v>89</v>
      </c>
      <c r="BT1085" t="b">
        <v>0</v>
      </c>
      <c r="BV1085" t="s">
        <v>1668</v>
      </c>
      <c r="BW1085">
        <v>12504</v>
      </c>
      <c r="BX1085" t="s">
        <v>1738</v>
      </c>
      <c r="BY1085">
        <v>279824</v>
      </c>
      <c r="BZ1085" t="s">
        <v>1670</v>
      </c>
      <c r="CA1085">
        <v>1</v>
      </c>
      <c r="CB1085" t="b">
        <v>1</v>
      </c>
      <c r="CC1085">
        <v>0</v>
      </c>
      <c r="CD1085" t="b">
        <v>0</v>
      </c>
      <c r="CE1085" t="b">
        <v>0</v>
      </c>
      <c r="CF1085" t="b">
        <v>1</v>
      </c>
      <c r="CG1085">
        <v>2897828</v>
      </c>
      <c r="CH1085" t="s">
        <v>1681</v>
      </c>
      <c r="CI1085" s="10">
        <v>639900</v>
      </c>
    </row>
    <row r="1086" spans="1:88">
      <c r="A1086">
        <v>28010601</v>
      </c>
      <c r="B1086" s="2" t="str">
        <f>HYPERLINK("http://www.redfin.com/stingray/do/printable-listing?listing-id=1406858","Active")</f>
        <v>Active</v>
      </c>
      <c r="D1086" t="s">
        <v>5139</v>
      </c>
      <c r="E1086" t="s">
        <v>5358</v>
      </c>
      <c r="F1086">
        <v>725000</v>
      </c>
      <c r="G1086">
        <v>1952</v>
      </c>
      <c r="H1086">
        <v>1740</v>
      </c>
      <c r="I1086">
        <v>7656</v>
      </c>
      <c r="J1086">
        <v>2</v>
      </c>
      <c r="K1086">
        <v>1</v>
      </c>
      <c r="M1086" s="2" t="str">
        <f>HYPERLINK("http://maps.live.com/default.aspx?v=2&amp;lvl=15&amp;sp=Point.47.590918_-122.234033_2235 78th Ave SE&amp;cp=47.590918~-122.234033","Map")</f>
        <v>Map</v>
      </c>
      <c r="N1086" s="2" t="str">
        <f>HYPERLINK("http://i-0.rfimg.us/photo/1/bigphoto/601/28010601_.jpg","Photo")</f>
        <v>Photo</v>
      </c>
      <c r="AG1086">
        <v>47.590918000000002</v>
      </c>
      <c r="AH1086">
        <v>-122.234033</v>
      </c>
      <c r="AI1086" t="s">
        <v>5139</v>
      </c>
      <c r="AJ1086">
        <v>98049</v>
      </c>
      <c r="AN1086">
        <v>699000</v>
      </c>
      <c r="BC1086" s="22">
        <v>39463.89366898148</v>
      </c>
      <c r="BI1086" s="22">
        <v>39549.294907407406</v>
      </c>
      <c r="BL1086">
        <v>14500</v>
      </c>
      <c r="BM1086">
        <v>1406858</v>
      </c>
      <c r="BN1086" t="s">
        <v>1775</v>
      </c>
      <c r="BO1086" s="17">
        <f t="shared" ca="1" si="16"/>
        <v>85.415736921298958</v>
      </c>
      <c r="BP1086" t="b">
        <v>0</v>
      </c>
      <c r="BQ1086">
        <v>1</v>
      </c>
      <c r="BR1086" t="s">
        <v>1667</v>
      </c>
      <c r="BS1086" t="s">
        <v>2354</v>
      </c>
      <c r="BT1086" t="b">
        <v>0</v>
      </c>
      <c r="BV1086" t="s">
        <v>1668</v>
      </c>
      <c r="BW1086">
        <v>2235</v>
      </c>
      <c r="BX1086" t="s">
        <v>3856</v>
      </c>
      <c r="BY1086">
        <v>254007</v>
      </c>
      <c r="CA1086">
        <v>1</v>
      </c>
      <c r="CB1086" t="b">
        <v>0</v>
      </c>
      <c r="CC1086">
        <v>0</v>
      </c>
      <c r="CD1086" t="b">
        <v>0</v>
      </c>
      <c r="CE1086" t="b">
        <v>0</v>
      </c>
      <c r="CF1086" t="b">
        <v>1</v>
      </c>
      <c r="CG1086">
        <v>2787833</v>
      </c>
      <c r="CH1086" t="s">
        <v>1681</v>
      </c>
      <c r="CI1086" s="10">
        <v>725000</v>
      </c>
      <c r="CJ1086" s="7">
        <v>38870</v>
      </c>
    </row>
    <row r="1087" spans="1:88">
      <c r="A1087">
        <v>28010633</v>
      </c>
      <c r="B1087" s="15" t="str">
        <f>HYPERLINK("http://www.redfin.com/stingray/do/printable-listing?listing-id=1406957","Subject To Inspection")</f>
        <v>Subject To Inspection</v>
      </c>
      <c r="D1087" t="s">
        <v>3066</v>
      </c>
      <c r="E1087" t="s">
        <v>4754</v>
      </c>
      <c r="F1087">
        <v>429950</v>
      </c>
      <c r="G1087">
        <v>1963</v>
      </c>
      <c r="H1087">
        <v>1340</v>
      </c>
      <c r="I1087">
        <v>10088</v>
      </c>
      <c r="J1087">
        <v>3</v>
      </c>
      <c r="K1087">
        <v>1.75</v>
      </c>
      <c r="M1087" s="2" t="str">
        <f>HYPERLINK("http://maps.live.com/default.aspx?v=2&amp;lvl=15&amp;sp=Point.47.674721_-122.16351_7842 132nd Ave NE&amp;cp=47.674721~-122.16351","Map")</f>
        <v>Map</v>
      </c>
      <c r="N1087" s="2" t="str">
        <f>HYPERLINK("http://i-0.rfimg.us/photo/1/bigphoto/633/28010633_1.jpg","Photo")</f>
        <v>Photo</v>
      </c>
      <c r="AG1087">
        <v>47.674720999999998</v>
      </c>
      <c r="AH1087">
        <v>-122.16351</v>
      </c>
      <c r="AI1087" t="s">
        <v>4363</v>
      </c>
      <c r="AJ1087">
        <v>98052</v>
      </c>
      <c r="BC1087" s="22">
        <v>39463.974421296298</v>
      </c>
      <c r="BI1087" s="22">
        <v>39549.294907407406</v>
      </c>
      <c r="BL1087">
        <v>8599</v>
      </c>
      <c r="BM1087">
        <v>1406957</v>
      </c>
      <c r="BN1087" t="s">
        <v>1824</v>
      </c>
      <c r="BO1087" s="17">
        <f t="shared" ca="1" si="16"/>
        <v>85.334984606481157</v>
      </c>
      <c r="BP1087" t="b">
        <v>0</v>
      </c>
      <c r="BQ1087">
        <v>1</v>
      </c>
      <c r="BR1087" t="s">
        <v>1667</v>
      </c>
      <c r="BS1087" t="s">
        <v>4362</v>
      </c>
      <c r="BT1087" t="b">
        <v>0</v>
      </c>
      <c r="BV1087" t="s">
        <v>1668</v>
      </c>
      <c r="BW1087">
        <v>7842</v>
      </c>
      <c r="BX1087" t="s">
        <v>1738</v>
      </c>
      <c r="BY1087">
        <v>517034</v>
      </c>
      <c r="BZ1087" t="s">
        <v>4755</v>
      </c>
      <c r="CA1087">
        <v>1</v>
      </c>
      <c r="CB1087" t="b">
        <v>1</v>
      </c>
      <c r="CC1087">
        <v>0</v>
      </c>
      <c r="CD1087" t="b">
        <v>0</v>
      </c>
      <c r="CE1087" t="b">
        <v>0</v>
      </c>
      <c r="CF1087" t="b">
        <v>1</v>
      </c>
      <c r="CG1087">
        <v>2528185</v>
      </c>
      <c r="CH1087" t="s">
        <v>1681</v>
      </c>
      <c r="CI1087" s="10">
        <v>429950</v>
      </c>
    </row>
    <row r="1088" spans="1:88">
      <c r="A1088">
        <v>28010648</v>
      </c>
      <c r="B1088" s="2" t="str">
        <f>HYPERLINK("http://www.redfin.com/stingray/do/printable-listing?listing-id=1408125","Active")</f>
        <v>Active</v>
      </c>
      <c r="D1088" t="s">
        <v>3249</v>
      </c>
      <c r="E1088" t="s">
        <v>3599</v>
      </c>
      <c r="F1088">
        <v>1100000</v>
      </c>
      <c r="G1088">
        <v>1928</v>
      </c>
      <c r="H1088">
        <v>3700</v>
      </c>
      <c r="I1088">
        <v>8400</v>
      </c>
      <c r="J1088">
        <v>4</v>
      </c>
      <c r="K1088">
        <v>2.25</v>
      </c>
      <c r="M1088" s="2" t="str">
        <f>HYPERLINK("http://maps.live.com/default.aspx?v=2&amp;lvl=15&amp;sp=Point.47.644948_-122.371832_2717 11th Ave W&amp;cp=47.644948~-122.371832","Map")</f>
        <v>Map</v>
      </c>
      <c r="N1088" s="2" t="str">
        <f>HYPERLINK("http://i-0.rfimg.us/photo/1/bigphoto/648/28010648_0.jpg","Photo")</f>
        <v>Photo</v>
      </c>
      <c r="AG1088">
        <v>47.644947999999999</v>
      </c>
      <c r="AH1088">
        <v>-122.371832</v>
      </c>
      <c r="AI1088" t="s">
        <v>66</v>
      </c>
      <c r="AJ1088">
        <v>98119</v>
      </c>
      <c r="AN1088">
        <v>415000</v>
      </c>
      <c r="BC1088" s="22">
        <v>39464.422430555554</v>
      </c>
      <c r="BI1088" s="22">
        <v>39549.294907407406</v>
      </c>
      <c r="BL1088">
        <v>22000</v>
      </c>
      <c r="BM1088">
        <v>1408125</v>
      </c>
      <c r="BN1088" t="s">
        <v>1810</v>
      </c>
      <c r="BO1088" s="17">
        <f t="shared" ca="1" si="16"/>
        <v>84.886975347224507</v>
      </c>
      <c r="BP1088" t="b">
        <v>0</v>
      </c>
      <c r="BQ1088">
        <v>1</v>
      </c>
      <c r="BR1088" t="s">
        <v>1667</v>
      </c>
      <c r="BS1088" t="s">
        <v>1792</v>
      </c>
      <c r="BT1088" t="b">
        <v>0</v>
      </c>
      <c r="BV1088" t="s">
        <v>1668</v>
      </c>
      <c r="BW1088">
        <v>2717</v>
      </c>
      <c r="BX1088" t="s">
        <v>2423</v>
      </c>
      <c r="BY1088">
        <v>129169</v>
      </c>
      <c r="BZ1088" t="s">
        <v>1672</v>
      </c>
      <c r="CA1088">
        <v>1</v>
      </c>
      <c r="CB1088" t="b">
        <v>1</v>
      </c>
      <c r="CC1088">
        <v>0</v>
      </c>
      <c r="CD1088" t="b">
        <v>0</v>
      </c>
      <c r="CE1088" t="b">
        <v>0</v>
      </c>
      <c r="CF1088" t="b">
        <v>1</v>
      </c>
      <c r="CG1088">
        <v>2718445</v>
      </c>
      <c r="CH1088" t="s">
        <v>1681</v>
      </c>
      <c r="CI1088" s="10">
        <v>1100000</v>
      </c>
      <c r="CJ1088" s="7">
        <v>35366</v>
      </c>
    </row>
    <row r="1089" spans="1:89">
      <c r="A1089">
        <v>28010699</v>
      </c>
      <c r="B1089" s="15" t="str">
        <f>HYPERLINK("http://www.redfin.com/stingray/do/printable-listing?listing-id=1409547","Contingent")</f>
        <v>Contingent</v>
      </c>
      <c r="D1089" t="s">
        <v>88</v>
      </c>
      <c r="E1089" t="s">
        <v>266</v>
      </c>
      <c r="F1089" s="19">
        <v>449000</v>
      </c>
      <c r="G1089">
        <v>1927</v>
      </c>
      <c r="H1089">
        <v>1900</v>
      </c>
      <c r="I1089">
        <v>4000</v>
      </c>
      <c r="J1089">
        <v>3</v>
      </c>
      <c r="K1089">
        <v>1</v>
      </c>
      <c r="M1089" s="2" t="str">
        <f>HYPERLINK("http://maps.live.com/default.aspx?v=2&amp;lvl=15&amp;sp=Point.47.68275_-122.360451_158 NW 74th St&amp;cp=47.68275~-122.360451","Map")</f>
        <v>Map</v>
      </c>
      <c r="N1089" s="2" t="str">
        <f>HYPERLINK("http://i-0.rfimg.us/photo/1/bigphoto/699/28010699_0.jpg","Photo")</f>
        <v>Photo</v>
      </c>
      <c r="AG1089">
        <v>47.682749999999999</v>
      </c>
      <c r="AH1089">
        <v>-122.360451</v>
      </c>
      <c r="AI1089" t="s">
        <v>66</v>
      </c>
      <c r="AJ1089">
        <v>98117</v>
      </c>
      <c r="AN1089">
        <v>159800</v>
      </c>
      <c r="BC1089" s="22">
        <v>39464.653020833335</v>
      </c>
      <c r="BI1089" s="22">
        <v>39549.294907407406</v>
      </c>
      <c r="BL1089">
        <v>9799</v>
      </c>
      <c r="BM1089">
        <v>1409547</v>
      </c>
      <c r="BN1089" t="s">
        <v>1794</v>
      </c>
      <c r="BO1089" s="17">
        <f t="shared" ca="1" si="16"/>
        <v>84.656385185182444</v>
      </c>
      <c r="BP1089" t="b">
        <v>0</v>
      </c>
      <c r="BQ1089">
        <v>1</v>
      </c>
      <c r="BR1089" t="s">
        <v>1686</v>
      </c>
      <c r="BS1089" t="s">
        <v>1795</v>
      </c>
      <c r="BT1089" t="b">
        <v>0</v>
      </c>
      <c r="BU1089" t="s">
        <v>1669</v>
      </c>
      <c r="BV1089" t="s">
        <v>1668</v>
      </c>
      <c r="BW1089">
        <v>158</v>
      </c>
      <c r="BY1089">
        <v>495261</v>
      </c>
      <c r="BZ1089" t="s">
        <v>1701</v>
      </c>
      <c r="CA1089">
        <v>1</v>
      </c>
      <c r="CB1089" t="b">
        <v>1</v>
      </c>
      <c r="CC1089">
        <v>0</v>
      </c>
      <c r="CD1089" t="b">
        <v>0</v>
      </c>
      <c r="CE1089" t="b">
        <v>0</v>
      </c>
      <c r="CF1089" t="b">
        <v>1</v>
      </c>
      <c r="CG1089">
        <v>2760710</v>
      </c>
      <c r="CH1089" t="s">
        <v>1681</v>
      </c>
      <c r="CI1089" s="10">
        <v>489950</v>
      </c>
      <c r="CJ1089" s="7">
        <v>34683</v>
      </c>
      <c r="CK1089" t="s">
        <v>2102</v>
      </c>
    </row>
    <row r="1090" spans="1:89">
      <c r="A1090">
        <v>28010809</v>
      </c>
      <c r="B1090" s="2" t="str">
        <f>HYPERLINK("http://www.redfin.com/stingray/do/printable-listing?listing-id=1414936","Active")</f>
        <v>Active</v>
      </c>
      <c r="D1090" t="s">
        <v>3089</v>
      </c>
      <c r="E1090" t="s">
        <v>3087</v>
      </c>
      <c r="F1090">
        <v>529950</v>
      </c>
      <c r="G1090">
        <v>1943</v>
      </c>
      <c r="H1090">
        <v>0</v>
      </c>
      <c r="I1090">
        <v>4600</v>
      </c>
      <c r="J1090">
        <v>2</v>
      </c>
      <c r="K1090">
        <v>1</v>
      </c>
      <c r="M1090" s="2" t="str">
        <f>HYPERLINK("http://maps.live.com/default.aspx?v=2&amp;lvl=15&amp;sp=Point.47.667237_-122.277694_5143 47th Ave NE&amp;cp=47.667237~-122.277694","Map")</f>
        <v>Map</v>
      </c>
      <c r="N1090" s="2" t="str">
        <f>HYPERLINK("http://i-0.rfimg.us/photo/1/bigphoto/809/28010809_7.jpg","Photo")</f>
        <v>Photo</v>
      </c>
      <c r="AG1090">
        <v>47.667237</v>
      </c>
      <c r="AH1090">
        <v>-122.277694</v>
      </c>
      <c r="AI1090" t="s">
        <v>66</v>
      </c>
      <c r="AJ1090">
        <v>98105</v>
      </c>
      <c r="AN1090">
        <v>195000</v>
      </c>
      <c r="BC1090" s="22">
        <v>39466.462905092594</v>
      </c>
      <c r="BI1090" s="22">
        <v>39549.294907407406</v>
      </c>
      <c r="BL1090">
        <v>10599</v>
      </c>
      <c r="BM1090">
        <v>1414936</v>
      </c>
      <c r="BN1090" t="s">
        <v>1680</v>
      </c>
      <c r="BO1090" s="17">
        <f t="shared" ref="BO1090:BO1153" ca="1" si="17">NOW()-BC1090</f>
        <v>82.846500810184807</v>
      </c>
      <c r="BP1090" t="b">
        <v>0</v>
      </c>
      <c r="BQ1090">
        <v>1</v>
      </c>
      <c r="BR1090" t="s">
        <v>1667</v>
      </c>
      <c r="BS1090" t="s">
        <v>2453</v>
      </c>
      <c r="BT1090" t="b">
        <v>0</v>
      </c>
      <c r="BV1090" t="s">
        <v>1668</v>
      </c>
      <c r="BW1090">
        <v>5143</v>
      </c>
      <c r="BX1090" t="s">
        <v>1738</v>
      </c>
      <c r="BY1090">
        <v>120949</v>
      </c>
      <c r="BZ1090" t="s">
        <v>3088</v>
      </c>
      <c r="CA1090">
        <v>1</v>
      </c>
      <c r="CB1090" t="b">
        <v>1</v>
      </c>
      <c r="CC1090">
        <v>0</v>
      </c>
      <c r="CD1090" t="b">
        <v>0</v>
      </c>
      <c r="CE1090" t="b">
        <v>0</v>
      </c>
      <c r="CF1090" t="b">
        <v>1</v>
      </c>
      <c r="CG1090">
        <v>2847871</v>
      </c>
      <c r="CH1090" t="s">
        <v>1681</v>
      </c>
      <c r="CI1090" s="10">
        <v>529950</v>
      </c>
      <c r="CJ1090" s="7">
        <v>36077</v>
      </c>
    </row>
    <row r="1091" spans="1:89">
      <c r="A1091">
        <v>28010871</v>
      </c>
      <c r="B1091" s="2" t="str">
        <f>HYPERLINK("http://www.redfin.com/stingray/do/printable-listing?listing-id=1409175","Active")</f>
        <v>Active</v>
      </c>
      <c r="D1091" t="s">
        <v>63</v>
      </c>
      <c r="E1091" t="s">
        <v>2580</v>
      </c>
      <c r="F1091">
        <v>550000</v>
      </c>
      <c r="G1091">
        <v>1916</v>
      </c>
      <c r="H1091">
        <v>2140</v>
      </c>
      <c r="I1091">
        <v>0</v>
      </c>
      <c r="J1091">
        <v>4</v>
      </c>
      <c r="K1091">
        <v>2</v>
      </c>
      <c r="M1091" s="2" t="str">
        <f>HYPERLINK("http://maps.live.com/default.aspx?v=2&amp;lvl=15&amp;sp=Point.47.667408_-122.361441_316 NW 53rd St&amp;cp=47.667408~-122.361441","Map")</f>
        <v>Map</v>
      </c>
      <c r="N1091" s="2" t="str">
        <f>HYPERLINK("http://i-0.rfimg.us/photo/1/bigphoto/871/28010871_1.jpg","Photo")</f>
        <v>Photo</v>
      </c>
      <c r="AG1091">
        <v>47.667408000000002</v>
      </c>
      <c r="AH1091">
        <v>-122.361441</v>
      </c>
      <c r="AI1091" t="s">
        <v>66</v>
      </c>
      <c r="AJ1091">
        <v>98107</v>
      </c>
      <c r="AN1091">
        <v>114950</v>
      </c>
      <c r="BC1091" s="22">
        <v>39464.592604166668</v>
      </c>
      <c r="BI1091" s="22">
        <v>39549.294907407406</v>
      </c>
      <c r="BL1091">
        <v>11000</v>
      </c>
      <c r="BM1091">
        <v>1409175</v>
      </c>
      <c r="BN1091" t="s">
        <v>1725</v>
      </c>
      <c r="BO1091" s="17">
        <f t="shared" ca="1" si="17"/>
        <v>84.716801851849596</v>
      </c>
      <c r="BP1091" t="b">
        <v>0</v>
      </c>
      <c r="BQ1091">
        <v>1</v>
      </c>
      <c r="BR1091" t="s">
        <v>1686</v>
      </c>
      <c r="BS1091" t="s">
        <v>2581</v>
      </c>
      <c r="BT1091" t="b">
        <v>0</v>
      </c>
      <c r="BU1091" t="s">
        <v>1669</v>
      </c>
      <c r="BV1091" t="s">
        <v>1668</v>
      </c>
      <c r="BW1091">
        <v>316</v>
      </c>
      <c r="BY1091">
        <v>303064</v>
      </c>
      <c r="BZ1091" t="s">
        <v>1704</v>
      </c>
      <c r="CA1091">
        <v>1</v>
      </c>
      <c r="CB1091" t="b">
        <v>1</v>
      </c>
      <c r="CC1091">
        <v>0</v>
      </c>
      <c r="CD1091" t="b">
        <v>0</v>
      </c>
      <c r="CE1091" t="b">
        <v>0</v>
      </c>
      <c r="CF1091" t="b">
        <v>1</v>
      </c>
      <c r="CG1091">
        <v>2767538</v>
      </c>
      <c r="CH1091" t="s">
        <v>1681</v>
      </c>
      <c r="CI1091" s="10">
        <v>550000</v>
      </c>
      <c r="CJ1091" s="7">
        <v>35132</v>
      </c>
    </row>
    <row r="1092" spans="1:89">
      <c r="A1092">
        <v>28010887</v>
      </c>
      <c r="B1092" s="2" t="str">
        <f>HYPERLINK("http://www.redfin.com/stingray/do/printable-listing?listing-id=1417319","Active")</f>
        <v>Active</v>
      </c>
      <c r="D1092" t="s">
        <v>1058</v>
      </c>
      <c r="E1092" t="s">
        <v>4758</v>
      </c>
      <c r="F1092">
        <v>605000</v>
      </c>
      <c r="G1092">
        <v>1931</v>
      </c>
      <c r="H1092">
        <v>2200</v>
      </c>
      <c r="I1092">
        <v>0</v>
      </c>
      <c r="J1092">
        <v>3</v>
      </c>
      <c r="K1092">
        <v>2.25</v>
      </c>
      <c r="M1092" s="2" t="str">
        <f>HYPERLINK("http://maps.live.com/default.aspx?v=2&amp;lvl=15&amp;sp=Point.47.673879_-122.186571_7716 115th Pl NE&amp;cp=47.673879~-122.186571","Map")</f>
        <v>Map</v>
      </c>
      <c r="N1092" s="2" t="str">
        <f>HYPERLINK("http://i-0.rfimg.us/photo/1/bigphoto/887/28010887_1.jpg","Photo")</f>
        <v>Photo</v>
      </c>
      <c r="AG1092">
        <v>47.673878999999999</v>
      </c>
      <c r="AH1092">
        <v>-122.186571</v>
      </c>
      <c r="AI1092" t="s">
        <v>1058</v>
      </c>
      <c r="AJ1092">
        <v>98033</v>
      </c>
      <c r="AN1092">
        <v>444000</v>
      </c>
      <c r="BC1092" s="22">
        <v>39468.464386574073</v>
      </c>
      <c r="BI1092" s="22">
        <v>39549.294907407406</v>
      </c>
      <c r="BL1092">
        <v>12100</v>
      </c>
      <c r="BM1092">
        <v>1417319</v>
      </c>
      <c r="BN1092" t="s">
        <v>1735</v>
      </c>
      <c r="BO1092" s="17">
        <f t="shared" ca="1" si="17"/>
        <v>80.845019328706258</v>
      </c>
      <c r="BP1092" t="b">
        <v>0</v>
      </c>
      <c r="BQ1092">
        <v>1</v>
      </c>
      <c r="BR1092" t="s">
        <v>1842</v>
      </c>
      <c r="BS1092" t="s">
        <v>4439</v>
      </c>
      <c r="BT1092" t="b">
        <v>0</v>
      </c>
      <c r="BV1092" t="s">
        <v>1668</v>
      </c>
      <c r="BW1092">
        <v>7716</v>
      </c>
      <c r="BX1092" t="s">
        <v>1738</v>
      </c>
      <c r="BY1092">
        <v>462961</v>
      </c>
      <c r="BZ1092" t="s">
        <v>4759</v>
      </c>
      <c r="CA1092">
        <v>1</v>
      </c>
      <c r="CB1092" t="b">
        <v>1</v>
      </c>
      <c r="CC1092">
        <v>0</v>
      </c>
      <c r="CD1092" t="b">
        <v>0</v>
      </c>
      <c r="CE1092" t="b">
        <v>0</v>
      </c>
      <c r="CF1092" t="b">
        <v>1</v>
      </c>
      <c r="CG1092">
        <v>2891897</v>
      </c>
      <c r="CH1092" t="s">
        <v>1681</v>
      </c>
      <c r="CI1092" s="10">
        <v>605000</v>
      </c>
      <c r="CJ1092" s="7">
        <v>38734</v>
      </c>
    </row>
    <row r="1093" spans="1:89">
      <c r="A1093">
        <v>28010896</v>
      </c>
      <c r="B1093" s="2" t="str">
        <f>HYPERLINK("http://www.redfin.com/stingray/do/printable-listing?listing-id=1412436","Active")</f>
        <v>Active</v>
      </c>
      <c r="D1093" t="s">
        <v>3071</v>
      </c>
      <c r="E1093" t="s">
        <v>4488</v>
      </c>
      <c r="F1093">
        <v>850000</v>
      </c>
      <c r="G1093">
        <v>2001</v>
      </c>
      <c r="H1093">
        <v>3740</v>
      </c>
      <c r="I1093">
        <v>6970</v>
      </c>
      <c r="J1093">
        <v>4</v>
      </c>
      <c r="K1093">
        <v>3.5</v>
      </c>
      <c r="M1093" s="2" t="str">
        <f>HYPERLINK("http://maps.live.com/default.aspx?v=2&amp;lvl=15&amp;sp=Point.47.719878_-122.223335_13336 88th Pl NE&amp;cp=47.719878~-122.223335","Map")</f>
        <v>Map</v>
      </c>
      <c r="N1093" s="2" t="str">
        <f>HYPERLINK("http://i-0.rfimg.us/photo/1/bigphoto/896/28010896_2.jpg","Photo")</f>
        <v>Photo</v>
      </c>
      <c r="AG1093">
        <v>47.719878000000001</v>
      </c>
      <c r="AH1093">
        <v>-122.22333500000001</v>
      </c>
      <c r="AI1093" t="s">
        <v>1058</v>
      </c>
      <c r="AJ1093">
        <v>98034</v>
      </c>
      <c r="AN1093">
        <v>725250</v>
      </c>
      <c r="BC1093" s="22">
        <v>39465.661527777775</v>
      </c>
      <c r="BI1093" s="7">
        <v>39535</v>
      </c>
      <c r="BL1093">
        <v>17000</v>
      </c>
      <c r="BM1093">
        <v>1412436</v>
      </c>
      <c r="BN1093" t="s">
        <v>1768</v>
      </c>
      <c r="BO1093" s="17">
        <f t="shared" ca="1" si="17"/>
        <v>83.647878125004354</v>
      </c>
      <c r="BP1093" t="b">
        <v>0</v>
      </c>
      <c r="BQ1093">
        <v>1</v>
      </c>
      <c r="BR1093" t="s">
        <v>1842</v>
      </c>
      <c r="BS1093" t="s">
        <v>1719</v>
      </c>
      <c r="BT1093" t="b">
        <v>0</v>
      </c>
      <c r="BV1093" t="s">
        <v>1668</v>
      </c>
      <c r="BW1093">
        <v>13336</v>
      </c>
      <c r="BX1093" t="s">
        <v>1738</v>
      </c>
      <c r="BY1093">
        <v>279527</v>
      </c>
      <c r="BZ1093" t="s">
        <v>1730</v>
      </c>
      <c r="CA1093">
        <v>1</v>
      </c>
      <c r="CB1093" t="b">
        <v>1</v>
      </c>
      <c r="CC1093">
        <v>0</v>
      </c>
      <c r="CD1093" t="b">
        <v>0</v>
      </c>
      <c r="CE1093" t="b">
        <v>0</v>
      </c>
      <c r="CF1093" t="b">
        <v>1</v>
      </c>
      <c r="CG1093">
        <v>2810291</v>
      </c>
      <c r="CH1093" t="s">
        <v>1681</v>
      </c>
      <c r="CI1093" s="10">
        <v>850000</v>
      </c>
      <c r="CJ1093" s="7">
        <v>38736</v>
      </c>
    </row>
    <row r="1094" spans="1:89">
      <c r="A1094">
        <v>28011023</v>
      </c>
      <c r="B1094" s="2" t="str">
        <f>HYPERLINK("http://www.redfin.com/stingray/do/printable-listing?listing-id=1409403","Active")</f>
        <v>Active</v>
      </c>
      <c r="D1094" t="s">
        <v>63</v>
      </c>
      <c r="E1094" t="s">
        <v>1902</v>
      </c>
      <c r="F1094">
        <v>279900</v>
      </c>
      <c r="G1094">
        <v>1998</v>
      </c>
      <c r="H1094">
        <v>900</v>
      </c>
      <c r="I1094">
        <v>0</v>
      </c>
      <c r="J1094">
        <v>2</v>
      </c>
      <c r="K1094">
        <v>2</v>
      </c>
      <c r="M1094" s="2" t="str">
        <f>HYPERLINK("http://maps.live.com/default.aspx?v=2&amp;lvl=15&amp;sp=Point.47.691596_-122.377695_8512 16th Ave NW n202&amp;cp=47.691596~-122.377695","Map")</f>
        <v>Map</v>
      </c>
      <c r="N1094" s="2" t="str">
        <f>HYPERLINK("http://i-0.rfimg.us/photo/1/bigphoto/023/28011023_0.jpg","Photo")</f>
        <v>Photo</v>
      </c>
      <c r="AG1094">
        <v>47.691595999999997</v>
      </c>
      <c r="AH1094">
        <v>-122.377695</v>
      </c>
      <c r="AI1094" t="s">
        <v>66</v>
      </c>
      <c r="AJ1094">
        <v>98117</v>
      </c>
      <c r="AM1094" t="s">
        <v>1894</v>
      </c>
      <c r="AN1094">
        <v>187000</v>
      </c>
      <c r="BC1094" s="22">
        <v>39464.636041666665</v>
      </c>
      <c r="BI1094" s="7">
        <v>39539</v>
      </c>
      <c r="BL1094">
        <v>5397</v>
      </c>
      <c r="BM1094">
        <v>1409403</v>
      </c>
      <c r="BN1094" t="s">
        <v>1901</v>
      </c>
      <c r="BO1094" s="17">
        <f t="shared" ca="1" si="17"/>
        <v>84.673364351852797</v>
      </c>
      <c r="BP1094" t="b">
        <v>0</v>
      </c>
      <c r="BQ1094">
        <v>1</v>
      </c>
      <c r="BR1094" t="s">
        <v>1667</v>
      </c>
      <c r="BS1094" t="s">
        <v>1695</v>
      </c>
      <c r="BT1094" t="b">
        <v>0</v>
      </c>
      <c r="BV1094" t="s">
        <v>1668</v>
      </c>
      <c r="BW1094">
        <v>8512</v>
      </c>
      <c r="BX1094" t="s">
        <v>1669</v>
      </c>
      <c r="BY1094">
        <v>40177</v>
      </c>
      <c r="BZ1094" t="s">
        <v>1745</v>
      </c>
      <c r="CA1094">
        <v>1</v>
      </c>
      <c r="CB1094" t="b">
        <v>1</v>
      </c>
      <c r="CC1094">
        <v>0</v>
      </c>
      <c r="CD1094" t="b">
        <v>0</v>
      </c>
      <c r="CE1094" t="b">
        <v>0</v>
      </c>
      <c r="CF1094" t="b">
        <v>1</v>
      </c>
      <c r="CG1094">
        <v>2433015</v>
      </c>
      <c r="CH1094" t="s">
        <v>1666</v>
      </c>
      <c r="CI1094" s="10">
        <v>279900</v>
      </c>
      <c r="CJ1094" s="7">
        <v>37036</v>
      </c>
    </row>
    <row r="1095" spans="1:89">
      <c r="A1095">
        <v>28011192</v>
      </c>
      <c r="B1095" s="2" t="str">
        <f>HYPERLINK("http://www.redfin.com/stingray/do/printable-listing?listing-id=1410188","Active")</f>
        <v>Active</v>
      </c>
      <c r="D1095" t="s">
        <v>3064</v>
      </c>
      <c r="E1095" t="s">
        <v>6093</v>
      </c>
      <c r="F1095">
        <v>459950</v>
      </c>
      <c r="G1095">
        <v>2008</v>
      </c>
      <c r="H1095">
        <v>2128</v>
      </c>
      <c r="I1095">
        <v>0</v>
      </c>
      <c r="J1095">
        <v>3</v>
      </c>
      <c r="K1095">
        <v>2.5</v>
      </c>
      <c r="M1095" s="2" t="str">
        <f>HYPERLINK("http://maps.live.com/default.aspx?v=2&amp;lvl=15&amp;sp=Point.47.4912_-122.1541_1409 Elma Pl NE&amp;cp=47.4912~-122.1541","Map")</f>
        <v>Map</v>
      </c>
      <c r="N1095" s="2" t="str">
        <f>HYPERLINK("http://i-0.rfimg.us/photo/1/bigphoto/192/28011192_0.jpg","Photo")</f>
        <v>Photo</v>
      </c>
      <c r="AG1095">
        <v>47.491199999999999</v>
      </c>
      <c r="AH1095">
        <v>-122.1541</v>
      </c>
      <c r="AI1095" t="s">
        <v>1077</v>
      </c>
      <c r="AJ1095">
        <v>98059</v>
      </c>
      <c r="BC1095" s="22">
        <v>39464.83017361111</v>
      </c>
      <c r="BI1095" s="22">
        <v>39545.917314814818</v>
      </c>
      <c r="BL1095">
        <v>9199</v>
      </c>
      <c r="BM1095">
        <v>1410188</v>
      </c>
      <c r="BN1095" t="s">
        <v>6076</v>
      </c>
      <c r="BO1095" s="17">
        <f t="shared" ca="1" si="17"/>
        <v>84.479232291669177</v>
      </c>
      <c r="BP1095" t="b">
        <v>0</v>
      </c>
      <c r="BQ1095">
        <v>1</v>
      </c>
      <c r="BR1095" t="s">
        <v>1842</v>
      </c>
      <c r="BS1095" t="s">
        <v>6063</v>
      </c>
      <c r="BT1095" t="b">
        <v>0</v>
      </c>
      <c r="BV1095" t="s">
        <v>1668</v>
      </c>
      <c r="BW1095">
        <v>1409</v>
      </c>
      <c r="BX1095" t="s">
        <v>1738</v>
      </c>
      <c r="BY1095">
        <v>12347215</v>
      </c>
      <c r="BZ1095" t="s">
        <v>1696</v>
      </c>
      <c r="CA1095">
        <v>1</v>
      </c>
      <c r="CB1095" t="b">
        <v>1</v>
      </c>
      <c r="CC1095">
        <v>0</v>
      </c>
      <c r="CD1095" t="b">
        <v>0</v>
      </c>
      <c r="CE1095" t="b">
        <v>0</v>
      </c>
      <c r="CF1095" t="b">
        <v>1</v>
      </c>
      <c r="CG1095">
        <v>15556240</v>
      </c>
      <c r="CH1095" t="s">
        <v>1681</v>
      </c>
      <c r="CI1095" s="10">
        <v>459950</v>
      </c>
    </row>
    <row r="1096" spans="1:89">
      <c r="A1096">
        <v>28011206</v>
      </c>
      <c r="B1096" s="15" t="str">
        <f>HYPERLINK("http://www.redfin.com/stingray/do/printable-listing?listing-id=1409905","Subject To Inspection")</f>
        <v>Subject To Inspection</v>
      </c>
      <c r="D1096" t="s">
        <v>5204</v>
      </c>
      <c r="E1096" t="s">
        <v>5385</v>
      </c>
      <c r="F1096" s="19">
        <v>396000</v>
      </c>
      <c r="G1096">
        <v>1955</v>
      </c>
      <c r="H1096">
        <v>1120</v>
      </c>
      <c r="I1096">
        <v>7176</v>
      </c>
      <c r="J1096">
        <v>3</v>
      </c>
      <c r="K1096">
        <v>1.5</v>
      </c>
      <c r="M1096" s="2" t="str">
        <f>HYPERLINK("http://maps.live.com/default.aspx?v=2&amp;lvl=15&amp;sp=Point.47.599166_-122.143318_1234 147th Ave SE&amp;cp=47.599166~-122.143318","Map")</f>
        <v>Map</v>
      </c>
      <c r="N1096" s="2" t="str">
        <f>HYPERLINK("http://i-0.rfimg.us/photo/1/bigphoto/206/28011206_0.jpg","Photo")</f>
        <v>Photo</v>
      </c>
      <c r="AG1096">
        <v>47.599165999999997</v>
      </c>
      <c r="AH1096">
        <v>-122.14331799999999</v>
      </c>
      <c r="AI1096" t="s">
        <v>369</v>
      </c>
      <c r="AJ1096">
        <v>98007</v>
      </c>
      <c r="AN1096">
        <v>249950</v>
      </c>
      <c r="BC1096" s="22">
        <v>39464.735891203702</v>
      </c>
      <c r="BI1096" s="7">
        <v>39541</v>
      </c>
      <c r="BL1096">
        <v>7780</v>
      </c>
      <c r="BM1096">
        <v>1409905</v>
      </c>
      <c r="BN1096" t="s">
        <v>1674</v>
      </c>
      <c r="BO1096" s="17">
        <f t="shared" ca="1" si="17"/>
        <v>84.57351469907735</v>
      </c>
      <c r="BP1096" t="b">
        <v>0</v>
      </c>
      <c r="BQ1096">
        <v>1</v>
      </c>
      <c r="BR1096" t="s">
        <v>1667</v>
      </c>
      <c r="BS1096" t="s">
        <v>4610</v>
      </c>
      <c r="BT1096" t="b">
        <v>0</v>
      </c>
      <c r="BV1096" t="s">
        <v>1668</v>
      </c>
      <c r="BW1096">
        <v>1234</v>
      </c>
      <c r="BX1096" t="s">
        <v>3856</v>
      </c>
      <c r="BY1096">
        <v>425715</v>
      </c>
      <c r="BZ1096" t="s">
        <v>1743</v>
      </c>
      <c r="CA1096">
        <v>1</v>
      </c>
      <c r="CB1096" t="b">
        <v>1</v>
      </c>
      <c r="CC1096">
        <v>0</v>
      </c>
      <c r="CD1096" t="b">
        <v>0</v>
      </c>
      <c r="CE1096" t="b">
        <v>0</v>
      </c>
      <c r="CF1096" t="b">
        <v>1</v>
      </c>
      <c r="CG1096">
        <v>2760857</v>
      </c>
      <c r="CH1096" t="s">
        <v>1681</v>
      </c>
      <c r="CI1096" s="10">
        <v>389000</v>
      </c>
      <c r="CJ1096" s="7">
        <v>37893</v>
      </c>
    </row>
    <row r="1097" spans="1:89">
      <c r="A1097">
        <v>28011213</v>
      </c>
      <c r="B1097" s="2" t="str">
        <f>HYPERLINK("http://www.redfin.com/stingray/do/printable-listing?listing-id=1411973","Active")</f>
        <v>Active</v>
      </c>
      <c r="D1097" t="s">
        <v>3064</v>
      </c>
      <c r="E1097" t="s">
        <v>6130</v>
      </c>
      <c r="F1097" s="19">
        <v>499950</v>
      </c>
      <c r="G1097">
        <v>2008</v>
      </c>
      <c r="H1097">
        <v>3100</v>
      </c>
      <c r="I1097">
        <v>0</v>
      </c>
      <c r="J1097">
        <v>4</v>
      </c>
      <c r="K1097">
        <v>3.5</v>
      </c>
      <c r="M1097" s="2" t="str">
        <f>HYPERLINK("http://maps.live.com/default.aspx?v=2&amp;lvl=15&amp;sp=Point.47.5051_-122.1641_4724 NE 14th St&amp;cp=47.5051~-122.1641","Map")</f>
        <v>Map</v>
      </c>
      <c r="N1097" s="2" t="str">
        <f>HYPERLINK("http://i-0.rfimg.us/photo/1/bigphoto/213/28011213_2.jpg","Photo")</f>
        <v>Photo</v>
      </c>
      <c r="AG1097">
        <v>47.505099999999999</v>
      </c>
      <c r="AH1097">
        <v>-122.1641</v>
      </c>
      <c r="AI1097" t="s">
        <v>1077</v>
      </c>
      <c r="AJ1097">
        <v>98059</v>
      </c>
      <c r="BC1097" s="22">
        <v>39465.518449074072</v>
      </c>
      <c r="BI1097" s="22">
        <v>39549.294907407406</v>
      </c>
      <c r="BL1097">
        <v>10399</v>
      </c>
      <c r="BM1097">
        <v>1411973</v>
      </c>
      <c r="BN1097" t="s">
        <v>6076</v>
      </c>
      <c r="BO1097" s="17">
        <f t="shared" ca="1" si="17"/>
        <v>83.79095682870684</v>
      </c>
      <c r="BP1097" t="b">
        <v>0</v>
      </c>
      <c r="BQ1097">
        <v>1</v>
      </c>
      <c r="BR1097" t="s">
        <v>1686</v>
      </c>
      <c r="BS1097" t="s">
        <v>1900</v>
      </c>
      <c r="BT1097" t="b">
        <v>0</v>
      </c>
      <c r="BU1097" t="s">
        <v>1738</v>
      </c>
      <c r="BV1097" t="s">
        <v>1668</v>
      </c>
      <c r="BW1097">
        <v>4724</v>
      </c>
      <c r="BY1097">
        <v>12352493</v>
      </c>
      <c r="BZ1097" t="s">
        <v>6131</v>
      </c>
      <c r="CA1097">
        <v>1</v>
      </c>
      <c r="CB1097" t="b">
        <v>1</v>
      </c>
      <c r="CC1097">
        <v>0</v>
      </c>
      <c r="CD1097" t="b">
        <v>0</v>
      </c>
      <c r="CE1097" t="b">
        <v>0</v>
      </c>
      <c r="CF1097" t="b">
        <v>1</v>
      </c>
      <c r="CG1097">
        <v>15556241</v>
      </c>
      <c r="CH1097" t="s">
        <v>1681</v>
      </c>
      <c r="CI1097" s="10">
        <v>519950</v>
      </c>
    </row>
    <row r="1098" spans="1:89">
      <c r="A1098">
        <v>28011216</v>
      </c>
      <c r="B1098" s="2" t="str">
        <f>HYPERLINK("http://www.redfin.com/stingray/do/printable-listing?listing-id=1413870","Active")</f>
        <v>Active</v>
      </c>
      <c r="D1098" t="s">
        <v>3249</v>
      </c>
      <c r="E1098" t="s">
        <v>4338</v>
      </c>
      <c r="F1098">
        <v>1950000</v>
      </c>
      <c r="G1098">
        <v>1926</v>
      </c>
      <c r="H1098">
        <v>3700</v>
      </c>
      <c r="I1098">
        <v>6229</v>
      </c>
      <c r="J1098">
        <v>3</v>
      </c>
      <c r="K1098">
        <v>2.25</v>
      </c>
      <c r="M1098" s="2" t="str">
        <f>HYPERLINK("http://maps.live.com/default.aspx?v=2&amp;lvl=15&amp;sp=Point.47.628982_-122.361378_314 W Prospect St&amp;cp=47.628982~-122.361378","Map")</f>
        <v>Map</v>
      </c>
      <c r="N1098" s="2" t="str">
        <f>HYPERLINK("http://i-0.rfimg.us/photo/1/bigphoto/216/28011216_0.jpg","Photo")</f>
        <v>Photo</v>
      </c>
      <c r="AG1098">
        <v>47.628982000000001</v>
      </c>
      <c r="AH1098">
        <v>-122.361378</v>
      </c>
      <c r="AI1098" t="s">
        <v>66</v>
      </c>
      <c r="AJ1098">
        <v>98119</v>
      </c>
      <c r="AN1098">
        <v>1800000</v>
      </c>
      <c r="BC1098" s="22">
        <v>39465.933703703704</v>
      </c>
      <c r="BI1098" s="22">
        <v>39549.294907407406</v>
      </c>
      <c r="BL1098">
        <v>39000</v>
      </c>
      <c r="BM1098">
        <v>1413870</v>
      </c>
      <c r="BN1098" t="s">
        <v>4337</v>
      </c>
      <c r="BO1098" s="17">
        <f t="shared" ca="1" si="17"/>
        <v>83.375702199075022</v>
      </c>
      <c r="BP1098" t="b">
        <v>0</v>
      </c>
      <c r="BQ1098">
        <v>1</v>
      </c>
      <c r="BR1098" t="s">
        <v>1686</v>
      </c>
      <c r="BS1098" t="s">
        <v>4339</v>
      </c>
      <c r="BT1098" t="b">
        <v>0</v>
      </c>
      <c r="BU1098" t="s">
        <v>2423</v>
      </c>
      <c r="BV1098" t="s">
        <v>1668</v>
      </c>
      <c r="BW1098">
        <v>314</v>
      </c>
      <c r="BY1098">
        <v>133731</v>
      </c>
      <c r="BZ1098" t="s">
        <v>1713</v>
      </c>
      <c r="CA1098">
        <v>1</v>
      </c>
      <c r="CB1098" t="b">
        <v>1</v>
      </c>
      <c r="CC1098">
        <v>0</v>
      </c>
      <c r="CD1098" t="b">
        <v>0</v>
      </c>
      <c r="CE1098" t="b">
        <v>0</v>
      </c>
      <c r="CF1098" t="b">
        <v>1</v>
      </c>
      <c r="CG1098">
        <v>2661385</v>
      </c>
      <c r="CH1098" t="s">
        <v>1681</v>
      </c>
      <c r="CI1098" s="10">
        <v>1950000</v>
      </c>
      <c r="CJ1098" s="7">
        <v>39178</v>
      </c>
    </row>
    <row r="1099" spans="1:89">
      <c r="A1099">
        <v>28011218</v>
      </c>
      <c r="B1099" s="2" t="str">
        <f>HYPERLINK("http://www.redfin.com/stingray/do/printable-listing?listing-id=1409914","Active")</f>
        <v>Active</v>
      </c>
      <c r="D1099" t="s">
        <v>3885</v>
      </c>
      <c r="E1099" t="s">
        <v>5702</v>
      </c>
      <c r="F1099">
        <v>589000</v>
      </c>
      <c r="G1099">
        <v>1992</v>
      </c>
      <c r="H1099">
        <v>2294</v>
      </c>
      <c r="I1099">
        <v>7480</v>
      </c>
      <c r="J1099">
        <v>4</v>
      </c>
      <c r="K1099">
        <v>2.5</v>
      </c>
      <c r="M1099" s="2" t="str">
        <f>HYPERLINK("http://maps.live.com/default.aspx?v=2&amp;lvl=15&amp;sp=Point.47.541004_-122.186601_6931 115th Pl SE&amp;cp=47.541004~-122.186601","Map")</f>
        <v>Map</v>
      </c>
      <c r="N1099" s="2" t="str">
        <f>HYPERLINK("http://i-0.rfimg.us/photo/1/bigphoto/218/28011218_0.jpg","Photo")</f>
        <v>Photo</v>
      </c>
      <c r="AG1099">
        <v>47.541004000000001</v>
      </c>
      <c r="AH1099">
        <v>-122.186601</v>
      </c>
      <c r="AI1099" t="s">
        <v>3885</v>
      </c>
      <c r="AJ1099">
        <v>98056</v>
      </c>
      <c r="AN1099">
        <v>218950</v>
      </c>
      <c r="BC1099" s="22">
        <v>39464.736250000002</v>
      </c>
      <c r="BI1099" s="22">
        <v>39549.294907407406</v>
      </c>
      <c r="BL1099">
        <v>11780</v>
      </c>
      <c r="BM1099">
        <v>1409914</v>
      </c>
      <c r="BN1099" t="s">
        <v>1823</v>
      </c>
      <c r="BO1099" s="17">
        <f t="shared" ca="1" si="17"/>
        <v>84.573155902777216</v>
      </c>
      <c r="BP1099" t="b">
        <v>0</v>
      </c>
      <c r="BQ1099">
        <v>1</v>
      </c>
      <c r="BR1099" t="s">
        <v>1842</v>
      </c>
      <c r="BS1099" t="s">
        <v>4439</v>
      </c>
      <c r="BT1099" t="b">
        <v>0</v>
      </c>
      <c r="BV1099" t="s">
        <v>1668</v>
      </c>
      <c r="BW1099">
        <v>6931</v>
      </c>
      <c r="BX1099" t="s">
        <v>3856</v>
      </c>
      <c r="BY1099">
        <v>417523</v>
      </c>
      <c r="BZ1099" t="s">
        <v>1676</v>
      </c>
      <c r="CA1099">
        <v>1</v>
      </c>
      <c r="CB1099" t="b">
        <v>1</v>
      </c>
      <c r="CC1099">
        <v>0</v>
      </c>
      <c r="CD1099" t="b">
        <v>0</v>
      </c>
      <c r="CE1099" t="b">
        <v>0</v>
      </c>
      <c r="CF1099" t="b">
        <v>1</v>
      </c>
      <c r="CG1099">
        <v>2393320</v>
      </c>
      <c r="CH1099" t="s">
        <v>1681</v>
      </c>
      <c r="CI1099" s="10">
        <v>589000</v>
      </c>
      <c r="CJ1099" s="7">
        <v>33907</v>
      </c>
    </row>
    <row r="1100" spans="1:89">
      <c r="A1100">
        <v>28011226</v>
      </c>
      <c r="B1100" s="2" t="str">
        <f>HYPERLINK("http://www.redfin.com/stingray/do/printable-listing?listing-id=1409906","Subject To Inspection")</f>
        <v>Subject To Inspection</v>
      </c>
      <c r="D1100" t="s">
        <v>60</v>
      </c>
      <c r="E1100" t="s">
        <v>3140</v>
      </c>
      <c r="F1100">
        <v>559950</v>
      </c>
      <c r="G1100">
        <v>1927</v>
      </c>
      <c r="H1100">
        <v>2570</v>
      </c>
      <c r="I1100">
        <v>3150</v>
      </c>
      <c r="J1100">
        <v>4</v>
      </c>
      <c r="K1100">
        <v>2</v>
      </c>
      <c r="M1100" s="2" t="str">
        <f>HYPERLINK("http://maps.live.com/default.aspx?v=2&amp;lvl=15&amp;sp=Point.47.672991_-122.31981_811 NE Ravenna Blvd&amp;cp=47.672991~-122.31981","Map")</f>
        <v>Map</v>
      </c>
      <c r="N1100" s="2" t="str">
        <f>HYPERLINK("http://i-0.rfimg.us/photo/1/bigphoto/226/28011226_4.jpg","Photo")</f>
        <v>Photo</v>
      </c>
      <c r="AG1100">
        <v>47.672991000000003</v>
      </c>
      <c r="AH1100">
        <v>-122.31981</v>
      </c>
      <c r="AI1100" t="s">
        <v>66</v>
      </c>
      <c r="AJ1100">
        <v>98115</v>
      </c>
      <c r="AN1100">
        <v>350000</v>
      </c>
      <c r="BC1100" s="22">
        <v>39464.735902777778</v>
      </c>
      <c r="BI1100" s="7">
        <v>39533</v>
      </c>
      <c r="BL1100">
        <v>11199</v>
      </c>
      <c r="BM1100">
        <v>1409906</v>
      </c>
      <c r="BN1100" t="s">
        <v>1775</v>
      </c>
      <c r="BO1100" s="17">
        <f t="shared" ca="1" si="17"/>
        <v>84.57350312500057</v>
      </c>
      <c r="BP1100" t="b">
        <v>0</v>
      </c>
      <c r="BQ1100">
        <v>2</v>
      </c>
      <c r="BR1100" t="s">
        <v>3141</v>
      </c>
      <c r="BS1100" t="s">
        <v>218</v>
      </c>
      <c r="BT1100" t="b">
        <v>0</v>
      </c>
      <c r="BU1100" t="s">
        <v>1738</v>
      </c>
      <c r="BV1100" t="s">
        <v>1668</v>
      </c>
      <c r="BW1100">
        <v>811</v>
      </c>
      <c r="BY1100">
        <v>311738</v>
      </c>
      <c r="BZ1100" t="s">
        <v>3142</v>
      </c>
      <c r="CA1100">
        <v>1</v>
      </c>
      <c r="CB1100" t="b">
        <v>1</v>
      </c>
      <c r="CC1100">
        <v>0</v>
      </c>
      <c r="CD1100" t="b">
        <v>0</v>
      </c>
      <c r="CE1100" t="b">
        <v>0</v>
      </c>
      <c r="CF1100" t="b">
        <v>1</v>
      </c>
      <c r="CG1100">
        <v>2583029</v>
      </c>
      <c r="CH1100" t="s">
        <v>1681</v>
      </c>
      <c r="CI1100" s="10">
        <v>559950</v>
      </c>
      <c r="CJ1100" s="7">
        <v>39078</v>
      </c>
    </row>
    <row r="1101" spans="1:89">
      <c r="A1101">
        <v>28011235</v>
      </c>
      <c r="B1101" s="2" t="str">
        <f>HYPERLINK("http://www.redfin.com/stingray/do/printable-listing?listing-id=1411974","Contingent")</f>
        <v>Contingent</v>
      </c>
      <c r="D1101" t="s">
        <v>3064</v>
      </c>
      <c r="E1101" t="s">
        <v>6078</v>
      </c>
      <c r="F1101">
        <v>479950</v>
      </c>
      <c r="G1101">
        <v>2008</v>
      </c>
      <c r="H1101">
        <v>2682</v>
      </c>
      <c r="I1101">
        <v>0</v>
      </c>
      <c r="J1101">
        <v>4</v>
      </c>
      <c r="K1101">
        <v>3.5</v>
      </c>
      <c r="M1101" s="2" t="str">
        <f>HYPERLINK("http://maps.live.com/default.aspx?v=2&amp;lvl=15&amp;sp=Point.47.5041_-122.1618_4825 NE 13th Pl&amp;cp=47.5041~-122.1618","Map")</f>
        <v>Map</v>
      </c>
      <c r="N1101" s="2" t="str">
        <f>HYPERLINK("http://i-0.rfimg.us/photo/1/bigphoto/235/28011235_1.jpg","Photo")</f>
        <v>Photo</v>
      </c>
      <c r="AG1101">
        <v>47.504100000000001</v>
      </c>
      <c r="AH1101">
        <v>-122.1618</v>
      </c>
      <c r="AI1101" t="s">
        <v>1077</v>
      </c>
      <c r="AJ1101">
        <v>98059</v>
      </c>
      <c r="BC1101" s="22">
        <v>39465.518460648149</v>
      </c>
      <c r="BI1101" s="22">
        <v>39549.294907407406</v>
      </c>
      <c r="BL1101">
        <v>9599</v>
      </c>
      <c r="BM1101">
        <v>1411974</v>
      </c>
      <c r="BN1101" t="s">
        <v>6076</v>
      </c>
      <c r="BO1101" s="17">
        <f t="shared" ca="1" si="17"/>
        <v>83.79094525463006</v>
      </c>
      <c r="BP1101" t="b">
        <v>0</v>
      </c>
      <c r="BQ1101">
        <v>2</v>
      </c>
      <c r="BR1101" t="s">
        <v>1842</v>
      </c>
      <c r="BS1101" t="s">
        <v>1809</v>
      </c>
      <c r="BT1101" t="b">
        <v>0</v>
      </c>
      <c r="BU1101" t="s">
        <v>1738</v>
      </c>
      <c r="BV1101" t="s">
        <v>1668</v>
      </c>
      <c r="BW1101">
        <v>4825</v>
      </c>
      <c r="BY1101">
        <v>12352494</v>
      </c>
      <c r="BZ1101" t="s">
        <v>2522</v>
      </c>
      <c r="CA1101">
        <v>1</v>
      </c>
      <c r="CB1101" t="b">
        <v>1</v>
      </c>
      <c r="CC1101">
        <v>0</v>
      </c>
      <c r="CD1101" t="b">
        <v>0</v>
      </c>
      <c r="CE1101" t="b">
        <v>0</v>
      </c>
      <c r="CF1101" t="b">
        <v>1</v>
      </c>
      <c r="CG1101">
        <v>15615981</v>
      </c>
      <c r="CH1101" t="s">
        <v>1681</v>
      </c>
      <c r="CI1101" s="10">
        <v>479950</v>
      </c>
    </row>
    <row r="1102" spans="1:89">
      <c r="A1102">
        <v>28011238</v>
      </c>
      <c r="B1102" s="2" t="str">
        <f>HYPERLINK("http://www.redfin.com/stingray/do/printable-listing?listing-id=1410104","Active")</f>
        <v>Active</v>
      </c>
      <c r="D1102" t="s">
        <v>3064</v>
      </c>
      <c r="E1102" t="s">
        <v>6080</v>
      </c>
      <c r="F1102">
        <v>459950</v>
      </c>
      <c r="G1102">
        <v>2008</v>
      </c>
      <c r="H1102">
        <v>2128</v>
      </c>
      <c r="I1102">
        <v>0</v>
      </c>
      <c r="J1102">
        <v>3</v>
      </c>
      <c r="K1102">
        <v>2.5</v>
      </c>
      <c r="M1102" s="2" t="str">
        <f>HYPERLINK("http://maps.live.com/default.aspx?v=2&amp;lvl=15&amp;sp=Point.47.5041_-122.1618_4721 NE 13th Pl&amp;cp=47.5041~-122.1618","Map")</f>
        <v>Map</v>
      </c>
      <c r="N1102" s="2" t="str">
        <f>HYPERLINK("http://i-0.rfimg.us/photo/1/bigphoto/238/28011238_0.jpg","Photo")</f>
        <v>Photo</v>
      </c>
      <c r="AG1102">
        <v>47.504100000000001</v>
      </c>
      <c r="AH1102">
        <v>-122.1618</v>
      </c>
      <c r="AI1102" t="s">
        <v>1077</v>
      </c>
      <c r="AJ1102">
        <v>98059</v>
      </c>
      <c r="BC1102" s="22">
        <v>39464.821053240739</v>
      </c>
      <c r="BI1102" s="22">
        <v>39549.294907407406</v>
      </c>
      <c r="BL1102">
        <v>9199</v>
      </c>
      <c r="BM1102">
        <v>1410104</v>
      </c>
      <c r="BN1102" t="s">
        <v>6076</v>
      </c>
      <c r="BO1102" s="17">
        <f t="shared" ca="1" si="17"/>
        <v>84.488352662039688</v>
      </c>
      <c r="BP1102" t="b">
        <v>0</v>
      </c>
      <c r="BQ1102">
        <v>1</v>
      </c>
      <c r="BR1102" t="s">
        <v>1842</v>
      </c>
      <c r="BS1102" t="s">
        <v>1809</v>
      </c>
      <c r="BT1102" t="b">
        <v>0</v>
      </c>
      <c r="BU1102" t="s">
        <v>1738</v>
      </c>
      <c r="BV1102" t="s">
        <v>1668</v>
      </c>
      <c r="BW1102">
        <v>4721</v>
      </c>
      <c r="BY1102">
        <v>12347200</v>
      </c>
      <c r="BZ1102" t="s">
        <v>1696</v>
      </c>
      <c r="CA1102">
        <v>1</v>
      </c>
      <c r="CB1102" t="b">
        <v>1</v>
      </c>
      <c r="CC1102">
        <v>0</v>
      </c>
      <c r="CD1102" t="b">
        <v>0</v>
      </c>
      <c r="CE1102" t="b">
        <v>0</v>
      </c>
      <c r="CF1102" t="b">
        <v>1</v>
      </c>
      <c r="CG1102">
        <v>15615981</v>
      </c>
      <c r="CH1102" t="s">
        <v>1681</v>
      </c>
      <c r="CI1102" s="10">
        <v>459950</v>
      </c>
    </row>
    <row r="1103" spans="1:89">
      <c r="A1103">
        <v>28011244</v>
      </c>
      <c r="B1103" s="2" t="str">
        <f>HYPERLINK("http://www.redfin.com/stingray/do/printable-listing?listing-id=1411971","Active")</f>
        <v>Active</v>
      </c>
      <c r="D1103" t="s">
        <v>3064</v>
      </c>
      <c r="E1103" t="s">
        <v>6079</v>
      </c>
      <c r="F1103">
        <v>479950</v>
      </c>
      <c r="G1103">
        <v>2008</v>
      </c>
      <c r="H1103">
        <v>2963</v>
      </c>
      <c r="I1103">
        <v>0</v>
      </c>
      <c r="J1103">
        <v>4</v>
      </c>
      <c r="K1103">
        <v>3.5</v>
      </c>
      <c r="M1103" s="2" t="str">
        <f>HYPERLINK("http://maps.live.com/default.aspx?v=2&amp;lvl=15&amp;sp=Point.47.5041_-122.1618_4720 NE 13th Pl&amp;cp=47.5041~-122.1618","Map")</f>
        <v>Map</v>
      </c>
      <c r="N1103" s="2" t="str">
        <f>HYPERLINK("http://i-0.rfimg.us/photo/1/bigphoto/244/28011244_0.jpg","Photo")</f>
        <v>Photo</v>
      </c>
      <c r="AG1103">
        <v>47.504100000000001</v>
      </c>
      <c r="AH1103">
        <v>-122.1618</v>
      </c>
      <c r="AI1103" t="s">
        <v>1077</v>
      </c>
      <c r="AJ1103">
        <v>98059</v>
      </c>
      <c r="BC1103" s="22">
        <v>39465.518437500003</v>
      </c>
      <c r="BI1103" s="22">
        <v>39549.294907407406</v>
      </c>
      <c r="BL1103">
        <v>9599</v>
      </c>
      <c r="BM1103">
        <v>1411971</v>
      </c>
      <c r="BN1103" t="s">
        <v>6076</v>
      </c>
      <c r="BO1103" s="17">
        <f t="shared" ca="1" si="17"/>
        <v>83.790968402776343</v>
      </c>
      <c r="BP1103" t="b">
        <v>0</v>
      </c>
      <c r="BQ1103">
        <v>1</v>
      </c>
      <c r="BR1103" t="s">
        <v>1842</v>
      </c>
      <c r="BS1103" t="s">
        <v>1809</v>
      </c>
      <c r="BT1103" t="b">
        <v>0</v>
      </c>
      <c r="BU1103" t="s">
        <v>1738</v>
      </c>
      <c r="BV1103" t="s">
        <v>1668</v>
      </c>
      <c r="BW1103">
        <v>4720</v>
      </c>
      <c r="BY1103">
        <v>12352491</v>
      </c>
      <c r="BZ1103" t="s">
        <v>1696</v>
      </c>
      <c r="CA1103">
        <v>1</v>
      </c>
      <c r="CB1103" t="b">
        <v>1</v>
      </c>
      <c r="CC1103">
        <v>0</v>
      </c>
      <c r="CD1103" t="b">
        <v>0</v>
      </c>
      <c r="CE1103" t="b">
        <v>0</v>
      </c>
      <c r="CF1103" t="b">
        <v>1</v>
      </c>
      <c r="CG1103">
        <v>15556242</v>
      </c>
      <c r="CH1103" t="s">
        <v>1681</v>
      </c>
      <c r="CI1103" s="10">
        <v>479950</v>
      </c>
    </row>
    <row r="1104" spans="1:89">
      <c r="A1104">
        <v>28011248</v>
      </c>
      <c r="B1104" s="2" t="str">
        <f>HYPERLINK("http://www.redfin.com/stingray/do/printable-listing?listing-id=1411972","Active")</f>
        <v>Active</v>
      </c>
      <c r="D1104" t="s">
        <v>3064</v>
      </c>
      <c r="E1104" t="s">
        <v>6096</v>
      </c>
      <c r="F1104">
        <v>506950</v>
      </c>
      <c r="G1104">
        <v>2008</v>
      </c>
      <c r="H1104">
        <v>2963</v>
      </c>
      <c r="I1104">
        <v>0</v>
      </c>
      <c r="J1104">
        <v>4</v>
      </c>
      <c r="K1104">
        <v>3.5</v>
      </c>
      <c r="M1104" s="2" t="str">
        <f>HYPERLINK("http://maps.live.com/default.aspx?v=2&amp;lvl=15&amp;sp=Point.47.4912_-122.1541_1415 Elma Pl NE&amp;cp=47.4912~-122.1541","Map")</f>
        <v>Map</v>
      </c>
      <c r="N1104" s="2" t="str">
        <f>HYPERLINK("http://i-0.rfimg.us/photo/1/bigphoto/248/28011248_1.jpg","Photo")</f>
        <v>Photo</v>
      </c>
      <c r="AG1104">
        <v>47.491199999999999</v>
      </c>
      <c r="AH1104">
        <v>-122.1541</v>
      </c>
      <c r="AI1104" t="s">
        <v>1077</v>
      </c>
      <c r="AJ1104">
        <v>98059</v>
      </c>
      <c r="BC1104" s="22">
        <v>39465.518449074072</v>
      </c>
      <c r="BI1104" s="22">
        <v>39549.294907407406</v>
      </c>
      <c r="BL1104">
        <v>10139</v>
      </c>
      <c r="BM1104">
        <v>1411972</v>
      </c>
      <c r="BN1104" t="s">
        <v>6076</v>
      </c>
      <c r="BO1104" s="17">
        <f t="shared" ca="1" si="17"/>
        <v>83.79095682870684</v>
      </c>
      <c r="BP1104" t="b">
        <v>0</v>
      </c>
      <c r="BQ1104">
        <v>1</v>
      </c>
      <c r="BR1104" t="s">
        <v>1842</v>
      </c>
      <c r="BS1104" t="s">
        <v>6063</v>
      </c>
      <c r="BT1104" t="b">
        <v>0</v>
      </c>
      <c r="BV1104" t="s">
        <v>1668</v>
      </c>
      <c r="BW1104">
        <v>1415</v>
      </c>
      <c r="BX1104" t="s">
        <v>1738</v>
      </c>
      <c r="BY1104">
        <v>12352492</v>
      </c>
      <c r="BZ1104" t="s">
        <v>2133</v>
      </c>
      <c r="CA1104">
        <v>1</v>
      </c>
      <c r="CB1104" t="b">
        <v>1</v>
      </c>
      <c r="CC1104">
        <v>0</v>
      </c>
      <c r="CD1104" t="b">
        <v>0</v>
      </c>
      <c r="CE1104" t="b">
        <v>0</v>
      </c>
      <c r="CF1104" t="b">
        <v>1</v>
      </c>
      <c r="CG1104">
        <v>15550963</v>
      </c>
      <c r="CH1104" t="s">
        <v>1681</v>
      </c>
      <c r="CI1104" s="10">
        <v>506950</v>
      </c>
    </row>
    <row r="1105" spans="1:89">
      <c r="A1105">
        <v>28011273</v>
      </c>
      <c r="B1105" s="2" t="str">
        <f>HYPERLINK("http://www.redfin.com/stingray/do/printable-listing?listing-id=1410227","Active")</f>
        <v>Active</v>
      </c>
      <c r="D1105" t="s">
        <v>1022</v>
      </c>
      <c r="E1105" t="s">
        <v>248</v>
      </c>
      <c r="F1105" s="19">
        <v>495000</v>
      </c>
      <c r="G1105">
        <v>1927</v>
      </c>
      <c r="H1105">
        <v>2300</v>
      </c>
      <c r="I1105">
        <v>4200</v>
      </c>
      <c r="J1105">
        <v>4</v>
      </c>
      <c r="K1105">
        <v>1.5</v>
      </c>
      <c r="M1105" s="2" t="str">
        <f>HYPERLINK("http://maps.live.com/default.aspx?v=2&amp;lvl=15&amp;sp=Point.47.690234_-122.369671_8351 10th Ave NW&amp;cp=47.690234~-122.369671","Map")</f>
        <v>Map</v>
      </c>
      <c r="N1105" s="2" t="str">
        <f>HYPERLINK("http://i-0.rfimg.us/photo/1/bigphoto/273/28011273_9.jpg","Photo")</f>
        <v>Photo</v>
      </c>
      <c r="AG1105">
        <v>47.690233999999997</v>
      </c>
      <c r="AH1105">
        <v>-122.369671</v>
      </c>
      <c r="AI1105" t="s">
        <v>66</v>
      </c>
      <c r="AJ1105">
        <v>98117</v>
      </c>
      <c r="AN1105">
        <v>331000</v>
      </c>
      <c r="BC1105" s="22">
        <v>39464.840358796297</v>
      </c>
      <c r="BI1105" s="22">
        <v>39549.294907407406</v>
      </c>
      <c r="BL1105">
        <v>10000</v>
      </c>
      <c r="BM1105">
        <v>1410227</v>
      </c>
      <c r="BN1105" t="s">
        <v>1675</v>
      </c>
      <c r="BO1105" s="17">
        <f t="shared" ca="1" si="17"/>
        <v>84.469047222220979</v>
      </c>
      <c r="BP1105" t="b">
        <v>0</v>
      </c>
      <c r="BQ1105">
        <v>1</v>
      </c>
      <c r="BR1105" t="s">
        <v>1667</v>
      </c>
      <c r="BS1105" t="s">
        <v>1788</v>
      </c>
      <c r="BT1105" t="b">
        <v>0</v>
      </c>
      <c r="BV1105" t="s">
        <v>1668</v>
      </c>
      <c r="BW1105">
        <v>8351</v>
      </c>
      <c r="BX1105" t="s">
        <v>1669</v>
      </c>
      <c r="BY1105">
        <v>495715</v>
      </c>
      <c r="BZ1105" t="s">
        <v>1789</v>
      </c>
      <c r="CA1105">
        <v>1</v>
      </c>
      <c r="CB1105" t="b">
        <v>1</v>
      </c>
      <c r="CC1105">
        <v>0</v>
      </c>
      <c r="CD1105" t="b">
        <v>0</v>
      </c>
      <c r="CE1105" t="b">
        <v>0</v>
      </c>
      <c r="CF1105" t="b">
        <v>1</v>
      </c>
      <c r="CG1105">
        <v>2509422</v>
      </c>
      <c r="CH1105" t="s">
        <v>1681</v>
      </c>
      <c r="CI1105" s="10">
        <v>500000</v>
      </c>
      <c r="CJ1105" s="7">
        <v>37777</v>
      </c>
    </row>
    <row r="1106" spans="1:89">
      <c r="A1106">
        <v>28011300</v>
      </c>
      <c r="B1106" s="2" t="str">
        <f>HYPERLINK("http://www.redfin.com/stingray/do/printable-listing?listing-id=1419289","Active")</f>
        <v>Active</v>
      </c>
      <c r="D1106" t="s">
        <v>3249</v>
      </c>
      <c r="E1106" t="s">
        <v>3617</v>
      </c>
      <c r="F1106">
        <v>555000</v>
      </c>
      <c r="G1106">
        <v>2002</v>
      </c>
      <c r="H1106">
        <v>2070</v>
      </c>
      <c r="I1106">
        <v>0</v>
      </c>
      <c r="J1106">
        <v>2</v>
      </c>
      <c r="K1106">
        <v>2.5</v>
      </c>
      <c r="M1106" s="2" t="str">
        <f>HYPERLINK("http://maps.live.com/default.aspx?v=2&amp;lvl=15&amp;sp=Point.47.65468_-122.372445_3815 12th Ave W&amp;cp=47.65468~-122.372445","Map")</f>
        <v>Map</v>
      </c>
      <c r="N1106" s="2" t="str">
        <f>HYPERLINK("http://i-0.rfimg.us/photo/1/bigphoto/300/28011300_1.jpg","Photo")</f>
        <v>Photo</v>
      </c>
      <c r="AG1106">
        <v>47.654679999999999</v>
      </c>
      <c r="AH1106">
        <v>-122.372445</v>
      </c>
      <c r="AI1106" t="s">
        <v>66</v>
      </c>
      <c r="AJ1106">
        <v>98119</v>
      </c>
      <c r="BC1106" s="22">
        <v>39469.359386574077</v>
      </c>
      <c r="BI1106" s="22">
        <v>39549.294907407406</v>
      </c>
      <c r="BL1106">
        <v>11100</v>
      </c>
      <c r="BM1106">
        <v>1419289</v>
      </c>
      <c r="BN1106" t="s">
        <v>1685</v>
      </c>
      <c r="BO1106" s="17">
        <f t="shared" ca="1" si="17"/>
        <v>79.950019328702183</v>
      </c>
      <c r="BP1106" t="b">
        <v>0</v>
      </c>
      <c r="BQ1106">
        <v>1</v>
      </c>
      <c r="BR1106" t="s">
        <v>1667</v>
      </c>
      <c r="BS1106" t="s">
        <v>1803</v>
      </c>
      <c r="BT1106" t="b">
        <v>0</v>
      </c>
      <c r="BV1106" t="s">
        <v>1668</v>
      </c>
      <c r="BW1106">
        <v>3815</v>
      </c>
      <c r="BX1106" t="s">
        <v>2423</v>
      </c>
      <c r="BY1106">
        <v>12357870</v>
      </c>
      <c r="BZ1106" t="s">
        <v>1704</v>
      </c>
      <c r="CA1106">
        <v>1</v>
      </c>
      <c r="CB1106" t="b">
        <v>1</v>
      </c>
      <c r="CC1106">
        <v>0</v>
      </c>
      <c r="CD1106" t="b">
        <v>0</v>
      </c>
      <c r="CE1106" t="b">
        <v>0</v>
      </c>
      <c r="CF1106" t="b">
        <v>1</v>
      </c>
      <c r="CG1106">
        <v>15561618</v>
      </c>
      <c r="CH1106" t="s">
        <v>1681</v>
      </c>
      <c r="CI1106" s="10">
        <v>555000</v>
      </c>
    </row>
    <row r="1107" spans="1:89">
      <c r="A1107">
        <v>28011301</v>
      </c>
      <c r="B1107" s="2" t="str">
        <f>HYPERLINK("http://www.redfin.com/stingray/do/printable-listing?listing-id=1410369","Active")</f>
        <v>Active</v>
      </c>
      <c r="D1107" t="s">
        <v>3061</v>
      </c>
      <c r="E1107" t="s">
        <v>4568</v>
      </c>
      <c r="F1107">
        <v>449000</v>
      </c>
      <c r="G1107">
        <v>1976</v>
      </c>
      <c r="H1107">
        <v>2100</v>
      </c>
      <c r="I1107">
        <v>6438</v>
      </c>
      <c r="J1107">
        <v>3</v>
      </c>
      <c r="K1107">
        <v>2.75</v>
      </c>
      <c r="M1107" s="2" t="str">
        <f>HYPERLINK("http://maps.live.com/default.aspx?v=2&amp;lvl=15&amp;sp=Point.47.72282_-122.169459_13606 128th Ave NE&amp;cp=47.72282~-122.169459","Map")</f>
        <v>Map</v>
      </c>
      <c r="N1107" s="2" t="str">
        <f>HYPERLINK("http://i-0.rfimg.us/photo/1/bigphoto/301/28011301_0.jpg","Photo")</f>
        <v>Photo</v>
      </c>
      <c r="AG1107">
        <v>47.722819999999999</v>
      </c>
      <c r="AH1107">
        <v>-122.169459</v>
      </c>
      <c r="AI1107" t="s">
        <v>1058</v>
      </c>
      <c r="AJ1107">
        <v>98034</v>
      </c>
      <c r="BC1107" s="22">
        <v>39464.953240740739</v>
      </c>
      <c r="BI1107" s="7">
        <v>39538</v>
      </c>
      <c r="BL1107">
        <v>8980</v>
      </c>
      <c r="BM1107">
        <v>1410369</v>
      </c>
      <c r="BN1107" t="s">
        <v>1674</v>
      </c>
      <c r="BO1107" s="17">
        <f t="shared" ca="1" si="17"/>
        <v>84.35616516204027</v>
      </c>
      <c r="BP1107" t="b">
        <v>0</v>
      </c>
      <c r="BQ1107">
        <v>1</v>
      </c>
      <c r="BR1107" t="s">
        <v>1667</v>
      </c>
      <c r="BS1107" t="s">
        <v>4484</v>
      </c>
      <c r="BT1107" t="b">
        <v>0</v>
      </c>
      <c r="BV1107" t="s">
        <v>1668</v>
      </c>
      <c r="BW1107">
        <v>13606</v>
      </c>
      <c r="BX1107" t="s">
        <v>1738</v>
      </c>
      <c r="BY1107">
        <v>452832</v>
      </c>
      <c r="BZ1107" t="s">
        <v>1745</v>
      </c>
      <c r="CA1107">
        <v>1</v>
      </c>
      <c r="CB1107" t="b">
        <v>1</v>
      </c>
      <c r="CC1107">
        <v>0</v>
      </c>
      <c r="CD1107" t="b">
        <v>0</v>
      </c>
      <c r="CE1107" t="b">
        <v>0</v>
      </c>
      <c r="CF1107" t="b">
        <v>1</v>
      </c>
      <c r="CG1107">
        <v>2363679</v>
      </c>
      <c r="CH1107" t="s">
        <v>1681</v>
      </c>
      <c r="CI1107" s="10">
        <v>449000</v>
      </c>
    </row>
    <row r="1108" spans="1:89">
      <c r="A1108">
        <v>28011316</v>
      </c>
      <c r="B1108" s="2" t="str">
        <f>HYPERLINK("http://www.redfin.com/stingray/do/printable-listing?listing-id=1411260","Active")</f>
        <v>Active</v>
      </c>
      <c r="D1108" t="s">
        <v>2850</v>
      </c>
      <c r="E1108" t="s">
        <v>4381</v>
      </c>
      <c r="F1108">
        <v>849000</v>
      </c>
      <c r="G1108">
        <v>1966</v>
      </c>
      <c r="H1108">
        <v>3160</v>
      </c>
      <c r="I1108">
        <v>10328</v>
      </c>
      <c r="J1108">
        <v>4</v>
      </c>
      <c r="K1108">
        <v>2.75</v>
      </c>
      <c r="M1108" s="2" t="str">
        <f>HYPERLINK("http://maps.live.com/default.aspx?v=2&amp;lvl=15&amp;sp=Point.47.700682_-122.205726_10135 NE 112th Pl&amp;cp=47.700682~-122.205726","Map")</f>
        <v>Map</v>
      </c>
      <c r="N1108" s="2" t="str">
        <f>HYPERLINK("http://i-0.rfimg.us/photo/1/bigphoto/316/28011316_1.jpg","Photo")</f>
        <v>Photo</v>
      </c>
      <c r="AG1108">
        <v>47.700682</v>
      </c>
      <c r="AH1108">
        <v>-122.205726</v>
      </c>
      <c r="AI1108" t="s">
        <v>1058</v>
      </c>
      <c r="AJ1108">
        <v>98033</v>
      </c>
      <c r="AN1108">
        <v>633512</v>
      </c>
      <c r="BC1108" s="22">
        <v>39465.254212962966</v>
      </c>
      <c r="BI1108" s="22">
        <v>39549.294907407406</v>
      </c>
      <c r="BL1108">
        <v>16980</v>
      </c>
      <c r="BM1108">
        <v>1411260</v>
      </c>
      <c r="BN1108" t="s">
        <v>1737</v>
      </c>
      <c r="BO1108" s="17">
        <f t="shared" ca="1" si="17"/>
        <v>84.055192939813423</v>
      </c>
      <c r="BP1108" t="b">
        <v>0</v>
      </c>
      <c r="BQ1108">
        <v>1</v>
      </c>
      <c r="BR1108" t="s">
        <v>1842</v>
      </c>
      <c r="BS1108" t="s">
        <v>4382</v>
      </c>
      <c r="BT1108" t="b">
        <v>0</v>
      </c>
      <c r="BU1108" t="s">
        <v>1738</v>
      </c>
      <c r="BV1108" t="s">
        <v>1668</v>
      </c>
      <c r="BW1108">
        <v>10135</v>
      </c>
      <c r="BY1108">
        <v>462544</v>
      </c>
      <c r="BZ1108" t="s">
        <v>4383</v>
      </c>
      <c r="CA1108">
        <v>1</v>
      </c>
      <c r="CB1108" t="b">
        <v>1</v>
      </c>
      <c r="CC1108">
        <v>0</v>
      </c>
      <c r="CD1108" t="b">
        <v>0</v>
      </c>
      <c r="CE1108" t="b">
        <v>0</v>
      </c>
      <c r="CF1108" t="b">
        <v>1</v>
      </c>
      <c r="CG1108">
        <v>2460718</v>
      </c>
      <c r="CH1108" t="s">
        <v>1681</v>
      </c>
      <c r="CI1108" s="10">
        <v>849000</v>
      </c>
      <c r="CJ1108" s="7">
        <v>39276</v>
      </c>
    </row>
    <row r="1109" spans="1:89">
      <c r="A1109">
        <v>28011406</v>
      </c>
      <c r="B1109" s="2" t="str">
        <f>HYPERLINK("http://www.redfin.com/stingray/do/printable-listing?listing-id=1411640","Active")</f>
        <v>Active</v>
      </c>
      <c r="D1109" t="s">
        <v>88</v>
      </c>
      <c r="E1109" t="s">
        <v>2511</v>
      </c>
      <c r="F1109">
        <v>689000</v>
      </c>
      <c r="G1109">
        <v>1913</v>
      </c>
      <c r="H1109">
        <v>1660</v>
      </c>
      <c r="I1109">
        <v>3720</v>
      </c>
      <c r="J1109">
        <v>3</v>
      </c>
      <c r="K1109">
        <v>1.75</v>
      </c>
      <c r="M1109" s="2" t="str">
        <f>HYPERLINK("http://maps.live.com/default.aspx?v=2&amp;lvl=15&amp;sp=Point.47.676234_-122.350218_626 N 65th St&amp;cp=47.676234~-122.350218","Map")</f>
        <v>Map</v>
      </c>
      <c r="N1109" s="2" t="str">
        <f>HYPERLINK("http://i-0.rfimg.us/photo/1/bigphoto/406/28011406_0.jpg","Photo")</f>
        <v>Photo</v>
      </c>
      <c r="AG1109">
        <v>47.676234000000001</v>
      </c>
      <c r="AH1109">
        <v>-122.350218</v>
      </c>
      <c r="AI1109" t="s">
        <v>66</v>
      </c>
      <c r="AJ1109">
        <v>98103</v>
      </c>
      <c r="AN1109">
        <v>411353</v>
      </c>
      <c r="BC1109" s="22">
        <v>39465.432696759257</v>
      </c>
      <c r="BI1109" s="22">
        <v>39549.294907407406</v>
      </c>
      <c r="BL1109">
        <v>13780</v>
      </c>
      <c r="BM1109">
        <v>1411640</v>
      </c>
      <c r="BN1109" t="s">
        <v>2509</v>
      </c>
      <c r="BO1109" s="17">
        <f t="shared" ca="1" si="17"/>
        <v>83.876709259260679</v>
      </c>
      <c r="BP1109" t="b">
        <v>0</v>
      </c>
      <c r="BQ1109">
        <v>1</v>
      </c>
      <c r="BR1109" t="s">
        <v>1686</v>
      </c>
      <c r="BS1109" t="s">
        <v>1708</v>
      </c>
      <c r="BT1109" t="b">
        <v>0</v>
      </c>
      <c r="BU1109" t="s">
        <v>1712</v>
      </c>
      <c r="BV1109" t="s">
        <v>1668</v>
      </c>
      <c r="BW1109">
        <v>626</v>
      </c>
      <c r="BY1109">
        <v>301694</v>
      </c>
      <c r="BZ1109" t="s">
        <v>1672</v>
      </c>
      <c r="CA1109">
        <v>1</v>
      </c>
      <c r="CB1109" t="b">
        <v>1</v>
      </c>
      <c r="CC1109">
        <v>0</v>
      </c>
      <c r="CD1109" t="b">
        <v>0</v>
      </c>
      <c r="CE1109" t="b">
        <v>0</v>
      </c>
      <c r="CF1109" t="b">
        <v>1</v>
      </c>
      <c r="CG1109">
        <v>2807382</v>
      </c>
      <c r="CH1109" t="s">
        <v>1681</v>
      </c>
      <c r="CI1109" s="10">
        <v>689000</v>
      </c>
      <c r="CJ1109" s="7">
        <v>39283</v>
      </c>
      <c r="CK1109" t="s">
        <v>2510</v>
      </c>
    </row>
    <row r="1110" spans="1:89">
      <c r="A1110">
        <v>28011463</v>
      </c>
      <c r="B1110" s="2" t="str">
        <f>HYPERLINK("http://www.redfin.com/stingray/do/printable-listing?listing-id=1411969","Active")</f>
        <v>Active</v>
      </c>
      <c r="D1110" t="s">
        <v>3071</v>
      </c>
      <c r="E1110" t="s">
        <v>4470</v>
      </c>
      <c r="F1110">
        <v>449950</v>
      </c>
      <c r="G1110">
        <v>1972</v>
      </c>
      <c r="H1110">
        <v>2080</v>
      </c>
      <c r="I1110">
        <v>6435</v>
      </c>
      <c r="J1110">
        <v>5</v>
      </c>
      <c r="K1110">
        <v>2.5</v>
      </c>
      <c r="M1110" s="2" t="str">
        <f>HYPERLINK("http://maps.live.com/default.aspx?v=2&amp;lvl=15&amp;sp=Point.47.71972_-122.21721_9226 NE 133 St&amp;cp=47.71972~-122.21721","Map")</f>
        <v>Map</v>
      </c>
      <c r="N1110" s="2" t="str">
        <f>HYPERLINK("http://i-0.rfimg.us/photo/1/bigphoto/463/28011463_1.jpg","Photo")</f>
        <v>Photo</v>
      </c>
      <c r="AG1110">
        <v>47.719720000000002</v>
      </c>
      <c r="AH1110">
        <v>-122.21720999999999</v>
      </c>
      <c r="AI1110" t="s">
        <v>1058</v>
      </c>
      <c r="AJ1110">
        <v>98034</v>
      </c>
      <c r="AN1110">
        <v>367000</v>
      </c>
      <c r="BC1110" s="22">
        <v>39465.518391203703</v>
      </c>
      <c r="BI1110" s="22">
        <v>39549.294907407406</v>
      </c>
      <c r="BL1110">
        <v>8999</v>
      </c>
      <c r="BM1110">
        <v>1411969</v>
      </c>
      <c r="BN1110" t="s">
        <v>1824</v>
      </c>
      <c r="BO1110" s="17">
        <f t="shared" ca="1" si="17"/>
        <v>83.791014699076186</v>
      </c>
      <c r="BP1110" t="b">
        <v>0</v>
      </c>
      <c r="BQ1110">
        <v>1</v>
      </c>
      <c r="BR1110" t="s">
        <v>1686</v>
      </c>
      <c r="BS1110">
        <v>133</v>
      </c>
      <c r="BT1110" t="b">
        <v>0</v>
      </c>
      <c r="BU1110" t="s">
        <v>1738</v>
      </c>
      <c r="BV1110" t="s">
        <v>1668</v>
      </c>
      <c r="BW1110">
        <v>9226</v>
      </c>
      <c r="BY1110">
        <v>278463</v>
      </c>
      <c r="BZ1110" t="s">
        <v>1836</v>
      </c>
      <c r="CA1110">
        <v>1</v>
      </c>
      <c r="CB1110" t="b">
        <v>1</v>
      </c>
      <c r="CC1110">
        <v>0</v>
      </c>
      <c r="CD1110" t="b">
        <v>0</v>
      </c>
      <c r="CE1110" t="b">
        <v>0</v>
      </c>
      <c r="CF1110" t="b">
        <v>1</v>
      </c>
      <c r="CG1110">
        <v>2765077</v>
      </c>
      <c r="CH1110" t="s">
        <v>1681</v>
      </c>
      <c r="CI1110" s="10">
        <v>449950</v>
      </c>
      <c r="CJ1110" s="7">
        <v>38573</v>
      </c>
    </row>
    <row r="1111" spans="1:89">
      <c r="A1111">
        <v>28011474</v>
      </c>
      <c r="B1111" s="2" t="str">
        <f>HYPERLINK("http://www.redfin.com/stingray/do/printable-listing?listing-id=1411808","Active")</f>
        <v>Active</v>
      </c>
      <c r="D1111" t="s">
        <v>100</v>
      </c>
      <c r="E1111" t="s">
        <v>3533</v>
      </c>
      <c r="F1111">
        <v>579500</v>
      </c>
      <c r="G1111">
        <v>2008</v>
      </c>
      <c r="H1111">
        <v>1563</v>
      </c>
      <c r="I1111">
        <v>0</v>
      </c>
      <c r="J1111">
        <v>3</v>
      </c>
      <c r="K1111">
        <v>3</v>
      </c>
      <c r="M1111" s="2" t="str">
        <f>HYPERLINK("http://maps.live.com/default.aspx?v=2&amp;lvl=15&amp;sp=Point.47.659522_-122.348395_4316 Linden Ave N&amp;cp=47.659522~-122.348395","Map")</f>
        <v>Map</v>
      </c>
      <c r="N1111" s="2" t="str">
        <f>HYPERLINK("http://i-0.rfimg.us/photo/1/bigphoto/474/28011474_0.jpg","Photo")</f>
        <v>Photo</v>
      </c>
      <c r="AG1111">
        <v>47.659522000000003</v>
      </c>
      <c r="AH1111">
        <v>-122.348395</v>
      </c>
      <c r="AI1111" t="s">
        <v>66</v>
      </c>
      <c r="AJ1111">
        <v>98103</v>
      </c>
      <c r="BC1111" s="22">
        <v>39465.464826388888</v>
      </c>
      <c r="BI1111" s="22">
        <v>39549.294907407406</v>
      </c>
      <c r="BL1111">
        <v>11590</v>
      </c>
      <c r="BM1111">
        <v>1411808</v>
      </c>
      <c r="BN1111" t="s">
        <v>1678</v>
      </c>
      <c r="BO1111" s="17">
        <f t="shared" ca="1" si="17"/>
        <v>83.844579513890494</v>
      </c>
      <c r="BP1111" t="b">
        <v>0</v>
      </c>
      <c r="BQ1111">
        <v>1</v>
      </c>
      <c r="BR1111" t="s">
        <v>1667</v>
      </c>
      <c r="BS1111" t="s">
        <v>2439</v>
      </c>
      <c r="BT1111" t="b">
        <v>0</v>
      </c>
      <c r="BV1111" t="s">
        <v>1668</v>
      </c>
      <c r="BW1111">
        <v>4316</v>
      </c>
      <c r="BX1111" t="s">
        <v>1712</v>
      </c>
      <c r="BY1111">
        <v>12352469</v>
      </c>
      <c r="BZ1111" t="s">
        <v>1684</v>
      </c>
      <c r="CA1111">
        <v>1</v>
      </c>
      <c r="CB1111" t="b">
        <v>1</v>
      </c>
      <c r="CC1111">
        <v>0</v>
      </c>
      <c r="CD1111" t="b">
        <v>0</v>
      </c>
      <c r="CE1111" t="b">
        <v>0</v>
      </c>
      <c r="CF1111" t="b">
        <v>1</v>
      </c>
      <c r="CG1111">
        <v>15556217</v>
      </c>
      <c r="CH1111" t="s">
        <v>1681</v>
      </c>
      <c r="CI1111" s="10">
        <v>579500</v>
      </c>
    </row>
    <row r="1112" spans="1:89">
      <c r="A1112">
        <v>28011546</v>
      </c>
      <c r="B1112" s="15" t="str">
        <f>HYPERLINK("http://www.redfin.com/stingray/do/printable-listing?listing-id=1411870","Subject To Inspection")</f>
        <v>Subject To Inspection</v>
      </c>
      <c r="D1112" t="s">
        <v>3924</v>
      </c>
      <c r="E1112" t="s">
        <v>4089</v>
      </c>
      <c r="F1112">
        <v>374950</v>
      </c>
      <c r="G1112">
        <v>1901</v>
      </c>
      <c r="H1112">
        <v>1007</v>
      </c>
      <c r="I1112">
        <v>2329</v>
      </c>
      <c r="J1112">
        <v>3</v>
      </c>
      <c r="K1112">
        <v>1</v>
      </c>
      <c r="M1112" s="2" t="str">
        <f>HYPERLINK("http://maps.live.com/default.aspx?v=2&amp;lvl=15&amp;sp=Point.47.618118_-122.299695_1830 25th Ave&amp;cp=47.618118~-122.299695","Map")</f>
        <v>Map</v>
      </c>
      <c r="N1112" s="2" t="str">
        <f>HYPERLINK("http://i-0.rfimg.us/photo/1/bigphoto/546/28011546_3.jpg","Photo")</f>
        <v>Photo</v>
      </c>
      <c r="AG1112">
        <v>47.618118000000003</v>
      </c>
      <c r="AH1112">
        <v>-122.299695</v>
      </c>
      <c r="AI1112" t="s">
        <v>66</v>
      </c>
      <c r="AJ1112">
        <v>98122</v>
      </c>
      <c r="AN1112">
        <v>390000</v>
      </c>
      <c r="BC1112" s="22">
        <v>39465.48537037037</v>
      </c>
      <c r="BI1112" s="22">
        <v>39545.917314814818</v>
      </c>
      <c r="BL1112">
        <v>7499</v>
      </c>
      <c r="BM1112">
        <v>1411870</v>
      </c>
      <c r="BN1112" t="s">
        <v>1766</v>
      </c>
      <c r="BO1112" s="17">
        <f t="shared" ca="1" si="17"/>
        <v>83.824035532408743</v>
      </c>
      <c r="BP1112" t="b">
        <v>0</v>
      </c>
      <c r="BQ1112">
        <v>1</v>
      </c>
      <c r="BR1112" t="s">
        <v>1667</v>
      </c>
      <c r="BS1112" t="s">
        <v>1819</v>
      </c>
      <c r="BT1112" t="b">
        <v>0</v>
      </c>
      <c r="BV1112" t="s">
        <v>1668</v>
      </c>
      <c r="BW1112">
        <v>1830</v>
      </c>
      <c r="BY1112">
        <v>146842</v>
      </c>
      <c r="BZ1112" t="s">
        <v>4090</v>
      </c>
      <c r="CA1112">
        <v>1</v>
      </c>
      <c r="CB1112" t="b">
        <v>1</v>
      </c>
      <c r="CC1112">
        <v>0</v>
      </c>
      <c r="CD1112" t="b">
        <v>0</v>
      </c>
      <c r="CE1112" t="b">
        <v>0</v>
      </c>
      <c r="CF1112" t="b">
        <v>1</v>
      </c>
      <c r="CG1112">
        <v>2665946</v>
      </c>
      <c r="CH1112" t="s">
        <v>1681</v>
      </c>
      <c r="CI1112" s="10">
        <v>374950</v>
      </c>
      <c r="CJ1112" s="7">
        <v>38776</v>
      </c>
    </row>
    <row r="1113" spans="1:89">
      <c r="A1113">
        <v>28011566</v>
      </c>
      <c r="B1113" s="2" t="str">
        <f>HYPERLINK("http://www.redfin.com/stingray/do/printable-listing?listing-id=1411921","Contingent")</f>
        <v>Contingent</v>
      </c>
      <c r="D1113" t="s">
        <v>60</v>
      </c>
      <c r="E1113" t="s">
        <v>784</v>
      </c>
      <c r="F1113">
        <v>439000</v>
      </c>
      <c r="G1113">
        <v>1995</v>
      </c>
      <c r="H1113">
        <v>1420</v>
      </c>
      <c r="I1113">
        <v>2550</v>
      </c>
      <c r="J1113">
        <v>3</v>
      </c>
      <c r="K1113">
        <v>2</v>
      </c>
      <c r="M1113" s="2" t="str">
        <f>HYPERLINK("http://maps.live.com/default.aspx?v=2&amp;lvl=15&amp;sp=Point.47.693697_-122.34924_712 N 89th St&amp;cp=47.693697~-122.34924","Map")</f>
        <v>Map</v>
      </c>
      <c r="N1113" s="2" t="str">
        <f>HYPERLINK("http://i-0.rfimg.us/photo/1/bigphoto/566/28011566_0.jpg","Photo")</f>
        <v>Photo</v>
      </c>
      <c r="AG1113">
        <v>47.693697</v>
      </c>
      <c r="AH1113">
        <v>-122.34923999999999</v>
      </c>
      <c r="AI1113" t="s">
        <v>66</v>
      </c>
      <c r="AJ1113">
        <v>98103</v>
      </c>
      <c r="AN1113">
        <v>275000</v>
      </c>
      <c r="BC1113" s="22">
        <v>39465.497037037036</v>
      </c>
      <c r="BI1113" s="22">
        <v>39549.294907407406</v>
      </c>
      <c r="BL1113">
        <v>8780</v>
      </c>
      <c r="BM1113">
        <v>1411921</v>
      </c>
      <c r="BN1113" t="s">
        <v>1737</v>
      </c>
      <c r="BO1113" s="17">
        <f t="shared" ca="1" si="17"/>
        <v>83.812368981481995</v>
      </c>
      <c r="BP1113" t="b">
        <v>0</v>
      </c>
      <c r="BQ1113">
        <v>2</v>
      </c>
      <c r="BR1113" t="s">
        <v>1686</v>
      </c>
      <c r="BS1113" t="s">
        <v>2741</v>
      </c>
      <c r="BT1113" t="b">
        <v>0</v>
      </c>
      <c r="BU1113" t="s">
        <v>1712</v>
      </c>
      <c r="BV1113" t="s">
        <v>1668</v>
      </c>
      <c r="BW1113">
        <v>712</v>
      </c>
      <c r="BY1113">
        <v>98475</v>
      </c>
      <c r="BZ1113" t="s">
        <v>2742</v>
      </c>
      <c r="CA1113">
        <v>1</v>
      </c>
      <c r="CB1113" t="b">
        <v>1</v>
      </c>
      <c r="CC1113">
        <v>0</v>
      </c>
      <c r="CD1113" t="b">
        <v>0</v>
      </c>
      <c r="CE1113" t="b">
        <v>0</v>
      </c>
      <c r="CF1113" t="b">
        <v>1</v>
      </c>
      <c r="CG1113">
        <v>2425425</v>
      </c>
      <c r="CH1113" t="s">
        <v>1681</v>
      </c>
      <c r="CI1113" s="10">
        <v>439000</v>
      </c>
      <c r="CJ1113" s="7">
        <v>37602</v>
      </c>
    </row>
    <row r="1114" spans="1:89">
      <c r="A1114">
        <v>28011578</v>
      </c>
      <c r="B1114" s="2" t="str">
        <f>HYPERLINK("http://www.redfin.com/stingray/do/printable-listing?listing-id=1411951","Active")</f>
        <v>Active</v>
      </c>
      <c r="D1114" t="s">
        <v>55</v>
      </c>
      <c r="E1114" t="s">
        <v>2790</v>
      </c>
      <c r="F1114" s="19">
        <v>585000</v>
      </c>
      <c r="G1114">
        <v>1920</v>
      </c>
      <c r="H1114">
        <v>2160</v>
      </c>
      <c r="I1114">
        <v>12705</v>
      </c>
      <c r="J1114">
        <v>6</v>
      </c>
      <c r="K1114">
        <v>1.75</v>
      </c>
      <c r="M1114" s="2" t="str">
        <f>HYPERLINK("http://maps.live.com/default.aspx?v=2&amp;lvl=15&amp;sp=Point.47.702492_-122.357939_100 N 101st St&amp;cp=47.702492~-122.357939","Map")</f>
        <v>Map</v>
      </c>
      <c r="N1114" s="2" t="str">
        <f>HYPERLINK("http://i-0.rfimg.us/photo/1/bigphoto/578/28011578_1.jpg","Photo")</f>
        <v>Photo</v>
      </c>
      <c r="AG1114">
        <v>47.702491999999999</v>
      </c>
      <c r="AH1114">
        <v>-122.357939</v>
      </c>
      <c r="AI1114" t="s">
        <v>66</v>
      </c>
      <c r="AJ1114">
        <v>98133</v>
      </c>
      <c r="BC1114" s="22">
        <v>39465.506736111114</v>
      </c>
      <c r="BI1114" s="22">
        <v>39549.294907407406</v>
      </c>
      <c r="BL1114">
        <v>11999</v>
      </c>
      <c r="BM1114">
        <v>1411951</v>
      </c>
      <c r="BN1114" t="s">
        <v>1737</v>
      </c>
      <c r="BO1114" s="17">
        <f t="shared" ca="1" si="17"/>
        <v>83.80266990740347</v>
      </c>
      <c r="BP1114" t="b">
        <v>0</v>
      </c>
      <c r="BQ1114">
        <v>1</v>
      </c>
      <c r="BR1114" t="s">
        <v>1686</v>
      </c>
      <c r="BS1114" t="s">
        <v>2791</v>
      </c>
      <c r="BT1114" t="b">
        <v>0</v>
      </c>
      <c r="BU1114" t="s">
        <v>1712</v>
      </c>
      <c r="BV1114" t="s">
        <v>1668</v>
      </c>
      <c r="BW1114">
        <v>100</v>
      </c>
      <c r="BY1114">
        <v>101235</v>
      </c>
      <c r="BZ1114" t="s">
        <v>2792</v>
      </c>
      <c r="CA1114">
        <v>1</v>
      </c>
      <c r="CB1114" t="b">
        <v>1</v>
      </c>
      <c r="CC1114">
        <v>0</v>
      </c>
      <c r="CD1114" t="b">
        <v>0</v>
      </c>
      <c r="CE1114" t="b">
        <v>0</v>
      </c>
      <c r="CF1114" t="b">
        <v>1</v>
      </c>
      <c r="CG1114">
        <v>2862842</v>
      </c>
      <c r="CH1114" t="s">
        <v>1681</v>
      </c>
      <c r="CI1114" s="10">
        <v>599950</v>
      </c>
    </row>
    <row r="1115" spans="1:89">
      <c r="A1115">
        <v>28011583</v>
      </c>
      <c r="B1115" s="2" t="str">
        <f>HYPERLINK("http://www.redfin.com/stingray/do/printable-listing?listing-id=1411975","Active")</f>
        <v>Active</v>
      </c>
      <c r="D1115" t="s">
        <v>100</v>
      </c>
      <c r="E1115" t="s">
        <v>441</v>
      </c>
      <c r="F1115">
        <v>339950</v>
      </c>
      <c r="G1115">
        <v>1960</v>
      </c>
      <c r="H1115">
        <v>0</v>
      </c>
      <c r="I1115">
        <v>0</v>
      </c>
      <c r="J1115">
        <v>2</v>
      </c>
      <c r="K1115">
        <v>1</v>
      </c>
      <c r="M1115" s="2" t="str">
        <f>HYPERLINK("http://maps.live.com/default.aspx?v=2&amp;lvl=15&amp;sp=Point.47.658442_-122.356303_4243 Palatine Ave N&amp;cp=47.658442~-122.356303","Map")</f>
        <v>Map</v>
      </c>
      <c r="N1115" s="2" t="str">
        <f>HYPERLINK("http://i-0.rfimg.us/photo/1/bigphoto/583/28011583_0.jpg","Photo")</f>
        <v>Photo</v>
      </c>
      <c r="AG1115">
        <v>47.658442000000001</v>
      </c>
      <c r="AH1115">
        <v>-122.356303</v>
      </c>
      <c r="AI1115" t="s">
        <v>66</v>
      </c>
      <c r="AJ1115">
        <v>98103</v>
      </c>
      <c r="AN1115">
        <v>345000</v>
      </c>
      <c r="BC1115" s="22">
        <v>39465.518483796295</v>
      </c>
      <c r="BI1115" s="7">
        <v>39534</v>
      </c>
      <c r="BL1115">
        <v>6799</v>
      </c>
      <c r="BM1115">
        <v>1411975</v>
      </c>
      <c r="BN1115" t="s">
        <v>3643</v>
      </c>
      <c r="BO1115" s="17">
        <f t="shared" ca="1" si="17"/>
        <v>83.790922106483777</v>
      </c>
      <c r="BP1115" t="b">
        <v>0</v>
      </c>
      <c r="BQ1115">
        <v>1</v>
      </c>
      <c r="BR1115" t="s">
        <v>1667</v>
      </c>
      <c r="BS1115" t="s">
        <v>2605</v>
      </c>
      <c r="BT1115" t="b">
        <v>0</v>
      </c>
      <c r="BV1115" t="s">
        <v>1668</v>
      </c>
      <c r="BW1115">
        <v>4243</v>
      </c>
      <c r="BX1115" t="s">
        <v>1712</v>
      </c>
      <c r="BY1115">
        <v>2083242</v>
      </c>
      <c r="BZ1115" t="s">
        <v>1747</v>
      </c>
      <c r="CA1115">
        <v>1</v>
      </c>
      <c r="CB1115" t="b">
        <v>1</v>
      </c>
      <c r="CC1115">
        <v>0</v>
      </c>
      <c r="CD1115" t="b">
        <v>0</v>
      </c>
      <c r="CE1115" t="b">
        <v>0</v>
      </c>
      <c r="CF1115" t="b">
        <v>1</v>
      </c>
      <c r="CG1115">
        <v>2766702</v>
      </c>
      <c r="CH1115" t="s">
        <v>1681</v>
      </c>
      <c r="CI1115" s="10">
        <v>339950</v>
      </c>
      <c r="CJ1115" s="7">
        <v>39479</v>
      </c>
    </row>
    <row r="1116" spans="1:89">
      <c r="A1116">
        <v>28011650</v>
      </c>
      <c r="B1116" s="2" t="str">
        <f>HYPERLINK("http://www.redfin.com/stingray/do/printable-listing?listing-id=1412017","Active")</f>
        <v>Active</v>
      </c>
      <c r="D1116" t="s">
        <v>2552</v>
      </c>
      <c r="E1116" t="s">
        <v>3427</v>
      </c>
      <c r="F1116">
        <v>475000</v>
      </c>
      <c r="G1116">
        <v>1943</v>
      </c>
      <c r="H1116">
        <v>0</v>
      </c>
      <c r="I1116">
        <v>6000</v>
      </c>
      <c r="J1116">
        <v>3</v>
      </c>
      <c r="K1116">
        <v>1</v>
      </c>
      <c r="M1116" s="2" t="str">
        <f>HYPERLINK("http://maps.live.com/default.aspx?v=2&amp;lvl=15&amp;sp=Point.47.647405_-122.403228_3016 36th Ave W&amp;cp=47.647405~-122.403228","Map")</f>
        <v>Map</v>
      </c>
      <c r="N1116" s="2" t="str">
        <f>HYPERLINK("http://i-0.rfimg.us/photo/1/bigphoto/650/28011650_0.jpg","Photo")</f>
        <v>Photo</v>
      </c>
      <c r="AG1116">
        <v>47.647404999999999</v>
      </c>
      <c r="AH1116">
        <v>-122.403228</v>
      </c>
      <c r="AI1116" t="s">
        <v>66</v>
      </c>
      <c r="AJ1116">
        <v>98199</v>
      </c>
      <c r="AN1116">
        <v>413500</v>
      </c>
      <c r="BC1116" s="22">
        <v>39465.538807870369</v>
      </c>
      <c r="BI1116" s="22">
        <v>39549.294907407406</v>
      </c>
      <c r="BL1116">
        <v>9500</v>
      </c>
      <c r="BM1116">
        <v>1412017</v>
      </c>
      <c r="BN1116" t="s">
        <v>3426</v>
      </c>
      <c r="BO1116" s="17">
        <f t="shared" ca="1" si="17"/>
        <v>83.770598032409907</v>
      </c>
      <c r="BP1116" t="b">
        <v>0</v>
      </c>
      <c r="BQ1116">
        <v>1</v>
      </c>
      <c r="BR1116" t="s">
        <v>1667</v>
      </c>
      <c r="BS1116" t="s">
        <v>2911</v>
      </c>
      <c r="BT1116" t="b">
        <v>0</v>
      </c>
      <c r="BV1116" t="s">
        <v>1668</v>
      </c>
      <c r="BW1116">
        <v>3016</v>
      </c>
      <c r="BX1116" t="s">
        <v>2423</v>
      </c>
      <c r="BY1116">
        <v>128388</v>
      </c>
      <c r="BZ1116" t="s">
        <v>1696</v>
      </c>
      <c r="CA1116">
        <v>1</v>
      </c>
      <c r="CB1116" t="b">
        <v>1</v>
      </c>
      <c r="CC1116">
        <v>0</v>
      </c>
      <c r="CD1116" t="b">
        <v>0</v>
      </c>
      <c r="CE1116" t="b">
        <v>0</v>
      </c>
      <c r="CF1116" t="b">
        <v>1</v>
      </c>
      <c r="CG1116">
        <v>2467970</v>
      </c>
      <c r="CH1116" t="s">
        <v>1681</v>
      </c>
      <c r="CI1116" s="10">
        <v>475000</v>
      </c>
      <c r="CJ1116" s="7">
        <v>38989</v>
      </c>
    </row>
    <row r="1117" spans="1:89">
      <c r="A1117">
        <v>28011660</v>
      </c>
      <c r="B1117" s="2" t="str">
        <f>HYPERLINK("http://www.redfin.com/stingray/do/printable-listing?listing-id=1412061","Active")</f>
        <v>Active</v>
      </c>
      <c r="D1117" t="s">
        <v>4710</v>
      </c>
      <c r="E1117" t="s">
        <v>4790</v>
      </c>
      <c r="F1117">
        <v>950000</v>
      </c>
      <c r="G1117">
        <v>2007</v>
      </c>
      <c r="H1117">
        <v>2141</v>
      </c>
      <c r="I1117">
        <v>3953</v>
      </c>
      <c r="J1117">
        <v>3</v>
      </c>
      <c r="K1117">
        <v>3.25</v>
      </c>
      <c r="M1117" s="2" t="str">
        <f>HYPERLINK("http://maps.live.com/default.aspx?v=2&amp;lvl=15&amp;sp=Point.47.676157_-122.192783_825 Kirkland Way&amp;cp=47.676157~-122.192783","Map")</f>
        <v>Map</v>
      </c>
      <c r="N1117" s="2" t="str">
        <f>HYPERLINK("http://i-0.rfimg.us/photo/1/bigphoto/660/28011660_0.jpg","Photo")</f>
        <v>Photo</v>
      </c>
      <c r="AG1117">
        <v>47.676157000000003</v>
      </c>
      <c r="AH1117">
        <v>-122.19278300000001</v>
      </c>
      <c r="AI1117" t="s">
        <v>1058</v>
      </c>
      <c r="AJ1117">
        <v>98033</v>
      </c>
      <c r="BC1117" s="22">
        <v>39465.549699074072</v>
      </c>
      <c r="BI1117" s="22">
        <v>39549.294907407406</v>
      </c>
      <c r="BL1117">
        <v>19000</v>
      </c>
      <c r="BM1117">
        <v>1412061</v>
      </c>
      <c r="BN1117" t="s">
        <v>1768</v>
      </c>
      <c r="BO1117" s="17">
        <f t="shared" ca="1" si="17"/>
        <v>83.75970682870684</v>
      </c>
      <c r="BP1117" t="b">
        <v>0</v>
      </c>
      <c r="BQ1117">
        <v>1</v>
      </c>
      <c r="BR1117" t="s">
        <v>2463</v>
      </c>
      <c r="BS1117" t="s">
        <v>1058</v>
      </c>
      <c r="BT1117" t="b">
        <v>0</v>
      </c>
      <c r="BV1117" t="s">
        <v>1668</v>
      </c>
      <c r="BW1117">
        <v>825</v>
      </c>
      <c r="BY1117">
        <v>8190304</v>
      </c>
      <c r="BZ1117" t="s">
        <v>1696</v>
      </c>
      <c r="CA1117">
        <v>1</v>
      </c>
      <c r="CB1117" t="b">
        <v>1</v>
      </c>
      <c r="CC1117">
        <v>0</v>
      </c>
      <c r="CD1117" t="b">
        <v>0</v>
      </c>
      <c r="CE1117" t="b">
        <v>0</v>
      </c>
      <c r="CF1117" t="b">
        <v>1</v>
      </c>
      <c r="CG1117">
        <v>10533348</v>
      </c>
      <c r="CH1117" t="s">
        <v>1681</v>
      </c>
      <c r="CI1117" s="10">
        <v>950000</v>
      </c>
    </row>
    <row r="1118" spans="1:89">
      <c r="A1118">
        <v>28011669</v>
      </c>
      <c r="B1118" s="2" t="str">
        <f>HYPERLINK("http://www.redfin.com/stingray/do/printable-listing?listing-id=1412190","Active")</f>
        <v>Active</v>
      </c>
      <c r="D1118" t="s">
        <v>4710</v>
      </c>
      <c r="E1118" t="s">
        <v>4788</v>
      </c>
      <c r="F1118">
        <v>999000</v>
      </c>
      <c r="G1118">
        <v>2007</v>
      </c>
      <c r="H1118">
        <v>2434</v>
      </c>
      <c r="I1118">
        <v>3818</v>
      </c>
      <c r="J1118">
        <v>3</v>
      </c>
      <c r="K1118">
        <v>2.5</v>
      </c>
      <c r="M1118" s="2" t="str">
        <f>HYPERLINK("http://maps.live.com/default.aspx?v=2&amp;lvl=15&amp;sp=Point.47.676183_-122.192877_815 Kirkland Way&amp;cp=47.676183~-122.192877","Map")</f>
        <v>Map</v>
      </c>
      <c r="N1118" s="2" t="str">
        <f>HYPERLINK("http://i-0.rfimg.us/photo/1/bigphoto/669/28011669_1.jpg","Photo")</f>
        <v>Photo</v>
      </c>
      <c r="AG1118">
        <v>47.676183000000002</v>
      </c>
      <c r="AH1118">
        <v>-122.192877</v>
      </c>
      <c r="AI1118" t="s">
        <v>1058</v>
      </c>
      <c r="AJ1118">
        <v>98033</v>
      </c>
      <c r="BC1118" s="22">
        <v>39465.560995370368</v>
      </c>
      <c r="BI1118" s="22">
        <v>39549.294907407406</v>
      </c>
      <c r="BL1118">
        <v>19980</v>
      </c>
      <c r="BM1118">
        <v>1412190</v>
      </c>
      <c r="BN1118" t="s">
        <v>1768</v>
      </c>
      <c r="BO1118" s="17">
        <f t="shared" ca="1" si="17"/>
        <v>83.748410532411071</v>
      </c>
      <c r="BP1118" t="b">
        <v>0</v>
      </c>
      <c r="BQ1118">
        <v>1</v>
      </c>
      <c r="BR1118" t="s">
        <v>2463</v>
      </c>
      <c r="BS1118" t="s">
        <v>1058</v>
      </c>
      <c r="BT1118" t="b">
        <v>0</v>
      </c>
      <c r="BV1118" t="s">
        <v>1668</v>
      </c>
      <c r="BW1118">
        <v>815</v>
      </c>
      <c r="BY1118">
        <v>8190303</v>
      </c>
      <c r="BZ1118" t="s">
        <v>1963</v>
      </c>
      <c r="CA1118">
        <v>1</v>
      </c>
      <c r="CB1118" t="b">
        <v>1</v>
      </c>
      <c r="CC1118">
        <v>0</v>
      </c>
      <c r="CD1118" t="b">
        <v>0</v>
      </c>
      <c r="CE1118" t="b">
        <v>0</v>
      </c>
      <c r="CF1118" t="b">
        <v>1</v>
      </c>
      <c r="CG1118">
        <v>10533347</v>
      </c>
      <c r="CH1118" t="s">
        <v>1681</v>
      </c>
      <c r="CI1118" s="10">
        <v>999000</v>
      </c>
    </row>
    <row r="1119" spans="1:89">
      <c r="A1119">
        <v>28011670</v>
      </c>
      <c r="B1119" s="2" t="str">
        <f>HYPERLINK("http://www.redfin.com/stingray/do/printable-listing?listing-id=1412189","Active")</f>
        <v>Active</v>
      </c>
      <c r="D1119" t="s">
        <v>4710</v>
      </c>
      <c r="E1119" t="s">
        <v>4708</v>
      </c>
      <c r="F1119">
        <v>999950</v>
      </c>
      <c r="G1119">
        <v>2007</v>
      </c>
      <c r="H1119">
        <v>2617</v>
      </c>
      <c r="I1119">
        <v>3600</v>
      </c>
      <c r="J1119">
        <v>3</v>
      </c>
      <c r="K1119">
        <v>2.5</v>
      </c>
      <c r="M1119" s="2" t="str">
        <f>HYPERLINK("http://maps.live.com/default.aspx?v=2&amp;lvl=15&amp;sp=Point.47.676178_-122.192858_817 Kirkland Way&amp;cp=47.676178~-122.192858","Map")</f>
        <v>Map</v>
      </c>
      <c r="N1119" s="2" t="str">
        <f>HYPERLINK("http://i-0.rfimg.us/photo/1/bigphoto/670/28011670_8.jpg","Photo")</f>
        <v>Photo</v>
      </c>
      <c r="AG1119">
        <v>47.676178</v>
      </c>
      <c r="AH1119">
        <v>-122.192858</v>
      </c>
      <c r="AI1119" t="s">
        <v>1058</v>
      </c>
      <c r="AJ1119">
        <v>98033</v>
      </c>
      <c r="AN1119">
        <v>900000</v>
      </c>
      <c r="BC1119" s="22">
        <v>39465.560995370368</v>
      </c>
      <c r="BI1119" s="22">
        <v>39549.294907407406</v>
      </c>
      <c r="BL1119">
        <v>19999</v>
      </c>
      <c r="BM1119">
        <v>1412189</v>
      </c>
      <c r="BN1119" t="s">
        <v>1768</v>
      </c>
      <c r="BO1119" s="17">
        <f t="shared" ca="1" si="17"/>
        <v>83.748410532411071</v>
      </c>
      <c r="BP1119" t="b">
        <v>0</v>
      </c>
      <c r="BQ1119">
        <v>1</v>
      </c>
      <c r="BR1119" t="s">
        <v>2463</v>
      </c>
      <c r="BS1119" t="s">
        <v>1058</v>
      </c>
      <c r="BT1119" t="b">
        <v>0</v>
      </c>
      <c r="BV1119" t="s">
        <v>1668</v>
      </c>
      <c r="BW1119">
        <v>817</v>
      </c>
      <c r="BY1119">
        <v>461283</v>
      </c>
      <c r="BZ1119" t="s">
        <v>4709</v>
      </c>
      <c r="CA1119">
        <v>1</v>
      </c>
      <c r="CB1119" t="b">
        <v>1</v>
      </c>
      <c r="CC1119">
        <v>0</v>
      </c>
      <c r="CD1119" t="b">
        <v>0</v>
      </c>
      <c r="CE1119" t="b">
        <v>0</v>
      </c>
      <c r="CF1119" t="b">
        <v>1</v>
      </c>
      <c r="CG1119">
        <v>2660999</v>
      </c>
      <c r="CH1119" t="s">
        <v>1681</v>
      </c>
      <c r="CI1119" s="10">
        <v>999950</v>
      </c>
      <c r="CJ1119" s="7">
        <v>38854</v>
      </c>
    </row>
    <row r="1120" spans="1:89">
      <c r="A1120">
        <v>28011672</v>
      </c>
      <c r="B1120" s="2" t="str">
        <f>HYPERLINK("http://www.redfin.com/stingray/do/printable-listing?listing-id=1412188","Active")</f>
        <v>Active</v>
      </c>
      <c r="D1120" t="s">
        <v>4710</v>
      </c>
      <c r="E1120" t="s">
        <v>4787</v>
      </c>
      <c r="F1120">
        <v>1075000</v>
      </c>
      <c r="G1120">
        <v>2007</v>
      </c>
      <c r="H1120">
        <v>2617</v>
      </c>
      <c r="I1120">
        <v>3600</v>
      </c>
      <c r="J1120">
        <v>3</v>
      </c>
      <c r="K1120">
        <v>2.5</v>
      </c>
      <c r="M1120" s="2" t="str">
        <f>HYPERLINK("http://maps.live.com/default.aspx?v=2&amp;lvl=15&amp;sp=Point.47.676173_-122.192839_819 Kirkland Way&amp;cp=47.676173~-122.192839","Map")</f>
        <v>Map</v>
      </c>
      <c r="N1120" s="2" t="str">
        <f>HYPERLINK("http://i-0.rfimg.us/photo/1/bigphoto/672/28011672_2.jpg","Photo")</f>
        <v>Photo</v>
      </c>
      <c r="AG1120">
        <v>47.676172999999999</v>
      </c>
      <c r="AH1120">
        <v>-122.19283900000001</v>
      </c>
      <c r="AI1120" t="s">
        <v>1058</v>
      </c>
      <c r="AJ1120">
        <v>98033</v>
      </c>
      <c r="BC1120" s="22">
        <v>39465.560995370368</v>
      </c>
      <c r="BI1120" s="22">
        <v>39549.294907407406</v>
      </c>
      <c r="BL1120">
        <v>21500</v>
      </c>
      <c r="BM1120">
        <v>1412188</v>
      </c>
      <c r="BN1120" t="s">
        <v>1768</v>
      </c>
      <c r="BO1120" s="17">
        <f t="shared" ca="1" si="17"/>
        <v>83.748410532411071</v>
      </c>
      <c r="BP1120" t="b">
        <v>0</v>
      </c>
      <c r="BQ1120">
        <v>1</v>
      </c>
      <c r="BR1120" t="s">
        <v>2463</v>
      </c>
      <c r="BS1120" t="s">
        <v>1058</v>
      </c>
      <c r="BT1120" t="b">
        <v>0</v>
      </c>
      <c r="BV1120" t="s">
        <v>1668</v>
      </c>
      <c r="BW1120">
        <v>819</v>
      </c>
      <c r="BY1120">
        <v>8189981</v>
      </c>
      <c r="BZ1120" t="s">
        <v>3720</v>
      </c>
      <c r="CA1120">
        <v>1</v>
      </c>
      <c r="CB1120" t="b">
        <v>1</v>
      </c>
      <c r="CC1120">
        <v>0</v>
      </c>
      <c r="CD1120" t="b">
        <v>0</v>
      </c>
      <c r="CE1120" t="b">
        <v>0</v>
      </c>
      <c r="CF1120" t="b">
        <v>1</v>
      </c>
      <c r="CG1120">
        <v>10532594</v>
      </c>
      <c r="CH1120" t="s">
        <v>1681</v>
      </c>
      <c r="CI1120" s="10">
        <v>1075000</v>
      </c>
    </row>
    <row r="1121" spans="1:88">
      <c r="A1121">
        <v>28011680</v>
      </c>
      <c r="B1121" s="15" t="str">
        <f>HYPERLINK("http://www.redfin.com/stingray/do/printable-listing?listing-id=1412191","Contingent")</f>
        <v>Contingent</v>
      </c>
      <c r="D1121" t="s">
        <v>4710</v>
      </c>
      <c r="E1121" t="s">
        <v>4789</v>
      </c>
      <c r="F1121">
        <v>1125000</v>
      </c>
      <c r="G1121">
        <v>2007</v>
      </c>
      <c r="H1121">
        <v>2761</v>
      </c>
      <c r="I1121">
        <v>4361</v>
      </c>
      <c r="J1121">
        <v>4</v>
      </c>
      <c r="K1121">
        <v>2.5</v>
      </c>
      <c r="M1121" s="2" t="str">
        <f>HYPERLINK("http://maps.live.com/default.aspx?v=2&amp;lvl=15&amp;sp=Point.47.676168_-122.19282_821 Kirkland Way&amp;cp=47.676168~-122.19282","Map")</f>
        <v>Map</v>
      </c>
      <c r="N1121" s="2" t="str">
        <f>HYPERLINK("http://i-0.rfimg.us/photo/1/bigphoto/680/28011680_0.jpg","Photo")</f>
        <v>Photo</v>
      </c>
      <c r="AG1121">
        <v>47.676167999999997</v>
      </c>
      <c r="AH1121">
        <v>-122.19282</v>
      </c>
      <c r="AI1121" t="s">
        <v>1058</v>
      </c>
      <c r="AJ1121">
        <v>98033</v>
      </c>
      <c r="BC1121" s="22">
        <v>39465.561006944445</v>
      </c>
      <c r="BI1121" s="22">
        <v>39549.294907407406</v>
      </c>
      <c r="BL1121">
        <v>22500</v>
      </c>
      <c r="BM1121">
        <v>1412191</v>
      </c>
      <c r="BN1121" t="s">
        <v>1768</v>
      </c>
      <c r="BO1121" s="17">
        <f t="shared" ca="1" si="17"/>
        <v>83.748398958334292</v>
      </c>
      <c r="BP1121" t="b">
        <v>0</v>
      </c>
      <c r="BQ1121">
        <v>1</v>
      </c>
      <c r="BR1121" t="s">
        <v>2463</v>
      </c>
      <c r="BS1121" t="s">
        <v>1058</v>
      </c>
      <c r="BT1121" t="b">
        <v>0</v>
      </c>
      <c r="BV1121" t="s">
        <v>1668</v>
      </c>
      <c r="BW1121">
        <v>821</v>
      </c>
      <c r="BY1121">
        <v>8190305</v>
      </c>
      <c r="BZ1121" t="s">
        <v>1672</v>
      </c>
      <c r="CA1121">
        <v>1</v>
      </c>
      <c r="CB1121" t="b">
        <v>1</v>
      </c>
      <c r="CC1121">
        <v>0</v>
      </c>
      <c r="CD1121" t="b">
        <v>0</v>
      </c>
      <c r="CE1121" t="b">
        <v>0</v>
      </c>
      <c r="CF1121" t="b">
        <v>1</v>
      </c>
      <c r="CG1121">
        <v>10533349</v>
      </c>
      <c r="CH1121" t="s">
        <v>1681</v>
      </c>
      <c r="CI1121" s="10">
        <v>1125000</v>
      </c>
    </row>
    <row r="1122" spans="1:88">
      <c r="A1122">
        <v>28011684</v>
      </c>
      <c r="B1122" s="2" t="str">
        <f>HYPERLINK("http://www.redfin.com/stingray/do/printable-listing?listing-id=1412192","Active")</f>
        <v>Active</v>
      </c>
      <c r="D1122" t="s">
        <v>4710</v>
      </c>
      <c r="E1122" t="s">
        <v>4890</v>
      </c>
      <c r="F1122" s="19">
        <v>999950</v>
      </c>
      <c r="G1122">
        <v>2007</v>
      </c>
      <c r="H1122">
        <v>2727</v>
      </c>
      <c r="I1122">
        <v>3600</v>
      </c>
      <c r="J1122">
        <v>3</v>
      </c>
      <c r="K1122">
        <v>2.5</v>
      </c>
      <c r="M1122" s="2" t="str">
        <f>HYPERLINK("http://maps.live.com/default.aspx?v=2&amp;lvl=15&amp;sp=Point.47.676162_-122.192802_823 Kirkland Way&amp;cp=47.676162~-122.192802","Map")</f>
        <v>Map</v>
      </c>
      <c r="N1122" s="2" t="str">
        <f>HYPERLINK("http://i-0.rfimg.us/photo/1/bigphoto/684/28011684_0.jpg","Photo")</f>
        <v>Photo</v>
      </c>
      <c r="AG1122">
        <v>47.676161999999998</v>
      </c>
      <c r="AH1122">
        <v>-122.192802</v>
      </c>
      <c r="AI1122" t="s">
        <v>1058</v>
      </c>
      <c r="AJ1122">
        <v>98033</v>
      </c>
      <c r="AN1122">
        <v>940000</v>
      </c>
      <c r="BC1122" s="22">
        <v>39465.561006944445</v>
      </c>
      <c r="BI1122" s="22">
        <v>39549.294907407406</v>
      </c>
      <c r="BL1122">
        <v>22100</v>
      </c>
      <c r="BM1122">
        <v>1412192</v>
      </c>
      <c r="BN1122" t="s">
        <v>1768</v>
      </c>
      <c r="BO1122" s="17">
        <f t="shared" ca="1" si="17"/>
        <v>83.748398958334292</v>
      </c>
      <c r="BP1122" t="b">
        <v>0</v>
      </c>
      <c r="BQ1122">
        <v>1</v>
      </c>
      <c r="BR1122" t="s">
        <v>2463</v>
      </c>
      <c r="BS1122" t="s">
        <v>1058</v>
      </c>
      <c r="BT1122" t="b">
        <v>0</v>
      </c>
      <c r="BV1122" t="s">
        <v>1668</v>
      </c>
      <c r="BW1122">
        <v>823</v>
      </c>
      <c r="BY1122">
        <v>8185117</v>
      </c>
      <c r="BZ1122" t="s">
        <v>1696</v>
      </c>
      <c r="CA1122">
        <v>1</v>
      </c>
      <c r="CB1122" t="b">
        <v>1</v>
      </c>
      <c r="CC1122">
        <v>0</v>
      </c>
      <c r="CD1122" t="b">
        <v>0</v>
      </c>
      <c r="CE1122" t="b">
        <v>0</v>
      </c>
      <c r="CF1122" t="b">
        <v>1</v>
      </c>
      <c r="CG1122">
        <v>2822280</v>
      </c>
      <c r="CH1122" t="s">
        <v>1681</v>
      </c>
      <c r="CI1122" s="10">
        <v>1105000</v>
      </c>
      <c r="CJ1122" s="7">
        <v>38854</v>
      </c>
    </row>
    <row r="1123" spans="1:88">
      <c r="A1123">
        <v>28011739</v>
      </c>
      <c r="B1123" s="2" t="str">
        <f>HYPERLINK("http://www.redfin.com/stingray/do/printable-listing?listing-id=1413425","Active")</f>
        <v>Active</v>
      </c>
      <c r="D1123" t="s">
        <v>967</v>
      </c>
      <c r="E1123" t="s">
        <v>2991</v>
      </c>
      <c r="F1123">
        <v>314900</v>
      </c>
      <c r="G1123">
        <v>2005</v>
      </c>
      <c r="H1123">
        <v>1275</v>
      </c>
      <c r="I1123">
        <v>0</v>
      </c>
      <c r="J1123">
        <v>3</v>
      </c>
      <c r="K1123">
        <v>1.75</v>
      </c>
      <c r="M1123" s="2" t="str">
        <f>HYPERLINK("http://maps.live.com/default.aspx?v=2&amp;lvl=15&amp;sp=Point.47.716614_-122.294143_12019 32 Ave NE nC&amp;cp=47.716614~-122.294143","Map")</f>
        <v>Map</v>
      </c>
      <c r="N1123" s="2" t="str">
        <f>HYPERLINK("http://i-0.rfimg.us/photo/1/bigphoto/739/28011739_0.jpg","Photo")</f>
        <v>Photo</v>
      </c>
      <c r="AG1123">
        <v>47.716614</v>
      </c>
      <c r="AH1123">
        <v>-122.29414300000001</v>
      </c>
      <c r="AI1123" t="s">
        <v>66</v>
      </c>
      <c r="AJ1123">
        <v>98125</v>
      </c>
      <c r="AM1123" t="s">
        <v>2341</v>
      </c>
      <c r="BC1123" s="22">
        <v>39465.809502314813</v>
      </c>
      <c r="BI1123" s="22">
        <v>39549.294907407406</v>
      </c>
      <c r="BL1123">
        <v>6298</v>
      </c>
      <c r="BM1123">
        <v>1413425</v>
      </c>
      <c r="BN1123" t="s">
        <v>1746</v>
      </c>
      <c r="BO1123" s="17">
        <f t="shared" ca="1" si="17"/>
        <v>83.499903587966401</v>
      </c>
      <c r="BP1123" t="b">
        <v>0</v>
      </c>
      <c r="BQ1123">
        <v>1</v>
      </c>
      <c r="BR1123" t="s">
        <v>1667</v>
      </c>
      <c r="BS1123">
        <v>32</v>
      </c>
      <c r="BT1123" t="b">
        <v>0</v>
      </c>
      <c r="BV1123" t="s">
        <v>1668</v>
      </c>
      <c r="BW1123">
        <v>12019</v>
      </c>
      <c r="BX1123" t="s">
        <v>1738</v>
      </c>
      <c r="BY1123">
        <v>12182882</v>
      </c>
      <c r="BZ1123" t="s">
        <v>1741</v>
      </c>
      <c r="CA1123">
        <v>1</v>
      </c>
      <c r="CB1123" t="b">
        <v>1</v>
      </c>
      <c r="CC1123">
        <v>0</v>
      </c>
      <c r="CD1123" t="b">
        <v>0</v>
      </c>
      <c r="CE1123" t="b">
        <v>0</v>
      </c>
      <c r="CF1123" t="b">
        <v>1</v>
      </c>
      <c r="CG1123">
        <v>15412184</v>
      </c>
      <c r="CH1123" t="s">
        <v>1681</v>
      </c>
      <c r="CI1123" s="10">
        <v>314900</v>
      </c>
    </row>
    <row r="1124" spans="1:88">
      <c r="A1124">
        <v>28011748</v>
      </c>
      <c r="B1124" s="2" t="str">
        <f>HYPERLINK("http://www.redfin.com/stingray/do/printable-listing?listing-id=1416969","Active")</f>
        <v>Active</v>
      </c>
      <c r="D1124" t="s">
        <v>369</v>
      </c>
      <c r="E1124" t="s">
        <v>5295</v>
      </c>
      <c r="F1124">
        <v>475000</v>
      </c>
      <c r="G1124">
        <v>1956</v>
      </c>
      <c r="H1124">
        <v>0</v>
      </c>
      <c r="I1124">
        <v>0</v>
      </c>
      <c r="J1124">
        <v>4</v>
      </c>
      <c r="K1124">
        <v>2</v>
      </c>
      <c r="M1124" s="2" t="str">
        <f>HYPERLINK("http://maps.live.com/default.aspx?v=2&amp;lvl=15&amp;sp=Point.47.603014_-122.123613_16240 SE 8th St&amp;cp=47.603014~-122.123613","Map")</f>
        <v>Map</v>
      </c>
      <c r="N1124" s="2" t="str">
        <f>HYPERLINK("http://i-0.rfimg.us/photo/1/bigphoto/748/28011748_0.jpg","Photo")</f>
        <v>Photo</v>
      </c>
      <c r="AG1124">
        <v>47.603014000000002</v>
      </c>
      <c r="AH1124">
        <v>-122.12361300000001</v>
      </c>
      <c r="AI1124" t="s">
        <v>369</v>
      </c>
      <c r="AJ1124">
        <v>98008</v>
      </c>
      <c r="AN1124">
        <v>425000</v>
      </c>
      <c r="BC1124" s="22">
        <v>39468.088182870371</v>
      </c>
      <c r="BI1124" s="22">
        <v>39549.294907407406</v>
      </c>
      <c r="BL1124">
        <v>9500</v>
      </c>
      <c r="BM1124">
        <v>1416969</v>
      </c>
      <c r="BN1124" t="s">
        <v>2798</v>
      </c>
      <c r="BO1124" s="17">
        <f t="shared" ca="1" si="17"/>
        <v>81.221223032407579</v>
      </c>
      <c r="BP1124" t="b">
        <v>0</v>
      </c>
      <c r="BQ1124">
        <v>1</v>
      </c>
      <c r="BR1124" t="s">
        <v>1686</v>
      </c>
      <c r="BS1124" t="s">
        <v>1723</v>
      </c>
      <c r="BT1124" t="b">
        <v>0</v>
      </c>
      <c r="BU1124" t="s">
        <v>3856</v>
      </c>
      <c r="BV1124" t="s">
        <v>1668</v>
      </c>
      <c r="BW1124">
        <v>16240</v>
      </c>
      <c r="BY1124">
        <v>426981</v>
      </c>
      <c r="BZ1124" t="s">
        <v>1741</v>
      </c>
      <c r="CA1124">
        <v>1</v>
      </c>
      <c r="CB1124" t="b">
        <v>1</v>
      </c>
      <c r="CC1124">
        <v>0</v>
      </c>
      <c r="CD1124" t="b">
        <v>0</v>
      </c>
      <c r="CE1124" t="b">
        <v>0</v>
      </c>
      <c r="CF1124" t="b">
        <v>1</v>
      </c>
      <c r="CG1124">
        <v>2371999</v>
      </c>
      <c r="CH1124" t="s">
        <v>1681</v>
      </c>
      <c r="CI1124" s="10">
        <v>475000</v>
      </c>
      <c r="CJ1124" s="7">
        <v>38918</v>
      </c>
    </row>
    <row r="1125" spans="1:88">
      <c r="A1125">
        <v>28011759</v>
      </c>
      <c r="B1125" s="2" t="str">
        <f>HYPERLINK("http://www.redfin.com/stingray/do/printable-listing?listing-id=1412387","Active")</f>
        <v>Active</v>
      </c>
      <c r="D1125" t="s">
        <v>70</v>
      </c>
      <c r="E1125" t="s">
        <v>805</v>
      </c>
      <c r="F1125">
        <v>465000</v>
      </c>
      <c r="G1125">
        <v>1938</v>
      </c>
      <c r="H1125">
        <v>2120</v>
      </c>
      <c r="I1125">
        <v>4000</v>
      </c>
      <c r="J1125">
        <v>3</v>
      </c>
      <c r="K1125">
        <v>1.75</v>
      </c>
      <c r="M1125" s="2" t="str">
        <f>HYPERLINK("http://maps.live.com/default.aspx?v=2&amp;lvl=15&amp;sp=Point.47.718745_-122.350016_12232 Fremont Ave N&amp;cp=47.718745~-122.350016","Map")</f>
        <v>Map</v>
      </c>
      <c r="N1125" s="2" t="str">
        <f>HYPERLINK("http://i-0.rfimg.us/photo/1/bigphoto/759/28011759_5.jpg","Photo")</f>
        <v>Photo</v>
      </c>
      <c r="AG1125">
        <v>47.718744999999998</v>
      </c>
      <c r="AH1125">
        <v>-122.350016</v>
      </c>
      <c r="AI1125" t="s">
        <v>66</v>
      </c>
      <c r="AJ1125">
        <v>98133</v>
      </c>
      <c r="AN1125">
        <v>415000</v>
      </c>
      <c r="BC1125" s="22">
        <v>39465.658877314818</v>
      </c>
      <c r="BI1125" s="22">
        <v>39549.294907407406</v>
      </c>
      <c r="BL1125">
        <v>9300</v>
      </c>
      <c r="BM1125">
        <v>1412387</v>
      </c>
      <c r="BN1125" t="s">
        <v>1766</v>
      </c>
      <c r="BO1125" s="17">
        <f t="shared" ca="1" si="17"/>
        <v>83.65052870369982</v>
      </c>
      <c r="BP1125" t="b">
        <v>0</v>
      </c>
      <c r="BQ1125">
        <v>1</v>
      </c>
      <c r="BR1125" t="s">
        <v>1667</v>
      </c>
      <c r="BS1125" t="s">
        <v>100</v>
      </c>
      <c r="BT1125" t="b">
        <v>0</v>
      </c>
      <c r="BV1125" t="s">
        <v>1668</v>
      </c>
      <c r="BW1125">
        <v>12232</v>
      </c>
      <c r="BX1125" t="s">
        <v>1712</v>
      </c>
      <c r="BY1125">
        <v>98109</v>
      </c>
      <c r="BZ1125" t="s">
        <v>2687</v>
      </c>
      <c r="CA1125">
        <v>1</v>
      </c>
      <c r="CB1125" t="b">
        <v>1</v>
      </c>
      <c r="CC1125">
        <v>0</v>
      </c>
      <c r="CD1125" t="b">
        <v>0</v>
      </c>
      <c r="CE1125" t="b">
        <v>0</v>
      </c>
      <c r="CF1125" t="b">
        <v>1</v>
      </c>
      <c r="CG1125">
        <v>2772381</v>
      </c>
      <c r="CH1125" t="s">
        <v>1681</v>
      </c>
      <c r="CI1125" s="10">
        <v>465000</v>
      </c>
      <c r="CJ1125" s="7">
        <v>38912</v>
      </c>
    </row>
    <row r="1126" spans="1:88">
      <c r="A1126">
        <v>28011773</v>
      </c>
      <c r="B1126" s="2" t="str">
        <f>HYPERLINK("http://www.redfin.com/stingray/do/printable-listing?listing-id=1412428","Active")</f>
        <v>Active</v>
      </c>
      <c r="D1126" t="s">
        <v>5490</v>
      </c>
      <c r="E1126" t="s">
        <v>5884</v>
      </c>
      <c r="F1126">
        <v>659950</v>
      </c>
      <c r="G1126">
        <v>1985</v>
      </c>
      <c r="H1126">
        <v>2460</v>
      </c>
      <c r="I1126">
        <v>11761</v>
      </c>
      <c r="J1126">
        <v>4</v>
      </c>
      <c r="K1126">
        <v>3.5</v>
      </c>
      <c r="M1126" s="2" t="str">
        <f>HYPERLINK("http://maps.live.com/default.aspx?v=2&amp;lvl=15&amp;sp=Point.47.562081_-122.12227_4644 163rd Pl SE&amp;cp=47.562081~-122.12227","Map")</f>
        <v>Map</v>
      </c>
      <c r="N1126" s="2" t="str">
        <f>HYPERLINK("http://i-0.rfimg.us/photo/1/bigphoto/773/28011773_1.jpg","Photo")</f>
        <v>Photo</v>
      </c>
      <c r="AG1126">
        <v>47.562080999999999</v>
      </c>
      <c r="AH1126">
        <v>-122.12227</v>
      </c>
      <c r="AI1126" t="s">
        <v>369</v>
      </c>
      <c r="AJ1126">
        <v>98006</v>
      </c>
      <c r="AN1126">
        <v>106750</v>
      </c>
      <c r="BC1126" s="22">
        <v>39465.66133101852</v>
      </c>
      <c r="BI1126" s="22">
        <v>39549.294907407406</v>
      </c>
      <c r="BL1126">
        <v>13199</v>
      </c>
      <c r="BM1126">
        <v>1412428</v>
      </c>
      <c r="BN1126" t="s">
        <v>1674</v>
      </c>
      <c r="BO1126" s="17">
        <f t="shared" ca="1" si="17"/>
        <v>83.648074884258676</v>
      </c>
      <c r="BP1126" t="b">
        <v>0</v>
      </c>
      <c r="BQ1126">
        <v>1</v>
      </c>
      <c r="BR1126" t="s">
        <v>1842</v>
      </c>
      <c r="BS1126" t="s">
        <v>5885</v>
      </c>
      <c r="BT1126" t="b">
        <v>0</v>
      </c>
      <c r="BV1126" t="s">
        <v>1668</v>
      </c>
      <c r="BW1126">
        <v>4644</v>
      </c>
      <c r="BX1126" t="s">
        <v>3856</v>
      </c>
      <c r="BY1126">
        <v>239948</v>
      </c>
      <c r="BZ1126" t="s">
        <v>1689</v>
      </c>
      <c r="CA1126">
        <v>1</v>
      </c>
      <c r="CB1126" t="b">
        <v>1</v>
      </c>
      <c r="CC1126">
        <v>0</v>
      </c>
      <c r="CD1126" t="b">
        <v>0</v>
      </c>
      <c r="CE1126" t="b">
        <v>0</v>
      </c>
      <c r="CF1126" t="b">
        <v>1</v>
      </c>
      <c r="CG1126">
        <v>2515267</v>
      </c>
      <c r="CH1126" t="s">
        <v>1681</v>
      </c>
      <c r="CI1126" s="10">
        <v>659950</v>
      </c>
      <c r="CJ1126" s="7">
        <v>31394</v>
      </c>
    </row>
    <row r="1127" spans="1:88">
      <c r="A1127">
        <v>28011827</v>
      </c>
      <c r="B1127" s="2" t="str">
        <f>HYPERLINK("http://www.redfin.com/stingray/do/printable-listing?listing-id=1412787","Active")</f>
        <v>Active</v>
      </c>
      <c r="D1127" t="s">
        <v>4974</v>
      </c>
      <c r="E1127" t="s">
        <v>5073</v>
      </c>
      <c r="F1127">
        <v>649000</v>
      </c>
      <c r="G1127">
        <v>1953</v>
      </c>
      <c r="H1127">
        <v>1760</v>
      </c>
      <c r="I1127">
        <v>16928</v>
      </c>
      <c r="J1127">
        <v>3</v>
      </c>
      <c r="K1127">
        <v>2</v>
      </c>
      <c r="M1127" s="2" t="str">
        <f>HYPERLINK("http://maps.live.com/default.aspx?v=2&amp;lvl=15&amp;sp=Point.47.636313_-122.202431_10314 NE 28th Pl&amp;cp=47.636313~-122.202431","Map")</f>
        <v>Map</v>
      </c>
      <c r="N1127" s="2" t="str">
        <f>HYPERLINK("http://i-0.rfimg.us/photo/1/bigphoto/827/28011827_0.jpg","Photo")</f>
        <v>Photo</v>
      </c>
      <c r="AG1127">
        <v>47.636313000000001</v>
      </c>
      <c r="AH1127">
        <v>-122.202431</v>
      </c>
      <c r="AI1127" t="s">
        <v>369</v>
      </c>
      <c r="AJ1127">
        <v>98004</v>
      </c>
      <c r="AN1127">
        <v>360000</v>
      </c>
      <c r="BC1127" s="22">
        <v>39465.687881944446</v>
      </c>
      <c r="BI1127" s="22">
        <v>39549.294907407406</v>
      </c>
      <c r="BL1127">
        <v>12980</v>
      </c>
      <c r="BM1127">
        <v>1412787</v>
      </c>
      <c r="BN1127" t="s">
        <v>1678</v>
      </c>
      <c r="BO1127" s="17">
        <f t="shared" ca="1" si="17"/>
        <v>83.621523958332546</v>
      </c>
      <c r="BP1127" t="b">
        <v>0</v>
      </c>
      <c r="BQ1127">
        <v>1</v>
      </c>
      <c r="BR1127" t="s">
        <v>1842</v>
      </c>
      <c r="BS1127" t="s">
        <v>1760</v>
      </c>
      <c r="BT1127" t="b">
        <v>0</v>
      </c>
      <c r="BU1127" t="s">
        <v>1738</v>
      </c>
      <c r="BV1127" t="s">
        <v>1668</v>
      </c>
      <c r="BW1127">
        <v>10314</v>
      </c>
      <c r="BY1127">
        <v>506159</v>
      </c>
      <c r="BZ1127" s="21">
        <v>0</v>
      </c>
      <c r="CA1127">
        <v>1</v>
      </c>
      <c r="CB1127" t="b">
        <v>1</v>
      </c>
      <c r="CC1127">
        <v>0</v>
      </c>
      <c r="CD1127" t="b">
        <v>0</v>
      </c>
      <c r="CE1127" t="b">
        <v>0</v>
      </c>
      <c r="CF1127" t="b">
        <v>1</v>
      </c>
      <c r="CG1127">
        <v>2724694</v>
      </c>
      <c r="CH1127" t="s">
        <v>1681</v>
      </c>
      <c r="CI1127" s="10">
        <v>649000</v>
      </c>
      <c r="CJ1127" s="7">
        <v>37827</v>
      </c>
    </row>
    <row r="1128" spans="1:88">
      <c r="A1128">
        <v>28011836</v>
      </c>
      <c r="B1128" s="2" t="str">
        <f>HYPERLINK("http://www.redfin.com/stingray/do/printable-listing?listing-id=1412456","Active")</f>
        <v>Active</v>
      </c>
      <c r="D1128" t="s">
        <v>100</v>
      </c>
      <c r="E1128" t="s">
        <v>3278</v>
      </c>
      <c r="F1128">
        <v>479950</v>
      </c>
      <c r="G1128">
        <v>2007</v>
      </c>
      <c r="H1128">
        <v>1683</v>
      </c>
      <c r="I1128">
        <v>0</v>
      </c>
      <c r="J1128">
        <v>3</v>
      </c>
      <c r="K1128">
        <v>2.25</v>
      </c>
      <c r="M1128" s="2" t="str">
        <f>HYPERLINK("http://maps.live.com/default.aspx?v=2&amp;lvl=15&amp;sp=Point.47.650843_-122.344991_3611 Albion Pl N nA&amp;cp=47.650843~-122.344991","Map")</f>
        <v>Map</v>
      </c>
      <c r="N1128" s="2" t="str">
        <f>HYPERLINK("http://i-0.rfimg.us/photo/1/bigphoto/836/28011836_0.jpg","Photo")</f>
        <v>Photo</v>
      </c>
      <c r="AG1128">
        <v>47.650843000000002</v>
      </c>
      <c r="AH1128">
        <v>-122.34499099999999</v>
      </c>
      <c r="AI1128" t="s">
        <v>66</v>
      </c>
      <c r="AJ1128">
        <v>98103</v>
      </c>
      <c r="AM1128" t="s">
        <v>1722</v>
      </c>
      <c r="BC1128" s="22">
        <v>39465.662916666668</v>
      </c>
      <c r="BI1128" s="22">
        <v>39549.294907407406</v>
      </c>
      <c r="BL1128">
        <v>9599</v>
      </c>
      <c r="BM1128">
        <v>1412456</v>
      </c>
      <c r="BN1128" t="s">
        <v>1693</v>
      </c>
      <c r="BO1128" s="17">
        <f t="shared" ca="1" si="17"/>
        <v>83.646489236110938</v>
      </c>
      <c r="BP1128" t="b">
        <v>0</v>
      </c>
      <c r="BQ1128">
        <v>1</v>
      </c>
      <c r="BR1128" t="s">
        <v>1842</v>
      </c>
      <c r="BS1128" t="s">
        <v>3277</v>
      </c>
      <c r="BT1128" t="b">
        <v>0</v>
      </c>
      <c r="BV1128" t="s">
        <v>1668</v>
      </c>
      <c r="BW1128">
        <v>3611</v>
      </c>
      <c r="BX1128" t="s">
        <v>1712</v>
      </c>
      <c r="BY1128">
        <v>12352543</v>
      </c>
      <c r="BZ1128" t="s">
        <v>1713</v>
      </c>
      <c r="CA1128">
        <v>1</v>
      </c>
      <c r="CB1128" t="b">
        <v>1</v>
      </c>
      <c r="CC1128">
        <v>0</v>
      </c>
      <c r="CD1128" t="b">
        <v>0</v>
      </c>
      <c r="CE1128" t="b">
        <v>0</v>
      </c>
      <c r="CF1128" t="b">
        <v>1</v>
      </c>
      <c r="CG1128">
        <v>15505598</v>
      </c>
      <c r="CH1128" t="s">
        <v>1681</v>
      </c>
      <c r="CI1128" s="10">
        <v>479950</v>
      </c>
    </row>
    <row r="1129" spans="1:88">
      <c r="A1129">
        <v>28011850</v>
      </c>
      <c r="B1129" s="2" t="str">
        <f>HYPERLINK("http://www.redfin.com/stingray/do/printable-listing?listing-id=1412435","Active")</f>
        <v>Active</v>
      </c>
      <c r="D1129" t="s">
        <v>1058</v>
      </c>
      <c r="E1129" t="s">
        <v>4528</v>
      </c>
      <c r="F1129">
        <v>799950</v>
      </c>
      <c r="G1129">
        <v>1992</v>
      </c>
      <c r="H1129">
        <v>2920</v>
      </c>
      <c r="I1129">
        <v>5150</v>
      </c>
      <c r="J1129">
        <v>4</v>
      </c>
      <c r="K1129">
        <v>3.5</v>
      </c>
      <c r="M1129" s="2" t="str">
        <f>HYPERLINK("http://maps.live.com/default.aspx?v=2&amp;lvl=15&amp;sp=Point.47.704747_-122.223838_8808 NE 117th Pl&amp;cp=47.704747~-122.223838","Map")</f>
        <v>Map</v>
      </c>
      <c r="N1129" s="2" t="str">
        <f>HYPERLINK("http://i-0.rfimg.us/photo/1/bigphoto/850/28011850_1.jpg","Photo")</f>
        <v>Photo</v>
      </c>
      <c r="AG1129">
        <v>47.704746999999998</v>
      </c>
      <c r="AH1129">
        <v>-122.223838</v>
      </c>
      <c r="AI1129" t="s">
        <v>1058</v>
      </c>
      <c r="AJ1129">
        <v>98034</v>
      </c>
      <c r="BC1129" s="22">
        <v>39465.661516203705</v>
      </c>
      <c r="BI1129" s="22">
        <v>39549.294907407406</v>
      </c>
      <c r="BL1129">
        <v>15999</v>
      </c>
      <c r="BM1129">
        <v>1412435</v>
      </c>
      <c r="BN1129" t="s">
        <v>1688</v>
      </c>
      <c r="BO1129" s="17">
        <f t="shared" ca="1" si="17"/>
        <v>83.647889699073858</v>
      </c>
      <c r="BP1129" t="b">
        <v>0</v>
      </c>
      <c r="BQ1129">
        <v>1</v>
      </c>
      <c r="BR1129" t="s">
        <v>1842</v>
      </c>
      <c r="BS1129" t="s">
        <v>2743</v>
      </c>
      <c r="BT1129" t="b">
        <v>0</v>
      </c>
      <c r="BU1129" t="s">
        <v>1738</v>
      </c>
      <c r="BV1129" t="s">
        <v>1668</v>
      </c>
      <c r="BW1129">
        <v>8808</v>
      </c>
      <c r="BY1129">
        <v>280233</v>
      </c>
      <c r="BZ1129" t="s">
        <v>1704</v>
      </c>
      <c r="CA1129">
        <v>1</v>
      </c>
      <c r="CB1129" t="b">
        <v>1</v>
      </c>
      <c r="CC1129">
        <v>0</v>
      </c>
      <c r="CD1129" t="b">
        <v>0</v>
      </c>
      <c r="CE1129" t="b">
        <v>0</v>
      </c>
      <c r="CF1129" t="b">
        <v>1</v>
      </c>
      <c r="CG1129">
        <v>2842997</v>
      </c>
      <c r="CH1129" t="s">
        <v>1681</v>
      </c>
      <c r="CI1129" s="10">
        <v>799950</v>
      </c>
    </row>
    <row r="1130" spans="1:88">
      <c r="A1130">
        <v>28011865</v>
      </c>
      <c r="B1130" s="2" t="str">
        <f>HYPERLINK("http://www.redfin.com/stingray/do/printable-listing?listing-id=1412385","Active")</f>
        <v>Active</v>
      </c>
      <c r="D1130" t="s">
        <v>4359</v>
      </c>
      <c r="E1130" t="s">
        <v>4537</v>
      </c>
      <c r="F1130">
        <v>589950</v>
      </c>
      <c r="G1130">
        <v>2004</v>
      </c>
      <c r="H1130">
        <v>1000</v>
      </c>
      <c r="I1130">
        <v>0</v>
      </c>
      <c r="J1130">
        <v>2</v>
      </c>
      <c r="K1130">
        <v>1.75</v>
      </c>
      <c r="M1130" s="2" t="str">
        <f>HYPERLINK("http://maps.live.com/default.aspx?v=2&amp;lvl=15&amp;sp=Point.47.699937_-122.163482_13330 NE 111th Ct&amp;cp=47.699937~-122.163482","Map")</f>
        <v>Map</v>
      </c>
      <c r="N1130" s="2" t="str">
        <f>HYPERLINK("http://i-0.rfimg.us/photo/1/bigphoto/865/28011865_0.jpg","Photo")</f>
        <v>Photo</v>
      </c>
      <c r="AG1130">
        <v>47.699936999999998</v>
      </c>
      <c r="AH1130">
        <v>-122.163482</v>
      </c>
      <c r="AI1130" t="s">
        <v>4363</v>
      </c>
      <c r="AJ1130">
        <v>98052</v>
      </c>
      <c r="BC1130" s="22">
        <v>39465.658807870372</v>
      </c>
      <c r="BI1130" s="7">
        <v>39538</v>
      </c>
      <c r="BL1130">
        <v>11799</v>
      </c>
      <c r="BM1130">
        <v>1412385</v>
      </c>
      <c r="BN1130" t="s">
        <v>1688</v>
      </c>
      <c r="BO1130" s="17">
        <f t="shared" ca="1" si="17"/>
        <v>83.650598032407288</v>
      </c>
      <c r="BP1130" t="b">
        <v>0</v>
      </c>
      <c r="BQ1130">
        <v>1</v>
      </c>
      <c r="BR1130" t="s">
        <v>3768</v>
      </c>
      <c r="BS1130" t="s">
        <v>4388</v>
      </c>
      <c r="BT1130" t="b">
        <v>0</v>
      </c>
      <c r="BU1130" t="s">
        <v>1738</v>
      </c>
      <c r="BV1130" t="s">
        <v>1668</v>
      </c>
      <c r="BW1130">
        <v>13330</v>
      </c>
      <c r="BY1130">
        <v>12352531</v>
      </c>
      <c r="BZ1130" t="s">
        <v>1713</v>
      </c>
      <c r="CA1130">
        <v>1</v>
      </c>
      <c r="CB1130" t="b">
        <v>1</v>
      </c>
      <c r="CC1130">
        <v>0</v>
      </c>
      <c r="CD1130" t="b">
        <v>0</v>
      </c>
      <c r="CE1130" t="b">
        <v>0</v>
      </c>
      <c r="CF1130" t="b">
        <v>1</v>
      </c>
      <c r="CG1130">
        <v>15556279</v>
      </c>
      <c r="CH1130" t="s">
        <v>1681</v>
      </c>
      <c r="CI1130" s="10">
        <v>589950</v>
      </c>
    </row>
    <row r="1131" spans="1:88">
      <c r="A1131">
        <v>28011887</v>
      </c>
      <c r="B1131" s="2" t="str">
        <f>HYPERLINK("http://www.redfin.com/stingray/do/printable-listing?listing-id=1412388","Active")</f>
        <v>Active</v>
      </c>
      <c r="D1131" t="s">
        <v>3249</v>
      </c>
      <c r="E1131" t="s">
        <v>3294</v>
      </c>
      <c r="F1131">
        <v>875000</v>
      </c>
      <c r="G1131">
        <v>1925</v>
      </c>
      <c r="H1131">
        <v>0</v>
      </c>
      <c r="I1131">
        <v>3000</v>
      </c>
      <c r="J1131">
        <v>3</v>
      </c>
      <c r="K1131">
        <v>1.75</v>
      </c>
      <c r="M1131" s="2" t="str">
        <f>HYPERLINK("http://maps.live.com/default.aspx?v=2&amp;lvl=15&amp;sp=Point.47.631482_-122.360252_1402 3rd Ave W&amp;cp=47.631482~-122.360252","Map")</f>
        <v>Map</v>
      </c>
      <c r="N1131" s="2" t="str">
        <f>HYPERLINK("http://i-0.rfimg.us/photo/1/bigphoto/887/28011887_1.jpg","Photo")</f>
        <v>Photo</v>
      </c>
      <c r="AG1131">
        <v>47.631481999999998</v>
      </c>
      <c r="AH1131">
        <v>-122.360252</v>
      </c>
      <c r="AI1131" t="s">
        <v>66</v>
      </c>
      <c r="AJ1131">
        <v>98119</v>
      </c>
      <c r="AN1131">
        <v>620000</v>
      </c>
      <c r="BC1131" s="22">
        <v>39465.658888888887</v>
      </c>
      <c r="BI1131" s="22">
        <v>39549.294907407406</v>
      </c>
      <c r="BL1131">
        <v>17500</v>
      </c>
      <c r="BM1131">
        <v>1412388</v>
      </c>
      <c r="BN1131" t="s">
        <v>1979</v>
      </c>
      <c r="BO1131" s="17">
        <f t="shared" ca="1" si="17"/>
        <v>83.650517013891658</v>
      </c>
      <c r="BP1131" t="b">
        <v>0</v>
      </c>
      <c r="BQ1131">
        <v>1</v>
      </c>
      <c r="BR1131" t="s">
        <v>1667</v>
      </c>
      <c r="BS1131" t="s">
        <v>1796</v>
      </c>
      <c r="BT1131" t="b">
        <v>0</v>
      </c>
      <c r="BV1131" t="s">
        <v>1668</v>
      </c>
      <c r="BW1131">
        <v>1402</v>
      </c>
      <c r="BX1131" t="s">
        <v>2423</v>
      </c>
      <c r="BY1131">
        <v>134571</v>
      </c>
      <c r="BZ1131" t="s">
        <v>3295</v>
      </c>
      <c r="CA1131">
        <v>1</v>
      </c>
      <c r="CB1131" t="b">
        <v>1</v>
      </c>
      <c r="CC1131">
        <v>0</v>
      </c>
      <c r="CD1131" t="b">
        <v>0</v>
      </c>
      <c r="CE1131" t="b">
        <v>0</v>
      </c>
      <c r="CF1131" t="b">
        <v>1</v>
      </c>
      <c r="CG1131">
        <v>2932252</v>
      </c>
      <c r="CH1131" t="s">
        <v>1681</v>
      </c>
      <c r="CI1131" s="10">
        <v>875000</v>
      </c>
      <c r="CJ1131" s="7">
        <v>38145</v>
      </c>
    </row>
    <row r="1132" spans="1:88">
      <c r="A1132">
        <v>28011920</v>
      </c>
      <c r="B1132" s="2" t="str">
        <f>HYPERLINK("http://www.redfin.com/stingray/do/printable-listing?listing-id=1412802","Active")</f>
        <v>Active</v>
      </c>
      <c r="D1132" t="s">
        <v>2552</v>
      </c>
      <c r="E1132" t="s">
        <v>3397</v>
      </c>
      <c r="F1132">
        <v>424950</v>
      </c>
      <c r="G1132">
        <v>2008</v>
      </c>
      <c r="H1132">
        <v>1450</v>
      </c>
      <c r="I1132">
        <v>0</v>
      </c>
      <c r="J1132">
        <v>3</v>
      </c>
      <c r="K1132">
        <v>3.5</v>
      </c>
      <c r="M1132" s="2" t="str">
        <f>HYPERLINK("http://maps.live.com/default.aspx?v=2&amp;lvl=15&amp;sp=Point.47.651281_-122.383195_3410 21st Ave W nB&amp;cp=47.651281~-122.383195","Map")</f>
        <v>Map</v>
      </c>
      <c r="N1132" s="2" t="str">
        <f>HYPERLINK("http://i-0.rfimg.us/photo/1/bigphoto/920/28011920_0.jpg","Photo")</f>
        <v>Photo</v>
      </c>
      <c r="AG1132">
        <v>47.651280999999997</v>
      </c>
      <c r="AH1132">
        <v>-122.383195</v>
      </c>
      <c r="AI1132" t="s">
        <v>66</v>
      </c>
      <c r="AJ1132">
        <v>98199</v>
      </c>
      <c r="AM1132" t="s">
        <v>1699</v>
      </c>
      <c r="BC1132" s="22">
        <v>39465.68818287037</v>
      </c>
      <c r="BI1132" s="22">
        <v>39549.294907407406</v>
      </c>
      <c r="BL1132">
        <v>8499</v>
      </c>
      <c r="BM1132">
        <v>1412802</v>
      </c>
      <c r="BN1132" t="s">
        <v>1700</v>
      </c>
      <c r="BO1132" s="17">
        <f t="shared" ca="1" si="17"/>
        <v>83.621223032409034</v>
      </c>
      <c r="BP1132" t="b">
        <v>0</v>
      </c>
      <c r="BQ1132">
        <v>1</v>
      </c>
      <c r="BR1132" t="s">
        <v>1667</v>
      </c>
      <c r="BS1132" t="s">
        <v>1903</v>
      </c>
      <c r="BT1132" t="b">
        <v>0</v>
      </c>
      <c r="BV1132" t="s">
        <v>1668</v>
      </c>
      <c r="BW1132">
        <v>3410</v>
      </c>
      <c r="BX1132" t="s">
        <v>2423</v>
      </c>
      <c r="BY1132">
        <v>12300380</v>
      </c>
      <c r="BZ1132" t="s">
        <v>1747</v>
      </c>
      <c r="CA1132">
        <v>1</v>
      </c>
      <c r="CB1132" t="b">
        <v>1</v>
      </c>
      <c r="CC1132">
        <v>0</v>
      </c>
      <c r="CD1132" t="b">
        <v>0</v>
      </c>
      <c r="CE1132" t="b">
        <v>0</v>
      </c>
      <c r="CF1132" t="b">
        <v>1</v>
      </c>
      <c r="CG1132">
        <v>15623689</v>
      </c>
      <c r="CH1132" t="s">
        <v>1681</v>
      </c>
      <c r="CI1132" s="10">
        <v>424950</v>
      </c>
    </row>
    <row r="1133" spans="1:88">
      <c r="A1133">
        <v>28011933</v>
      </c>
      <c r="B1133" s="2" t="str">
        <f>HYPERLINK("http://www.redfin.com/stingray/do/printable-listing?listing-id=1412791","Active")</f>
        <v>Active</v>
      </c>
      <c r="D1133" t="s">
        <v>63</v>
      </c>
      <c r="E1133" t="s">
        <v>2502</v>
      </c>
      <c r="F1133">
        <v>449000</v>
      </c>
      <c r="G1133">
        <v>2007</v>
      </c>
      <c r="H1133">
        <v>1391</v>
      </c>
      <c r="I1133">
        <v>0</v>
      </c>
      <c r="J1133">
        <v>2</v>
      </c>
      <c r="K1133">
        <v>1.5</v>
      </c>
      <c r="M1133" s="2" t="str">
        <f>HYPERLINK("http://maps.live.com/default.aspx?v=2&amp;lvl=15&amp;sp=Point.47.675504_-122.37455_1420 NW 64th St nB&amp;cp=47.675504~-122.37455","Map")</f>
        <v>Map</v>
      </c>
      <c r="N1133" s="2" t="str">
        <f>HYPERLINK("http://i-0.rfimg.us/photo/1/bigphoto/933/28011933_0.jpg","Photo")</f>
        <v>Photo</v>
      </c>
      <c r="AG1133">
        <v>47.675503999999997</v>
      </c>
      <c r="AH1133">
        <v>-122.37455</v>
      </c>
      <c r="AI1133" t="s">
        <v>66</v>
      </c>
      <c r="AJ1133">
        <v>98107</v>
      </c>
      <c r="AM1133" t="s">
        <v>1699</v>
      </c>
      <c r="BC1133" s="22">
        <v>39465.687962962962</v>
      </c>
      <c r="BI1133" s="22">
        <v>39549.294907407406</v>
      </c>
      <c r="BL1133">
        <v>8980</v>
      </c>
      <c r="BM1133">
        <v>1412791</v>
      </c>
      <c r="BN1133" t="s">
        <v>1674</v>
      </c>
      <c r="BO1133" s="17">
        <f t="shared" ca="1" si="17"/>
        <v>83.621443055555574</v>
      </c>
      <c r="BP1133" t="b">
        <v>0</v>
      </c>
      <c r="BQ1133">
        <v>1</v>
      </c>
      <c r="BR1133" t="s">
        <v>1686</v>
      </c>
      <c r="BS1133" t="s">
        <v>2405</v>
      </c>
      <c r="BT1133" t="b">
        <v>0</v>
      </c>
      <c r="BU1133" t="s">
        <v>1669</v>
      </c>
      <c r="BV1133" t="s">
        <v>1668</v>
      </c>
      <c r="BW1133">
        <v>1420</v>
      </c>
      <c r="BY1133">
        <v>12303303</v>
      </c>
      <c r="BZ1133" t="s">
        <v>2503</v>
      </c>
      <c r="CA1133">
        <v>1</v>
      </c>
      <c r="CB1133" t="b">
        <v>1</v>
      </c>
      <c r="CC1133">
        <v>0</v>
      </c>
      <c r="CD1133" t="b">
        <v>0</v>
      </c>
      <c r="CE1133" t="b">
        <v>0</v>
      </c>
      <c r="CF1133" t="b">
        <v>1</v>
      </c>
      <c r="CG1133">
        <v>15510718</v>
      </c>
      <c r="CH1133" t="s">
        <v>1681</v>
      </c>
      <c r="CI1133" s="10">
        <v>449000</v>
      </c>
    </row>
    <row r="1134" spans="1:88">
      <c r="A1134">
        <v>28011942</v>
      </c>
      <c r="B1134" s="2" t="str">
        <f>HYPERLINK("http://www.redfin.com/stingray/do/printable-listing?listing-id=1412793","Active")</f>
        <v>Active</v>
      </c>
      <c r="D1134" t="s">
        <v>63</v>
      </c>
      <c r="E1134" t="s">
        <v>2504</v>
      </c>
      <c r="F1134">
        <v>449000</v>
      </c>
      <c r="G1134">
        <v>2007</v>
      </c>
      <c r="H1134">
        <v>1391</v>
      </c>
      <c r="I1134">
        <v>0</v>
      </c>
      <c r="J1134">
        <v>2</v>
      </c>
      <c r="K1134">
        <v>1.5</v>
      </c>
      <c r="M1134" s="2" t="str">
        <f>HYPERLINK("http://maps.live.com/default.aspx?v=2&amp;lvl=15&amp;sp=Point.47.675437_-122.375425_1424 NW 64th St nB&amp;cp=47.675437~-122.375425","Map")</f>
        <v>Map</v>
      </c>
      <c r="N1134" s="2" t="str">
        <f>HYPERLINK("http://i-0.rfimg.us/photo/1/bigphoto/942/28011942_0.jpg","Photo")</f>
        <v>Photo</v>
      </c>
      <c r="AG1134">
        <v>47.675437000000002</v>
      </c>
      <c r="AH1134">
        <v>-122.37542500000001</v>
      </c>
      <c r="AI1134" t="s">
        <v>66</v>
      </c>
      <c r="AJ1134">
        <v>98107</v>
      </c>
      <c r="AM1134" t="s">
        <v>1699</v>
      </c>
      <c r="BC1134" s="22">
        <v>39465.687974537039</v>
      </c>
      <c r="BI1134" s="22">
        <v>39549.294907407406</v>
      </c>
      <c r="BL1134">
        <v>8980</v>
      </c>
      <c r="BM1134">
        <v>1412793</v>
      </c>
      <c r="BN1134" t="s">
        <v>1674</v>
      </c>
      <c r="BO1134" s="17">
        <f t="shared" ca="1" si="17"/>
        <v>83.621431481478794</v>
      </c>
      <c r="BP1134" t="b">
        <v>0</v>
      </c>
      <c r="BQ1134">
        <v>1</v>
      </c>
      <c r="BR1134" t="s">
        <v>1686</v>
      </c>
      <c r="BS1134" t="s">
        <v>2405</v>
      </c>
      <c r="BT1134" t="b">
        <v>0</v>
      </c>
      <c r="BU1134" t="s">
        <v>1669</v>
      </c>
      <c r="BV1134" t="s">
        <v>1668</v>
      </c>
      <c r="BW1134">
        <v>1424</v>
      </c>
      <c r="BY1134">
        <v>12303301</v>
      </c>
      <c r="BZ1134" t="s">
        <v>2503</v>
      </c>
      <c r="CA1134">
        <v>1</v>
      </c>
      <c r="CB1134" t="b">
        <v>1</v>
      </c>
      <c r="CC1134">
        <v>0</v>
      </c>
      <c r="CD1134" t="b">
        <v>0</v>
      </c>
      <c r="CE1134" t="b">
        <v>0</v>
      </c>
      <c r="CF1134" t="b">
        <v>1</v>
      </c>
      <c r="CG1134">
        <v>15510717</v>
      </c>
      <c r="CH1134" t="s">
        <v>1681</v>
      </c>
      <c r="CI1134" s="10">
        <v>449000</v>
      </c>
    </row>
    <row r="1135" spans="1:88">
      <c r="A1135">
        <v>28011946</v>
      </c>
      <c r="B1135" s="2" t="str">
        <f>HYPERLINK("http://www.redfin.com/stingray/do/printable-listing?listing-id=1421415","Active")</f>
        <v>Active</v>
      </c>
      <c r="D1135" t="s">
        <v>202</v>
      </c>
      <c r="E1135" t="s">
        <v>2975</v>
      </c>
      <c r="F1135">
        <v>750000</v>
      </c>
      <c r="G1135">
        <v>2008</v>
      </c>
      <c r="H1135">
        <v>3570</v>
      </c>
      <c r="I1135">
        <v>12345</v>
      </c>
      <c r="J1135">
        <v>5</v>
      </c>
      <c r="K1135">
        <v>3.5</v>
      </c>
      <c r="M1135" s="2" t="str">
        <f>HYPERLINK("http://maps.live.com/default.aspx?v=2&amp;lvl=15&amp;sp=Point.47.70709_-122.30269_10717 24th Ave NE&amp;cp=47.70709~-122.30269","Map")</f>
        <v>Map</v>
      </c>
      <c r="N1135" s="2" t="str">
        <f>HYPERLINK("http://i-0.rfimg.us/photo/1/bigphoto/946/28011946_2.jpg","Photo")</f>
        <v>Photo</v>
      </c>
      <c r="AG1135">
        <v>47.707090000000001</v>
      </c>
      <c r="AH1135">
        <v>-122.30269</v>
      </c>
      <c r="AI1135" t="s">
        <v>66</v>
      </c>
      <c r="AJ1135">
        <v>98125</v>
      </c>
      <c r="BC1135" s="22">
        <v>39469.894432870373</v>
      </c>
      <c r="BI1135" s="22">
        <v>39549.294907407406</v>
      </c>
      <c r="BL1135">
        <v>15000</v>
      </c>
      <c r="BM1135">
        <v>1421415</v>
      </c>
      <c r="BN1135" t="s">
        <v>2974</v>
      </c>
      <c r="BO1135" s="17">
        <f t="shared" ca="1" si="17"/>
        <v>79.414973032406124</v>
      </c>
      <c r="BP1135" t="b">
        <v>0</v>
      </c>
      <c r="BQ1135">
        <v>1</v>
      </c>
      <c r="BR1135" t="s">
        <v>1667</v>
      </c>
      <c r="BS1135" t="s">
        <v>1740</v>
      </c>
      <c r="BT1135" t="b">
        <v>0</v>
      </c>
      <c r="BV1135" t="s">
        <v>1668</v>
      </c>
      <c r="BW1135">
        <v>10717</v>
      </c>
      <c r="BX1135" t="s">
        <v>1738</v>
      </c>
      <c r="BY1135">
        <v>11899772</v>
      </c>
      <c r="BZ1135" t="s">
        <v>2976</v>
      </c>
      <c r="CA1135">
        <v>1</v>
      </c>
      <c r="CB1135" t="b">
        <v>1</v>
      </c>
      <c r="CC1135">
        <v>0</v>
      </c>
      <c r="CD1135" t="b">
        <v>0</v>
      </c>
      <c r="CE1135" t="b">
        <v>0</v>
      </c>
      <c r="CF1135" t="b">
        <v>1</v>
      </c>
      <c r="CG1135">
        <v>15153997</v>
      </c>
      <c r="CH1135" t="s">
        <v>1681</v>
      </c>
      <c r="CI1135" s="10">
        <v>750000</v>
      </c>
    </row>
    <row r="1136" spans="1:88">
      <c r="A1136">
        <v>28012044</v>
      </c>
      <c r="B1136" s="2" t="str">
        <f>HYPERLINK("http://www.redfin.com/stingray/do/printable-listing?listing-id=1438441","Active")</f>
        <v>Active</v>
      </c>
      <c r="D1136" t="s">
        <v>60</v>
      </c>
      <c r="E1136" t="s">
        <v>2426</v>
      </c>
      <c r="F1136">
        <v>1100000</v>
      </c>
      <c r="G1136">
        <v>2008</v>
      </c>
      <c r="H1136">
        <v>2760</v>
      </c>
      <c r="I1136">
        <v>6000</v>
      </c>
      <c r="J1136">
        <v>4</v>
      </c>
      <c r="K1136">
        <v>3.25</v>
      </c>
      <c r="M1136" s="2" t="str">
        <f>HYPERLINK("http://maps.live.com/default.aspx?v=2&amp;lvl=15&amp;sp=Point.47.676264_-122.329908_6509 Sunnyside Ave N&amp;cp=47.676264~-122.329908","Map")</f>
        <v>Map</v>
      </c>
      <c r="N1136" s="2" t="str">
        <f>HYPERLINK("http://i-0.rfimg.us/photo/1/bigphoto/044/28012044_M.jpg","Photo")</f>
        <v>Photo</v>
      </c>
      <c r="AG1136">
        <v>47.676264000000003</v>
      </c>
      <c r="AH1136">
        <v>-122.329908</v>
      </c>
      <c r="AI1136" t="s">
        <v>66</v>
      </c>
      <c r="AJ1136">
        <v>98103</v>
      </c>
      <c r="AN1136">
        <v>530000</v>
      </c>
      <c r="BC1136" s="22">
        <v>39476.831111111111</v>
      </c>
      <c r="BI1136" s="22">
        <v>39549.294907407406</v>
      </c>
      <c r="BL1136">
        <v>22000</v>
      </c>
      <c r="BM1136">
        <v>1438441</v>
      </c>
      <c r="BN1136" t="s">
        <v>1768</v>
      </c>
      <c r="BO1136" s="17">
        <f t="shared" ca="1" si="17"/>
        <v>72.478294907406962</v>
      </c>
      <c r="BP1136" t="b">
        <v>0</v>
      </c>
      <c r="BQ1136">
        <v>1</v>
      </c>
      <c r="BR1136" t="s">
        <v>1667</v>
      </c>
      <c r="BS1136" t="s">
        <v>2427</v>
      </c>
      <c r="BT1136" t="b">
        <v>0</v>
      </c>
      <c r="BV1136" t="s">
        <v>1668</v>
      </c>
      <c r="BW1136">
        <v>6509</v>
      </c>
      <c r="BX1136" t="s">
        <v>1712</v>
      </c>
      <c r="BY1136">
        <v>307273</v>
      </c>
      <c r="BZ1136" t="s">
        <v>2428</v>
      </c>
      <c r="CA1136">
        <v>1</v>
      </c>
      <c r="CB1136" t="b">
        <v>1</v>
      </c>
      <c r="CC1136">
        <v>0</v>
      </c>
      <c r="CD1136" t="b">
        <v>0</v>
      </c>
      <c r="CE1136" t="b">
        <v>0</v>
      </c>
      <c r="CF1136" t="b">
        <v>1</v>
      </c>
      <c r="CG1136">
        <v>2846494</v>
      </c>
      <c r="CH1136" t="s">
        <v>1681</v>
      </c>
      <c r="CI1136" s="10">
        <v>1100000</v>
      </c>
      <c r="CJ1136" s="7">
        <v>38950</v>
      </c>
    </row>
    <row r="1137" spans="1:88">
      <c r="A1137">
        <v>28012056</v>
      </c>
      <c r="B1137" s="15" t="str">
        <f>HYPERLINK("http://www.redfin.com/stingray/do/printable-listing?listing-id=1413755","Subject To Inspection")</f>
        <v>Subject To Inspection</v>
      </c>
      <c r="D1137" t="s">
        <v>2552</v>
      </c>
      <c r="E1137" t="s">
        <v>3421</v>
      </c>
      <c r="F1137">
        <v>484000</v>
      </c>
      <c r="G1137">
        <v>2003</v>
      </c>
      <c r="H1137">
        <v>1851</v>
      </c>
      <c r="I1137">
        <v>0</v>
      </c>
      <c r="J1137">
        <v>3</v>
      </c>
      <c r="K1137">
        <v>3.25</v>
      </c>
      <c r="M1137" s="2" t="str">
        <f>HYPERLINK("http://maps.live.com/default.aspx?v=2&amp;lvl=15&amp;sp=Point.47.65189_-122.385175_3451 22nd Ave W&amp;cp=47.65189~-122.385175","Map")</f>
        <v>Map</v>
      </c>
      <c r="N1137" s="2" t="str">
        <f>HYPERLINK("http://i-0.rfimg.us/photo/1/bigphoto/056/28012056_2.jpg","Photo")</f>
        <v>Photo</v>
      </c>
      <c r="AG1137">
        <v>47.651890000000002</v>
      </c>
      <c r="AH1137">
        <v>-122.385175</v>
      </c>
      <c r="AI1137" t="s">
        <v>66</v>
      </c>
      <c r="AJ1137">
        <v>98199</v>
      </c>
      <c r="BC1137" s="22">
        <v>39465.872210648151</v>
      </c>
      <c r="BI1137" s="7">
        <v>39536</v>
      </c>
      <c r="BL1137">
        <v>9680</v>
      </c>
      <c r="BM1137">
        <v>1413755</v>
      </c>
      <c r="BN1137" t="s">
        <v>1697</v>
      </c>
      <c r="BO1137" s="17">
        <f t="shared" ca="1" si="17"/>
        <v>83.437195254628023</v>
      </c>
      <c r="BP1137" t="b">
        <v>0</v>
      </c>
      <c r="BQ1137">
        <v>1</v>
      </c>
      <c r="BR1137" t="s">
        <v>1667</v>
      </c>
      <c r="BS1137" t="s">
        <v>1692</v>
      </c>
      <c r="BT1137" t="b">
        <v>0</v>
      </c>
      <c r="BV1137" t="s">
        <v>1668</v>
      </c>
      <c r="BW1137">
        <v>3451</v>
      </c>
      <c r="BX1137" t="s">
        <v>2423</v>
      </c>
      <c r="BY1137">
        <v>12352764</v>
      </c>
      <c r="BZ1137" t="s">
        <v>3422</v>
      </c>
      <c r="CA1137">
        <v>1</v>
      </c>
      <c r="CB1137" t="b">
        <v>1</v>
      </c>
      <c r="CC1137">
        <v>0</v>
      </c>
      <c r="CD1137" t="b">
        <v>0</v>
      </c>
      <c r="CE1137" t="b">
        <v>0</v>
      </c>
      <c r="CF1137" t="b">
        <v>1</v>
      </c>
      <c r="CG1137">
        <v>15556512</v>
      </c>
      <c r="CH1137" t="s">
        <v>1681</v>
      </c>
      <c r="CI1137" s="10">
        <v>484000</v>
      </c>
    </row>
    <row r="1138" spans="1:88">
      <c r="A1138">
        <v>28012071</v>
      </c>
      <c r="B1138" s="2" t="str">
        <f>HYPERLINK("http://www.redfin.com/stingray/do/printable-listing?listing-id=1413452","Active")</f>
        <v>Active</v>
      </c>
      <c r="D1138" t="s">
        <v>5153</v>
      </c>
      <c r="E1138" t="s">
        <v>5183</v>
      </c>
      <c r="F1138" s="19">
        <v>510000</v>
      </c>
      <c r="G1138">
        <v>1954</v>
      </c>
      <c r="H1138">
        <v>2500</v>
      </c>
      <c r="I1138">
        <v>10500</v>
      </c>
      <c r="J1138">
        <v>5</v>
      </c>
      <c r="K1138">
        <v>2</v>
      </c>
      <c r="M1138" s="2" t="str">
        <f>HYPERLINK("http://maps.live.com/default.aspx?v=2&amp;lvl=15&amp;sp=Point.47.573507_-122.145682_14607 SE 41 St&amp;cp=47.573507~-122.145682","Map")</f>
        <v>Map</v>
      </c>
      <c r="N1138" s="2" t="str">
        <f>HYPERLINK("http://i-0.rfimg.us/photo/1/bigphoto/071/28012071_2.jpg","Photo")</f>
        <v>Photo</v>
      </c>
      <c r="AG1138">
        <v>47.573506999999999</v>
      </c>
      <c r="AH1138">
        <v>-122.14568199999999</v>
      </c>
      <c r="AI1138" t="s">
        <v>369</v>
      </c>
      <c r="AJ1138">
        <v>98006</v>
      </c>
      <c r="AN1138">
        <v>255000</v>
      </c>
      <c r="BC1138" s="22">
        <v>39465.829282407409</v>
      </c>
      <c r="BI1138" s="22">
        <v>39549.294907407406</v>
      </c>
      <c r="BL1138">
        <v>10300</v>
      </c>
      <c r="BM1138">
        <v>1413452</v>
      </c>
      <c r="BN1138" t="s">
        <v>1674</v>
      </c>
      <c r="BO1138" s="17">
        <f t="shared" ca="1" si="17"/>
        <v>83.480123495370208</v>
      </c>
      <c r="BP1138" t="b">
        <v>0</v>
      </c>
      <c r="BQ1138">
        <v>1</v>
      </c>
      <c r="BR1138" t="s">
        <v>1686</v>
      </c>
      <c r="BS1138">
        <v>41</v>
      </c>
      <c r="BT1138" t="b">
        <v>0</v>
      </c>
      <c r="BU1138" t="s">
        <v>3856</v>
      </c>
      <c r="BV1138" t="s">
        <v>1668</v>
      </c>
      <c r="BW1138">
        <v>14607</v>
      </c>
      <c r="BY1138">
        <v>234413</v>
      </c>
      <c r="BZ1138" t="s">
        <v>5184</v>
      </c>
      <c r="CA1138">
        <v>1</v>
      </c>
      <c r="CB1138" t="b">
        <v>1</v>
      </c>
      <c r="CC1138">
        <v>0</v>
      </c>
      <c r="CD1138" t="b">
        <v>0</v>
      </c>
      <c r="CE1138" t="b">
        <v>0</v>
      </c>
      <c r="CF1138" t="b">
        <v>1</v>
      </c>
      <c r="CG1138">
        <v>2495083</v>
      </c>
      <c r="CH1138" t="s">
        <v>1681</v>
      </c>
      <c r="CI1138" s="10">
        <v>515000</v>
      </c>
      <c r="CJ1138" s="7">
        <v>37986</v>
      </c>
    </row>
    <row r="1139" spans="1:88">
      <c r="A1139">
        <v>28012078</v>
      </c>
      <c r="B1139" s="2" t="str">
        <f>HYPERLINK("http://www.redfin.com/stingray/do/printable-listing?listing-id=1413734","Active")</f>
        <v>Active</v>
      </c>
      <c r="D1139" t="s">
        <v>1058</v>
      </c>
      <c r="E1139" t="s">
        <v>4352</v>
      </c>
      <c r="F1139">
        <v>995000</v>
      </c>
      <c r="G1139">
        <v>2008</v>
      </c>
      <c r="H1139">
        <v>3082</v>
      </c>
      <c r="I1139">
        <v>5381</v>
      </c>
      <c r="J1139">
        <v>3</v>
      </c>
      <c r="K1139">
        <v>2.5</v>
      </c>
      <c r="M1139" s="2" t="str">
        <f>HYPERLINK("http://maps.live.com/default.aspx?v=2&amp;lvl=15&amp;sp=Point.47.6952_-122.1686_10611 106 Pl NE&amp;cp=47.6952~-122.1686","Map")</f>
        <v>Map</v>
      </c>
      <c r="N1139" s="2" t="str">
        <f>HYPERLINK("http://i-0.rfimg.us/photo/1/bigphoto/078/28012078_1.jpg","Photo")</f>
        <v>Photo</v>
      </c>
      <c r="AG1139">
        <v>47.6952</v>
      </c>
      <c r="AH1139">
        <v>-122.1686</v>
      </c>
      <c r="AI1139" t="s">
        <v>1058</v>
      </c>
      <c r="AJ1139">
        <v>98033</v>
      </c>
      <c r="BC1139" s="22">
        <v>39465.861481481479</v>
      </c>
      <c r="BI1139" s="7">
        <v>39539</v>
      </c>
      <c r="BL1139">
        <v>19900</v>
      </c>
      <c r="BM1139">
        <v>1413734</v>
      </c>
      <c r="BN1139" t="s">
        <v>1688</v>
      </c>
      <c r="BO1139" s="17">
        <f t="shared" ca="1" si="17"/>
        <v>83.447924421299831</v>
      </c>
      <c r="BP1139" t="b">
        <v>0</v>
      </c>
      <c r="BQ1139">
        <v>1</v>
      </c>
      <c r="BR1139" t="s">
        <v>1842</v>
      </c>
      <c r="BS1139">
        <v>106</v>
      </c>
      <c r="BT1139" t="b">
        <v>0</v>
      </c>
      <c r="BV1139" t="s">
        <v>1668</v>
      </c>
      <c r="BW1139">
        <v>10611</v>
      </c>
      <c r="BX1139" t="s">
        <v>1738</v>
      </c>
      <c r="BY1139">
        <v>12352759</v>
      </c>
      <c r="BZ1139" s="21">
        <v>1.3888888888888889E-3</v>
      </c>
      <c r="CA1139">
        <v>1</v>
      </c>
      <c r="CB1139" t="b">
        <v>1</v>
      </c>
      <c r="CC1139">
        <v>0</v>
      </c>
      <c r="CD1139" t="b">
        <v>0</v>
      </c>
      <c r="CE1139" t="b">
        <v>0</v>
      </c>
      <c r="CF1139" t="b">
        <v>1</v>
      </c>
      <c r="CG1139">
        <v>15528110</v>
      </c>
      <c r="CH1139" t="s">
        <v>1681</v>
      </c>
      <c r="CI1139" s="10">
        <v>995000</v>
      </c>
    </row>
    <row r="1140" spans="1:88">
      <c r="A1140">
        <v>28012114</v>
      </c>
      <c r="B1140" s="2" t="str">
        <f>HYPERLINK("http://www.redfin.com/stingray/do/printable-listing?listing-id=1414026","Active")</f>
        <v>Active</v>
      </c>
      <c r="D1140" t="s">
        <v>3064</v>
      </c>
      <c r="E1140" t="s">
        <v>6010</v>
      </c>
      <c r="F1140">
        <v>499000</v>
      </c>
      <c r="G1140">
        <v>1995</v>
      </c>
      <c r="H1140">
        <v>2000</v>
      </c>
      <c r="I1140">
        <v>10350</v>
      </c>
      <c r="J1140">
        <v>4</v>
      </c>
      <c r="K1140">
        <v>2.5</v>
      </c>
      <c r="M1140" s="2" t="str">
        <f>HYPERLINK("http://maps.live.com/default.aspx?v=2&amp;lvl=15&amp;sp=Point.47.498719_-122.163128_4120 NE 9th Ct&amp;cp=47.498719~-122.163128","Map")</f>
        <v>Map</v>
      </c>
      <c r="N1140" s="2" t="str">
        <f>HYPERLINK("http://i-0.rfimg.us/photo/1/bigphoto/114/28012114_0.jpg","Photo")</f>
        <v>Photo</v>
      </c>
      <c r="AG1140">
        <v>47.498719000000001</v>
      </c>
      <c r="AH1140">
        <v>-122.163128</v>
      </c>
      <c r="AI1140" t="s">
        <v>1077</v>
      </c>
      <c r="AJ1140">
        <v>98059</v>
      </c>
      <c r="AN1140">
        <v>270000</v>
      </c>
      <c r="BC1140" s="22">
        <v>39466.087824074071</v>
      </c>
      <c r="BI1140" s="22">
        <v>39549.294907407406</v>
      </c>
      <c r="BL1140">
        <v>9980</v>
      </c>
      <c r="BM1140">
        <v>1414026</v>
      </c>
      <c r="BN1140" t="s">
        <v>6009</v>
      </c>
      <c r="BO1140" s="17">
        <f t="shared" ca="1" si="17"/>
        <v>83.221581828707713</v>
      </c>
      <c r="BP1140" t="b">
        <v>0</v>
      </c>
      <c r="BQ1140">
        <v>1</v>
      </c>
      <c r="BR1140" t="s">
        <v>3768</v>
      </c>
      <c r="BS1140" t="s">
        <v>1785</v>
      </c>
      <c r="BT1140" t="b">
        <v>0</v>
      </c>
      <c r="BU1140" t="s">
        <v>1738</v>
      </c>
      <c r="BV1140" t="s">
        <v>1668</v>
      </c>
      <c r="BW1140">
        <v>4120</v>
      </c>
      <c r="BY1140">
        <v>244911</v>
      </c>
      <c r="BZ1140" t="s">
        <v>1696</v>
      </c>
      <c r="CA1140">
        <v>1</v>
      </c>
      <c r="CB1140" t="b">
        <v>1</v>
      </c>
      <c r="CC1140">
        <v>0</v>
      </c>
      <c r="CD1140" t="b">
        <v>0</v>
      </c>
      <c r="CE1140" t="b">
        <v>0</v>
      </c>
      <c r="CF1140" t="b">
        <v>1</v>
      </c>
      <c r="CG1140">
        <v>2345182</v>
      </c>
      <c r="CH1140" t="s">
        <v>1681</v>
      </c>
      <c r="CI1140" s="10">
        <v>499000</v>
      </c>
      <c r="CJ1140" s="7">
        <v>37245</v>
      </c>
    </row>
    <row r="1141" spans="1:88">
      <c r="A1141">
        <v>28012121</v>
      </c>
      <c r="B1141" s="2" t="str">
        <f>HYPERLINK("http://www.redfin.com/stingray/do/printable-listing?listing-id=1414571","Active")</f>
        <v>Active</v>
      </c>
      <c r="D1141" t="s">
        <v>3961</v>
      </c>
      <c r="E1141" t="s">
        <v>1657</v>
      </c>
      <c r="F1141">
        <v>639950</v>
      </c>
      <c r="G1141">
        <v>2008</v>
      </c>
      <c r="H1141">
        <v>1965</v>
      </c>
      <c r="I1141">
        <v>0</v>
      </c>
      <c r="J1141">
        <v>3</v>
      </c>
      <c r="K1141">
        <v>2.5</v>
      </c>
      <c r="M1141" s="2" t="str">
        <f>HYPERLINK("http://maps.live.com/default.aspx?v=2&amp;lvl=15&amp;sp=adr.Undisclosed,98144","Map")</f>
        <v>Map</v>
      </c>
      <c r="N1141" s="2" t="str">
        <f>HYPERLINK("http://i-0.rfimg.us/photo/1/bigphoto/121/28012121_0.jpg","Photo")</f>
        <v>Photo</v>
      </c>
      <c r="AI1141" t="s">
        <v>66</v>
      </c>
      <c r="AJ1141">
        <v>98144</v>
      </c>
      <c r="BC1141" s="22">
        <v>39466.17119212963</v>
      </c>
      <c r="BI1141" s="7">
        <v>39533</v>
      </c>
      <c r="BL1141">
        <v>12799</v>
      </c>
      <c r="BM1141">
        <v>1414571</v>
      </c>
      <c r="BN1141" t="s">
        <v>1829</v>
      </c>
      <c r="BO1141" s="17">
        <f t="shared" ca="1" si="17"/>
        <v>83.138213773148891</v>
      </c>
      <c r="BP1141" t="b">
        <v>0</v>
      </c>
      <c r="BQ1141">
        <v>1</v>
      </c>
      <c r="BT1141" t="b">
        <v>1</v>
      </c>
      <c r="BV1141" t="s">
        <v>1668</v>
      </c>
      <c r="BY1141">
        <v>0</v>
      </c>
      <c r="BZ1141" t="s">
        <v>1672</v>
      </c>
      <c r="CA1141">
        <v>1</v>
      </c>
      <c r="CB1141" t="b">
        <v>1</v>
      </c>
      <c r="CC1141">
        <v>0</v>
      </c>
      <c r="CD1141" t="b">
        <v>0</v>
      </c>
      <c r="CE1141" t="b">
        <v>0</v>
      </c>
      <c r="CF1141" t="b">
        <v>1</v>
      </c>
      <c r="CG1141" t="s">
        <v>1870</v>
      </c>
      <c r="CH1141" t="s">
        <v>1681</v>
      </c>
      <c r="CI1141" s="10">
        <v>639950</v>
      </c>
    </row>
    <row r="1142" spans="1:88">
      <c r="A1142">
        <v>28012144</v>
      </c>
      <c r="B1142" s="2" t="str">
        <f>HYPERLINK("http://www.redfin.com/stingray/do/printable-listing?listing-id=1418292","Active")</f>
        <v>Active</v>
      </c>
      <c r="D1142" t="s">
        <v>5565</v>
      </c>
      <c r="E1142" t="s">
        <v>5806</v>
      </c>
      <c r="F1142">
        <v>479000</v>
      </c>
      <c r="G1142">
        <v>1966</v>
      </c>
      <c r="H1142">
        <v>2160</v>
      </c>
      <c r="I1142">
        <v>8119</v>
      </c>
      <c r="J1142">
        <v>4</v>
      </c>
      <c r="K1142">
        <v>2.5</v>
      </c>
      <c r="M1142" s="2" t="str">
        <f>HYPERLINK("http://maps.live.com/default.aspx?v=2&amp;lvl=15&amp;sp=Point.47.544384_-122.177038_12211 SE 65th St&amp;cp=47.544384~-122.177038","Map")</f>
        <v>Map</v>
      </c>
      <c r="N1142" s="2" t="str">
        <f>HYPERLINK("http://i-0.rfimg.us/photo/1/bigphoto/144/28012144_0.jpg","Photo")</f>
        <v>Photo</v>
      </c>
      <c r="AG1142">
        <v>47.544384000000001</v>
      </c>
      <c r="AH1142">
        <v>-122.177038</v>
      </c>
      <c r="AI1142" t="s">
        <v>369</v>
      </c>
      <c r="AJ1142">
        <v>98006</v>
      </c>
      <c r="AN1142">
        <v>219950</v>
      </c>
      <c r="BC1142" s="22">
        <v>39468.740208333336</v>
      </c>
      <c r="BI1142" s="22">
        <v>39549.294907407406</v>
      </c>
      <c r="BL1142">
        <v>9580</v>
      </c>
      <c r="BM1142">
        <v>1418292</v>
      </c>
      <c r="BN1142" t="s">
        <v>5805</v>
      </c>
      <c r="BO1142" s="17">
        <f t="shared" ca="1" si="17"/>
        <v>80.569197569442622</v>
      </c>
      <c r="BP1142" t="b">
        <v>0</v>
      </c>
      <c r="BQ1142">
        <v>1</v>
      </c>
      <c r="BR1142" t="s">
        <v>1686</v>
      </c>
      <c r="BS1142" t="s">
        <v>1708</v>
      </c>
      <c r="BT1142" t="b">
        <v>0</v>
      </c>
      <c r="BU1142" t="s">
        <v>3856</v>
      </c>
      <c r="BV1142" t="s">
        <v>1668</v>
      </c>
      <c r="BW1142">
        <v>12211</v>
      </c>
      <c r="BY1142">
        <v>417029</v>
      </c>
      <c r="BZ1142" t="s">
        <v>1713</v>
      </c>
      <c r="CA1142">
        <v>1</v>
      </c>
      <c r="CB1142" t="b">
        <v>1</v>
      </c>
      <c r="CC1142">
        <v>0</v>
      </c>
      <c r="CD1142" t="b">
        <v>0</v>
      </c>
      <c r="CE1142" t="b">
        <v>0</v>
      </c>
      <c r="CF1142" t="b">
        <v>1</v>
      </c>
      <c r="CG1142">
        <v>2365753</v>
      </c>
      <c r="CH1142" t="s">
        <v>1681</v>
      </c>
      <c r="CI1142" s="10">
        <v>479000</v>
      </c>
      <c r="CJ1142" s="7">
        <v>35587</v>
      </c>
    </row>
    <row r="1143" spans="1:88">
      <c r="A1143">
        <v>28012159</v>
      </c>
      <c r="B1143" s="15" t="str">
        <f>HYPERLINK("http://www.redfin.com/stingray/do/printable-listing?listing-id=1414938","Contingent")</f>
        <v>Contingent</v>
      </c>
      <c r="D1143" t="s">
        <v>4974</v>
      </c>
      <c r="E1143" t="s">
        <v>5032</v>
      </c>
      <c r="F1143">
        <v>1200000</v>
      </c>
      <c r="G1143">
        <v>1966</v>
      </c>
      <c r="H1143">
        <v>3580</v>
      </c>
      <c r="I1143">
        <v>18415</v>
      </c>
      <c r="J1143">
        <v>4</v>
      </c>
      <c r="K1143">
        <v>2.75</v>
      </c>
      <c r="M1143" s="2" t="str">
        <f>HYPERLINK("http://maps.live.com/default.aspx?v=2&amp;lvl=15&amp;sp=Point.47.635277_-122.194609_2646 109th Pl NE&amp;cp=47.635277~-122.194609","Map")</f>
        <v>Map</v>
      </c>
      <c r="N1143" s="2" t="str">
        <f>HYPERLINK("http://i-0.rfimg.us/photo/1/bigphoto/159/28012159_5.jpg","Photo")</f>
        <v>Photo</v>
      </c>
      <c r="AG1143">
        <v>47.635277000000002</v>
      </c>
      <c r="AH1143">
        <v>-122.194609</v>
      </c>
      <c r="AI1143" t="s">
        <v>369</v>
      </c>
      <c r="AJ1143">
        <v>98004</v>
      </c>
      <c r="AN1143">
        <v>749000</v>
      </c>
      <c r="BC1143" s="22">
        <v>39466.46297453704</v>
      </c>
      <c r="BI1143" s="22">
        <v>39549.294907407406</v>
      </c>
      <c r="BL1143">
        <v>24000</v>
      </c>
      <c r="BM1143">
        <v>1414938</v>
      </c>
      <c r="BN1143" t="s">
        <v>1674</v>
      </c>
      <c r="BO1143" s="17">
        <f t="shared" ca="1" si="17"/>
        <v>82.846431365738681</v>
      </c>
      <c r="BP1143" t="b">
        <v>0</v>
      </c>
      <c r="BQ1143">
        <v>1</v>
      </c>
      <c r="BR1143" t="s">
        <v>1842</v>
      </c>
      <c r="BS1143" t="s">
        <v>4367</v>
      </c>
      <c r="BT1143" t="b">
        <v>0</v>
      </c>
      <c r="BV1143" t="s">
        <v>1668</v>
      </c>
      <c r="BW1143">
        <v>2646</v>
      </c>
      <c r="BX1143" t="s">
        <v>1738</v>
      </c>
      <c r="BY1143">
        <v>506273</v>
      </c>
      <c r="BZ1143" t="s">
        <v>5033</v>
      </c>
      <c r="CA1143">
        <v>1</v>
      </c>
      <c r="CB1143" t="b">
        <v>1</v>
      </c>
      <c r="CC1143">
        <v>0</v>
      </c>
      <c r="CD1143" t="b">
        <v>0</v>
      </c>
      <c r="CE1143" t="b">
        <v>0</v>
      </c>
      <c r="CF1143" t="b">
        <v>1</v>
      </c>
      <c r="CG1143">
        <v>2545837</v>
      </c>
      <c r="CH1143" t="s">
        <v>1681</v>
      </c>
      <c r="CI1143" s="10">
        <v>1200000</v>
      </c>
      <c r="CJ1143" s="7">
        <v>39080</v>
      </c>
    </row>
    <row r="1144" spans="1:88">
      <c r="A1144">
        <v>28012194</v>
      </c>
      <c r="B1144" s="2" t="str">
        <f>HYPERLINK("http://www.redfin.com/stingray/do/printable-listing?listing-id=1415040","Active")</f>
        <v>Active</v>
      </c>
      <c r="D1144" t="s">
        <v>1058</v>
      </c>
      <c r="E1144" t="s">
        <v>4546</v>
      </c>
      <c r="F1144" s="19">
        <v>559950</v>
      </c>
      <c r="G1144">
        <v>1976</v>
      </c>
      <c r="H1144">
        <v>2190</v>
      </c>
      <c r="I1144">
        <v>5700</v>
      </c>
      <c r="J1144">
        <v>5</v>
      </c>
      <c r="K1144">
        <v>2.5</v>
      </c>
      <c r="M1144" s="2" t="str">
        <f>HYPERLINK("http://maps.live.com/default.aspx?v=2&amp;lvl=15&amp;sp=Point.47.695559_-122.168345_10615 129th Pl NE&amp;cp=47.695559~-122.168345","Map")</f>
        <v>Map</v>
      </c>
      <c r="N1144" s="2" t="str">
        <f>HYPERLINK("http://i-0.rfimg.us/photo/1/bigphoto/194/28012194_1.jpg","Photo")</f>
        <v>Photo</v>
      </c>
      <c r="AG1144">
        <v>47.695559000000003</v>
      </c>
      <c r="AH1144">
        <v>-122.168345</v>
      </c>
      <c r="AI1144" t="s">
        <v>1058</v>
      </c>
      <c r="AJ1144">
        <v>98033</v>
      </c>
      <c r="AN1144">
        <v>285000</v>
      </c>
      <c r="BC1144" s="22">
        <v>39466.515763888892</v>
      </c>
      <c r="BI1144" s="22">
        <v>39549.294907407406</v>
      </c>
      <c r="BL1144">
        <v>11500</v>
      </c>
      <c r="BM1144">
        <v>1415040</v>
      </c>
      <c r="BN1144" t="s">
        <v>4545</v>
      </c>
      <c r="BO1144" s="17">
        <f t="shared" ca="1" si="17"/>
        <v>82.793642013886711</v>
      </c>
      <c r="BP1144" t="b">
        <v>0</v>
      </c>
      <c r="BQ1144">
        <v>1</v>
      </c>
      <c r="BR1144" t="s">
        <v>1842</v>
      </c>
      <c r="BS1144" t="s">
        <v>2980</v>
      </c>
      <c r="BT1144" t="b">
        <v>0</v>
      </c>
      <c r="BV1144" t="s">
        <v>1668</v>
      </c>
      <c r="BW1144">
        <v>10615</v>
      </c>
      <c r="BX1144" t="s">
        <v>1738</v>
      </c>
      <c r="BY1144">
        <v>513962</v>
      </c>
      <c r="BZ1144" t="s">
        <v>4547</v>
      </c>
      <c r="CA1144">
        <v>1</v>
      </c>
      <c r="CB1144" t="b">
        <v>1</v>
      </c>
      <c r="CC1144">
        <v>0</v>
      </c>
      <c r="CD1144" t="b">
        <v>0</v>
      </c>
      <c r="CE1144" t="b">
        <v>0</v>
      </c>
      <c r="CF1144" t="b">
        <v>1</v>
      </c>
      <c r="CG1144">
        <v>2990309</v>
      </c>
      <c r="CH1144" t="s">
        <v>1681</v>
      </c>
      <c r="CI1144" s="10">
        <v>575000</v>
      </c>
      <c r="CJ1144" s="7">
        <v>36735</v>
      </c>
    </row>
    <row r="1145" spans="1:88">
      <c r="A1145">
        <v>28012216</v>
      </c>
      <c r="B1145" s="2" t="str">
        <f>HYPERLINK("http://www.redfin.com/stingray/do/printable-listing?listing-id=1415141","Active")</f>
        <v>Active</v>
      </c>
      <c r="D1145" t="s">
        <v>1115</v>
      </c>
      <c r="E1145" t="s">
        <v>3150</v>
      </c>
      <c r="F1145">
        <v>750000</v>
      </c>
      <c r="G1145">
        <v>1951</v>
      </c>
      <c r="H1145">
        <v>3150</v>
      </c>
      <c r="I1145">
        <v>5916</v>
      </c>
      <c r="J1145">
        <v>5</v>
      </c>
      <c r="K1145">
        <v>2.75</v>
      </c>
      <c r="M1145" s="2" t="str">
        <f>HYPERLINK("http://maps.live.com/default.aspx?v=2&amp;lvl=15&amp;sp=Point.47.677049_-122.270218_5305 NE 67th St&amp;cp=47.677049~-122.270218","Map")</f>
        <v>Map</v>
      </c>
      <c r="N1145" s="2" t="str">
        <f>HYPERLINK("http://i-0.rfimg.us/photo/1/bigphoto/216/28012216_5.jpg","Photo")</f>
        <v>Photo</v>
      </c>
      <c r="AG1145">
        <v>47.677048999999997</v>
      </c>
      <c r="AH1145">
        <v>-122.270218</v>
      </c>
      <c r="AI1145" t="s">
        <v>66</v>
      </c>
      <c r="AJ1145">
        <v>98115</v>
      </c>
      <c r="AN1145">
        <v>590000</v>
      </c>
      <c r="BC1145" s="22">
        <v>39466.537152777775</v>
      </c>
      <c r="BI1145" s="22">
        <v>39549.294907407406</v>
      </c>
      <c r="BL1145">
        <v>15000</v>
      </c>
      <c r="BM1145">
        <v>1415141</v>
      </c>
      <c r="BN1145" t="s">
        <v>1783</v>
      </c>
      <c r="BO1145" s="17">
        <f t="shared" ca="1" si="17"/>
        <v>82.772253125003772</v>
      </c>
      <c r="BP1145" t="b">
        <v>0</v>
      </c>
      <c r="BQ1145">
        <v>1</v>
      </c>
      <c r="BR1145" t="s">
        <v>1686</v>
      </c>
      <c r="BS1145" t="s">
        <v>1864</v>
      </c>
      <c r="BT1145" t="b">
        <v>0</v>
      </c>
      <c r="BU1145" t="s">
        <v>1738</v>
      </c>
      <c r="BV1145" t="s">
        <v>1668</v>
      </c>
      <c r="BW1145">
        <v>5305</v>
      </c>
      <c r="BY1145">
        <v>321272</v>
      </c>
      <c r="BZ1145" t="s">
        <v>3151</v>
      </c>
      <c r="CA1145">
        <v>1</v>
      </c>
      <c r="CB1145" t="b">
        <v>1</v>
      </c>
      <c r="CC1145">
        <v>0</v>
      </c>
      <c r="CD1145" t="b">
        <v>0</v>
      </c>
      <c r="CE1145" t="b">
        <v>0</v>
      </c>
      <c r="CF1145" t="b">
        <v>1</v>
      </c>
      <c r="CG1145">
        <v>2578293</v>
      </c>
      <c r="CH1145" t="s">
        <v>1681</v>
      </c>
      <c r="CI1145" s="10">
        <v>750000</v>
      </c>
      <c r="CJ1145" s="7">
        <v>38499</v>
      </c>
    </row>
    <row r="1146" spans="1:88">
      <c r="A1146">
        <v>28012311</v>
      </c>
      <c r="B1146" s="2" t="str">
        <f>HYPERLINK("http://www.redfin.com/stingray/do/printable-listing?listing-id=1416748","Active")</f>
        <v>Active</v>
      </c>
      <c r="D1146" t="s">
        <v>4542</v>
      </c>
      <c r="E1146" t="s">
        <v>4862</v>
      </c>
      <c r="F1146">
        <v>585000</v>
      </c>
      <c r="G1146">
        <v>1918</v>
      </c>
      <c r="H1146">
        <v>1450</v>
      </c>
      <c r="I1146">
        <v>5500</v>
      </c>
      <c r="J1146">
        <v>3</v>
      </c>
      <c r="K1146">
        <v>2</v>
      </c>
      <c r="M1146" s="2" t="str">
        <f>HYPERLINK("http://maps.live.com/default.aspx?v=2&amp;lvl=15&amp;sp=Point.47.681063_-122.205288_237 8th avenue&amp;cp=47.681063~-122.205288","Map")</f>
        <v>Map</v>
      </c>
      <c r="N1146" s="2" t="str">
        <f>HYPERLINK("http://i-0.rfimg.us/photo/1/bigphoto/311/28012311_2.jpg","Photo")</f>
        <v>Photo</v>
      </c>
      <c r="AG1146">
        <v>47.681063000000002</v>
      </c>
      <c r="AH1146">
        <v>-122.205288</v>
      </c>
      <c r="AI1146" t="s">
        <v>1058</v>
      </c>
      <c r="AJ1146">
        <v>98033</v>
      </c>
      <c r="AN1146">
        <v>561000</v>
      </c>
      <c r="BC1146" s="22">
        <v>39467.890266203707</v>
      </c>
      <c r="BI1146" s="22">
        <v>39549.294907407406</v>
      </c>
      <c r="BL1146">
        <v>11700</v>
      </c>
      <c r="BM1146">
        <v>1416748</v>
      </c>
      <c r="BN1146" t="s">
        <v>1768</v>
      </c>
      <c r="BO1146" s="17">
        <f t="shared" ca="1" si="17"/>
        <v>81.41913969907182</v>
      </c>
      <c r="BP1146" t="b">
        <v>0</v>
      </c>
      <c r="BQ1146">
        <v>1</v>
      </c>
      <c r="BR1146" t="s">
        <v>4863</v>
      </c>
      <c r="BS1146" t="s">
        <v>1723</v>
      </c>
      <c r="BT1146" t="b">
        <v>0</v>
      </c>
      <c r="BV1146" t="s">
        <v>1668</v>
      </c>
      <c r="BW1146">
        <v>237</v>
      </c>
      <c r="BY1146">
        <v>462980</v>
      </c>
      <c r="BZ1146" t="s">
        <v>4864</v>
      </c>
      <c r="CA1146">
        <v>1</v>
      </c>
      <c r="CB1146" t="b">
        <v>1</v>
      </c>
      <c r="CC1146">
        <v>0</v>
      </c>
      <c r="CD1146" t="b">
        <v>0</v>
      </c>
      <c r="CE1146" t="b">
        <v>0</v>
      </c>
      <c r="CF1146" t="b">
        <v>1</v>
      </c>
      <c r="CG1146">
        <v>2467162</v>
      </c>
      <c r="CH1146" t="s">
        <v>1681</v>
      </c>
      <c r="CI1146" s="10">
        <v>585000</v>
      </c>
      <c r="CJ1146" s="7">
        <v>38533</v>
      </c>
    </row>
    <row r="1147" spans="1:88">
      <c r="A1147">
        <v>28012364</v>
      </c>
      <c r="B1147" s="2" t="str">
        <f>HYPERLINK("http://www.redfin.com/stingray/do/printable-listing?listing-id=1415727","Active")</f>
        <v>Active</v>
      </c>
      <c r="D1147" t="s">
        <v>63</v>
      </c>
      <c r="E1147" t="s">
        <v>1138</v>
      </c>
      <c r="F1147" s="19">
        <v>415000</v>
      </c>
      <c r="G1147">
        <v>1923</v>
      </c>
      <c r="H1147">
        <v>0</v>
      </c>
      <c r="I1147">
        <v>3496</v>
      </c>
      <c r="J1147">
        <v>2</v>
      </c>
      <c r="K1147">
        <v>1</v>
      </c>
      <c r="M1147" s="2" t="str">
        <f>HYPERLINK("http://maps.live.com/default.aspx?v=2&amp;lvl=15&amp;sp=Point.47.677465_-122.398684_6715 32 Ave NW&amp;cp=47.677465~-122.398684","Map")</f>
        <v>Map</v>
      </c>
      <c r="N1147" s="2" t="str">
        <f>HYPERLINK("http://i-0.rfimg.us/photo/1/bigphoto/364/28012364_1.jpg","Photo")</f>
        <v>Photo</v>
      </c>
      <c r="AG1147">
        <v>47.677464999999998</v>
      </c>
      <c r="AH1147">
        <v>-122.398684</v>
      </c>
      <c r="AI1147" t="s">
        <v>66</v>
      </c>
      <c r="AJ1147">
        <v>98117</v>
      </c>
      <c r="AN1147">
        <v>90000</v>
      </c>
      <c r="BC1147" s="22">
        <v>39466.879803240743</v>
      </c>
      <c r="BI1147" s="22">
        <v>39549.294907407406</v>
      </c>
      <c r="BL1147">
        <v>8800</v>
      </c>
      <c r="BM1147">
        <v>1415727</v>
      </c>
      <c r="BN1147" t="s">
        <v>1735</v>
      </c>
      <c r="BO1147" s="17">
        <f t="shared" ca="1" si="17"/>
        <v>82.429602777774562</v>
      </c>
      <c r="BP1147" t="b">
        <v>0</v>
      </c>
      <c r="BQ1147">
        <v>1</v>
      </c>
      <c r="BR1147" t="s">
        <v>1667</v>
      </c>
      <c r="BS1147">
        <v>32</v>
      </c>
      <c r="BT1147" t="b">
        <v>0</v>
      </c>
      <c r="BV1147" t="s">
        <v>1668</v>
      </c>
      <c r="BW1147">
        <v>6715</v>
      </c>
      <c r="BX1147" t="s">
        <v>1669</v>
      </c>
      <c r="BY1147">
        <v>290116</v>
      </c>
      <c r="BZ1147" t="s">
        <v>1736</v>
      </c>
      <c r="CA1147">
        <v>1</v>
      </c>
      <c r="CB1147" t="b">
        <v>1</v>
      </c>
      <c r="CC1147">
        <v>0</v>
      </c>
      <c r="CD1147" t="b">
        <v>0</v>
      </c>
      <c r="CE1147" t="b">
        <v>0</v>
      </c>
      <c r="CF1147" t="b">
        <v>0</v>
      </c>
      <c r="CG1147">
        <v>2680061</v>
      </c>
      <c r="CH1147" t="s">
        <v>1681</v>
      </c>
      <c r="CI1147" s="10">
        <v>440000</v>
      </c>
      <c r="CJ1147" s="7">
        <v>34772</v>
      </c>
    </row>
    <row r="1148" spans="1:88">
      <c r="A1148">
        <v>28012373</v>
      </c>
      <c r="B1148" s="2" t="str">
        <f>HYPERLINK("http://www.redfin.com/stingray/do/printable-listing?listing-id=1416145","Active")</f>
        <v>Active</v>
      </c>
      <c r="D1148" t="s">
        <v>70</v>
      </c>
      <c r="E1148" t="s">
        <v>2712</v>
      </c>
      <c r="F1148" s="19">
        <v>539950</v>
      </c>
      <c r="G1148">
        <v>1937</v>
      </c>
      <c r="H1148">
        <v>2630</v>
      </c>
      <c r="I1148">
        <v>7674</v>
      </c>
      <c r="J1148">
        <v>3</v>
      </c>
      <c r="K1148">
        <v>1.5</v>
      </c>
      <c r="M1148" s="2" t="str">
        <f>HYPERLINK("http://maps.live.com/default.aspx?v=2&amp;lvl=15&amp;sp=Point.47.716319_-122.359187_12010 2nd Ave NW&amp;cp=47.716319~-122.359187","Map")</f>
        <v>Map</v>
      </c>
      <c r="N1148" s="2" t="str">
        <f>HYPERLINK("http://i-0.rfimg.us/photo/1/bigphoto/373/28012373_A.jpg","Photo")</f>
        <v>Photo</v>
      </c>
      <c r="AG1148">
        <v>47.716318999999999</v>
      </c>
      <c r="AH1148">
        <v>-122.35918700000001</v>
      </c>
      <c r="AI1148" t="s">
        <v>66</v>
      </c>
      <c r="AJ1148">
        <v>98177</v>
      </c>
      <c r="AN1148">
        <v>175450</v>
      </c>
      <c r="BC1148" s="22">
        <v>39467.400648148148</v>
      </c>
      <c r="BI1148" s="22">
        <v>39549.294907407406</v>
      </c>
      <c r="BL1148">
        <v>11199</v>
      </c>
      <c r="BM1148">
        <v>1416145</v>
      </c>
      <c r="BN1148" t="s">
        <v>1674</v>
      </c>
      <c r="BO1148" s="17">
        <f t="shared" ca="1" si="17"/>
        <v>81.9087578703693</v>
      </c>
      <c r="BP1148" t="b">
        <v>0</v>
      </c>
      <c r="BQ1148">
        <v>1</v>
      </c>
      <c r="BR1148" t="s">
        <v>1667</v>
      </c>
      <c r="BS1148" t="s">
        <v>1958</v>
      </c>
      <c r="BT1148" t="b">
        <v>0</v>
      </c>
      <c r="BV1148" t="s">
        <v>1668</v>
      </c>
      <c r="BW1148">
        <v>12010</v>
      </c>
      <c r="BX1148" t="s">
        <v>1669</v>
      </c>
      <c r="BY1148">
        <v>96549</v>
      </c>
      <c r="BZ1148" t="s">
        <v>2713</v>
      </c>
      <c r="CA1148">
        <v>1</v>
      </c>
      <c r="CB1148" t="b">
        <v>1</v>
      </c>
      <c r="CC1148">
        <v>0</v>
      </c>
      <c r="CD1148" t="b">
        <v>0</v>
      </c>
      <c r="CE1148" t="b">
        <v>0</v>
      </c>
      <c r="CF1148" t="b">
        <v>1</v>
      </c>
      <c r="CG1148">
        <v>2758329</v>
      </c>
      <c r="CH1148" t="s">
        <v>1681</v>
      </c>
      <c r="CI1148" s="10">
        <v>559950</v>
      </c>
      <c r="CJ1148" s="7">
        <v>34596</v>
      </c>
    </row>
    <row r="1149" spans="1:88">
      <c r="A1149">
        <v>28012432</v>
      </c>
      <c r="B1149" s="2" t="str">
        <f>HYPERLINK("http://www.redfin.com/stingray/do/printable-listing?listing-id=1416261","Active")</f>
        <v>Active</v>
      </c>
      <c r="D1149" t="s">
        <v>4375</v>
      </c>
      <c r="E1149" t="s">
        <v>4373</v>
      </c>
      <c r="F1149">
        <v>679000</v>
      </c>
      <c r="G1149">
        <v>1989</v>
      </c>
      <c r="H1149">
        <v>2110</v>
      </c>
      <c r="I1149">
        <v>11556</v>
      </c>
      <c r="J1149">
        <v>3</v>
      </c>
      <c r="K1149">
        <v>2.25</v>
      </c>
      <c r="M1149" s="2" t="str">
        <f>HYPERLINK("http://maps.live.com/default.aspx?v=2&amp;lvl=15&amp;sp=Point.47.697716_-122.19415_11010 NE 108th St&amp;cp=47.697716~-122.19415","Map")</f>
        <v>Map</v>
      </c>
      <c r="N1149" s="2" t="str">
        <f>HYPERLINK("http://i-0.rfimg.us/photo/1/bigphoto/432/28012432_5.jpg","Photo")</f>
        <v>Photo</v>
      </c>
      <c r="AG1149">
        <v>47.697716</v>
      </c>
      <c r="AH1149">
        <v>-122.19414999999999</v>
      </c>
      <c r="AI1149" t="s">
        <v>1058</v>
      </c>
      <c r="AJ1149">
        <v>98033</v>
      </c>
      <c r="AN1149">
        <v>287000</v>
      </c>
      <c r="BC1149" s="22">
        <v>39467.504560185182</v>
      </c>
      <c r="BI1149" s="22">
        <v>39549.294907407406</v>
      </c>
      <c r="BL1149">
        <v>13580</v>
      </c>
      <c r="BM1149">
        <v>1416261</v>
      </c>
      <c r="BN1149" t="s">
        <v>1768</v>
      </c>
      <c r="BO1149" s="17">
        <f t="shared" ca="1" si="17"/>
        <v>81.804845717597345</v>
      </c>
      <c r="BP1149" t="b">
        <v>0</v>
      </c>
      <c r="BQ1149">
        <v>1</v>
      </c>
      <c r="BR1149" t="s">
        <v>1686</v>
      </c>
      <c r="BS1149" t="s">
        <v>4355</v>
      </c>
      <c r="BT1149" t="b">
        <v>0</v>
      </c>
      <c r="BU1149" t="s">
        <v>1738</v>
      </c>
      <c r="BV1149" t="s">
        <v>1668</v>
      </c>
      <c r="BW1149">
        <v>11010</v>
      </c>
      <c r="BY1149">
        <v>462623</v>
      </c>
      <c r="BZ1149" t="s">
        <v>4374</v>
      </c>
      <c r="CA1149">
        <v>1</v>
      </c>
      <c r="CB1149" t="b">
        <v>1</v>
      </c>
      <c r="CC1149">
        <v>0</v>
      </c>
      <c r="CD1149" t="b">
        <v>0</v>
      </c>
      <c r="CE1149" t="b">
        <v>0</v>
      </c>
      <c r="CF1149" t="b">
        <v>1</v>
      </c>
      <c r="CG1149">
        <v>2359054</v>
      </c>
      <c r="CH1149" t="s">
        <v>1681</v>
      </c>
      <c r="CI1149" s="10">
        <v>679000</v>
      </c>
      <c r="CJ1149" s="7">
        <v>36616</v>
      </c>
    </row>
    <row r="1150" spans="1:88">
      <c r="A1150">
        <v>28012481</v>
      </c>
      <c r="B1150" s="2" t="str">
        <f>HYPERLINK("http://www.redfin.com/stingray/do/printable-listing?listing-id=1416466","Active")</f>
        <v>Active</v>
      </c>
      <c r="D1150" t="s">
        <v>3061</v>
      </c>
      <c r="E1150" t="s">
        <v>4427</v>
      </c>
      <c r="F1150" s="19">
        <v>875500</v>
      </c>
      <c r="G1150">
        <v>2008</v>
      </c>
      <c r="H1150">
        <v>3766</v>
      </c>
      <c r="I1150">
        <v>7200</v>
      </c>
      <c r="J1150">
        <v>4</v>
      </c>
      <c r="K1150">
        <v>3.5</v>
      </c>
      <c r="M1150" s="2" t="str">
        <f>HYPERLINK("http://maps.live.com/default.aspx?v=2&amp;lvl=15&amp;sp=Point.47.7165_-122.1624_13203 NE 129 Pl&amp;cp=47.7165~-122.1624","Map")</f>
        <v>Map</v>
      </c>
      <c r="N1150" s="2" t="str">
        <f>HYPERLINK("http://i-0.rfimg.us/photo/1/bigphoto/481/28012481_1.jpg","Photo")</f>
        <v>Photo</v>
      </c>
      <c r="AG1150">
        <v>47.716500000000003</v>
      </c>
      <c r="AH1150">
        <v>-122.16240000000001</v>
      </c>
      <c r="AI1150" t="s">
        <v>1058</v>
      </c>
      <c r="AJ1150">
        <v>98034</v>
      </c>
      <c r="BC1150" s="22">
        <v>39467.609259259261</v>
      </c>
      <c r="BI1150" s="22">
        <v>39549.294907407406</v>
      </c>
      <c r="BL1150">
        <v>15990</v>
      </c>
      <c r="BM1150">
        <v>1416466</v>
      </c>
      <c r="BN1150" t="s">
        <v>1725</v>
      </c>
      <c r="BO1150" s="17">
        <f t="shared" ca="1" si="17"/>
        <v>81.700146643517655</v>
      </c>
      <c r="BP1150" t="b">
        <v>0</v>
      </c>
      <c r="BQ1150">
        <v>1</v>
      </c>
      <c r="BR1150" t="s">
        <v>1842</v>
      </c>
      <c r="BS1150">
        <v>129</v>
      </c>
      <c r="BT1150" t="b">
        <v>0</v>
      </c>
      <c r="BU1150" t="s">
        <v>1738</v>
      </c>
      <c r="BV1150" t="s">
        <v>1668</v>
      </c>
      <c r="BW1150">
        <v>13203</v>
      </c>
      <c r="BY1150">
        <v>12356892</v>
      </c>
      <c r="BZ1150" t="s">
        <v>1845</v>
      </c>
      <c r="CA1150">
        <v>1</v>
      </c>
      <c r="CB1150" t="b">
        <v>1</v>
      </c>
      <c r="CC1150">
        <v>0</v>
      </c>
      <c r="CD1150" t="b">
        <v>0</v>
      </c>
      <c r="CE1150" t="b">
        <v>0</v>
      </c>
      <c r="CF1150" t="b">
        <v>1</v>
      </c>
      <c r="CG1150">
        <v>15560640</v>
      </c>
      <c r="CH1150" t="s">
        <v>1681</v>
      </c>
      <c r="CI1150" s="10">
        <v>799500</v>
      </c>
    </row>
    <row r="1151" spans="1:88">
      <c r="A1151">
        <v>28012494</v>
      </c>
      <c r="B1151" s="2" t="str">
        <f>HYPERLINK("http://www.redfin.com/stingray/do/printable-listing?listing-id=1416514","Subject To Inspection")</f>
        <v>Subject To Inspection</v>
      </c>
      <c r="D1151" t="s">
        <v>226</v>
      </c>
      <c r="E1151" t="s">
        <v>3176</v>
      </c>
      <c r="F1151">
        <v>405000</v>
      </c>
      <c r="G1151">
        <v>2007</v>
      </c>
      <c r="H1151">
        <v>1326</v>
      </c>
      <c r="I1151">
        <v>0</v>
      </c>
      <c r="J1151">
        <v>2</v>
      </c>
      <c r="K1151">
        <v>1.5</v>
      </c>
      <c r="M1151" s="2" t="str">
        <f>HYPERLINK("http://maps.live.com/default.aspx?v=2&amp;lvl=15&amp;sp=Point.47.66607_-122.315403_5033 12th Ave NE&amp;cp=47.66607~-122.315403","Map")</f>
        <v>Map</v>
      </c>
      <c r="N1151" s="2" t="str">
        <f>HYPERLINK("http://i-0.rfimg.us/photo/1/bigphoto/494/28012494_3.jpg","Photo")</f>
        <v>Photo</v>
      </c>
      <c r="AG1151">
        <v>47.666069999999998</v>
      </c>
      <c r="AH1151">
        <v>-122.315403</v>
      </c>
      <c r="AI1151" t="s">
        <v>66</v>
      </c>
      <c r="AJ1151">
        <v>98105</v>
      </c>
      <c r="BC1151" s="22">
        <v>39467.640925925924</v>
      </c>
      <c r="BI1151" s="7">
        <v>39541</v>
      </c>
      <c r="BL1151">
        <v>8100</v>
      </c>
      <c r="BM1151">
        <v>1416514</v>
      </c>
      <c r="BN1151" t="s">
        <v>3175</v>
      </c>
      <c r="BO1151" s="17">
        <f t="shared" ca="1" si="17"/>
        <v>81.668479976855451</v>
      </c>
      <c r="BP1151" t="b">
        <v>0</v>
      </c>
      <c r="BQ1151">
        <v>2</v>
      </c>
      <c r="BR1151" t="s">
        <v>1667</v>
      </c>
      <c r="BS1151" t="s">
        <v>1803</v>
      </c>
      <c r="BT1151" t="b">
        <v>0</v>
      </c>
      <c r="BV1151" t="s">
        <v>1668</v>
      </c>
      <c r="BW1151">
        <v>5033</v>
      </c>
      <c r="BX1151" t="s">
        <v>1738</v>
      </c>
      <c r="BY1151">
        <v>12118858</v>
      </c>
      <c r="BZ1151" t="s">
        <v>3177</v>
      </c>
      <c r="CA1151">
        <v>1</v>
      </c>
      <c r="CB1151" t="b">
        <v>1</v>
      </c>
      <c r="CC1151">
        <v>0</v>
      </c>
      <c r="CD1151" t="b">
        <v>0</v>
      </c>
      <c r="CE1151" t="b">
        <v>0</v>
      </c>
      <c r="CF1151" t="b">
        <v>1</v>
      </c>
      <c r="CG1151">
        <v>15369120</v>
      </c>
      <c r="CH1151" t="s">
        <v>1681</v>
      </c>
      <c r="CI1151" s="10">
        <v>405000</v>
      </c>
    </row>
    <row r="1152" spans="1:88">
      <c r="A1152">
        <v>28012499</v>
      </c>
      <c r="B1152" s="2" t="str">
        <f>HYPERLINK("http://www.redfin.com/stingray/do/printable-listing?listing-id=1416515","Active")</f>
        <v>Active</v>
      </c>
      <c r="D1152" t="s">
        <v>226</v>
      </c>
      <c r="E1152" t="s">
        <v>3178</v>
      </c>
      <c r="F1152">
        <v>499000</v>
      </c>
      <c r="G1152">
        <v>2007</v>
      </c>
      <c r="H1152">
        <v>1478</v>
      </c>
      <c r="I1152">
        <v>0</v>
      </c>
      <c r="J1152">
        <v>3</v>
      </c>
      <c r="K1152">
        <v>2.5</v>
      </c>
      <c r="M1152" s="2" t="str">
        <f>HYPERLINK("http://maps.live.com/default.aspx?v=2&amp;lvl=15&amp;sp=Point.47.666079_-122.315403_5035 12th Ave NE&amp;cp=47.666079~-122.315403","Map")</f>
        <v>Map</v>
      </c>
      <c r="N1152" s="2" t="str">
        <f>HYPERLINK("http://i-0.rfimg.us/photo/1/bigphoto/499/28012499_5.jpg","Photo")</f>
        <v>Photo</v>
      </c>
      <c r="AG1152">
        <v>47.666079000000003</v>
      </c>
      <c r="AH1152">
        <v>-122.315403</v>
      </c>
      <c r="AI1152" t="s">
        <v>66</v>
      </c>
      <c r="AJ1152">
        <v>98105</v>
      </c>
      <c r="AN1152">
        <v>590434</v>
      </c>
      <c r="BC1152" s="22">
        <v>39467.640925925924</v>
      </c>
      <c r="BI1152" s="22">
        <v>39549.294907407406</v>
      </c>
      <c r="BL1152">
        <v>9980</v>
      </c>
      <c r="BM1152">
        <v>1416515</v>
      </c>
      <c r="BN1152" t="s">
        <v>3175</v>
      </c>
      <c r="BO1152" s="17">
        <f t="shared" ca="1" si="17"/>
        <v>81.668479976855451</v>
      </c>
      <c r="BP1152" t="b">
        <v>0</v>
      </c>
      <c r="BQ1152">
        <v>1</v>
      </c>
      <c r="BR1152" t="s">
        <v>1667</v>
      </c>
      <c r="BS1152" t="s">
        <v>1803</v>
      </c>
      <c r="BT1152" t="b">
        <v>0</v>
      </c>
      <c r="BV1152" t="s">
        <v>1668</v>
      </c>
      <c r="BW1152">
        <v>5035</v>
      </c>
      <c r="BX1152" t="s">
        <v>1738</v>
      </c>
      <c r="BY1152">
        <v>2061654</v>
      </c>
      <c r="BZ1152" t="s">
        <v>3179</v>
      </c>
      <c r="CA1152">
        <v>1</v>
      </c>
      <c r="CB1152" t="b">
        <v>1</v>
      </c>
      <c r="CC1152">
        <v>0</v>
      </c>
      <c r="CD1152" t="b">
        <v>0</v>
      </c>
      <c r="CE1152" t="b">
        <v>0</v>
      </c>
      <c r="CF1152" t="b">
        <v>1</v>
      </c>
      <c r="CG1152">
        <v>2384231</v>
      </c>
      <c r="CH1152" t="s">
        <v>1681</v>
      </c>
      <c r="CI1152" s="10">
        <v>499000</v>
      </c>
      <c r="CJ1152" s="7">
        <v>38434</v>
      </c>
    </row>
    <row r="1153" spans="1:90">
      <c r="A1153">
        <v>28012553</v>
      </c>
      <c r="B1153" s="15" t="str">
        <f>HYPERLINK("http://www.redfin.com/stingray/do/printable-listing?listing-id=1416684","Subject To Inspection")</f>
        <v>Subject To Inspection</v>
      </c>
      <c r="D1153" t="s">
        <v>88</v>
      </c>
      <c r="E1153" t="s">
        <v>716</v>
      </c>
      <c r="F1153">
        <v>425000</v>
      </c>
      <c r="G1153">
        <v>1920</v>
      </c>
      <c r="H1153">
        <v>1920</v>
      </c>
      <c r="I1153">
        <v>0</v>
      </c>
      <c r="J1153">
        <v>2</v>
      </c>
      <c r="K1153">
        <v>1</v>
      </c>
      <c r="M1153" s="2" t="str">
        <f>HYPERLINK("http://maps.live.com/default.aspx?v=2&amp;lvl=15&amp;sp=Point.47.687163_-122.353636_336 N 80th St&amp;cp=47.687163~-122.353636","Map")</f>
        <v>Map</v>
      </c>
      <c r="N1153" s="2" t="str">
        <f>HYPERLINK("http://i-0.rfimg.us/photo/1/bigphoto/553/28012553_0.jpg","Photo")</f>
        <v>Photo</v>
      </c>
      <c r="AG1153">
        <v>47.687162999999998</v>
      </c>
      <c r="AH1153">
        <v>-122.35363599999999</v>
      </c>
      <c r="AI1153" t="s">
        <v>66</v>
      </c>
      <c r="AJ1153">
        <v>98103</v>
      </c>
      <c r="AN1153">
        <v>37150</v>
      </c>
      <c r="BC1153" s="22">
        <v>39467.817627314813</v>
      </c>
      <c r="BI1153" s="7">
        <v>39536</v>
      </c>
      <c r="BL1153">
        <v>8500</v>
      </c>
      <c r="BM1153">
        <v>1416684</v>
      </c>
      <c r="BN1153" t="s">
        <v>1710</v>
      </c>
      <c r="BO1153" s="17">
        <f t="shared" ca="1" si="17"/>
        <v>81.491778703704767</v>
      </c>
      <c r="BP1153" t="b">
        <v>0</v>
      </c>
      <c r="BQ1153">
        <v>1</v>
      </c>
      <c r="BR1153" t="s">
        <v>1686</v>
      </c>
      <c r="BS1153" t="s">
        <v>1711</v>
      </c>
      <c r="BT1153" t="b">
        <v>0</v>
      </c>
      <c r="BU1153" t="s">
        <v>1712</v>
      </c>
      <c r="BV1153" t="s">
        <v>1668</v>
      </c>
      <c r="BW1153">
        <v>336</v>
      </c>
      <c r="BY1153">
        <v>301554</v>
      </c>
      <c r="BZ1153" t="s">
        <v>1713</v>
      </c>
      <c r="CA1153">
        <v>1</v>
      </c>
      <c r="CB1153" t="b">
        <v>1</v>
      </c>
      <c r="CC1153">
        <v>0</v>
      </c>
      <c r="CD1153" t="b">
        <v>0</v>
      </c>
      <c r="CE1153" t="b">
        <v>0</v>
      </c>
      <c r="CF1153" t="b">
        <v>1</v>
      </c>
      <c r="CG1153">
        <v>2425176</v>
      </c>
      <c r="CH1153" t="s">
        <v>1681</v>
      </c>
      <c r="CI1153" s="10">
        <v>425000</v>
      </c>
      <c r="CJ1153" s="7">
        <v>38714</v>
      </c>
    </row>
    <row r="1154" spans="1:90">
      <c r="A1154">
        <v>28012576</v>
      </c>
      <c r="B1154" s="2" t="str">
        <f>HYPERLINK("http://www.redfin.com/stingray/do/printable-listing?listing-id=1425860","Active")</f>
        <v>Active</v>
      </c>
      <c r="D1154" t="s">
        <v>4663</v>
      </c>
      <c r="E1154" t="s">
        <v>5072</v>
      </c>
      <c r="F1154">
        <v>850000</v>
      </c>
      <c r="G1154">
        <v>1975</v>
      </c>
      <c r="H1154">
        <v>2560</v>
      </c>
      <c r="I1154">
        <v>12600</v>
      </c>
      <c r="J1154">
        <v>4</v>
      </c>
      <c r="K1154">
        <v>2.5</v>
      </c>
      <c r="M1154" s="2" t="str">
        <f>HYPERLINK("http://maps.live.com/default.aspx?v=2&amp;lvl=15&amp;sp=Point.47.635698_-122.166814_13000 NE 28th Pl&amp;cp=47.635698~-122.166814","Map")</f>
        <v>Map</v>
      </c>
      <c r="N1154" s="2" t="str">
        <f>HYPERLINK("http://i-0.rfimg.us/photo/1/bigphoto/576/28012576_1.jpg","Photo")</f>
        <v>Photo</v>
      </c>
      <c r="AG1154">
        <v>47.635697999999998</v>
      </c>
      <c r="AH1154">
        <v>-122.166814</v>
      </c>
      <c r="AI1154" t="s">
        <v>369</v>
      </c>
      <c r="AJ1154">
        <v>98005</v>
      </c>
      <c r="AN1154">
        <v>247500</v>
      </c>
      <c r="BC1154" s="22">
        <v>39471.475798611114</v>
      </c>
      <c r="BI1154" s="22">
        <v>39549.294907407406</v>
      </c>
      <c r="BL1154">
        <v>17000</v>
      </c>
      <c r="BM1154">
        <v>1425860</v>
      </c>
      <c r="BN1154" t="s">
        <v>1798</v>
      </c>
      <c r="BO1154" s="17">
        <f t="shared" ref="BO1154:BO1217" ca="1" si="18">NOW()-BC1154</f>
        <v>77.833607291664521</v>
      </c>
      <c r="BP1154" t="b">
        <v>0</v>
      </c>
      <c r="BQ1154">
        <v>1</v>
      </c>
      <c r="BR1154" t="s">
        <v>1842</v>
      </c>
      <c r="BS1154" t="s">
        <v>1760</v>
      </c>
      <c r="BT1154" t="b">
        <v>0</v>
      </c>
      <c r="BU1154" t="s">
        <v>1738</v>
      </c>
      <c r="BV1154" t="s">
        <v>1668</v>
      </c>
      <c r="BW1154">
        <v>13000</v>
      </c>
      <c r="BY1154">
        <v>431383</v>
      </c>
      <c r="BZ1154" t="s">
        <v>1709</v>
      </c>
      <c r="CA1154">
        <v>1</v>
      </c>
      <c r="CB1154" t="b">
        <v>1</v>
      </c>
      <c r="CC1154">
        <v>0</v>
      </c>
      <c r="CD1154" t="b">
        <v>0</v>
      </c>
      <c r="CE1154" t="b">
        <v>0</v>
      </c>
      <c r="CF1154" t="b">
        <v>1</v>
      </c>
      <c r="CG1154">
        <v>2774939</v>
      </c>
      <c r="CH1154" t="s">
        <v>1681</v>
      </c>
      <c r="CI1154" s="10">
        <v>850000</v>
      </c>
      <c r="CJ1154" s="7">
        <v>33878</v>
      </c>
    </row>
    <row r="1155" spans="1:90">
      <c r="A1155">
        <v>28012589</v>
      </c>
      <c r="B1155" s="2" t="str">
        <f>HYPERLINK("http://www.redfin.com/stingray/do/printable-listing?listing-id=1416966","Active")</f>
        <v>Active</v>
      </c>
      <c r="D1155" t="s">
        <v>5490</v>
      </c>
      <c r="E1155" t="s">
        <v>5886</v>
      </c>
      <c r="F1155">
        <v>859950</v>
      </c>
      <c r="G1155">
        <v>2000</v>
      </c>
      <c r="H1155">
        <v>3180</v>
      </c>
      <c r="I1155">
        <v>7349</v>
      </c>
      <c r="J1155">
        <v>4</v>
      </c>
      <c r="K1155">
        <v>2.5</v>
      </c>
      <c r="M1155" s="2" t="str">
        <f>HYPERLINK("http://maps.live.com/default.aspx?v=2&amp;lvl=15&amp;sp=Point.47.559263_-122.121602_16399 SE 48th Dr&amp;cp=47.559263~-122.121602","Map")</f>
        <v>Map</v>
      </c>
      <c r="N1155" s="2" t="str">
        <f>HYPERLINK("http://i-0.rfimg.us/photo/1/bigphoto/589/28012589_0.jpg","Photo")</f>
        <v>Photo</v>
      </c>
      <c r="AG1155">
        <v>47.559263000000001</v>
      </c>
      <c r="AH1155">
        <v>-122.121602</v>
      </c>
      <c r="AI1155" t="s">
        <v>369</v>
      </c>
      <c r="AJ1155">
        <v>98006</v>
      </c>
      <c r="AN1155">
        <v>625000</v>
      </c>
      <c r="BC1155" s="22">
        <v>39468.087881944448</v>
      </c>
      <c r="BI1155" s="7">
        <v>39534</v>
      </c>
      <c r="BL1155">
        <v>17199</v>
      </c>
      <c r="BM1155">
        <v>1416966</v>
      </c>
      <c r="BN1155" t="s">
        <v>2014</v>
      </c>
      <c r="BO1155" s="17">
        <f t="shared" ca="1" si="18"/>
        <v>81.22152395833109</v>
      </c>
      <c r="BP1155" t="b">
        <v>0</v>
      </c>
      <c r="BQ1155">
        <v>1</v>
      </c>
      <c r="BR1155" t="s">
        <v>1816</v>
      </c>
      <c r="BS1155" t="s">
        <v>2443</v>
      </c>
      <c r="BT1155" t="b">
        <v>0</v>
      </c>
      <c r="BU1155" t="s">
        <v>3856</v>
      </c>
      <c r="BV1155" t="s">
        <v>1668</v>
      </c>
      <c r="BW1155">
        <v>16399</v>
      </c>
      <c r="BY1155">
        <v>240777</v>
      </c>
      <c r="BZ1155" t="s">
        <v>1672</v>
      </c>
      <c r="CA1155">
        <v>1</v>
      </c>
      <c r="CB1155" t="b">
        <v>1</v>
      </c>
      <c r="CC1155">
        <v>0</v>
      </c>
      <c r="CD1155" t="b">
        <v>0</v>
      </c>
      <c r="CE1155" t="b">
        <v>0</v>
      </c>
      <c r="CF1155" t="b">
        <v>1</v>
      </c>
      <c r="CG1155">
        <v>2823571</v>
      </c>
      <c r="CH1155" t="s">
        <v>1681</v>
      </c>
      <c r="CI1155" s="10">
        <v>859950</v>
      </c>
      <c r="CJ1155" s="7">
        <v>36987</v>
      </c>
    </row>
    <row r="1156" spans="1:90">
      <c r="A1156">
        <v>28012604</v>
      </c>
      <c r="B1156" s="2" t="str">
        <f>HYPERLINK("http://www.redfin.com/stingray/do/printable-listing?listing-id=1416967","Active")</f>
        <v>Active</v>
      </c>
      <c r="D1156" t="s">
        <v>5216</v>
      </c>
      <c r="E1156" t="s">
        <v>5472</v>
      </c>
      <c r="F1156">
        <v>785000</v>
      </c>
      <c r="G1156">
        <v>1968</v>
      </c>
      <c r="H1156">
        <v>1880</v>
      </c>
      <c r="I1156">
        <v>11904</v>
      </c>
      <c r="J1156">
        <v>4</v>
      </c>
      <c r="K1156">
        <v>2.25</v>
      </c>
      <c r="M1156" s="2" t="str">
        <f>HYPERLINK("http://maps.live.com/default.aspx?v=2&amp;lvl=15&amp;sp=Point.47.615628_-122.109298_17224 NE 6th Pl&amp;cp=47.615628~-122.109298","Map")</f>
        <v>Map</v>
      </c>
      <c r="N1156" s="2" t="str">
        <f>HYPERLINK("http://i-0.rfimg.us/photo/1/bigphoto/604/28012604_C.jpg","Photo")</f>
        <v>Photo</v>
      </c>
      <c r="AG1156">
        <v>47.615628000000001</v>
      </c>
      <c r="AH1156">
        <v>-122.109298</v>
      </c>
      <c r="AI1156" t="s">
        <v>369</v>
      </c>
      <c r="AJ1156">
        <v>98008</v>
      </c>
      <c r="AN1156">
        <v>671000</v>
      </c>
      <c r="BC1156" s="22">
        <v>39468.088101851848</v>
      </c>
      <c r="BI1156" s="22">
        <v>39549.294907407406</v>
      </c>
      <c r="BL1156">
        <v>15700</v>
      </c>
      <c r="BM1156">
        <v>1416967</v>
      </c>
      <c r="BN1156" t="s">
        <v>1824</v>
      </c>
      <c r="BO1156" s="17">
        <f t="shared" ca="1" si="18"/>
        <v>81.221304050930485</v>
      </c>
      <c r="BP1156" t="b">
        <v>0</v>
      </c>
      <c r="BQ1156">
        <v>1</v>
      </c>
      <c r="BR1156" t="s">
        <v>1842</v>
      </c>
      <c r="BS1156" t="s">
        <v>1739</v>
      </c>
      <c r="BT1156" t="b">
        <v>0</v>
      </c>
      <c r="BU1156" t="s">
        <v>1738</v>
      </c>
      <c r="BV1156" t="s">
        <v>1668</v>
      </c>
      <c r="BW1156">
        <v>17224</v>
      </c>
      <c r="BY1156">
        <v>499719</v>
      </c>
      <c r="BZ1156" t="s">
        <v>5473</v>
      </c>
      <c r="CA1156">
        <v>1</v>
      </c>
      <c r="CB1156" t="b">
        <v>1</v>
      </c>
      <c r="CC1156">
        <v>0</v>
      </c>
      <c r="CD1156" t="b">
        <v>0</v>
      </c>
      <c r="CE1156" t="b">
        <v>0</v>
      </c>
      <c r="CF1156" t="b">
        <v>1</v>
      </c>
      <c r="CG1156">
        <v>2430582</v>
      </c>
      <c r="CH1156" t="s">
        <v>1681</v>
      </c>
      <c r="CI1156" s="10">
        <v>785000</v>
      </c>
      <c r="CJ1156" s="7">
        <v>39163</v>
      </c>
      <c r="CL1156" s="19" t="s">
        <v>2325</v>
      </c>
    </row>
    <row r="1157" spans="1:90">
      <c r="A1157">
        <v>28012644</v>
      </c>
      <c r="B1157" s="2" t="str">
        <f>HYPERLINK("http://www.redfin.com/stingray/do/printable-listing?listing-id=1420155","Active")</f>
        <v>Active</v>
      </c>
      <c r="D1157" t="s">
        <v>4611</v>
      </c>
      <c r="E1157" t="s">
        <v>4751</v>
      </c>
      <c r="F1157">
        <v>798000</v>
      </c>
      <c r="G1157">
        <v>1996</v>
      </c>
      <c r="H1157">
        <v>2650</v>
      </c>
      <c r="I1157">
        <v>9149</v>
      </c>
      <c r="J1157">
        <v>5</v>
      </c>
      <c r="K1157">
        <v>2.5</v>
      </c>
      <c r="M1157" s="2" t="str">
        <f>HYPERLINK("http://maps.live.com/default.aspx?v=2&amp;lvl=15&amp;sp=Point.47.674449_-122.138062_7923 152nd Ave NE&amp;cp=47.674449~-122.138062","Map")</f>
        <v>Map</v>
      </c>
      <c r="N1157" s="2" t="str">
        <f>HYPERLINK("http://i-0.rfimg.us/photo/1/bigphoto/644/28012644_1.jpg","Photo")</f>
        <v>Photo</v>
      </c>
      <c r="AG1157">
        <v>47.674449000000003</v>
      </c>
      <c r="AH1157">
        <v>-122.13806200000001</v>
      </c>
      <c r="AI1157" t="s">
        <v>4363</v>
      </c>
      <c r="AJ1157">
        <v>98052</v>
      </c>
      <c r="AN1157">
        <v>769000</v>
      </c>
      <c r="BC1157" s="22">
        <v>39469.578715277778</v>
      </c>
      <c r="BI1157" s="22">
        <v>39549.294907407406</v>
      </c>
      <c r="BL1157">
        <v>15960</v>
      </c>
      <c r="BM1157">
        <v>1420155</v>
      </c>
      <c r="BN1157" t="s">
        <v>1674</v>
      </c>
      <c r="BO1157" s="17">
        <f t="shared" ca="1" si="18"/>
        <v>79.730690625001444</v>
      </c>
      <c r="BP1157" t="b">
        <v>0</v>
      </c>
      <c r="BQ1157">
        <v>1</v>
      </c>
      <c r="BR1157" t="s">
        <v>1667</v>
      </c>
      <c r="BS1157" t="s">
        <v>4752</v>
      </c>
      <c r="BT1157" t="b">
        <v>0</v>
      </c>
      <c r="BV1157" t="s">
        <v>1668</v>
      </c>
      <c r="BW1157">
        <v>7923</v>
      </c>
      <c r="BX1157" t="s">
        <v>1738</v>
      </c>
      <c r="BY1157">
        <v>516847</v>
      </c>
      <c r="BZ1157" t="s">
        <v>1704</v>
      </c>
      <c r="CA1157">
        <v>1</v>
      </c>
      <c r="CB1157" t="b">
        <v>1</v>
      </c>
      <c r="CC1157">
        <v>0</v>
      </c>
      <c r="CD1157" t="b">
        <v>0</v>
      </c>
      <c r="CE1157" t="b">
        <v>0</v>
      </c>
      <c r="CF1157" t="b">
        <v>1</v>
      </c>
      <c r="CG1157">
        <v>2833434</v>
      </c>
      <c r="CH1157" t="s">
        <v>1681</v>
      </c>
      <c r="CI1157" s="10">
        <v>798000</v>
      </c>
      <c r="CJ1157" s="7">
        <v>38842</v>
      </c>
    </row>
    <row r="1158" spans="1:90">
      <c r="A1158">
        <v>28012701</v>
      </c>
      <c r="B1158" s="2" t="str">
        <f>HYPERLINK("http://www.redfin.com/stingray/do/printable-listing?listing-id=1420651","Subject To Inspection")</f>
        <v>Subject To Inspection</v>
      </c>
      <c r="D1158" t="s">
        <v>1152</v>
      </c>
      <c r="E1158" t="s">
        <v>3128</v>
      </c>
      <c r="F1158">
        <v>1050000</v>
      </c>
      <c r="G1158">
        <v>1939</v>
      </c>
      <c r="H1158">
        <v>3350</v>
      </c>
      <c r="I1158">
        <v>6603</v>
      </c>
      <c r="J1158">
        <v>4</v>
      </c>
      <c r="K1158">
        <v>1.75</v>
      </c>
      <c r="M1158" s="2" t="str">
        <f>HYPERLINK("http://maps.live.com/default.aspx?v=2&amp;lvl=15&amp;sp=Point.47.670574_-122.274662_5620 Ann Arbor Ave NE&amp;cp=47.670574~-122.274662","Map")</f>
        <v>Map</v>
      </c>
      <c r="N1158" s="2" t="str">
        <f>HYPERLINK("http://i-0.rfimg.us/photo/1/bigphoto/701/28012701_3.jpg","Photo")</f>
        <v>Photo</v>
      </c>
      <c r="AG1158">
        <v>47.670574000000002</v>
      </c>
      <c r="AH1158">
        <v>-122.27466200000001</v>
      </c>
      <c r="AI1158" t="s">
        <v>66</v>
      </c>
      <c r="AJ1158">
        <v>98105</v>
      </c>
      <c r="BC1158" s="22">
        <v>39469.678495370368</v>
      </c>
      <c r="BI1158" s="7">
        <v>39535</v>
      </c>
      <c r="BL1158">
        <v>21000</v>
      </c>
      <c r="BM1158">
        <v>1420651</v>
      </c>
      <c r="BN1158" t="s">
        <v>1710</v>
      </c>
      <c r="BO1158" s="17">
        <f t="shared" ca="1" si="18"/>
        <v>79.63091053241078</v>
      </c>
      <c r="BP1158" t="b">
        <v>0</v>
      </c>
      <c r="BQ1158">
        <v>2</v>
      </c>
      <c r="BR1158" t="s">
        <v>1667</v>
      </c>
      <c r="BS1158" t="s">
        <v>3129</v>
      </c>
      <c r="BT1158" t="b">
        <v>0</v>
      </c>
      <c r="BV1158" t="s">
        <v>1668</v>
      </c>
      <c r="BW1158">
        <v>5620</v>
      </c>
      <c r="BX1158" t="s">
        <v>1738</v>
      </c>
      <c r="BY1158">
        <v>320267</v>
      </c>
      <c r="BZ1158" t="s">
        <v>3130</v>
      </c>
      <c r="CA1158">
        <v>1</v>
      </c>
      <c r="CB1158" t="b">
        <v>1</v>
      </c>
      <c r="CC1158">
        <v>0</v>
      </c>
      <c r="CD1158" t="b">
        <v>0</v>
      </c>
      <c r="CE1158" t="b">
        <v>0</v>
      </c>
      <c r="CF1158" t="b">
        <v>1</v>
      </c>
      <c r="CG1158">
        <v>2569666</v>
      </c>
      <c r="CH1158" t="s">
        <v>1681</v>
      </c>
      <c r="CI1158" s="10">
        <v>1050000</v>
      </c>
    </row>
    <row r="1159" spans="1:90">
      <c r="A1159">
        <v>28012720</v>
      </c>
      <c r="B1159" s="2" t="str">
        <f>HYPERLINK("http://www.redfin.com/stingray/do/printable-listing?listing-id=1417289","Active")</f>
        <v>Active</v>
      </c>
      <c r="D1159" t="s">
        <v>3839</v>
      </c>
      <c r="E1159" t="s">
        <v>6046</v>
      </c>
      <c r="F1159">
        <v>649900</v>
      </c>
      <c r="G1159">
        <v>2003</v>
      </c>
      <c r="H1159">
        <v>3190</v>
      </c>
      <c r="I1159">
        <v>5919</v>
      </c>
      <c r="J1159">
        <v>4</v>
      </c>
      <c r="K1159">
        <v>2.5</v>
      </c>
      <c r="M1159" s="2" t="str">
        <f>HYPERLINK("http://maps.live.com/default.aspx?v=2&amp;lvl=15&amp;sp=Point.47.516308_-122.163654_4118 NE 27th Pl&amp;cp=47.516308~-122.163654","Map")</f>
        <v>Map</v>
      </c>
      <c r="N1159" s="2" t="str">
        <f>HYPERLINK("http://i-0.rfimg.us/photo/1/bigphoto/720/28012720_0.jpg","Photo")</f>
        <v>Photo</v>
      </c>
      <c r="AG1159">
        <v>47.516308000000002</v>
      </c>
      <c r="AH1159">
        <v>-122.16365399999999</v>
      </c>
      <c r="AI1159" t="s">
        <v>1077</v>
      </c>
      <c r="AJ1159">
        <v>98059</v>
      </c>
      <c r="AN1159">
        <v>562500</v>
      </c>
      <c r="BC1159" s="22">
        <v>39468.453032407408</v>
      </c>
      <c r="BI1159" s="22">
        <v>39549.294907407406</v>
      </c>
      <c r="BL1159">
        <v>12998</v>
      </c>
      <c r="BM1159">
        <v>1417289</v>
      </c>
      <c r="BN1159" t="s">
        <v>1768</v>
      </c>
      <c r="BO1159" s="17">
        <f t="shared" ca="1" si="18"/>
        <v>80.856373495371372</v>
      </c>
      <c r="BP1159" t="b">
        <v>0</v>
      </c>
      <c r="BQ1159">
        <v>1</v>
      </c>
      <c r="BR1159" t="s">
        <v>1842</v>
      </c>
      <c r="BS1159" t="s">
        <v>1751</v>
      </c>
      <c r="BT1159" t="b">
        <v>0</v>
      </c>
      <c r="BU1159" t="s">
        <v>1738</v>
      </c>
      <c r="BV1159" t="s">
        <v>1668</v>
      </c>
      <c r="BW1159">
        <v>4118</v>
      </c>
      <c r="BY1159">
        <v>410718</v>
      </c>
      <c r="BZ1159" t="s">
        <v>1676</v>
      </c>
      <c r="CA1159">
        <v>1</v>
      </c>
      <c r="CB1159" t="b">
        <v>1</v>
      </c>
      <c r="CC1159">
        <v>0</v>
      </c>
      <c r="CD1159" t="b">
        <v>0</v>
      </c>
      <c r="CE1159" t="b">
        <v>0</v>
      </c>
      <c r="CF1159" t="b">
        <v>1</v>
      </c>
      <c r="CG1159">
        <v>2863586</v>
      </c>
      <c r="CH1159" t="s">
        <v>1681</v>
      </c>
      <c r="CI1159" s="10">
        <v>649900</v>
      </c>
      <c r="CJ1159" s="7">
        <v>38314</v>
      </c>
    </row>
    <row r="1160" spans="1:90">
      <c r="A1160">
        <v>28012742</v>
      </c>
      <c r="B1160" s="2" t="str">
        <f>HYPERLINK("http://www.redfin.com/stingray/do/printable-listing?listing-id=1417326","Active")</f>
        <v>Active</v>
      </c>
      <c r="D1160" t="s">
        <v>2850</v>
      </c>
      <c r="E1160" t="s">
        <v>4550</v>
      </c>
      <c r="F1160">
        <v>519000</v>
      </c>
      <c r="G1160">
        <v>1982</v>
      </c>
      <c r="H1160">
        <v>0</v>
      </c>
      <c r="I1160">
        <v>9758</v>
      </c>
      <c r="J1160">
        <v>3</v>
      </c>
      <c r="K1160">
        <v>2.5</v>
      </c>
      <c r="M1160" s="2" t="str">
        <f>HYPERLINK("http://maps.live.com/default.aspx?v=2&amp;lvl=15&amp;sp=Point.47.702855_-122.198441_11423 107 Pl NE&amp;cp=47.702855~-122.198441","Map")</f>
        <v>Map</v>
      </c>
      <c r="N1160" s="2" t="str">
        <f>HYPERLINK("http://i-0.rfimg.us/photo/1/bigphoto/742/28012742_0.jpg","Photo")</f>
        <v>Photo</v>
      </c>
      <c r="AG1160">
        <v>47.702855</v>
      </c>
      <c r="AH1160">
        <v>-122.198441</v>
      </c>
      <c r="AI1160" t="s">
        <v>1058</v>
      </c>
      <c r="AJ1160">
        <v>98033</v>
      </c>
      <c r="AN1160">
        <v>235000</v>
      </c>
      <c r="BC1160" s="22">
        <v>39468.464641203704</v>
      </c>
      <c r="BI1160" s="22">
        <v>39549.294907407406</v>
      </c>
      <c r="BL1160">
        <v>10380</v>
      </c>
      <c r="BM1160">
        <v>1417326</v>
      </c>
      <c r="BN1160" t="s">
        <v>3171</v>
      </c>
      <c r="BO1160" s="17">
        <f t="shared" ca="1" si="18"/>
        <v>80.844764699075313</v>
      </c>
      <c r="BP1160" t="b">
        <v>0</v>
      </c>
      <c r="BQ1160">
        <v>1</v>
      </c>
      <c r="BR1160" t="s">
        <v>1842</v>
      </c>
      <c r="BS1160">
        <v>107</v>
      </c>
      <c r="BT1160" t="b">
        <v>0</v>
      </c>
      <c r="BV1160" t="s">
        <v>1668</v>
      </c>
      <c r="BW1160">
        <v>11423</v>
      </c>
      <c r="BX1160" t="s">
        <v>1738</v>
      </c>
      <c r="BY1160">
        <v>462533</v>
      </c>
      <c r="BZ1160" t="s">
        <v>1762</v>
      </c>
      <c r="CA1160">
        <v>1</v>
      </c>
      <c r="CB1160" t="b">
        <v>1</v>
      </c>
      <c r="CC1160">
        <v>0</v>
      </c>
      <c r="CD1160" t="b">
        <v>0</v>
      </c>
      <c r="CE1160" t="b">
        <v>0</v>
      </c>
      <c r="CF1160" t="b">
        <v>1</v>
      </c>
      <c r="CG1160">
        <v>2979336</v>
      </c>
      <c r="CH1160" t="s">
        <v>1681</v>
      </c>
      <c r="CI1160" s="10">
        <v>519000</v>
      </c>
      <c r="CJ1160" s="7">
        <v>36112</v>
      </c>
    </row>
    <row r="1161" spans="1:90">
      <c r="A1161">
        <v>28012763</v>
      </c>
      <c r="B1161" s="2" t="str">
        <f>HYPERLINK("http://www.redfin.com/stingray/do/printable-listing?listing-id=1417418","Active")</f>
        <v>Active</v>
      </c>
      <c r="D1161" t="s">
        <v>1077</v>
      </c>
      <c r="E1161" t="s">
        <v>6046</v>
      </c>
      <c r="F1161" s="19">
        <v>649900</v>
      </c>
      <c r="G1161">
        <v>2003</v>
      </c>
      <c r="H1161">
        <v>3190</v>
      </c>
      <c r="I1161">
        <v>5919</v>
      </c>
      <c r="J1161">
        <v>4</v>
      </c>
      <c r="K1161">
        <v>2.5</v>
      </c>
      <c r="M1161" s="2" t="str">
        <f>HYPERLINK("http://maps.live.com/default.aspx?v=2&amp;lvl=15&amp;sp=Point.47.516308_-122.163654_4118 NE 27th Pl&amp;cp=47.516308~-122.163654","Map")</f>
        <v>Map</v>
      </c>
      <c r="N1161" s="2" t="str">
        <f>HYPERLINK("http://i-0.rfimg.us/photo/1/bigphoto/763/28012763_0.jpg","Photo")</f>
        <v>Photo</v>
      </c>
      <c r="AG1161">
        <v>47.516308000000002</v>
      </c>
      <c r="AH1161">
        <v>-122.16365399999999</v>
      </c>
      <c r="AI1161" t="s">
        <v>1077</v>
      </c>
      <c r="AJ1161">
        <v>98059</v>
      </c>
      <c r="AN1161">
        <v>562500</v>
      </c>
      <c r="BC1161" s="22">
        <v>39468.485775462963</v>
      </c>
      <c r="BI1161" s="22">
        <v>39549.294907407406</v>
      </c>
      <c r="BL1161">
        <v>13198</v>
      </c>
      <c r="BM1161">
        <v>1417418</v>
      </c>
      <c r="BN1161" t="s">
        <v>1768</v>
      </c>
      <c r="BO1161" s="17">
        <f t="shared" ca="1" si="18"/>
        <v>80.823630439816043</v>
      </c>
      <c r="BP1161" t="b">
        <v>0</v>
      </c>
      <c r="BQ1161">
        <v>1</v>
      </c>
      <c r="BR1161" t="s">
        <v>1842</v>
      </c>
      <c r="BS1161" t="s">
        <v>1751</v>
      </c>
      <c r="BT1161" t="b">
        <v>0</v>
      </c>
      <c r="BU1161" t="s">
        <v>1738</v>
      </c>
      <c r="BV1161" t="s">
        <v>1668</v>
      </c>
      <c r="BW1161">
        <v>4118</v>
      </c>
      <c r="BY1161">
        <v>410718</v>
      </c>
      <c r="BZ1161" t="s">
        <v>1676</v>
      </c>
      <c r="CA1161">
        <v>1</v>
      </c>
      <c r="CB1161" t="b">
        <v>1</v>
      </c>
      <c r="CC1161">
        <v>0</v>
      </c>
      <c r="CD1161" t="b">
        <v>0</v>
      </c>
      <c r="CE1161" t="b">
        <v>0</v>
      </c>
      <c r="CF1161" t="b">
        <v>1</v>
      </c>
      <c r="CG1161">
        <v>2863586</v>
      </c>
      <c r="CH1161" t="s">
        <v>1681</v>
      </c>
      <c r="CI1161" s="10">
        <v>659900</v>
      </c>
      <c r="CJ1161" s="7">
        <v>38314</v>
      </c>
    </row>
    <row r="1162" spans="1:90">
      <c r="A1162">
        <v>28012797</v>
      </c>
      <c r="B1162" s="2" t="str">
        <f>HYPERLINK("http://www.redfin.com/stingray/do/printable-listing?listing-id=1417498","Active")</f>
        <v>Active</v>
      </c>
      <c r="D1162" t="s">
        <v>3064</v>
      </c>
      <c r="E1162" t="s">
        <v>3767</v>
      </c>
      <c r="F1162">
        <v>468950</v>
      </c>
      <c r="G1162">
        <v>2006</v>
      </c>
      <c r="H1162">
        <v>2190</v>
      </c>
      <c r="I1162">
        <v>0</v>
      </c>
      <c r="J1162">
        <v>4</v>
      </c>
      <c r="K1162">
        <v>2.5</v>
      </c>
      <c r="M1162" s="2" t="str">
        <f>HYPERLINK("http://maps.live.com/default.aspx?v=2&amp;lvl=15&amp;sp=Point.47.6595_-122.327503_4335 NE 2 Ct&amp;cp=47.6595~-122.327503","Map")</f>
        <v>Map</v>
      </c>
      <c r="N1162" s="2" t="str">
        <f>HYPERLINK("http://i-0.rfimg.us/photo/1/bigphoto/797/28012797_2.jpg","Photo")</f>
        <v>Photo</v>
      </c>
      <c r="AG1162">
        <v>47.659500000000001</v>
      </c>
      <c r="AH1162">
        <v>-122.32750299999999</v>
      </c>
      <c r="AI1162" t="s">
        <v>1077</v>
      </c>
      <c r="AJ1162">
        <v>98059</v>
      </c>
      <c r="AN1162">
        <v>429950</v>
      </c>
      <c r="BC1162" s="22">
        <v>39468.518310185187</v>
      </c>
      <c r="BI1162" s="7">
        <v>39538</v>
      </c>
      <c r="BL1162">
        <v>9379</v>
      </c>
      <c r="BM1162">
        <v>1417498</v>
      </c>
      <c r="BN1162" t="s">
        <v>1775</v>
      </c>
      <c r="BO1162" s="17">
        <f t="shared" ca="1" si="18"/>
        <v>80.791095717591816</v>
      </c>
      <c r="BP1162" t="b">
        <v>0</v>
      </c>
      <c r="BQ1162">
        <v>1</v>
      </c>
      <c r="BR1162" t="s">
        <v>3768</v>
      </c>
      <c r="BS1162">
        <v>2</v>
      </c>
      <c r="BT1162" t="b">
        <v>0</v>
      </c>
      <c r="BU1162" t="s">
        <v>1738</v>
      </c>
      <c r="BV1162" t="s">
        <v>1668</v>
      </c>
      <c r="BW1162">
        <v>4335</v>
      </c>
      <c r="BY1162">
        <v>2117548</v>
      </c>
      <c r="BZ1162" t="s">
        <v>3585</v>
      </c>
      <c r="CA1162">
        <v>1</v>
      </c>
      <c r="CB1162" t="b">
        <v>1</v>
      </c>
      <c r="CC1162">
        <v>0</v>
      </c>
      <c r="CD1162" t="b">
        <v>0</v>
      </c>
      <c r="CE1162" t="b">
        <v>0</v>
      </c>
      <c r="CF1162" t="b">
        <v>1</v>
      </c>
      <c r="CG1162">
        <v>3024463</v>
      </c>
      <c r="CH1162" t="s">
        <v>1681</v>
      </c>
      <c r="CI1162" s="10">
        <v>468950</v>
      </c>
      <c r="CJ1162" s="7">
        <v>39171</v>
      </c>
    </row>
    <row r="1163" spans="1:90">
      <c r="A1163">
        <v>28012798</v>
      </c>
      <c r="B1163" s="2" t="str">
        <f>HYPERLINK("http://www.redfin.com/stingray/do/printable-listing?listing-id=1417439","Active")</f>
        <v>Active</v>
      </c>
      <c r="D1163" t="s">
        <v>4611</v>
      </c>
      <c r="E1163" t="s">
        <v>4934</v>
      </c>
      <c r="F1163">
        <v>599000</v>
      </c>
      <c r="G1163">
        <v>1979</v>
      </c>
      <c r="H1163">
        <v>2360</v>
      </c>
      <c r="I1163">
        <v>8900</v>
      </c>
      <c r="J1163">
        <v>4</v>
      </c>
      <c r="K1163">
        <v>2.25</v>
      </c>
      <c r="M1163" s="2" t="str">
        <f>HYPERLINK("http://maps.live.com/default.aspx?v=2&amp;lvl=15&amp;sp=Point.47.662952_-122.14659_6220 145th Ave NE&amp;cp=47.662952~-122.14659","Map")</f>
        <v>Map</v>
      </c>
      <c r="N1163" s="2" t="str">
        <f>HYPERLINK("http://i-0.rfimg.us/photo/1/bigphoto/798/28012798_2.jpg","Photo")</f>
        <v>Photo</v>
      </c>
      <c r="AG1163">
        <v>47.662951999999997</v>
      </c>
      <c r="AH1163">
        <v>-122.14659</v>
      </c>
      <c r="AI1163" t="s">
        <v>4363</v>
      </c>
      <c r="AJ1163">
        <v>98052</v>
      </c>
      <c r="AN1163">
        <v>112250</v>
      </c>
      <c r="BC1163" s="22">
        <v>39468.507233796299</v>
      </c>
      <c r="BI1163" s="22">
        <v>39549.294907407406</v>
      </c>
      <c r="BL1163">
        <v>11980</v>
      </c>
      <c r="BM1163">
        <v>1417439</v>
      </c>
      <c r="BN1163" t="s">
        <v>1674</v>
      </c>
      <c r="BO1163" s="17">
        <f t="shared" ca="1" si="18"/>
        <v>80.802172106479702</v>
      </c>
      <c r="BP1163" t="b">
        <v>0</v>
      </c>
      <c r="BQ1163">
        <v>1</v>
      </c>
      <c r="BR1163" t="s">
        <v>1667</v>
      </c>
      <c r="BS1163" t="s">
        <v>4646</v>
      </c>
      <c r="BT1163" t="b">
        <v>0</v>
      </c>
      <c r="BV1163" t="s">
        <v>1668</v>
      </c>
      <c r="BW1163">
        <v>6220</v>
      </c>
      <c r="BX1163" t="s">
        <v>1738</v>
      </c>
      <c r="BY1163">
        <v>515391</v>
      </c>
      <c r="BZ1163" t="s">
        <v>3145</v>
      </c>
      <c r="CA1163">
        <v>1</v>
      </c>
      <c r="CB1163" t="b">
        <v>1</v>
      </c>
      <c r="CC1163">
        <v>0</v>
      </c>
      <c r="CD1163" t="b">
        <v>0</v>
      </c>
      <c r="CE1163" t="b">
        <v>0</v>
      </c>
      <c r="CF1163" t="b">
        <v>1</v>
      </c>
      <c r="CG1163">
        <v>2601442</v>
      </c>
      <c r="CH1163" t="s">
        <v>1681</v>
      </c>
      <c r="CI1163" s="10">
        <v>599000</v>
      </c>
      <c r="CJ1163" s="7">
        <v>31330</v>
      </c>
    </row>
    <row r="1164" spans="1:90">
      <c r="A1164">
        <v>28012833</v>
      </c>
      <c r="B1164" s="2" t="str">
        <f>HYPERLINK("http://www.redfin.com/stingray/do/printable-listing?listing-id=1417647","Active")</f>
        <v>Active</v>
      </c>
      <c r="D1164" t="s">
        <v>88</v>
      </c>
      <c r="E1164" t="s">
        <v>2549</v>
      </c>
      <c r="F1164">
        <v>550000</v>
      </c>
      <c r="G1164">
        <v>1906</v>
      </c>
      <c r="H1164">
        <v>2000</v>
      </c>
      <c r="I1164">
        <v>4800</v>
      </c>
      <c r="J1164">
        <v>3</v>
      </c>
      <c r="K1164">
        <v>1.75</v>
      </c>
      <c r="M1164" s="2" t="str">
        <f>HYPERLINK("http://maps.live.com/default.aspx?v=2&amp;lvl=15&amp;sp=Point.47.662114_-122.359563_209 NW 46th St&amp;cp=47.662114~-122.359563","Map")</f>
        <v>Map</v>
      </c>
      <c r="N1164" s="2" t="str">
        <f>HYPERLINK("http://i-0.rfimg.us/photo/1/bigphoto/833/28012833_0.jpg","Photo")</f>
        <v>Photo</v>
      </c>
      <c r="AG1164">
        <v>47.662114000000003</v>
      </c>
      <c r="AH1164">
        <v>-122.35956299999999</v>
      </c>
      <c r="AI1164" t="s">
        <v>66</v>
      </c>
      <c r="AJ1164">
        <v>98107</v>
      </c>
      <c r="BC1164" s="22">
        <v>39468.551157407404</v>
      </c>
      <c r="BI1164" s="7">
        <v>39539</v>
      </c>
      <c r="BL1164">
        <v>11000</v>
      </c>
      <c r="BM1164">
        <v>1417647</v>
      </c>
      <c r="BN1164" t="s">
        <v>1725</v>
      </c>
      <c r="BO1164" s="17">
        <f t="shared" ca="1" si="18"/>
        <v>80.758248611113231</v>
      </c>
      <c r="BP1164" t="b">
        <v>0</v>
      </c>
      <c r="BQ1164">
        <v>1</v>
      </c>
      <c r="BR1164" t="s">
        <v>1686</v>
      </c>
      <c r="BS1164" t="s">
        <v>2471</v>
      </c>
      <c r="BT1164" t="b">
        <v>0</v>
      </c>
      <c r="BU1164" t="s">
        <v>1669</v>
      </c>
      <c r="BV1164" t="s">
        <v>1668</v>
      </c>
      <c r="BW1164">
        <v>209</v>
      </c>
      <c r="BY1164">
        <v>303586</v>
      </c>
      <c r="BZ1164" t="s">
        <v>1670</v>
      </c>
      <c r="CA1164">
        <v>1</v>
      </c>
      <c r="CB1164" t="b">
        <v>1</v>
      </c>
      <c r="CC1164">
        <v>0</v>
      </c>
      <c r="CD1164" t="b">
        <v>0</v>
      </c>
      <c r="CE1164" t="b">
        <v>0</v>
      </c>
      <c r="CF1164" t="b">
        <v>1</v>
      </c>
      <c r="CG1164">
        <v>2366929</v>
      </c>
      <c r="CH1164" t="s">
        <v>1681</v>
      </c>
      <c r="CI1164" s="10">
        <v>550000</v>
      </c>
    </row>
    <row r="1165" spans="1:90">
      <c r="A1165">
        <v>28012843</v>
      </c>
      <c r="B1165" s="2" t="str">
        <f>HYPERLINK("http://www.redfin.com/stingray/do/printable-listing?listing-id=1418583","Subject To Inspection")</f>
        <v>Subject To Inspection</v>
      </c>
      <c r="D1165" t="s">
        <v>1058</v>
      </c>
      <c r="E1165" t="s">
        <v>4583</v>
      </c>
      <c r="F1165">
        <v>599950</v>
      </c>
      <c r="G1165">
        <v>1980</v>
      </c>
      <c r="H1165">
        <v>2720</v>
      </c>
      <c r="I1165">
        <v>9360</v>
      </c>
      <c r="J1165">
        <v>3</v>
      </c>
      <c r="K1165">
        <v>4</v>
      </c>
      <c r="M1165" s="2" t="str">
        <f>HYPERLINK("http://maps.live.com/default.aspx?v=2&amp;lvl=15&amp;sp=Point.47.726026_-122.186117_11612 NE 140th&amp;cp=47.726026~-122.186117","Map")</f>
        <v>Map</v>
      </c>
      <c r="N1165" s="2" t="str">
        <f>HYPERLINK("http://i-0.rfimg.us/photo/1/bigphoto/843/28012843_1.jpg","Photo")</f>
        <v>Photo</v>
      </c>
      <c r="AG1165">
        <v>47.726025999999997</v>
      </c>
      <c r="AH1165">
        <v>-122.186117</v>
      </c>
      <c r="AI1165" t="s">
        <v>1058</v>
      </c>
      <c r="AJ1165">
        <v>98034</v>
      </c>
      <c r="BC1165" s="22">
        <v>39468.841562499998</v>
      </c>
      <c r="BI1165" s="7">
        <v>39540</v>
      </c>
      <c r="BL1165">
        <v>11999</v>
      </c>
      <c r="BM1165">
        <v>1418583</v>
      </c>
      <c r="BN1165" t="s">
        <v>1673</v>
      </c>
      <c r="BO1165" s="17">
        <f t="shared" ca="1" si="18"/>
        <v>80.467843402781</v>
      </c>
      <c r="BP1165" t="b">
        <v>0</v>
      </c>
      <c r="BQ1165">
        <v>2</v>
      </c>
      <c r="BS1165" t="s">
        <v>4434</v>
      </c>
      <c r="BT1165" t="b">
        <v>0</v>
      </c>
      <c r="BU1165" t="s">
        <v>1738</v>
      </c>
      <c r="BV1165" t="s">
        <v>1668</v>
      </c>
      <c r="BW1165">
        <v>11612</v>
      </c>
      <c r="BY1165">
        <v>453220</v>
      </c>
      <c r="BZ1165" t="s">
        <v>4584</v>
      </c>
      <c r="CA1165">
        <v>1</v>
      </c>
      <c r="CB1165" t="b">
        <v>1</v>
      </c>
      <c r="CC1165">
        <v>0</v>
      </c>
      <c r="CD1165" t="b">
        <v>0</v>
      </c>
      <c r="CE1165" t="b">
        <v>0</v>
      </c>
      <c r="CF1165" t="b">
        <v>1</v>
      </c>
      <c r="CG1165">
        <v>2378500</v>
      </c>
      <c r="CH1165" t="s">
        <v>1681</v>
      </c>
      <c r="CI1165" s="10">
        <v>599950</v>
      </c>
    </row>
    <row r="1166" spans="1:90">
      <c r="A1166">
        <v>28012861</v>
      </c>
      <c r="B1166" s="2" t="str">
        <f>HYPERLINK("http://www.redfin.com/stingray/do/printable-listing?listing-id=1417648","Active")</f>
        <v>Active</v>
      </c>
      <c r="D1166" t="s">
        <v>192</v>
      </c>
      <c r="E1166" t="s">
        <v>3005</v>
      </c>
      <c r="F1166">
        <v>542000</v>
      </c>
      <c r="G1166">
        <v>1995</v>
      </c>
      <c r="H1166">
        <v>2390</v>
      </c>
      <c r="I1166">
        <v>5040</v>
      </c>
      <c r="J1166">
        <v>5</v>
      </c>
      <c r="K1166">
        <v>3</v>
      </c>
      <c r="M1166" s="2" t="str">
        <f>HYPERLINK("http://maps.live.com/default.aspx?v=2&amp;lvl=15&amp;sp=Point.47.698785_-122.3125_9607 15th Ave NE&amp;cp=47.698785~-122.3125","Map")</f>
        <v>Map</v>
      </c>
      <c r="N1166" s="2" t="str">
        <f>HYPERLINK("http://i-0.rfimg.us/photo/1/bigphoto/861/28012861_1.jpg","Photo")</f>
        <v>Photo</v>
      </c>
      <c r="AG1166">
        <v>47.698785000000001</v>
      </c>
      <c r="AH1166">
        <v>-122.3125</v>
      </c>
      <c r="AI1166" t="s">
        <v>66</v>
      </c>
      <c r="AJ1166">
        <v>98115</v>
      </c>
      <c r="AN1166">
        <v>455032</v>
      </c>
      <c r="BC1166" s="22">
        <v>39468.551238425927</v>
      </c>
      <c r="BI1166" s="22">
        <v>39549.294907407406</v>
      </c>
      <c r="BL1166">
        <v>10840</v>
      </c>
      <c r="BM1166">
        <v>1417648</v>
      </c>
      <c r="BN1166" t="s">
        <v>3004</v>
      </c>
      <c r="BO1166" s="17">
        <f t="shared" ca="1" si="18"/>
        <v>80.758167476851668</v>
      </c>
      <c r="BP1166" t="b">
        <v>0</v>
      </c>
      <c r="BQ1166">
        <v>1</v>
      </c>
      <c r="BR1166" t="s">
        <v>1667</v>
      </c>
      <c r="BS1166" t="s">
        <v>1838</v>
      </c>
      <c r="BT1166" t="b">
        <v>0</v>
      </c>
      <c r="BV1166" t="s">
        <v>1668</v>
      </c>
      <c r="BW1166">
        <v>9607</v>
      </c>
      <c r="BX1166" t="s">
        <v>1738</v>
      </c>
      <c r="BY1166">
        <v>110566</v>
      </c>
      <c r="BZ1166" t="s">
        <v>3006</v>
      </c>
      <c r="CA1166">
        <v>1</v>
      </c>
      <c r="CB1166" t="b">
        <v>1</v>
      </c>
      <c r="CC1166">
        <v>0</v>
      </c>
      <c r="CD1166" t="b">
        <v>0</v>
      </c>
      <c r="CE1166" t="b">
        <v>0</v>
      </c>
      <c r="CF1166" t="b">
        <v>1</v>
      </c>
      <c r="CG1166">
        <v>2417118</v>
      </c>
      <c r="CH1166" t="s">
        <v>1681</v>
      </c>
      <c r="CI1166" s="10">
        <v>542000</v>
      </c>
      <c r="CJ1166" s="7">
        <v>39034</v>
      </c>
    </row>
    <row r="1167" spans="1:90">
      <c r="A1167">
        <v>28012862</v>
      </c>
      <c r="B1167" s="2" t="str">
        <f>HYPERLINK("http://www.redfin.com/stingray/do/printable-listing?listing-id=1430039","Active")</f>
        <v>Active</v>
      </c>
      <c r="D1167" t="s">
        <v>60</v>
      </c>
      <c r="E1167" t="s">
        <v>736</v>
      </c>
      <c r="F1167">
        <v>430000</v>
      </c>
      <c r="G1167">
        <v>1908</v>
      </c>
      <c r="H1167">
        <v>860</v>
      </c>
      <c r="I1167">
        <v>2526</v>
      </c>
      <c r="J1167">
        <v>2</v>
      </c>
      <c r="K1167">
        <v>1</v>
      </c>
      <c r="M1167" s="2" t="str">
        <f>HYPERLINK("http://maps.live.com/default.aspx?v=2&amp;lvl=15&amp;sp=Point.47.683249_-122.323127_7503 5 Ave NE&amp;cp=47.683249~-122.323127","Map")</f>
        <v>Map</v>
      </c>
      <c r="N1167" s="2" t="str">
        <f>HYPERLINK("http://i-0.rfimg.us/photo/1/bigphoto/862/28012862_0.jpg","Photo")</f>
        <v>Photo</v>
      </c>
      <c r="AG1167">
        <v>47.683249000000004</v>
      </c>
      <c r="AH1167">
        <v>-122.323127</v>
      </c>
      <c r="AI1167" t="s">
        <v>66</v>
      </c>
      <c r="AJ1167">
        <v>98115</v>
      </c>
      <c r="AN1167">
        <v>332000</v>
      </c>
      <c r="BC1167" s="22">
        <v>39472.681909722225</v>
      </c>
      <c r="BI1167" s="22">
        <v>39549.294907407406</v>
      </c>
      <c r="BL1167">
        <v>8600</v>
      </c>
      <c r="BM1167">
        <v>1430039</v>
      </c>
      <c r="BN1167" t="s">
        <v>1773</v>
      </c>
      <c r="BO1167" s="17">
        <f t="shared" ca="1" si="18"/>
        <v>76.627496180553862</v>
      </c>
      <c r="BP1167" t="b">
        <v>0</v>
      </c>
      <c r="BQ1167">
        <v>1</v>
      </c>
      <c r="BR1167" t="s">
        <v>1667</v>
      </c>
      <c r="BS1167">
        <v>5</v>
      </c>
      <c r="BT1167" t="b">
        <v>0</v>
      </c>
      <c r="BV1167" t="s">
        <v>1668</v>
      </c>
      <c r="BW1167">
        <v>7503</v>
      </c>
      <c r="BX1167" t="s">
        <v>1738</v>
      </c>
      <c r="BY1167">
        <v>307392</v>
      </c>
      <c r="BZ1167" t="s">
        <v>1670</v>
      </c>
      <c r="CA1167">
        <v>1</v>
      </c>
      <c r="CB1167" t="b">
        <v>1</v>
      </c>
      <c r="CC1167">
        <v>0</v>
      </c>
      <c r="CD1167" t="b">
        <v>1</v>
      </c>
      <c r="CE1167" t="b">
        <v>0</v>
      </c>
      <c r="CF1167" t="b">
        <v>1</v>
      </c>
      <c r="CG1167">
        <v>2916063</v>
      </c>
      <c r="CH1167" t="s">
        <v>1681</v>
      </c>
      <c r="CI1167" s="10">
        <v>430000</v>
      </c>
      <c r="CJ1167" s="7">
        <v>38560</v>
      </c>
    </row>
    <row r="1168" spans="1:90">
      <c r="A1168">
        <v>28012879</v>
      </c>
      <c r="B1168" s="2" t="str">
        <f>HYPERLINK("http://www.redfin.com/stingray/do/printable-listing?listing-id=1417779","Active")</f>
        <v>Active</v>
      </c>
      <c r="D1168" t="s">
        <v>5565</v>
      </c>
      <c r="E1168" t="s">
        <v>5804</v>
      </c>
      <c r="F1168">
        <v>549950</v>
      </c>
      <c r="G1168">
        <v>1991</v>
      </c>
      <c r="H1168">
        <v>2260</v>
      </c>
      <c r="I1168">
        <v>6178</v>
      </c>
      <c r="J1168">
        <v>3</v>
      </c>
      <c r="K1168">
        <v>2.75</v>
      </c>
      <c r="M1168" s="2" t="str">
        <f>HYPERLINK("http://maps.live.com/default.aspx?v=2&amp;lvl=15&amp;sp=Point.47.541396_-122.181803_6814 119th Ave SE&amp;cp=47.541396~-122.181803","Map")</f>
        <v>Map</v>
      </c>
      <c r="N1168" s="2" t="str">
        <f>HYPERLINK("http://i-0.rfimg.us/photo/1/bigphoto/879/28012879_1.jpg","Photo")</f>
        <v>Photo</v>
      </c>
      <c r="AG1168">
        <v>47.541395999999999</v>
      </c>
      <c r="AH1168">
        <v>-122.181803</v>
      </c>
      <c r="AI1168" t="s">
        <v>369</v>
      </c>
      <c r="AJ1168">
        <v>98006</v>
      </c>
      <c r="AN1168">
        <v>470000</v>
      </c>
      <c r="BC1168" s="22">
        <v>39468.596435185187</v>
      </c>
      <c r="BI1168" s="22">
        <v>39549.294907407406</v>
      </c>
      <c r="BL1168">
        <v>10999</v>
      </c>
      <c r="BM1168">
        <v>1417779</v>
      </c>
      <c r="BN1168" t="s">
        <v>3023</v>
      </c>
      <c r="BO1168" s="17">
        <f t="shared" ca="1" si="18"/>
        <v>80.712970717591816</v>
      </c>
      <c r="BP1168" t="b">
        <v>0</v>
      </c>
      <c r="BQ1168">
        <v>1</v>
      </c>
      <c r="BR1168" t="s">
        <v>1667</v>
      </c>
      <c r="BS1168" t="s">
        <v>4573</v>
      </c>
      <c r="BT1168" t="b">
        <v>0</v>
      </c>
      <c r="BV1168" t="s">
        <v>1668</v>
      </c>
      <c r="BW1168">
        <v>6814</v>
      </c>
      <c r="BX1168" t="s">
        <v>3856</v>
      </c>
      <c r="BY1168">
        <v>416796</v>
      </c>
      <c r="BZ1168" t="s">
        <v>1742</v>
      </c>
      <c r="CA1168">
        <v>1</v>
      </c>
      <c r="CB1168" t="b">
        <v>1</v>
      </c>
      <c r="CC1168">
        <v>0</v>
      </c>
      <c r="CD1168" t="b">
        <v>0</v>
      </c>
      <c r="CE1168" t="b">
        <v>0</v>
      </c>
      <c r="CF1168" t="b">
        <v>1</v>
      </c>
      <c r="CG1168">
        <v>2723911</v>
      </c>
      <c r="CH1168" t="s">
        <v>1681</v>
      </c>
      <c r="CI1168" s="10">
        <v>549950</v>
      </c>
      <c r="CJ1168" s="7">
        <v>39142</v>
      </c>
    </row>
    <row r="1169" spans="1:89">
      <c r="A1169">
        <v>28012906</v>
      </c>
      <c r="B1169" s="2" t="str">
        <f>HYPERLINK("http://www.redfin.com/stingray/do/printable-listing?listing-id=1419878","Active")</f>
        <v>Active</v>
      </c>
      <c r="D1169" t="s">
        <v>55</v>
      </c>
      <c r="E1169" t="s">
        <v>1871</v>
      </c>
      <c r="F1169">
        <v>339000</v>
      </c>
      <c r="G1169">
        <v>2007</v>
      </c>
      <c r="H1169">
        <v>0</v>
      </c>
      <c r="I1169">
        <v>0</v>
      </c>
      <c r="J1169">
        <v>3</v>
      </c>
      <c r="K1169">
        <v>1.5</v>
      </c>
      <c r="M1169" s="2" t="str">
        <f>HYPERLINK("http://maps.live.com/default.aspx?v=2&amp;lvl=15&amp;sp=adr.345 N 105th entr on Dayton St (Unable to map),98103","Map")</f>
        <v>Map</v>
      </c>
      <c r="N1169" s="2" t="str">
        <f>HYPERLINK("http://i-0.rfimg.us/photo/1/bigphoto/906/28012906_2.jpg","Photo")</f>
        <v>Photo</v>
      </c>
      <c r="AG1169">
        <v>47.704863000000003</v>
      </c>
      <c r="AH1169">
        <v>-122.353289</v>
      </c>
      <c r="AI1169" t="s">
        <v>66</v>
      </c>
      <c r="AJ1169">
        <v>98103</v>
      </c>
      <c r="AN1169">
        <v>295000</v>
      </c>
      <c r="BC1169" s="22">
        <v>39469.519421296296</v>
      </c>
      <c r="BI1169" s="22">
        <v>39549.294907407406</v>
      </c>
      <c r="BL1169">
        <v>6780</v>
      </c>
      <c r="BM1169">
        <v>1419878</v>
      </c>
      <c r="BN1169" t="s">
        <v>1710</v>
      </c>
      <c r="BO1169" s="17">
        <f t="shared" ca="1" si="18"/>
        <v>79.789984722221561</v>
      </c>
      <c r="BP1169" t="b">
        <v>0</v>
      </c>
      <c r="BQ1169">
        <v>1</v>
      </c>
      <c r="BR1169" t="s">
        <v>1686</v>
      </c>
      <c r="BS1169" t="s">
        <v>1872</v>
      </c>
      <c r="BT1169" t="b">
        <v>0</v>
      </c>
      <c r="BU1169" t="s">
        <v>1712</v>
      </c>
      <c r="BV1169" t="s">
        <v>1668</v>
      </c>
      <c r="BW1169">
        <v>345</v>
      </c>
      <c r="BY1169">
        <v>0</v>
      </c>
      <c r="BZ1169" t="s">
        <v>1873</v>
      </c>
      <c r="CA1169">
        <v>1</v>
      </c>
      <c r="CB1169" t="b">
        <v>1</v>
      </c>
      <c r="CC1169">
        <v>0</v>
      </c>
      <c r="CD1169" t="b">
        <v>0</v>
      </c>
      <c r="CE1169" t="b">
        <v>0</v>
      </c>
      <c r="CF1169" t="b">
        <v>1</v>
      </c>
      <c r="CG1169" t="s">
        <v>1870</v>
      </c>
      <c r="CH1169" t="s">
        <v>1681</v>
      </c>
      <c r="CI1169" s="10">
        <v>339000</v>
      </c>
      <c r="CJ1169" s="7">
        <v>38776</v>
      </c>
      <c r="CK1169" t="s">
        <v>2001</v>
      </c>
    </row>
    <row r="1170" spans="1:89">
      <c r="A1170">
        <v>28012960</v>
      </c>
      <c r="B1170" s="2" t="str">
        <f>HYPERLINK("http://www.redfin.com/stingray/do/printable-listing?listing-id=1423384","Active")</f>
        <v>Active</v>
      </c>
      <c r="D1170" t="s">
        <v>3714</v>
      </c>
      <c r="E1170" t="s">
        <v>3732</v>
      </c>
      <c r="F1170">
        <v>1195000</v>
      </c>
      <c r="G1170">
        <v>1952</v>
      </c>
      <c r="H1170">
        <v>2080</v>
      </c>
      <c r="I1170">
        <v>7075</v>
      </c>
      <c r="J1170">
        <v>2</v>
      </c>
      <c r="K1170">
        <v>1.75</v>
      </c>
      <c r="M1170" s="2" t="str">
        <f>HYPERLINK("http://maps.live.com/default.aspx?v=2&amp;lvl=15&amp;sp=Point.47.638826_-122.288679_2128 Broadmoor Dr E&amp;cp=47.638826~-122.288679","Map")</f>
        <v>Map</v>
      </c>
      <c r="N1170" s="2" t="str">
        <f>HYPERLINK("http://i-0.rfimg.us/photo/1/bigphoto/960/28012960_0.jpg","Photo")</f>
        <v>Photo</v>
      </c>
      <c r="AG1170">
        <v>47.638826000000002</v>
      </c>
      <c r="AH1170">
        <v>-122.288679</v>
      </c>
      <c r="AI1170" t="s">
        <v>66</v>
      </c>
      <c r="AJ1170">
        <v>98112</v>
      </c>
      <c r="BC1170" s="22">
        <v>39470.611481481479</v>
      </c>
      <c r="BI1170" s="22">
        <v>39549.294907407406</v>
      </c>
      <c r="BL1170">
        <v>23900</v>
      </c>
      <c r="BM1170">
        <v>1423384</v>
      </c>
      <c r="BN1170" t="s">
        <v>1710</v>
      </c>
      <c r="BO1170" s="17">
        <f t="shared" ca="1" si="18"/>
        <v>78.697924421299831</v>
      </c>
      <c r="BP1170" t="b">
        <v>0</v>
      </c>
      <c r="BQ1170">
        <v>1</v>
      </c>
      <c r="BR1170" t="s">
        <v>1816</v>
      </c>
      <c r="BS1170" t="s">
        <v>3714</v>
      </c>
      <c r="BT1170" t="b">
        <v>0</v>
      </c>
      <c r="BV1170" t="s">
        <v>1668</v>
      </c>
      <c r="BW1170">
        <v>2128</v>
      </c>
      <c r="BX1170" t="s">
        <v>2436</v>
      </c>
      <c r="BY1170">
        <v>138970</v>
      </c>
      <c r="BZ1170" t="s">
        <v>1713</v>
      </c>
      <c r="CA1170">
        <v>1</v>
      </c>
      <c r="CB1170" t="b">
        <v>1</v>
      </c>
      <c r="CC1170">
        <v>0</v>
      </c>
      <c r="CD1170" t="b">
        <v>0</v>
      </c>
      <c r="CE1170" t="b">
        <v>0</v>
      </c>
      <c r="CF1170" t="b">
        <v>1</v>
      </c>
      <c r="CG1170">
        <v>2926568</v>
      </c>
      <c r="CH1170" t="s">
        <v>1681</v>
      </c>
      <c r="CI1170" s="10">
        <v>1195000</v>
      </c>
    </row>
    <row r="1171" spans="1:89">
      <c r="A1171">
        <v>28012985</v>
      </c>
      <c r="B1171" s="2" t="str">
        <f>HYPERLINK("http://www.redfin.com/stingray/do/printable-listing?listing-id=1419351","Active")</f>
        <v>Active</v>
      </c>
      <c r="D1171" t="s">
        <v>202</v>
      </c>
      <c r="E1171" t="s">
        <v>2969</v>
      </c>
      <c r="F1171">
        <v>545000</v>
      </c>
      <c r="G1171">
        <v>1941</v>
      </c>
      <c r="H1171">
        <v>2700</v>
      </c>
      <c r="I1171">
        <v>19877</v>
      </c>
      <c r="J1171">
        <v>5</v>
      </c>
      <c r="K1171">
        <v>2</v>
      </c>
      <c r="M1171" s="2" t="str">
        <f>HYPERLINK("http://maps.live.com/default.aspx?v=2&amp;lvl=15&amp;sp=Point.47.707584_-122.30235_10730 24th Ave NE&amp;cp=47.707584~-122.30235","Map")</f>
        <v>Map</v>
      </c>
      <c r="N1171" s="2" t="str">
        <f>HYPERLINK("http://i-0.rfimg.us/photo/1/bigphoto/985/28012985_1.jpg","Photo")</f>
        <v>Photo</v>
      </c>
      <c r="AG1171">
        <v>47.707583999999997</v>
      </c>
      <c r="AH1171">
        <v>-122.30235</v>
      </c>
      <c r="AI1171" t="s">
        <v>66</v>
      </c>
      <c r="AJ1171">
        <v>98125</v>
      </c>
      <c r="AN1171">
        <v>162000</v>
      </c>
      <c r="BC1171" s="22">
        <v>39469.369189814817</v>
      </c>
      <c r="BI1171" s="22">
        <v>39549.294907407406</v>
      </c>
      <c r="BL1171">
        <v>10900</v>
      </c>
      <c r="BM1171">
        <v>1419351</v>
      </c>
      <c r="BN1171" t="s">
        <v>1674</v>
      </c>
      <c r="BO1171" s="17">
        <f t="shared" ca="1" si="18"/>
        <v>79.940216087961744</v>
      </c>
      <c r="BP1171" t="b">
        <v>0</v>
      </c>
      <c r="BQ1171">
        <v>1</v>
      </c>
      <c r="BR1171" t="s">
        <v>1667</v>
      </c>
      <c r="BS1171" t="s">
        <v>1740</v>
      </c>
      <c r="BT1171" t="b">
        <v>0</v>
      </c>
      <c r="BV1171" t="s">
        <v>1668</v>
      </c>
      <c r="BW1171">
        <v>10730</v>
      </c>
      <c r="BX1171" t="s">
        <v>1738</v>
      </c>
      <c r="BY1171">
        <v>106827</v>
      </c>
      <c r="BZ1171" t="s">
        <v>2970</v>
      </c>
      <c r="CA1171">
        <v>1</v>
      </c>
      <c r="CB1171" t="b">
        <v>1</v>
      </c>
      <c r="CC1171">
        <v>0</v>
      </c>
      <c r="CD1171" t="b">
        <v>0</v>
      </c>
      <c r="CE1171" t="b">
        <v>0</v>
      </c>
      <c r="CF1171" t="b">
        <v>1</v>
      </c>
      <c r="CG1171">
        <v>2558411</v>
      </c>
      <c r="CH1171" t="s">
        <v>1681</v>
      </c>
      <c r="CI1171" s="10">
        <v>545000</v>
      </c>
      <c r="CJ1171" s="7">
        <v>35825</v>
      </c>
    </row>
    <row r="1172" spans="1:89">
      <c r="A1172">
        <v>28013118</v>
      </c>
      <c r="B1172" s="2" t="str">
        <f>HYPERLINK("http://www.redfin.com/stingray/do/printable-listing?listing-id=1418181","Subject To Inspection")</f>
        <v>Subject To Inspection</v>
      </c>
      <c r="D1172" t="s">
        <v>55</v>
      </c>
      <c r="E1172" t="s">
        <v>167</v>
      </c>
      <c r="F1172">
        <v>439900</v>
      </c>
      <c r="G1172">
        <v>1927</v>
      </c>
      <c r="H1172">
        <v>1740</v>
      </c>
      <c r="I1172">
        <v>4800</v>
      </c>
      <c r="J1172">
        <v>4</v>
      </c>
      <c r="K1172">
        <v>2</v>
      </c>
      <c r="M1172" s="2" t="str">
        <f>HYPERLINK("http://maps.live.com/default.aspx?v=2&amp;lvl=15&amp;sp=Point.47.692287_-122.363552_602 NW 87th St&amp;cp=47.692287~-122.363552","Map")</f>
        <v>Map</v>
      </c>
      <c r="N1172" s="2" t="str">
        <f>HYPERLINK("http://i-0.rfimg.us/photo/1/bigphoto/118/28013118_0.jpg","Photo")</f>
        <v>Photo</v>
      </c>
      <c r="AG1172">
        <v>47.692287</v>
      </c>
      <c r="AH1172">
        <v>-122.363552</v>
      </c>
      <c r="AI1172" t="s">
        <v>66</v>
      </c>
      <c r="AJ1172">
        <v>98117</v>
      </c>
      <c r="AN1172">
        <v>494481</v>
      </c>
      <c r="BC1172" s="22">
        <v>39468.714594907404</v>
      </c>
      <c r="BI1172" s="7">
        <v>39533</v>
      </c>
      <c r="BL1172">
        <v>8798</v>
      </c>
      <c r="BM1172">
        <v>1418181</v>
      </c>
      <c r="BN1172" t="s">
        <v>1691</v>
      </c>
      <c r="BO1172" s="17">
        <f t="shared" ca="1" si="18"/>
        <v>80.594811111113813</v>
      </c>
      <c r="BP1172" t="b">
        <v>0</v>
      </c>
      <c r="BQ1172">
        <v>2</v>
      </c>
      <c r="BR1172" t="s">
        <v>1686</v>
      </c>
      <c r="BS1172" t="s">
        <v>1856</v>
      </c>
      <c r="BT1172" t="b">
        <v>0</v>
      </c>
      <c r="BU1172" t="s">
        <v>1669</v>
      </c>
      <c r="BV1172" t="s">
        <v>1668</v>
      </c>
      <c r="BW1172">
        <v>602</v>
      </c>
      <c r="BY1172">
        <v>101018</v>
      </c>
      <c r="BZ1172" t="s">
        <v>1743</v>
      </c>
      <c r="CA1172">
        <v>1</v>
      </c>
      <c r="CB1172" t="b">
        <v>1</v>
      </c>
      <c r="CC1172">
        <v>0</v>
      </c>
      <c r="CD1172" t="b">
        <v>0</v>
      </c>
      <c r="CE1172" t="b">
        <v>0</v>
      </c>
      <c r="CF1172" t="b">
        <v>1</v>
      </c>
      <c r="CG1172">
        <v>2549645</v>
      </c>
      <c r="CH1172" t="s">
        <v>1681</v>
      </c>
      <c r="CI1172" s="10">
        <v>439900</v>
      </c>
      <c r="CJ1172" s="7">
        <v>39184</v>
      </c>
      <c r="CK1172" t="s">
        <v>2063</v>
      </c>
    </row>
    <row r="1173" spans="1:89">
      <c r="A1173">
        <v>28013205</v>
      </c>
      <c r="B1173" s="2" t="str">
        <f>HYPERLINK("http://www.redfin.com/stingray/do/printable-listing?listing-id=1419536","Active")</f>
        <v>Active</v>
      </c>
      <c r="D1173" t="s">
        <v>3071</v>
      </c>
      <c r="E1173" t="s">
        <v>3069</v>
      </c>
      <c r="F1173" s="19">
        <v>849500</v>
      </c>
      <c r="G1173">
        <v>2008</v>
      </c>
      <c r="H1173">
        <v>3600</v>
      </c>
      <c r="I1173">
        <v>0</v>
      </c>
      <c r="J1173">
        <v>4</v>
      </c>
      <c r="K1173">
        <v>3.5</v>
      </c>
      <c r="M1173" s="2" t="str">
        <f>HYPERLINK("http://maps.live.com/default.aspx?v=2&amp;lvl=15&amp;sp=adr.8511 NE 123rd Pl (Unable to map),98034","Map")</f>
        <v>Map</v>
      </c>
      <c r="N1173" s="2" t="str">
        <f>HYPERLINK("http://i-0.rfimg.us/photo/1/bigphoto/205/28013205_4.jpg","Photo")</f>
        <v>Photo</v>
      </c>
      <c r="AI1173" t="s">
        <v>1058</v>
      </c>
      <c r="AJ1173">
        <v>98034</v>
      </c>
      <c r="BC1173" s="22">
        <v>39469.432013888887</v>
      </c>
      <c r="BI1173" s="22">
        <v>39549.294907407406</v>
      </c>
      <c r="BL1173">
        <v>18390</v>
      </c>
      <c r="BM1173">
        <v>1419536</v>
      </c>
      <c r="BN1173" t="s">
        <v>1768</v>
      </c>
      <c r="BO1173" s="17">
        <f t="shared" ca="1" si="18"/>
        <v>79.877392013891949</v>
      </c>
      <c r="BP1173" t="b">
        <v>0</v>
      </c>
      <c r="BQ1173">
        <v>1</v>
      </c>
      <c r="BR1173" t="s">
        <v>1842</v>
      </c>
      <c r="BS1173" t="s">
        <v>2882</v>
      </c>
      <c r="BT1173" t="b">
        <v>0</v>
      </c>
      <c r="BU1173" t="s">
        <v>1738</v>
      </c>
      <c r="BV1173" t="s">
        <v>1668</v>
      </c>
      <c r="BW1173">
        <v>8511</v>
      </c>
      <c r="BY1173">
        <v>0</v>
      </c>
      <c r="BZ1173" t="s">
        <v>3070</v>
      </c>
      <c r="CA1173">
        <v>1</v>
      </c>
      <c r="CB1173" t="b">
        <v>1</v>
      </c>
      <c r="CC1173">
        <v>0</v>
      </c>
      <c r="CD1173" t="b">
        <v>0</v>
      </c>
      <c r="CE1173" t="b">
        <v>0</v>
      </c>
      <c r="CF1173" t="b">
        <v>1</v>
      </c>
      <c r="CG1173" t="s">
        <v>1870</v>
      </c>
      <c r="CH1173" t="s">
        <v>1681</v>
      </c>
      <c r="CI1173" s="10">
        <v>919500</v>
      </c>
    </row>
    <row r="1174" spans="1:89">
      <c r="A1174">
        <v>28013207</v>
      </c>
      <c r="B1174" s="2" t="str">
        <f>HYPERLINK("http://www.redfin.com/stingray/do/printable-listing?listing-id=1418690","Active")</f>
        <v>Active</v>
      </c>
      <c r="D1174" t="s">
        <v>218</v>
      </c>
      <c r="E1174" t="s">
        <v>3135</v>
      </c>
      <c r="F1174" s="19">
        <v>775000</v>
      </c>
      <c r="G1174">
        <v>2007</v>
      </c>
      <c r="H1174">
        <v>2740</v>
      </c>
      <c r="I1174">
        <v>5000</v>
      </c>
      <c r="J1174">
        <v>4</v>
      </c>
      <c r="K1174">
        <v>3.75</v>
      </c>
      <c r="M1174" s="2" t="str">
        <f>HYPERLINK("http://maps.live.com/default.aspx?v=2&amp;lvl=15&amp;sp=Point.47.673135_-122.297152_6030 28th Ave NE&amp;cp=47.673135~-122.297152","Map")</f>
        <v>Map</v>
      </c>
      <c r="N1174" s="2" t="str">
        <f>HYPERLINK("http://i-0.rfimg.us/photo/1/bigphoto/207/28013207_2.jpg","Photo")</f>
        <v>Photo</v>
      </c>
      <c r="AG1174">
        <v>47.673135000000002</v>
      </c>
      <c r="AH1174">
        <v>-122.297152</v>
      </c>
      <c r="AI1174" t="s">
        <v>66</v>
      </c>
      <c r="AJ1174">
        <v>98115</v>
      </c>
      <c r="AN1174">
        <v>249900</v>
      </c>
      <c r="BC1174" s="22">
        <v>39468.892569444448</v>
      </c>
      <c r="BI1174" s="22">
        <v>39549.294907407406</v>
      </c>
      <c r="BL1174">
        <v>16999</v>
      </c>
      <c r="BM1174">
        <v>1418690</v>
      </c>
      <c r="BN1174" t="s">
        <v>1685</v>
      </c>
      <c r="BO1174" s="17">
        <f t="shared" ca="1" si="18"/>
        <v>80.41683645833109</v>
      </c>
      <c r="BP1174" t="b">
        <v>0</v>
      </c>
      <c r="BQ1174">
        <v>1</v>
      </c>
      <c r="BR1174" t="s">
        <v>1667</v>
      </c>
      <c r="BS1174" t="s">
        <v>1760</v>
      </c>
      <c r="BT1174" t="b">
        <v>0</v>
      </c>
      <c r="BV1174" t="s">
        <v>1668</v>
      </c>
      <c r="BW1174">
        <v>6030</v>
      </c>
      <c r="BX1174" t="s">
        <v>1738</v>
      </c>
      <c r="BY1174">
        <v>313217</v>
      </c>
      <c r="BZ1174" t="s">
        <v>3136</v>
      </c>
      <c r="CA1174">
        <v>1</v>
      </c>
      <c r="CB1174" t="b">
        <v>1</v>
      </c>
      <c r="CC1174">
        <v>0</v>
      </c>
      <c r="CD1174" t="b">
        <v>0</v>
      </c>
      <c r="CE1174" t="b">
        <v>0</v>
      </c>
      <c r="CF1174" t="b">
        <v>1</v>
      </c>
      <c r="CG1174">
        <v>2989063</v>
      </c>
      <c r="CH1174" t="s">
        <v>1681</v>
      </c>
      <c r="CI1174" s="10">
        <v>849950</v>
      </c>
      <c r="CJ1174" s="7">
        <v>37081</v>
      </c>
    </row>
    <row r="1175" spans="1:89">
      <c r="A1175">
        <v>28013224</v>
      </c>
      <c r="B1175" s="2" t="str">
        <f>HYPERLINK("http://www.redfin.com/stingray/do/printable-listing?listing-id=1418736","Active")</f>
        <v>Active</v>
      </c>
      <c r="D1175" t="s">
        <v>2850</v>
      </c>
      <c r="E1175" t="s">
        <v>4602</v>
      </c>
      <c r="F1175">
        <v>512000</v>
      </c>
      <c r="G1175">
        <v>1986</v>
      </c>
      <c r="H1175">
        <v>1700</v>
      </c>
      <c r="I1175">
        <v>11346</v>
      </c>
      <c r="J1175">
        <v>3</v>
      </c>
      <c r="K1175">
        <v>2.5</v>
      </c>
      <c r="M1175" s="2" t="str">
        <f>HYPERLINK("http://maps.live.com/default.aspx?v=2&amp;lvl=15&amp;sp=Point.47.70968_-122.217167_12202 93rd Ave NE&amp;cp=47.70968~-122.217167","Map")</f>
        <v>Map</v>
      </c>
      <c r="N1175" s="2" t="str">
        <f>HYPERLINK("http://i-0.rfimg.us/photo/1/bigphoto/224/28013224_1.jpg","Photo")</f>
        <v>Photo</v>
      </c>
      <c r="AG1175">
        <v>47.709679999999999</v>
      </c>
      <c r="AH1175">
        <v>-122.217167</v>
      </c>
      <c r="AI1175" t="s">
        <v>1058</v>
      </c>
      <c r="AJ1175">
        <v>98034</v>
      </c>
      <c r="AN1175">
        <v>340500</v>
      </c>
      <c r="BC1175" s="22">
        <v>39468.952986111108</v>
      </c>
      <c r="BI1175" s="22">
        <v>39549.294907407406</v>
      </c>
      <c r="BL1175">
        <v>10240</v>
      </c>
      <c r="BM1175">
        <v>1418736</v>
      </c>
      <c r="BN1175" t="s">
        <v>4601</v>
      </c>
      <c r="BO1175" s="17">
        <f t="shared" ca="1" si="18"/>
        <v>80.356419791671215</v>
      </c>
      <c r="BP1175" t="b">
        <v>0</v>
      </c>
      <c r="BQ1175">
        <v>1</v>
      </c>
      <c r="BR1175" t="s">
        <v>1667</v>
      </c>
      <c r="BS1175" t="s">
        <v>2732</v>
      </c>
      <c r="BT1175" t="b">
        <v>0</v>
      </c>
      <c r="BV1175" t="s">
        <v>1668</v>
      </c>
      <c r="BW1175">
        <v>12202</v>
      </c>
      <c r="BX1175" t="s">
        <v>1738</v>
      </c>
      <c r="BY1175">
        <v>281083</v>
      </c>
      <c r="BZ1175" t="s">
        <v>4603</v>
      </c>
      <c r="CA1175">
        <v>1</v>
      </c>
      <c r="CB1175" t="b">
        <v>1</v>
      </c>
      <c r="CC1175">
        <v>0</v>
      </c>
      <c r="CD1175" t="b">
        <v>0</v>
      </c>
      <c r="CE1175" t="b">
        <v>0</v>
      </c>
      <c r="CF1175" t="b">
        <v>1</v>
      </c>
      <c r="CG1175">
        <v>2806961</v>
      </c>
      <c r="CH1175" t="s">
        <v>1681</v>
      </c>
      <c r="CI1175" s="10">
        <v>512000</v>
      </c>
      <c r="CJ1175" s="7">
        <v>38491</v>
      </c>
    </row>
    <row r="1176" spans="1:89">
      <c r="A1176">
        <v>28013278</v>
      </c>
      <c r="B1176" s="2" t="str">
        <f>HYPERLINK("http://www.redfin.com/stingray/do/printable-listing?listing-id=1420159","Active")</f>
        <v>Active</v>
      </c>
      <c r="D1176" t="s">
        <v>88</v>
      </c>
      <c r="E1176" t="s">
        <v>2544</v>
      </c>
      <c r="F1176">
        <v>850000</v>
      </c>
      <c r="G1176">
        <v>1927</v>
      </c>
      <c r="H1176">
        <v>2705</v>
      </c>
      <c r="I1176">
        <v>6000</v>
      </c>
      <c r="J1176">
        <v>3</v>
      </c>
      <c r="K1176">
        <v>2</v>
      </c>
      <c r="M1176" s="2" t="str">
        <f>HYPERLINK("http://maps.live.com/default.aspx?v=2&amp;lvl=15&amp;sp=Point.47.665792_-122.359017_5023 2nd Ave NW&amp;cp=47.665792~-122.359017","Map")</f>
        <v>Map</v>
      </c>
      <c r="N1176" s="2" t="str">
        <f>HYPERLINK("http://i-0.rfimg.us/photo/1/bigphoto/278/28013278_1.jpg","Photo")</f>
        <v>Photo</v>
      </c>
      <c r="AG1176">
        <v>47.665792000000003</v>
      </c>
      <c r="AH1176">
        <v>-122.35901699999999</v>
      </c>
      <c r="AI1176" t="s">
        <v>66</v>
      </c>
      <c r="AJ1176">
        <v>98107</v>
      </c>
      <c r="AN1176">
        <v>135000</v>
      </c>
      <c r="BC1176" s="22">
        <v>39469.578900462962</v>
      </c>
      <c r="BI1176" s="22">
        <v>39549.294907407406</v>
      </c>
      <c r="BL1176">
        <v>17000</v>
      </c>
      <c r="BM1176">
        <v>1420159</v>
      </c>
      <c r="BN1176" t="s">
        <v>1702</v>
      </c>
      <c r="BO1176" s="17">
        <f t="shared" ca="1" si="18"/>
        <v>79.730505555555283</v>
      </c>
      <c r="BP1176" t="b">
        <v>0</v>
      </c>
      <c r="BQ1176">
        <v>1</v>
      </c>
      <c r="BR1176" t="s">
        <v>1667</v>
      </c>
      <c r="BS1176" t="s">
        <v>1958</v>
      </c>
      <c r="BT1176" t="b">
        <v>0</v>
      </c>
      <c r="BV1176" t="s">
        <v>1668</v>
      </c>
      <c r="BW1176">
        <v>5023</v>
      </c>
      <c r="BX1176" t="s">
        <v>1669</v>
      </c>
      <c r="BY1176">
        <v>298814</v>
      </c>
      <c r="BZ1176" t="s">
        <v>2545</v>
      </c>
      <c r="CA1176">
        <v>1</v>
      </c>
      <c r="CB1176" t="b">
        <v>1</v>
      </c>
      <c r="CC1176">
        <v>0</v>
      </c>
      <c r="CD1176" t="b">
        <v>0</v>
      </c>
      <c r="CE1176" t="b">
        <v>0</v>
      </c>
      <c r="CF1176" t="b">
        <v>1</v>
      </c>
      <c r="CG1176">
        <v>2485223</v>
      </c>
      <c r="CH1176" t="s">
        <v>1681</v>
      </c>
      <c r="CI1176" s="10">
        <v>850000</v>
      </c>
      <c r="CJ1176" s="7">
        <v>31926</v>
      </c>
    </row>
    <row r="1177" spans="1:89">
      <c r="A1177">
        <v>28013281</v>
      </c>
      <c r="B1177" s="2" t="str">
        <f>HYPERLINK("http://www.redfin.com/stingray/do/printable-listing?listing-id=1419496","Active")</f>
        <v>Active</v>
      </c>
      <c r="D1177" t="s">
        <v>63</v>
      </c>
      <c r="E1177" t="s">
        <v>1878</v>
      </c>
      <c r="F1177">
        <v>389000</v>
      </c>
      <c r="G1177">
        <v>2001</v>
      </c>
      <c r="H1177">
        <v>1045</v>
      </c>
      <c r="I1177">
        <v>0</v>
      </c>
      <c r="J1177">
        <v>2</v>
      </c>
      <c r="K1177">
        <v>1.5</v>
      </c>
      <c r="M1177" s="2" t="str">
        <f>HYPERLINK("http://maps.live.com/default.aspx?v=2&amp;lvl=15&amp;sp=adr.1511 SW 57th St n110 (Unable to map),98107","Map")</f>
        <v>Map</v>
      </c>
      <c r="N1177" s="2" t="str">
        <f>HYPERLINK("http://i-0.rfimg.us/photo/1/bigphoto/281/28013281_0.jpg","Photo")</f>
        <v>Photo</v>
      </c>
      <c r="AI1177" t="s">
        <v>66</v>
      </c>
      <c r="AJ1177">
        <v>98107</v>
      </c>
      <c r="AM1177" t="s">
        <v>1879</v>
      </c>
      <c r="BC1177" s="22">
        <v>39469.412129629629</v>
      </c>
      <c r="BI1177" s="7">
        <v>39538</v>
      </c>
      <c r="BL1177">
        <v>7780</v>
      </c>
      <c r="BM1177">
        <v>1419496</v>
      </c>
      <c r="BN1177" t="s">
        <v>1877</v>
      </c>
      <c r="BO1177" s="17">
        <f t="shared" ca="1" si="18"/>
        <v>79.897276388888713</v>
      </c>
      <c r="BP1177" t="b">
        <v>0</v>
      </c>
      <c r="BQ1177">
        <v>1</v>
      </c>
      <c r="BR1177" t="s">
        <v>1686</v>
      </c>
      <c r="BS1177" t="s">
        <v>1687</v>
      </c>
      <c r="BT1177" t="b">
        <v>0</v>
      </c>
      <c r="BU1177" t="s">
        <v>1869</v>
      </c>
      <c r="BV1177" t="s">
        <v>1668</v>
      </c>
      <c r="BW1177">
        <v>1511</v>
      </c>
      <c r="BY1177">
        <v>0</v>
      </c>
      <c r="BZ1177" t="s">
        <v>1762</v>
      </c>
      <c r="CA1177">
        <v>1</v>
      </c>
      <c r="CB1177" t="b">
        <v>1</v>
      </c>
      <c r="CC1177">
        <v>0</v>
      </c>
      <c r="CD1177" t="b">
        <v>0</v>
      </c>
      <c r="CE1177" t="b">
        <v>0</v>
      </c>
      <c r="CF1177" t="b">
        <v>1</v>
      </c>
      <c r="CG1177" t="s">
        <v>1870</v>
      </c>
      <c r="CH1177" t="s">
        <v>1666</v>
      </c>
      <c r="CI1177" s="10">
        <v>389000</v>
      </c>
    </row>
    <row r="1178" spans="1:89">
      <c r="A1178">
        <v>28013377</v>
      </c>
      <c r="B1178" s="2" t="str">
        <f>HYPERLINK("http://www.redfin.com/stingray/do/printable-listing?listing-id=1419694","Active")</f>
        <v>Active</v>
      </c>
      <c r="D1178" t="s">
        <v>5565</v>
      </c>
      <c r="E1178" t="s">
        <v>5807</v>
      </c>
      <c r="F1178">
        <v>495000</v>
      </c>
      <c r="G1178">
        <v>1973</v>
      </c>
      <c r="H1178">
        <v>1810</v>
      </c>
      <c r="I1178">
        <v>8976</v>
      </c>
      <c r="J1178">
        <v>3</v>
      </c>
      <c r="K1178">
        <v>2.5</v>
      </c>
      <c r="M1178" s="2" t="str">
        <f>HYPERLINK("http://maps.live.com/default.aspx?v=2&amp;lvl=15&amp;sp=Point.47.544227_-122.173589_6507 126th Ave SE&amp;cp=47.544227~-122.173589","Map")</f>
        <v>Map</v>
      </c>
      <c r="N1178" s="2" t="str">
        <f>HYPERLINK("http://i-0.rfimg.us/photo/1/bigphoto/377/28013377_0.jpg","Photo")</f>
        <v>Photo</v>
      </c>
      <c r="AG1178">
        <v>47.544226999999999</v>
      </c>
      <c r="AH1178">
        <v>-122.17358900000001</v>
      </c>
      <c r="AI1178" t="s">
        <v>369</v>
      </c>
      <c r="AJ1178">
        <v>98006</v>
      </c>
      <c r="AN1178">
        <v>209000</v>
      </c>
      <c r="BC1178" s="22">
        <v>39469.476805555554</v>
      </c>
      <c r="BI1178" s="22">
        <v>39549.294907407406</v>
      </c>
      <c r="BL1178">
        <v>9900</v>
      </c>
      <c r="BM1178">
        <v>1419694</v>
      </c>
      <c r="BN1178" t="s">
        <v>1688</v>
      </c>
      <c r="BO1178" s="17">
        <f t="shared" ca="1" si="18"/>
        <v>79.832600347224798</v>
      </c>
      <c r="BP1178" t="b">
        <v>0</v>
      </c>
      <c r="BQ1178">
        <v>1</v>
      </c>
      <c r="BR1178" t="s">
        <v>1667</v>
      </c>
      <c r="BS1178" t="s">
        <v>4544</v>
      </c>
      <c r="BT1178" t="b">
        <v>0</v>
      </c>
      <c r="BV1178" t="s">
        <v>1668</v>
      </c>
      <c r="BW1178">
        <v>6507</v>
      </c>
      <c r="BX1178" t="s">
        <v>3856</v>
      </c>
      <c r="BY1178">
        <v>417124</v>
      </c>
      <c r="BZ1178" t="s">
        <v>1747</v>
      </c>
      <c r="CA1178">
        <v>1</v>
      </c>
      <c r="CB1178" t="b">
        <v>1</v>
      </c>
      <c r="CC1178">
        <v>0</v>
      </c>
      <c r="CD1178" t="b">
        <v>1</v>
      </c>
      <c r="CE1178" t="b">
        <v>0</v>
      </c>
      <c r="CF1178" t="b">
        <v>1</v>
      </c>
      <c r="CG1178">
        <v>2843954</v>
      </c>
      <c r="CH1178" t="s">
        <v>1681</v>
      </c>
      <c r="CI1178" s="10">
        <v>495000</v>
      </c>
      <c r="CJ1178" s="7">
        <v>33035</v>
      </c>
    </row>
    <row r="1179" spans="1:89">
      <c r="A1179">
        <v>28013389</v>
      </c>
      <c r="B1179" s="2" t="str">
        <f>HYPERLINK("http://www.redfin.com/stingray/do/printable-listing?listing-id=1419717","Active")</f>
        <v>Active</v>
      </c>
      <c r="D1179" t="s">
        <v>3071</v>
      </c>
      <c r="E1179" t="s">
        <v>3072</v>
      </c>
      <c r="F1179" s="19">
        <v>849500</v>
      </c>
      <c r="G1179">
        <v>2008</v>
      </c>
      <c r="H1179">
        <v>3307</v>
      </c>
      <c r="I1179">
        <v>0</v>
      </c>
      <c r="J1179">
        <v>4</v>
      </c>
      <c r="K1179">
        <v>3.5</v>
      </c>
      <c r="M1179" s="2" t="str">
        <f>HYPERLINK("http://maps.live.com/default.aspx?v=2&amp;lvl=15&amp;sp=adr.8505 NE 123rd Pl (Unable to map),98034","Map")</f>
        <v>Map</v>
      </c>
      <c r="N1179" s="2" t="str">
        <f>HYPERLINK("http://i-0.rfimg.us/photo/1/bigphoto/389/28013389_5.jpg","Photo")</f>
        <v>Photo</v>
      </c>
      <c r="AI1179" t="s">
        <v>1058</v>
      </c>
      <c r="AJ1179">
        <v>98034</v>
      </c>
      <c r="BC1179" s="22">
        <v>39469.486145833333</v>
      </c>
      <c r="BI1179" s="22">
        <v>39549.294907407406</v>
      </c>
      <c r="BL1179">
        <v>17580</v>
      </c>
      <c r="BM1179">
        <v>1419717</v>
      </c>
      <c r="BN1179" t="s">
        <v>1768</v>
      </c>
      <c r="BO1179" s="17">
        <f t="shared" ca="1" si="18"/>
        <v>79.823260069446405</v>
      </c>
      <c r="BP1179" t="b">
        <v>0</v>
      </c>
      <c r="BQ1179">
        <v>1</v>
      </c>
      <c r="BR1179" t="s">
        <v>1842</v>
      </c>
      <c r="BS1179" t="s">
        <v>2882</v>
      </c>
      <c r="BT1179" t="b">
        <v>0</v>
      </c>
      <c r="BU1179" t="s">
        <v>1738</v>
      </c>
      <c r="BV1179" t="s">
        <v>1668</v>
      </c>
      <c r="BW1179">
        <v>8505</v>
      </c>
      <c r="BY1179">
        <v>0</v>
      </c>
      <c r="BZ1179" t="s">
        <v>3073</v>
      </c>
      <c r="CA1179">
        <v>1</v>
      </c>
      <c r="CB1179" t="b">
        <v>1</v>
      </c>
      <c r="CC1179">
        <v>0</v>
      </c>
      <c r="CD1179" t="b">
        <v>0</v>
      </c>
      <c r="CE1179" t="b">
        <v>0</v>
      </c>
      <c r="CF1179" t="b">
        <v>1</v>
      </c>
      <c r="CG1179" t="s">
        <v>1870</v>
      </c>
      <c r="CH1179" t="s">
        <v>1681</v>
      </c>
      <c r="CI1179" s="10">
        <v>879000</v>
      </c>
    </row>
    <row r="1180" spans="1:89">
      <c r="A1180">
        <v>28013425</v>
      </c>
      <c r="B1180" s="2" t="str">
        <f>HYPERLINK("http://www.redfin.com/stingray/do/printable-listing?listing-id=1419761","Active")</f>
        <v>Active</v>
      </c>
      <c r="D1180" t="s">
        <v>983</v>
      </c>
      <c r="E1180" t="s">
        <v>1150</v>
      </c>
      <c r="F1180" s="19">
        <v>435000</v>
      </c>
      <c r="G1180">
        <v>1951</v>
      </c>
      <c r="H1180">
        <v>1140</v>
      </c>
      <c r="I1180">
        <v>7200</v>
      </c>
      <c r="J1180">
        <v>3</v>
      </c>
      <c r="K1180">
        <v>1</v>
      </c>
      <c r="M1180" s="2" t="str">
        <f>HYPERLINK("http://maps.live.com/default.aspx?v=2&amp;lvl=15&amp;sp=Point.47.703253_-122.278026_10311 Sand Point Way NE&amp;cp=47.703253~-122.278026","Map")</f>
        <v>Map</v>
      </c>
      <c r="N1180" s="2" t="str">
        <f>HYPERLINK("http://i-0.rfimg.us/photo/1/bigphoto/425/28013425_0.jpg","Photo")</f>
        <v>Photo</v>
      </c>
      <c r="AG1180">
        <v>47.703252999999997</v>
      </c>
      <c r="AH1180">
        <v>-122.278026</v>
      </c>
      <c r="AI1180" t="s">
        <v>66</v>
      </c>
      <c r="AJ1180">
        <v>98125</v>
      </c>
      <c r="BC1180" s="22">
        <v>39469.497002314813</v>
      </c>
      <c r="BI1180" s="22">
        <v>39549.294907407406</v>
      </c>
      <c r="BL1180">
        <v>9900</v>
      </c>
      <c r="BM1180">
        <v>1419761</v>
      </c>
      <c r="BN1180" t="s">
        <v>2530</v>
      </c>
      <c r="BO1180" s="17">
        <f t="shared" ca="1" si="18"/>
        <v>79.812403587966401</v>
      </c>
      <c r="BP1180" t="b">
        <v>0</v>
      </c>
      <c r="BQ1180">
        <v>1</v>
      </c>
      <c r="BR1180" t="s">
        <v>2463</v>
      </c>
      <c r="BS1180" t="s">
        <v>1129</v>
      </c>
      <c r="BT1180" t="b">
        <v>0</v>
      </c>
      <c r="BV1180" t="s">
        <v>1668</v>
      </c>
      <c r="BW1180">
        <v>10311</v>
      </c>
      <c r="BX1180" t="s">
        <v>1738</v>
      </c>
      <c r="BY1180">
        <v>112608</v>
      </c>
      <c r="BZ1180" t="s">
        <v>1696</v>
      </c>
      <c r="CA1180">
        <v>1</v>
      </c>
      <c r="CB1180" t="b">
        <v>1</v>
      </c>
      <c r="CC1180">
        <v>0</v>
      </c>
      <c r="CD1180" t="b">
        <v>0</v>
      </c>
      <c r="CE1180" t="b">
        <v>0</v>
      </c>
      <c r="CF1180" t="b">
        <v>1</v>
      </c>
      <c r="CG1180">
        <v>2956369</v>
      </c>
      <c r="CH1180" t="s">
        <v>1681</v>
      </c>
      <c r="CI1180" s="10">
        <v>495000</v>
      </c>
    </row>
    <row r="1181" spans="1:89">
      <c r="A1181">
        <v>28013438</v>
      </c>
      <c r="B1181" s="2" t="str">
        <f>HYPERLINK("http://www.redfin.com/stingray/do/printable-listing?listing-id=1419812","Active")</f>
        <v>Active</v>
      </c>
      <c r="D1181" t="s">
        <v>5153</v>
      </c>
      <c r="E1181" t="s">
        <v>5500</v>
      </c>
      <c r="F1181">
        <v>484900</v>
      </c>
      <c r="G1181">
        <v>1954</v>
      </c>
      <c r="H1181">
        <v>1900</v>
      </c>
      <c r="I1181">
        <v>13728</v>
      </c>
      <c r="J1181">
        <v>3</v>
      </c>
      <c r="K1181">
        <v>2</v>
      </c>
      <c r="M1181" s="2" t="str">
        <f>HYPERLINK("http://maps.live.com/default.aspx?v=2&amp;lvl=15&amp;sp=Point.47.571233_-122.136586_15315 SE 42 St&amp;cp=47.571233~-122.136586","Map")</f>
        <v>Map</v>
      </c>
      <c r="N1181" s="2" t="str">
        <f>HYPERLINK("http://i-0.rfimg.us/photo/1/bigphoto/438/28013438_1.jpg","Photo")</f>
        <v>Photo</v>
      </c>
      <c r="AG1181">
        <v>47.571232999999999</v>
      </c>
      <c r="AH1181">
        <v>-122.13658599999999</v>
      </c>
      <c r="AI1181" t="s">
        <v>369</v>
      </c>
      <c r="AJ1181">
        <v>98006</v>
      </c>
      <c r="AN1181">
        <v>105950</v>
      </c>
      <c r="BC1181" s="22">
        <v>39469.508599537039</v>
      </c>
      <c r="BI1181" s="22">
        <v>39549.294907407406</v>
      </c>
      <c r="BL1181">
        <v>9698</v>
      </c>
      <c r="BM1181">
        <v>1419812</v>
      </c>
      <c r="BN1181" t="s">
        <v>1805</v>
      </c>
      <c r="BO1181" s="17">
        <f t="shared" ca="1" si="18"/>
        <v>79.800806365739845</v>
      </c>
      <c r="BP1181" t="b">
        <v>0</v>
      </c>
      <c r="BQ1181">
        <v>1</v>
      </c>
      <c r="BR1181" t="s">
        <v>1686</v>
      </c>
      <c r="BS1181">
        <v>42</v>
      </c>
      <c r="BT1181" t="b">
        <v>0</v>
      </c>
      <c r="BU1181" t="s">
        <v>3856</v>
      </c>
      <c r="BV1181" t="s">
        <v>1668</v>
      </c>
      <c r="BW1181">
        <v>15315</v>
      </c>
      <c r="BY1181">
        <v>234148</v>
      </c>
      <c r="BZ1181" t="s">
        <v>5052</v>
      </c>
      <c r="CA1181">
        <v>1</v>
      </c>
      <c r="CB1181" t="b">
        <v>1</v>
      </c>
      <c r="CC1181">
        <v>0</v>
      </c>
      <c r="CD1181" t="b">
        <v>0</v>
      </c>
      <c r="CE1181" t="b">
        <v>0</v>
      </c>
      <c r="CF1181" t="b">
        <v>1</v>
      </c>
      <c r="CG1181">
        <v>2585506</v>
      </c>
      <c r="CH1181" t="s">
        <v>1681</v>
      </c>
      <c r="CI1181" s="10">
        <v>484900</v>
      </c>
      <c r="CJ1181" s="7">
        <v>32623</v>
      </c>
    </row>
    <row r="1182" spans="1:89">
      <c r="A1182">
        <v>28013442</v>
      </c>
      <c r="B1182" s="2" t="str">
        <f>HYPERLINK("http://www.redfin.com/stingray/do/printable-listing?listing-id=1419811","Active")</f>
        <v>Active</v>
      </c>
      <c r="D1182" t="s">
        <v>3071</v>
      </c>
      <c r="E1182" t="s">
        <v>3074</v>
      </c>
      <c r="F1182">
        <v>869500</v>
      </c>
      <c r="G1182">
        <v>2008</v>
      </c>
      <c r="H1182">
        <v>3336</v>
      </c>
      <c r="I1182">
        <v>0</v>
      </c>
      <c r="J1182">
        <v>4</v>
      </c>
      <c r="K1182">
        <v>3.5</v>
      </c>
      <c r="M1182" s="2" t="str">
        <f>HYPERLINK("http://maps.live.com/default.aspx?v=2&amp;lvl=15&amp;sp=adr.8431 NE 123rd Pl (Unable to map),98034","Map")</f>
        <v>Map</v>
      </c>
      <c r="N1182" s="2" t="str">
        <f>HYPERLINK("http://i-0.rfimg.us/photo/1/bigphoto/442/28013442_4.jpg","Photo")</f>
        <v>Photo</v>
      </c>
      <c r="AI1182" t="s">
        <v>1058</v>
      </c>
      <c r="AJ1182">
        <v>98034</v>
      </c>
      <c r="BC1182" s="22">
        <v>39469.508576388886</v>
      </c>
      <c r="BI1182" s="22">
        <v>39549.294907407406</v>
      </c>
      <c r="BL1182">
        <v>17390</v>
      </c>
      <c r="BM1182">
        <v>1419811</v>
      </c>
      <c r="BN1182" t="s">
        <v>1768</v>
      </c>
      <c r="BO1182" s="17">
        <f t="shared" ca="1" si="18"/>
        <v>79.800829513893405</v>
      </c>
      <c r="BP1182" t="b">
        <v>0</v>
      </c>
      <c r="BQ1182">
        <v>1</v>
      </c>
      <c r="BR1182" t="s">
        <v>1842</v>
      </c>
      <c r="BS1182" t="s">
        <v>2882</v>
      </c>
      <c r="BT1182" t="b">
        <v>0</v>
      </c>
      <c r="BU1182" t="s">
        <v>1738</v>
      </c>
      <c r="BV1182" t="s">
        <v>1668</v>
      </c>
      <c r="BW1182">
        <v>8431</v>
      </c>
      <c r="BY1182">
        <v>0</v>
      </c>
      <c r="BZ1182" t="s">
        <v>3075</v>
      </c>
      <c r="CA1182">
        <v>1</v>
      </c>
      <c r="CB1182" t="b">
        <v>1</v>
      </c>
      <c r="CC1182">
        <v>0</v>
      </c>
      <c r="CD1182" t="b">
        <v>0</v>
      </c>
      <c r="CE1182" t="b">
        <v>0</v>
      </c>
      <c r="CF1182" t="b">
        <v>1</v>
      </c>
      <c r="CG1182" t="s">
        <v>1870</v>
      </c>
      <c r="CH1182" t="s">
        <v>1681</v>
      </c>
      <c r="CI1182" s="10">
        <v>869500</v>
      </c>
    </row>
    <row r="1183" spans="1:89">
      <c r="A1183">
        <v>28013466</v>
      </c>
      <c r="B1183" s="2" t="str">
        <f>HYPERLINK("http://www.redfin.com/stingray/do/printable-listing?listing-id=1430011","Active")</f>
        <v>Active</v>
      </c>
      <c r="D1183" t="s">
        <v>70</v>
      </c>
      <c r="E1183" t="s">
        <v>2760</v>
      </c>
      <c r="F1183" s="19">
        <v>899990</v>
      </c>
      <c r="G1183">
        <v>1940</v>
      </c>
      <c r="H1183">
        <v>3770</v>
      </c>
      <c r="I1183">
        <v>7680</v>
      </c>
      <c r="J1183">
        <v>4</v>
      </c>
      <c r="K1183">
        <v>3.5</v>
      </c>
      <c r="M1183" s="2" t="str">
        <f>HYPERLINK("http://maps.live.com/default.aspx?v=2&amp;lvl=15&amp;sp=Point.47.717504_-122.364013_12037 6th Ave NW&amp;cp=47.717504~-122.364013","Map")</f>
        <v>Map</v>
      </c>
      <c r="N1183" s="2" t="str">
        <f>HYPERLINK("http://i-0.rfimg.us/photo/1/bigphoto/466/28013466_0.jpg","Photo")</f>
        <v>Photo</v>
      </c>
      <c r="AG1183">
        <v>47.717503999999998</v>
      </c>
      <c r="AH1183">
        <v>-122.364013</v>
      </c>
      <c r="AI1183" t="s">
        <v>66</v>
      </c>
      <c r="AJ1183">
        <v>98177</v>
      </c>
      <c r="AN1183">
        <v>225000</v>
      </c>
      <c r="BC1183" s="22">
        <v>39472.674756944441</v>
      </c>
      <c r="BI1183" s="22">
        <v>39549.294907407406</v>
      </c>
      <c r="BL1183">
        <v>18300</v>
      </c>
      <c r="BM1183">
        <v>1430011</v>
      </c>
      <c r="BN1183" t="s">
        <v>1829</v>
      </c>
      <c r="BO1183" s="17">
        <f t="shared" ca="1" si="18"/>
        <v>76.634649074076151</v>
      </c>
      <c r="BP1183" t="b">
        <v>0</v>
      </c>
      <c r="BQ1183">
        <v>1</v>
      </c>
      <c r="BR1183" t="s">
        <v>1667</v>
      </c>
      <c r="BS1183" t="s">
        <v>1739</v>
      </c>
      <c r="BT1183" t="b">
        <v>0</v>
      </c>
      <c r="BV1183" t="s">
        <v>1668</v>
      </c>
      <c r="BW1183">
        <v>12037</v>
      </c>
      <c r="BX1183" t="s">
        <v>1669</v>
      </c>
      <c r="BY1183">
        <v>291456</v>
      </c>
      <c r="BZ1183" s="21">
        <v>0</v>
      </c>
      <c r="CA1183">
        <v>1</v>
      </c>
      <c r="CB1183" t="b">
        <v>1</v>
      </c>
      <c r="CC1183">
        <v>0</v>
      </c>
      <c r="CD1183" t="b">
        <v>0</v>
      </c>
      <c r="CE1183" t="b">
        <v>0</v>
      </c>
      <c r="CF1183" t="b">
        <v>1</v>
      </c>
      <c r="CG1183">
        <v>2626052</v>
      </c>
      <c r="CH1183" t="s">
        <v>1681</v>
      </c>
      <c r="CI1183" s="10">
        <v>915000</v>
      </c>
      <c r="CJ1183" s="7">
        <v>35767</v>
      </c>
    </row>
    <row r="1184" spans="1:89">
      <c r="A1184">
        <v>28013494</v>
      </c>
      <c r="B1184" s="2" t="str">
        <f>HYPERLINK("http://www.redfin.com/stingray/do/printable-listing?listing-id=1419934","Active")</f>
        <v>Active</v>
      </c>
      <c r="D1184" t="s">
        <v>3071</v>
      </c>
      <c r="E1184" t="s">
        <v>3076</v>
      </c>
      <c r="F1184">
        <v>837500</v>
      </c>
      <c r="G1184">
        <v>2008</v>
      </c>
      <c r="H1184">
        <v>3310</v>
      </c>
      <c r="I1184">
        <v>0</v>
      </c>
      <c r="J1184">
        <v>4</v>
      </c>
      <c r="K1184">
        <v>3.5</v>
      </c>
      <c r="M1184" s="2" t="str">
        <f>HYPERLINK("http://maps.live.com/default.aspx?v=2&amp;lvl=15&amp;sp=adr.8423 NE 123rd Pl (Unable to map),98034","Map")</f>
        <v>Map</v>
      </c>
      <c r="N1184" s="2" t="str">
        <f>HYPERLINK("http://i-0.rfimg.us/photo/1/bigphoto/494/28013494_6.jpg","Photo")</f>
        <v>Photo</v>
      </c>
      <c r="AI1184" t="s">
        <v>1058</v>
      </c>
      <c r="AJ1184">
        <v>98034</v>
      </c>
      <c r="BC1184" s="22">
        <v>39469.529432870368</v>
      </c>
      <c r="BI1184" s="22">
        <v>39549.294907407406</v>
      </c>
      <c r="BL1184">
        <v>16750</v>
      </c>
      <c r="BM1184">
        <v>1419934</v>
      </c>
      <c r="BN1184" t="s">
        <v>1768</v>
      </c>
      <c r="BO1184" s="17">
        <f t="shared" ca="1" si="18"/>
        <v>79.779973032411363</v>
      </c>
      <c r="BP1184" t="b">
        <v>0</v>
      </c>
      <c r="BQ1184">
        <v>1</v>
      </c>
      <c r="BR1184" t="s">
        <v>1842</v>
      </c>
      <c r="BS1184" t="s">
        <v>2882</v>
      </c>
      <c r="BT1184" t="b">
        <v>0</v>
      </c>
      <c r="BU1184" t="s">
        <v>1738</v>
      </c>
      <c r="BV1184" t="s">
        <v>1668</v>
      </c>
      <c r="BW1184">
        <v>8423</v>
      </c>
      <c r="BY1184">
        <v>0</v>
      </c>
      <c r="BZ1184" t="s">
        <v>3077</v>
      </c>
      <c r="CA1184">
        <v>1</v>
      </c>
      <c r="CB1184" t="b">
        <v>1</v>
      </c>
      <c r="CC1184">
        <v>0</v>
      </c>
      <c r="CD1184" t="b">
        <v>0</v>
      </c>
      <c r="CE1184" t="b">
        <v>0</v>
      </c>
      <c r="CF1184" t="b">
        <v>1</v>
      </c>
      <c r="CG1184" t="s">
        <v>1870</v>
      </c>
      <c r="CH1184" t="s">
        <v>1681</v>
      </c>
      <c r="CI1184" s="10">
        <v>837500</v>
      </c>
    </row>
    <row r="1185" spans="1:89">
      <c r="A1185">
        <v>28013513</v>
      </c>
      <c r="B1185" s="2" t="str">
        <f>HYPERLINK("http://www.redfin.com/stingray/do/printable-listing?listing-id=1420014","Active")</f>
        <v>Active</v>
      </c>
      <c r="D1185" t="s">
        <v>1058</v>
      </c>
      <c r="E1185" t="s">
        <v>4535</v>
      </c>
      <c r="F1185">
        <v>669888</v>
      </c>
      <c r="G1185">
        <v>1985</v>
      </c>
      <c r="H1185">
        <v>3000</v>
      </c>
      <c r="I1185">
        <v>0</v>
      </c>
      <c r="J1185">
        <v>4</v>
      </c>
      <c r="K1185">
        <v>2.5</v>
      </c>
      <c r="M1185" s="2" t="str">
        <f>HYPERLINK("http://maps.live.com/default.aspx?v=2&amp;lvl=15&amp;sp=Point.47.697737_-122.199195_10910 106th Ave NE&amp;cp=47.697737~-122.199195","Map")</f>
        <v>Map</v>
      </c>
      <c r="N1185" s="2" t="str">
        <f>HYPERLINK("http://i-0.rfimg.us/photo/1/bigphoto/513/28013513_0.jpg","Photo")</f>
        <v>Photo</v>
      </c>
      <c r="AG1185">
        <v>47.697736999999996</v>
      </c>
      <c r="AH1185">
        <v>-122.199195</v>
      </c>
      <c r="AI1185" t="s">
        <v>1058</v>
      </c>
      <c r="AJ1185">
        <v>98033</v>
      </c>
      <c r="AN1185">
        <v>27500</v>
      </c>
      <c r="BC1185" s="22">
        <v>39469.539768518516</v>
      </c>
      <c r="BI1185" s="7">
        <v>39541</v>
      </c>
      <c r="BL1185">
        <v>13398</v>
      </c>
      <c r="BM1185">
        <v>1420014</v>
      </c>
      <c r="BN1185" t="s">
        <v>1768</v>
      </c>
      <c r="BO1185" s="17">
        <f t="shared" ca="1" si="18"/>
        <v>79.769637384262751</v>
      </c>
      <c r="BP1185" t="b">
        <v>0</v>
      </c>
      <c r="BQ1185">
        <v>1</v>
      </c>
      <c r="BR1185" t="s">
        <v>1667</v>
      </c>
      <c r="BS1185" t="s">
        <v>2936</v>
      </c>
      <c r="BT1185" t="b">
        <v>0</v>
      </c>
      <c r="BV1185" t="s">
        <v>1668</v>
      </c>
      <c r="BW1185">
        <v>10910</v>
      </c>
      <c r="BX1185" t="s">
        <v>1738</v>
      </c>
      <c r="BY1185">
        <v>462386</v>
      </c>
      <c r="BZ1185" t="s">
        <v>1745</v>
      </c>
      <c r="CA1185">
        <v>1</v>
      </c>
      <c r="CB1185" t="b">
        <v>1</v>
      </c>
      <c r="CC1185">
        <v>0</v>
      </c>
      <c r="CD1185" t="b">
        <v>0</v>
      </c>
      <c r="CE1185" t="b">
        <v>0</v>
      </c>
      <c r="CF1185" t="b">
        <v>1</v>
      </c>
      <c r="CG1185">
        <v>2676989</v>
      </c>
      <c r="CH1185" t="s">
        <v>1681</v>
      </c>
      <c r="CI1185" s="10">
        <v>669888</v>
      </c>
      <c r="CJ1185" s="7">
        <v>30767</v>
      </c>
    </row>
    <row r="1186" spans="1:89">
      <c r="A1186">
        <v>28013587</v>
      </c>
      <c r="B1186" s="2" t="str">
        <f>HYPERLINK("http://www.redfin.com/stingray/do/printable-listing?listing-id=1420103","Active")</f>
        <v>Active</v>
      </c>
      <c r="D1186" t="s">
        <v>3966</v>
      </c>
      <c r="E1186" t="s">
        <v>4024</v>
      </c>
      <c r="F1186">
        <v>749950</v>
      </c>
      <c r="G1186">
        <v>1991</v>
      </c>
      <c r="H1186">
        <v>3260</v>
      </c>
      <c r="I1186">
        <v>4275</v>
      </c>
      <c r="J1186">
        <v>3</v>
      </c>
      <c r="K1186">
        <v>3</v>
      </c>
      <c r="M1186" s="2" t="str">
        <f>HYPERLINK("http://maps.live.com/default.aspx?v=2&amp;lvl=15&amp;sp=Point.47.614279_-122.294589_2900 E Pike St&amp;cp=47.614279~-122.294589","Map")</f>
        <v>Map</v>
      </c>
      <c r="N1186" s="2" t="str">
        <f>HYPERLINK("http://i-0.rfimg.us/photo/1/bigphoto/587/28013587_2.jpg","Photo")</f>
        <v>Photo</v>
      </c>
      <c r="AG1186">
        <v>47.614279000000003</v>
      </c>
      <c r="AH1186">
        <v>-122.294589</v>
      </c>
      <c r="AI1186" t="s">
        <v>66</v>
      </c>
      <c r="AJ1186">
        <v>98122</v>
      </c>
      <c r="AN1186">
        <v>419950</v>
      </c>
      <c r="BC1186" s="22">
        <v>39469.568344907406</v>
      </c>
      <c r="BI1186" s="22">
        <v>39549.294907407406</v>
      </c>
      <c r="BL1186">
        <v>14999</v>
      </c>
      <c r="BM1186">
        <v>1420103</v>
      </c>
      <c r="BN1186" t="s">
        <v>1688</v>
      </c>
      <c r="BO1186" s="17">
        <f t="shared" ca="1" si="18"/>
        <v>79.741060995373118</v>
      </c>
      <c r="BP1186" t="b">
        <v>0</v>
      </c>
      <c r="BQ1186">
        <v>1</v>
      </c>
      <c r="BR1186" t="s">
        <v>1686</v>
      </c>
      <c r="BS1186" t="s">
        <v>4025</v>
      </c>
      <c r="BT1186" t="b">
        <v>0</v>
      </c>
      <c r="BU1186" t="s">
        <v>2436</v>
      </c>
      <c r="BV1186" t="s">
        <v>1668</v>
      </c>
      <c r="BW1186">
        <v>2900</v>
      </c>
      <c r="BY1186">
        <v>148393</v>
      </c>
      <c r="BZ1186" t="s">
        <v>2340</v>
      </c>
      <c r="CA1186">
        <v>1</v>
      </c>
      <c r="CB1186" t="b">
        <v>1</v>
      </c>
      <c r="CC1186">
        <v>0</v>
      </c>
      <c r="CD1186" t="b">
        <v>0</v>
      </c>
      <c r="CE1186" t="b">
        <v>0</v>
      </c>
      <c r="CF1186" t="b">
        <v>1</v>
      </c>
      <c r="CG1186">
        <v>2837469</v>
      </c>
      <c r="CH1186" t="s">
        <v>1681</v>
      </c>
      <c r="CI1186" s="10">
        <v>749950</v>
      </c>
      <c r="CJ1186" s="7">
        <v>37498</v>
      </c>
    </row>
    <row r="1187" spans="1:89">
      <c r="A1187">
        <v>28013606</v>
      </c>
      <c r="B1187" s="2" t="str">
        <f>HYPERLINK("http://www.redfin.com/stingray/do/printable-listing?listing-id=1421342","Active")</f>
        <v>Active</v>
      </c>
      <c r="D1187" t="s">
        <v>4363</v>
      </c>
      <c r="E1187" t="s">
        <v>4693</v>
      </c>
      <c r="F1187" s="19">
        <v>545000</v>
      </c>
      <c r="G1187">
        <v>1987</v>
      </c>
      <c r="H1187">
        <v>1800</v>
      </c>
      <c r="I1187">
        <v>13373</v>
      </c>
      <c r="J1187">
        <v>3</v>
      </c>
      <c r="K1187">
        <v>2.5</v>
      </c>
      <c r="M1187" s="2" t="str">
        <f>HYPERLINK("http://maps.live.com/default.aspx?v=2&amp;lvl=15&amp;sp=Point.47.677014_-122.151246_8211 142nd Ave NE&amp;cp=47.677014~-122.151246","Map")</f>
        <v>Map</v>
      </c>
      <c r="N1187" s="2" t="str">
        <f>HYPERLINK("http://i-0.rfimg.us/photo/1/bigphoto/606/28013606_0.jpg","Photo")</f>
        <v>Photo</v>
      </c>
      <c r="AG1187">
        <v>47.677014</v>
      </c>
      <c r="AH1187">
        <v>-122.151246</v>
      </c>
      <c r="AI1187" t="s">
        <v>4363</v>
      </c>
      <c r="AJ1187">
        <v>98052</v>
      </c>
      <c r="AN1187">
        <v>176500</v>
      </c>
      <c r="BC1187" s="22">
        <v>39469.882407407407</v>
      </c>
      <c r="BI1187" s="7">
        <v>39536</v>
      </c>
      <c r="BL1187">
        <v>11300</v>
      </c>
      <c r="BM1187">
        <v>1421342</v>
      </c>
      <c r="BN1187" t="s">
        <v>1768</v>
      </c>
      <c r="BO1187" s="17">
        <f t="shared" ca="1" si="18"/>
        <v>79.426998495371663</v>
      </c>
      <c r="BP1187" t="b">
        <v>0</v>
      </c>
      <c r="BQ1187">
        <v>1</v>
      </c>
      <c r="BR1187" t="s">
        <v>1667</v>
      </c>
      <c r="BS1187" t="s">
        <v>4694</v>
      </c>
      <c r="BT1187" t="b">
        <v>0</v>
      </c>
      <c r="BV1187" t="s">
        <v>1668</v>
      </c>
      <c r="BW1187">
        <v>8211</v>
      </c>
      <c r="BX1187" t="s">
        <v>1738</v>
      </c>
      <c r="BY1187">
        <v>513276</v>
      </c>
      <c r="BZ1187" t="s">
        <v>1713</v>
      </c>
      <c r="CA1187">
        <v>1</v>
      </c>
      <c r="CB1187" t="b">
        <v>1</v>
      </c>
      <c r="CC1187">
        <v>0</v>
      </c>
      <c r="CD1187" t="b">
        <v>0</v>
      </c>
      <c r="CE1187" t="b">
        <v>0</v>
      </c>
      <c r="CF1187" t="b">
        <v>1</v>
      </c>
      <c r="CG1187">
        <v>2641684</v>
      </c>
      <c r="CH1187" t="s">
        <v>1681</v>
      </c>
      <c r="CI1187" s="10">
        <v>565000</v>
      </c>
      <c r="CJ1187" s="7">
        <v>39293</v>
      </c>
    </row>
    <row r="1188" spans="1:89">
      <c r="A1188">
        <v>28013625</v>
      </c>
      <c r="B1188" s="2" t="str">
        <f>HYPERLINK("http://www.redfin.com/stingray/do/printable-listing?listing-id=1420187","Active")</f>
        <v>Active</v>
      </c>
      <c r="D1188" t="s">
        <v>4513</v>
      </c>
      <c r="E1188" t="s">
        <v>4558</v>
      </c>
      <c r="F1188">
        <v>519000</v>
      </c>
      <c r="G1188">
        <v>1989</v>
      </c>
      <c r="H1188">
        <v>2000</v>
      </c>
      <c r="I1188">
        <v>0</v>
      </c>
      <c r="J1188">
        <v>3</v>
      </c>
      <c r="K1188">
        <v>2</v>
      </c>
      <c r="M1188" s="2" t="str">
        <f>HYPERLINK("http://maps.live.com/default.aspx?v=2&amp;lvl=15&amp;sp=Point.47.717699_-122.213337_13024 95th Pl NE&amp;cp=47.717699~-122.213337","Map")</f>
        <v>Map</v>
      </c>
      <c r="N1188" s="2" t="str">
        <f>HYPERLINK("http://i-0.rfimg.us/photo/1/bigphoto/625/28013625_0.jpg","Photo")</f>
        <v>Photo</v>
      </c>
      <c r="AG1188">
        <v>47.717699000000003</v>
      </c>
      <c r="AH1188">
        <v>-122.213337</v>
      </c>
      <c r="AI1188" t="s">
        <v>1058</v>
      </c>
      <c r="AJ1188">
        <v>98034</v>
      </c>
      <c r="AN1188">
        <v>123600</v>
      </c>
      <c r="BC1188" s="22">
        <v>39469.589606481481</v>
      </c>
      <c r="BI1188" s="22">
        <v>39549.294907407406</v>
      </c>
      <c r="BL1188">
        <v>10380</v>
      </c>
      <c r="BM1188">
        <v>1420187</v>
      </c>
      <c r="BN1188" t="s">
        <v>1674</v>
      </c>
      <c r="BO1188" s="17">
        <f t="shared" ca="1" si="18"/>
        <v>79.719799421298376</v>
      </c>
      <c r="BP1188" t="b">
        <v>0</v>
      </c>
      <c r="BQ1188">
        <v>1</v>
      </c>
      <c r="BR1188" t="s">
        <v>1842</v>
      </c>
      <c r="BS1188" t="s">
        <v>2722</v>
      </c>
      <c r="BT1188" t="b">
        <v>0</v>
      </c>
      <c r="BV1188" t="s">
        <v>1668</v>
      </c>
      <c r="BW1188">
        <v>13024</v>
      </c>
      <c r="BX1188" t="s">
        <v>1738</v>
      </c>
      <c r="BY1188">
        <v>278789</v>
      </c>
      <c r="BZ1188" t="s">
        <v>1743</v>
      </c>
      <c r="CA1188">
        <v>1</v>
      </c>
      <c r="CB1188" t="b">
        <v>1</v>
      </c>
      <c r="CC1188">
        <v>0</v>
      </c>
      <c r="CD1188" t="b">
        <v>0</v>
      </c>
      <c r="CE1188" t="b">
        <v>0</v>
      </c>
      <c r="CF1188" t="b">
        <v>1</v>
      </c>
      <c r="CG1188">
        <v>2802241</v>
      </c>
      <c r="CH1188" t="s">
        <v>1681</v>
      </c>
      <c r="CI1188" s="10">
        <v>519000</v>
      </c>
      <c r="CJ1188" s="7">
        <v>32724</v>
      </c>
    </row>
    <row r="1189" spans="1:89">
      <c r="A1189">
        <v>28013665</v>
      </c>
      <c r="B1189" s="2" t="str">
        <f>HYPERLINK("http://www.redfin.com/stingray/do/printable-listing?listing-id=1420375","Active")</f>
        <v>Active</v>
      </c>
      <c r="D1189" t="s">
        <v>3064</v>
      </c>
      <c r="E1189" t="s">
        <v>4836</v>
      </c>
      <c r="F1189">
        <v>1199950</v>
      </c>
      <c r="G1189">
        <v>2007</v>
      </c>
      <c r="H1189">
        <v>3460</v>
      </c>
      <c r="I1189">
        <v>8800</v>
      </c>
      <c r="J1189">
        <v>4</v>
      </c>
      <c r="K1189">
        <v>2.5</v>
      </c>
      <c r="M1189" s="2" t="str">
        <f>HYPERLINK("http://maps.live.com/default.aspx?v=2&amp;lvl=15&amp;sp=Point.47.686035_-122.188447_9423 114th Ave NE&amp;cp=47.686035~-122.188447","Map")</f>
        <v>Map</v>
      </c>
      <c r="N1189" s="2" t="str">
        <f>HYPERLINK("http://i-0.rfimg.us/photo/1/bigphoto/665/28013665_0.jpg","Photo")</f>
        <v>Photo</v>
      </c>
      <c r="AG1189">
        <v>47.686034999999997</v>
      </c>
      <c r="AH1189">
        <v>-122.188447</v>
      </c>
      <c r="AI1189" t="s">
        <v>1058</v>
      </c>
      <c r="AJ1189">
        <v>98033</v>
      </c>
      <c r="AN1189">
        <v>390000</v>
      </c>
      <c r="BC1189" s="22">
        <v>39469.631597222222</v>
      </c>
      <c r="BI1189" s="22">
        <v>39549.294907407406</v>
      </c>
      <c r="BL1189">
        <v>23999</v>
      </c>
      <c r="BM1189">
        <v>1420375</v>
      </c>
      <c r="BN1189" t="s">
        <v>2136</v>
      </c>
      <c r="BO1189" s="17">
        <f t="shared" ca="1" si="18"/>
        <v>79.677808680557064</v>
      </c>
      <c r="BP1189" t="b">
        <v>0</v>
      </c>
      <c r="BQ1189">
        <v>1</v>
      </c>
      <c r="BR1189" t="s">
        <v>1667</v>
      </c>
      <c r="BS1189" t="s">
        <v>4835</v>
      </c>
      <c r="BT1189" t="b">
        <v>0</v>
      </c>
      <c r="BV1189" t="s">
        <v>1668</v>
      </c>
      <c r="BW1189">
        <v>9423</v>
      </c>
      <c r="BX1189" t="s">
        <v>1738</v>
      </c>
      <c r="BY1189">
        <v>462945</v>
      </c>
      <c r="BZ1189" t="s">
        <v>1672</v>
      </c>
      <c r="CA1189">
        <v>1</v>
      </c>
      <c r="CB1189" t="b">
        <v>1</v>
      </c>
      <c r="CC1189">
        <v>0</v>
      </c>
      <c r="CD1189" t="b">
        <v>0</v>
      </c>
      <c r="CE1189" t="b">
        <v>0</v>
      </c>
      <c r="CF1189" t="b">
        <v>1</v>
      </c>
      <c r="CG1189">
        <v>2831443</v>
      </c>
      <c r="CH1189" t="s">
        <v>1681</v>
      </c>
      <c r="CI1189" s="10">
        <v>1199950</v>
      </c>
      <c r="CJ1189" s="7">
        <v>38939</v>
      </c>
    </row>
    <row r="1190" spans="1:89">
      <c r="A1190">
        <v>28013775</v>
      </c>
      <c r="B1190" s="2" t="str">
        <f>HYPERLINK("http://www.redfin.com/stingray/do/printable-listing?listing-id=1430231","Active")</f>
        <v>Active</v>
      </c>
      <c r="D1190" t="s">
        <v>55</v>
      </c>
      <c r="E1190" t="s">
        <v>2782</v>
      </c>
      <c r="F1190">
        <v>354950</v>
      </c>
      <c r="G1190">
        <v>2008</v>
      </c>
      <c r="H1190">
        <v>1518</v>
      </c>
      <c r="I1190">
        <v>0</v>
      </c>
      <c r="J1190">
        <v>3</v>
      </c>
      <c r="K1190">
        <v>3.25</v>
      </c>
      <c r="M1190" s="2" t="str">
        <f>HYPERLINK("http://maps.live.com/default.aspx?v=2&amp;lvl=15&amp;sp=Point.47.7097_-122.355062_11030 Greenwood Ave N nB&amp;cp=47.7097~-122.355062","Map")</f>
        <v>Map</v>
      </c>
      <c r="N1190" s="2" t="str">
        <f>HYPERLINK("http://i-0.rfimg.us/photo/1/bigphoto/775/28013775_2.jpg","Photo")</f>
        <v>Photo</v>
      </c>
      <c r="AG1190">
        <v>47.709699999999998</v>
      </c>
      <c r="AH1190">
        <v>-122.355062</v>
      </c>
      <c r="AI1190" t="s">
        <v>66</v>
      </c>
      <c r="AJ1190">
        <v>98133</v>
      </c>
      <c r="AM1190" t="s">
        <v>1699</v>
      </c>
      <c r="BC1190" s="22">
        <v>39472.710729166669</v>
      </c>
      <c r="BI1190" s="22">
        <v>39549.294907407406</v>
      </c>
      <c r="BL1190">
        <v>7099</v>
      </c>
      <c r="BM1190">
        <v>1430231</v>
      </c>
      <c r="BN1190" t="s">
        <v>1710</v>
      </c>
      <c r="BO1190" s="17">
        <f t="shared" ca="1" si="18"/>
        <v>76.598676851848722</v>
      </c>
      <c r="BP1190" t="b">
        <v>0</v>
      </c>
      <c r="BQ1190">
        <v>1</v>
      </c>
      <c r="BR1190" t="s">
        <v>1667</v>
      </c>
      <c r="BS1190" t="s">
        <v>55</v>
      </c>
      <c r="BT1190" t="b">
        <v>0</v>
      </c>
      <c r="BV1190" t="s">
        <v>1668</v>
      </c>
      <c r="BW1190">
        <v>11030</v>
      </c>
      <c r="BX1190" t="s">
        <v>1712</v>
      </c>
      <c r="BY1190">
        <v>12369185</v>
      </c>
      <c r="BZ1190" s="21" t="s">
        <v>2164</v>
      </c>
      <c r="CA1190">
        <v>1</v>
      </c>
      <c r="CB1190" t="b">
        <v>1</v>
      </c>
      <c r="CC1190">
        <v>0</v>
      </c>
      <c r="CD1190" t="b">
        <v>0</v>
      </c>
      <c r="CE1190" t="b">
        <v>0</v>
      </c>
      <c r="CF1190" t="b">
        <v>1</v>
      </c>
      <c r="CG1190">
        <v>15623651</v>
      </c>
      <c r="CH1190" t="s">
        <v>1681</v>
      </c>
      <c r="CI1190" s="10">
        <v>354950</v>
      </c>
    </row>
    <row r="1191" spans="1:89">
      <c r="A1191">
        <v>28013811</v>
      </c>
      <c r="B1191" s="2" t="str">
        <f>HYPERLINK("http://www.redfin.com/stingray/do/printable-listing?listing-id=1423268","Active")</f>
        <v>Active</v>
      </c>
      <c r="D1191" t="s">
        <v>99</v>
      </c>
      <c r="E1191" t="s">
        <v>145</v>
      </c>
      <c r="F1191" s="19">
        <v>389000</v>
      </c>
      <c r="G1191">
        <v>1940</v>
      </c>
      <c r="H1191">
        <v>1380</v>
      </c>
      <c r="I1191">
        <v>5400</v>
      </c>
      <c r="J1191">
        <v>2</v>
      </c>
      <c r="K1191">
        <v>2.25</v>
      </c>
      <c r="M1191" s="2" t="str">
        <f>HYPERLINK("http://maps.live.com/default.aspx?v=2&amp;lvl=15&amp;sp=Point.47.699514_-122.363077_9556 6th Ave NW&amp;cp=47.699514~-122.363077","Map")</f>
        <v>Map</v>
      </c>
      <c r="N1191" s="2" t="str">
        <f>HYPERLINK("http://i-0.rfimg.us/photo/1/bigphoto/811/28013811_2.jpg","Photo")</f>
        <v>Photo</v>
      </c>
      <c r="AG1191">
        <v>47.699514000000001</v>
      </c>
      <c r="AH1191">
        <v>-122.363077</v>
      </c>
      <c r="AI1191" t="s">
        <v>66</v>
      </c>
      <c r="AJ1191">
        <v>98117</v>
      </c>
      <c r="AN1191">
        <v>184950</v>
      </c>
      <c r="BC1191" s="22">
        <v>39470.589814814812</v>
      </c>
      <c r="BI1191" s="22">
        <v>39549.294907407406</v>
      </c>
      <c r="BL1191">
        <v>8000</v>
      </c>
      <c r="BM1191">
        <v>1423268</v>
      </c>
      <c r="BN1191" t="s">
        <v>1725</v>
      </c>
      <c r="BO1191" s="17">
        <f t="shared" ca="1" si="18"/>
        <v>78.719591203705932</v>
      </c>
      <c r="BP1191" t="b">
        <v>0</v>
      </c>
      <c r="BQ1191">
        <v>1</v>
      </c>
      <c r="BR1191" t="s">
        <v>1667</v>
      </c>
      <c r="BS1191" t="s">
        <v>1739</v>
      </c>
      <c r="BT1191" t="b">
        <v>0</v>
      </c>
      <c r="BV1191" t="s">
        <v>1668</v>
      </c>
      <c r="BW1191">
        <v>9556</v>
      </c>
      <c r="BX1191" t="s">
        <v>1669</v>
      </c>
      <c r="BY1191">
        <v>101523</v>
      </c>
      <c r="BZ1191" t="s">
        <v>1802</v>
      </c>
      <c r="CA1191">
        <v>1</v>
      </c>
      <c r="CB1191" t="b">
        <v>1</v>
      </c>
      <c r="CC1191">
        <v>0</v>
      </c>
      <c r="CD1191" t="b">
        <v>0</v>
      </c>
      <c r="CE1191" t="b">
        <v>0</v>
      </c>
      <c r="CF1191" t="b">
        <v>0</v>
      </c>
      <c r="CG1191">
        <v>2617347</v>
      </c>
      <c r="CH1191" t="s">
        <v>1681</v>
      </c>
      <c r="CI1191" s="10">
        <v>400000</v>
      </c>
      <c r="CJ1191" s="7">
        <v>37070</v>
      </c>
      <c r="CK1191" t="s">
        <v>2324</v>
      </c>
    </row>
    <row r="1192" spans="1:89">
      <c r="A1192">
        <v>28013859</v>
      </c>
      <c r="B1192" s="2" t="str">
        <f>HYPERLINK("http://www.redfin.com/stingray/do/printable-listing?listing-id=1423380","Active")</f>
        <v>Active</v>
      </c>
      <c r="D1192" t="s">
        <v>5490</v>
      </c>
      <c r="E1192" t="s">
        <v>5953</v>
      </c>
      <c r="F1192" s="19">
        <v>859000</v>
      </c>
      <c r="G1192">
        <v>1995</v>
      </c>
      <c r="H1192">
        <v>3040</v>
      </c>
      <c r="I1192">
        <v>6698</v>
      </c>
      <c r="J1192">
        <v>4</v>
      </c>
      <c r="K1192">
        <v>2.5</v>
      </c>
      <c r="M1192" s="2" t="str">
        <f>HYPERLINK("http://maps.live.com/default.aspx?v=2&amp;lvl=15&amp;sp=Point.47.553076_-122.104892_5570 176th Pl SE&amp;cp=47.553076~-122.104892","Map")</f>
        <v>Map</v>
      </c>
      <c r="N1192" s="2" t="str">
        <f>HYPERLINK("http://i-0.rfimg.us/photo/1/bigphoto/859/28013859_0.jpg","Photo")</f>
        <v>Photo</v>
      </c>
      <c r="AG1192">
        <v>47.553075999999997</v>
      </c>
      <c r="AH1192">
        <v>-122.10489200000001</v>
      </c>
      <c r="AI1192" t="s">
        <v>369</v>
      </c>
      <c r="AJ1192">
        <v>98006</v>
      </c>
      <c r="AN1192">
        <v>404950</v>
      </c>
      <c r="BC1192" s="22">
        <v>39470.611261574071</v>
      </c>
      <c r="BI1192" s="22">
        <v>39549.294907407406</v>
      </c>
      <c r="BL1192">
        <v>17499</v>
      </c>
      <c r="BM1192">
        <v>1423380</v>
      </c>
      <c r="BN1192" t="s">
        <v>1674</v>
      </c>
      <c r="BO1192" s="17">
        <f t="shared" ca="1" si="18"/>
        <v>78.698144328707713</v>
      </c>
      <c r="BP1192" t="b">
        <v>0</v>
      </c>
      <c r="BQ1192">
        <v>1</v>
      </c>
      <c r="BR1192" t="s">
        <v>1842</v>
      </c>
      <c r="BS1192" t="s">
        <v>5312</v>
      </c>
      <c r="BT1192" t="b">
        <v>0</v>
      </c>
      <c r="BV1192" t="s">
        <v>1668</v>
      </c>
      <c r="BW1192">
        <v>5570</v>
      </c>
      <c r="BX1192" t="s">
        <v>3856</v>
      </c>
      <c r="BY1192">
        <v>418229</v>
      </c>
      <c r="BZ1192" t="s">
        <v>5954</v>
      </c>
      <c r="CA1192">
        <v>1</v>
      </c>
      <c r="CB1192" t="b">
        <v>1</v>
      </c>
      <c r="CC1192">
        <v>0</v>
      </c>
      <c r="CD1192" t="b">
        <v>0</v>
      </c>
      <c r="CE1192" t="b">
        <v>0</v>
      </c>
      <c r="CF1192" t="b">
        <v>1</v>
      </c>
      <c r="CG1192">
        <v>2390266</v>
      </c>
      <c r="CH1192" t="s">
        <v>1681</v>
      </c>
      <c r="CI1192" s="10">
        <v>874950</v>
      </c>
      <c r="CJ1192" s="7">
        <v>35145</v>
      </c>
    </row>
    <row r="1193" spans="1:89">
      <c r="A1193">
        <v>28013959</v>
      </c>
      <c r="B1193" s="2" t="str">
        <f>HYPERLINK("http://www.redfin.com/stingray/do/printable-listing?listing-id=1422312","Active")</f>
        <v>Active</v>
      </c>
      <c r="D1193" t="s">
        <v>3249</v>
      </c>
      <c r="E1193" t="s">
        <v>3267</v>
      </c>
      <c r="F1193">
        <v>548950</v>
      </c>
      <c r="G1193">
        <v>2006</v>
      </c>
      <c r="H1193">
        <v>1651</v>
      </c>
      <c r="I1193">
        <v>0</v>
      </c>
      <c r="J1193">
        <v>3</v>
      </c>
      <c r="K1193">
        <v>2</v>
      </c>
      <c r="M1193" s="2" t="str">
        <f>HYPERLINK("http://maps.live.com/default.aspx?v=2&amp;lvl=15&amp;sp=Point.47.647937_-122.358248_14 W Etruria St nB&amp;cp=47.647937~-122.358248","Map")</f>
        <v>Map</v>
      </c>
      <c r="N1193" s="2" t="str">
        <f>HYPERLINK("http://i-0.rfimg.us/photo/1/bigphoto/959/28013959_3.jpg","Photo")</f>
        <v>Photo</v>
      </c>
      <c r="AG1193">
        <v>47.647936999999999</v>
      </c>
      <c r="AH1193">
        <v>-122.358248</v>
      </c>
      <c r="AI1193" t="s">
        <v>66</v>
      </c>
      <c r="AJ1193">
        <v>98119</v>
      </c>
      <c r="AM1193" t="s">
        <v>1699</v>
      </c>
      <c r="BC1193" s="22">
        <v>39470.317083333335</v>
      </c>
      <c r="BI1193" s="7">
        <v>39535</v>
      </c>
      <c r="BL1193">
        <v>10979</v>
      </c>
      <c r="BM1193">
        <v>1422312</v>
      </c>
      <c r="BN1193" t="s">
        <v>1674</v>
      </c>
      <c r="BO1193" s="17">
        <f t="shared" ca="1" si="18"/>
        <v>78.992322569443786</v>
      </c>
      <c r="BP1193" t="b">
        <v>0</v>
      </c>
      <c r="BQ1193">
        <v>1</v>
      </c>
      <c r="BR1193" t="s">
        <v>1686</v>
      </c>
      <c r="BS1193" t="s">
        <v>3268</v>
      </c>
      <c r="BT1193" t="b">
        <v>0</v>
      </c>
      <c r="BU1193" t="s">
        <v>2423</v>
      </c>
      <c r="BV1193" t="s">
        <v>1668</v>
      </c>
      <c r="BW1193">
        <v>14</v>
      </c>
      <c r="BY1193">
        <v>12361477</v>
      </c>
      <c r="BZ1193" t="s">
        <v>3269</v>
      </c>
      <c r="CA1193">
        <v>1</v>
      </c>
      <c r="CB1193" t="b">
        <v>1</v>
      </c>
      <c r="CC1193">
        <v>0</v>
      </c>
      <c r="CD1193" t="b">
        <v>0</v>
      </c>
      <c r="CE1193" t="b">
        <v>0</v>
      </c>
      <c r="CF1193" t="b">
        <v>1</v>
      </c>
      <c r="CG1193">
        <v>15565225</v>
      </c>
      <c r="CH1193" t="s">
        <v>1681</v>
      </c>
      <c r="CI1193" s="10">
        <v>548950</v>
      </c>
    </row>
    <row r="1194" spans="1:89">
      <c r="A1194">
        <v>28013961</v>
      </c>
      <c r="B1194" s="2" t="str">
        <f>HYPERLINK("http://www.redfin.com/stingray/do/printable-listing?listing-id=1422335","Active")</f>
        <v>Active</v>
      </c>
      <c r="D1194" t="s">
        <v>3249</v>
      </c>
      <c r="E1194" t="s">
        <v>4340</v>
      </c>
      <c r="F1194">
        <v>2580000</v>
      </c>
      <c r="G1194">
        <v>1911</v>
      </c>
      <c r="H1194">
        <v>4690</v>
      </c>
      <c r="I1194">
        <v>7100</v>
      </c>
      <c r="J1194">
        <v>4</v>
      </c>
      <c r="K1194">
        <v>2.5</v>
      </c>
      <c r="M1194" s="2" t="str">
        <f>HYPERLINK("http://maps.live.com/default.aspx?v=2&amp;lvl=15&amp;sp=Point.47.628022_-122.36156_320 W Kinnear Pl&amp;cp=47.628022~-122.36156","Map")</f>
        <v>Map</v>
      </c>
      <c r="N1194" s="2" t="str">
        <f>HYPERLINK("http://i-0.rfimg.us/photo/1/bigphoto/961/28013961_0.jpg","Photo")</f>
        <v>Photo</v>
      </c>
      <c r="AG1194">
        <v>47.628022000000001</v>
      </c>
      <c r="AH1194">
        <v>-122.36156</v>
      </c>
      <c r="AI1194" t="s">
        <v>66</v>
      </c>
      <c r="AJ1194">
        <v>98119</v>
      </c>
      <c r="AN1194">
        <v>400000</v>
      </c>
      <c r="BC1194" s="22">
        <v>39470.337939814817</v>
      </c>
      <c r="BI1194" s="22">
        <v>39549.294907407406</v>
      </c>
      <c r="BL1194">
        <v>51600</v>
      </c>
      <c r="BM1194">
        <v>1422335</v>
      </c>
      <c r="BN1194" t="s">
        <v>1674</v>
      </c>
      <c r="BO1194" s="17">
        <f t="shared" ca="1" si="18"/>
        <v>78.971466087961744</v>
      </c>
      <c r="BP1194" t="b">
        <v>0</v>
      </c>
      <c r="BQ1194">
        <v>1</v>
      </c>
      <c r="BR1194" t="s">
        <v>1842</v>
      </c>
      <c r="BS1194" t="s">
        <v>4336</v>
      </c>
      <c r="BT1194" t="b">
        <v>0</v>
      </c>
      <c r="BU1194" t="s">
        <v>2423</v>
      </c>
      <c r="BV1194" t="s">
        <v>1668</v>
      </c>
      <c r="BW1194">
        <v>320</v>
      </c>
      <c r="BY1194">
        <v>134373</v>
      </c>
      <c r="BZ1194" t="s">
        <v>1672</v>
      </c>
      <c r="CA1194">
        <v>1</v>
      </c>
      <c r="CB1194" t="b">
        <v>1</v>
      </c>
      <c r="CC1194">
        <v>0</v>
      </c>
      <c r="CD1194" t="b">
        <v>0</v>
      </c>
      <c r="CE1194" t="b">
        <v>0</v>
      </c>
      <c r="CF1194" t="b">
        <v>1</v>
      </c>
      <c r="CG1194">
        <v>2750524</v>
      </c>
      <c r="CH1194" t="s">
        <v>1681</v>
      </c>
      <c r="CI1194" s="10">
        <v>2580000</v>
      </c>
      <c r="CJ1194" s="7">
        <v>35153</v>
      </c>
    </row>
    <row r="1195" spans="1:89">
      <c r="A1195">
        <v>28013962</v>
      </c>
      <c r="B1195" s="2" t="str">
        <f>HYPERLINK("http://www.redfin.com/stingray/do/printable-listing?listing-id=1424532","Active")</f>
        <v>Active</v>
      </c>
      <c r="D1195" t="s">
        <v>4611</v>
      </c>
      <c r="E1195" t="s">
        <v>5128</v>
      </c>
      <c r="F1195" s="19">
        <v>549800</v>
      </c>
      <c r="G1195">
        <v>1965</v>
      </c>
      <c r="H1195">
        <v>1540</v>
      </c>
      <c r="I1195">
        <v>7875</v>
      </c>
      <c r="J1195">
        <v>4</v>
      </c>
      <c r="K1195">
        <v>1.75</v>
      </c>
      <c r="M1195" s="2" t="str">
        <f>HYPERLINK("http://maps.live.com/default.aspx?v=2&amp;lvl=15&amp;sp=Point.47.626452_-122.112447_17020 NE 18th St&amp;cp=47.626452~-122.112447","Map")</f>
        <v>Map</v>
      </c>
      <c r="N1195" s="2" t="str">
        <f>HYPERLINK("http://i-0.rfimg.us/photo/1/bigphoto/962/28013962_0.jpg","Photo")</f>
        <v>Photo</v>
      </c>
      <c r="AG1195">
        <v>47.626452</v>
      </c>
      <c r="AH1195">
        <v>-122.112447</v>
      </c>
      <c r="AI1195" t="s">
        <v>369</v>
      </c>
      <c r="AJ1195">
        <v>98008</v>
      </c>
      <c r="AN1195">
        <v>325000</v>
      </c>
      <c r="BC1195" s="22">
        <v>39470.94363425926</v>
      </c>
      <c r="BI1195" s="22">
        <v>39549.294907407406</v>
      </c>
      <c r="BL1195">
        <v>11300</v>
      </c>
      <c r="BM1195">
        <v>1424532</v>
      </c>
      <c r="BN1195" t="s">
        <v>1768</v>
      </c>
      <c r="BO1195" s="17">
        <f t="shared" ca="1" si="18"/>
        <v>78.365771643519111</v>
      </c>
      <c r="BP1195" t="b">
        <v>0</v>
      </c>
      <c r="BQ1195">
        <v>1</v>
      </c>
      <c r="BR1195" t="s">
        <v>1686</v>
      </c>
      <c r="BS1195" t="s">
        <v>1909</v>
      </c>
      <c r="BT1195" t="b">
        <v>0</v>
      </c>
      <c r="BU1195" t="s">
        <v>1738</v>
      </c>
      <c r="BV1195" t="s">
        <v>1668</v>
      </c>
      <c r="BW1195">
        <v>17020</v>
      </c>
      <c r="BY1195">
        <v>432262</v>
      </c>
      <c r="BZ1195" t="s">
        <v>1713</v>
      </c>
      <c r="CA1195">
        <v>1</v>
      </c>
      <c r="CB1195" t="b">
        <v>1</v>
      </c>
      <c r="CC1195">
        <v>0</v>
      </c>
      <c r="CD1195" t="b">
        <v>0</v>
      </c>
      <c r="CE1195" t="b">
        <v>0</v>
      </c>
      <c r="CF1195" t="b">
        <v>1</v>
      </c>
      <c r="CG1195">
        <v>2348772</v>
      </c>
      <c r="CH1195" t="s">
        <v>1681</v>
      </c>
      <c r="CI1195" s="10">
        <v>565000</v>
      </c>
      <c r="CJ1195" s="7">
        <v>38034</v>
      </c>
    </row>
    <row r="1196" spans="1:89">
      <c r="A1196">
        <v>28014006</v>
      </c>
      <c r="B1196" s="2" t="str">
        <f>HYPERLINK("http://www.redfin.com/stingray/do/printable-listing?listing-id=1422029","Active")</f>
        <v>Active</v>
      </c>
      <c r="D1196" t="s">
        <v>226</v>
      </c>
      <c r="E1196" t="s">
        <v>3240</v>
      </c>
      <c r="F1196">
        <v>474995</v>
      </c>
      <c r="G1196">
        <v>2008</v>
      </c>
      <c r="H1196">
        <v>1545</v>
      </c>
      <c r="I1196">
        <v>0</v>
      </c>
      <c r="J1196">
        <v>3</v>
      </c>
      <c r="K1196">
        <v>2.5</v>
      </c>
      <c r="M1196" s="2" t="str">
        <f>HYPERLINK("http://maps.live.com/default.aspx?v=2&amp;lvl=15&amp;sp=Point.47.666852_-122.316095_5216 11 Ave NE&amp;cp=47.666852~-122.316095","Map")</f>
        <v>Map</v>
      </c>
      <c r="N1196" s="2" t="str">
        <f>HYPERLINK("http://i-0.rfimg.us/photo/1/bigphoto/006/28014006_2.jpg","Photo")</f>
        <v>Photo</v>
      </c>
      <c r="AG1196">
        <v>47.666851999999999</v>
      </c>
      <c r="AH1196">
        <v>-122.316095</v>
      </c>
      <c r="AI1196" t="s">
        <v>66</v>
      </c>
      <c r="AJ1196">
        <v>98105</v>
      </c>
      <c r="BC1196" s="22">
        <v>39470.088194444441</v>
      </c>
      <c r="BI1196" s="22">
        <v>39549.294907407406</v>
      </c>
      <c r="BL1196">
        <v>9500</v>
      </c>
      <c r="BM1196">
        <v>1422029</v>
      </c>
      <c r="BN1196" t="s">
        <v>1688</v>
      </c>
      <c r="BO1196" s="17">
        <f t="shared" ca="1" si="18"/>
        <v>79.221211458338075</v>
      </c>
      <c r="BP1196" t="b">
        <v>0</v>
      </c>
      <c r="BQ1196">
        <v>1</v>
      </c>
      <c r="BR1196" t="s">
        <v>1667</v>
      </c>
      <c r="BS1196">
        <v>11</v>
      </c>
      <c r="BT1196" t="b">
        <v>0</v>
      </c>
      <c r="BV1196" t="s">
        <v>1668</v>
      </c>
      <c r="BW1196">
        <v>5216</v>
      </c>
      <c r="BX1196" t="s">
        <v>1738</v>
      </c>
      <c r="BY1196">
        <v>12362183</v>
      </c>
      <c r="BZ1196" t="s">
        <v>3241</v>
      </c>
      <c r="CA1196">
        <v>1</v>
      </c>
      <c r="CB1196" t="b">
        <v>1</v>
      </c>
      <c r="CC1196">
        <v>0</v>
      </c>
      <c r="CD1196" t="b">
        <v>0</v>
      </c>
      <c r="CE1196" t="b">
        <v>0</v>
      </c>
      <c r="CF1196" t="b">
        <v>1</v>
      </c>
      <c r="CG1196">
        <v>15565931</v>
      </c>
      <c r="CH1196" t="s">
        <v>1681</v>
      </c>
      <c r="CI1196" s="10">
        <v>474995</v>
      </c>
    </row>
    <row r="1197" spans="1:89">
      <c r="A1197">
        <v>28014007</v>
      </c>
      <c r="B1197" s="15" t="str">
        <f>HYPERLINK("http://www.redfin.com/stingray/do/printable-listing?listing-id=1422028","Active")</f>
        <v>Active</v>
      </c>
      <c r="D1197" t="s">
        <v>5161</v>
      </c>
      <c r="E1197" t="s">
        <v>5186</v>
      </c>
      <c r="F1197">
        <v>699950</v>
      </c>
      <c r="G1197">
        <v>1947</v>
      </c>
      <c r="H1197">
        <v>2280</v>
      </c>
      <c r="I1197">
        <v>11550</v>
      </c>
      <c r="J1197">
        <v>4</v>
      </c>
      <c r="K1197">
        <v>2</v>
      </c>
      <c r="M1197" s="2" t="str">
        <f>HYPERLINK("http://maps.live.com/default.aspx?v=2&amp;lvl=15&amp;sp=Point.47.574799_-122.22458_8456 SE 40th St&amp;cp=47.574799~-122.22458","Map")</f>
        <v>Map</v>
      </c>
      <c r="N1197" s="2" t="str">
        <f>HYPERLINK("http://i-0.rfimg.us/photo/1/bigphoto/007/28014007_5.jpg","Photo")</f>
        <v>Photo</v>
      </c>
      <c r="AG1197">
        <v>47.574798999999999</v>
      </c>
      <c r="AH1197">
        <v>-122.22458</v>
      </c>
      <c r="AI1197" t="s">
        <v>5139</v>
      </c>
      <c r="AJ1197">
        <v>98040</v>
      </c>
      <c r="AN1197">
        <v>194000</v>
      </c>
      <c r="BC1197" s="22">
        <v>39470.088182870371</v>
      </c>
      <c r="BI1197" s="22">
        <v>39549.294907407406</v>
      </c>
      <c r="BL1197">
        <v>13999</v>
      </c>
      <c r="BM1197">
        <v>1422028</v>
      </c>
      <c r="BN1197" t="s">
        <v>1688</v>
      </c>
      <c r="BO1197" s="17">
        <f t="shared" ca="1" si="18"/>
        <v>79.221223032407579</v>
      </c>
      <c r="BP1197" t="b">
        <v>0</v>
      </c>
      <c r="BQ1197">
        <v>1</v>
      </c>
      <c r="BR1197" t="s">
        <v>1686</v>
      </c>
      <c r="BS1197" t="s">
        <v>2832</v>
      </c>
      <c r="BT1197" t="b">
        <v>0</v>
      </c>
      <c r="BU1197" t="s">
        <v>3856</v>
      </c>
      <c r="BV1197" t="s">
        <v>1668</v>
      </c>
      <c r="BW1197">
        <v>8456</v>
      </c>
      <c r="BY1197">
        <v>254544</v>
      </c>
      <c r="BZ1197" t="s">
        <v>5187</v>
      </c>
      <c r="CA1197">
        <v>1</v>
      </c>
      <c r="CB1197" t="b">
        <v>1</v>
      </c>
      <c r="CC1197">
        <v>0</v>
      </c>
      <c r="CD1197" t="b">
        <v>0</v>
      </c>
      <c r="CE1197" t="b">
        <v>0</v>
      </c>
      <c r="CF1197" t="b">
        <v>1</v>
      </c>
      <c r="CG1197">
        <v>2687775</v>
      </c>
      <c r="CH1197" t="s">
        <v>1681</v>
      </c>
      <c r="CI1197" s="10">
        <v>699950</v>
      </c>
      <c r="CJ1197" s="7">
        <v>34060</v>
      </c>
    </row>
    <row r="1198" spans="1:89">
      <c r="A1198">
        <v>28014016</v>
      </c>
      <c r="B1198" s="2" t="str">
        <f>HYPERLINK("http://www.redfin.com/stingray/do/printable-listing?listing-id=1422313","Active")</f>
        <v>Active</v>
      </c>
      <c r="D1198" t="s">
        <v>63</v>
      </c>
      <c r="E1198" t="s">
        <v>324</v>
      </c>
      <c r="F1198">
        <v>329000</v>
      </c>
      <c r="G1198">
        <v>2007</v>
      </c>
      <c r="H1198">
        <v>1200</v>
      </c>
      <c r="I1198">
        <v>0</v>
      </c>
      <c r="J1198">
        <v>2</v>
      </c>
      <c r="K1198">
        <v>2.5</v>
      </c>
      <c r="M1198" s="2" t="str">
        <f>HYPERLINK("http://maps.live.com/default.aspx?v=2&amp;lvl=15&amp;sp=Point.47.690467_-122.364694_603 NW 85&amp;cp=47.690467~-122.364694","Map")</f>
        <v>Map</v>
      </c>
      <c r="N1198" s="2" t="str">
        <f>HYPERLINK("http://i-0.rfimg.us/photo/1/bigphoto/016/28014016_0.jpg","Photo")</f>
        <v>Photo</v>
      </c>
      <c r="AG1198">
        <v>47.690466999999998</v>
      </c>
      <c r="AH1198">
        <v>-122.364694</v>
      </c>
      <c r="AI1198" t="s">
        <v>66</v>
      </c>
      <c r="AJ1198">
        <v>98117</v>
      </c>
      <c r="BC1198" s="22">
        <v>39470.317210648151</v>
      </c>
      <c r="BI1198" s="22">
        <v>39549.294907407406</v>
      </c>
      <c r="BL1198">
        <v>6580</v>
      </c>
      <c r="BM1198">
        <v>1422313</v>
      </c>
      <c r="BN1198" t="s">
        <v>1846</v>
      </c>
      <c r="BO1198" s="17">
        <f t="shared" ca="1" si="18"/>
        <v>78.992195370366971</v>
      </c>
      <c r="BP1198" t="b">
        <v>0</v>
      </c>
      <c r="BQ1198">
        <v>1</v>
      </c>
      <c r="BS1198">
        <v>85</v>
      </c>
      <c r="BT1198" t="b">
        <v>0</v>
      </c>
      <c r="BU1198" t="s">
        <v>1669</v>
      </c>
      <c r="BV1198" t="s">
        <v>1668</v>
      </c>
      <c r="BW1198">
        <v>603</v>
      </c>
      <c r="BY1198">
        <v>12361478</v>
      </c>
      <c r="BZ1198" t="s">
        <v>1762</v>
      </c>
      <c r="CA1198">
        <v>1</v>
      </c>
      <c r="CB1198" t="b">
        <v>1</v>
      </c>
      <c r="CC1198">
        <v>0</v>
      </c>
      <c r="CD1198" t="b">
        <v>0</v>
      </c>
      <c r="CE1198" t="b">
        <v>0</v>
      </c>
      <c r="CF1198" t="b">
        <v>0</v>
      </c>
      <c r="CG1198">
        <v>15565226</v>
      </c>
      <c r="CH1198" t="s">
        <v>1681</v>
      </c>
      <c r="CI1198" s="10">
        <v>329000</v>
      </c>
    </row>
    <row r="1199" spans="1:89">
      <c r="A1199">
        <v>28014038</v>
      </c>
      <c r="B1199" s="2" t="str">
        <f>HYPERLINK("http://www.redfin.com/stingray/do/printable-listing?listing-id=1423781","Active")</f>
        <v>Active</v>
      </c>
      <c r="D1199" t="s">
        <v>5195</v>
      </c>
      <c r="E1199" t="s">
        <v>5206</v>
      </c>
      <c r="F1199" s="19">
        <v>529000</v>
      </c>
      <c r="G1199">
        <v>1962</v>
      </c>
      <c r="H1199">
        <v>1920</v>
      </c>
      <c r="I1199">
        <v>11560</v>
      </c>
      <c r="J1199">
        <v>3</v>
      </c>
      <c r="K1199">
        <v>2</v>
      </c>
      <c r="M1199" s="2" t="str">
        <f>HYPERLINK("http://maps.live.com/default.aspx?v=2&amp;lvl=15&amp;sp=Point.47.584249_-122.117387_16716 SE 29th St&amp;cp=47.584249~-122.117387","Map")</f>
        <v>Map</v>
      </c>
      <c r="N1199" s="2" t="str">
        <f>HYPERLINK("http://i-0.rfimg.us/photo/1/bigphoto/038/28014038_4.jpg","Photo")</f>
        <v>Photo</v>
      </c>
      <c r="AG1199">
        <v>47.584249</v>
      </c>
      <c r="AH1199">
        <v>-122.11738699999999</v>
      </c>
      <c r="AI1199" t="s">
        <v>369</v>
      </c>
      <c r="AJ1199">
        <v>98008</v>
      </c>
      <c r="AN1199">
        <v>92500</v>
      </c>
      <c r="BC1199" s="22">
        <v>39470.701666666668</v>
      </c>
      <c r="BI1199" s="22">
        <v>39549.294907407406</v>
      </c>
      <c r="BL1199">
        <v>10998</v>
      </c>
      <c r="BM1199">
        <v>1423781</v>
      </c>
      <c r="BN1199" t="s">
        <v>1735</v>
      </c>
      <c r="BO1199" s="17">
        <f t="shared" ca="1" si="18"/>
        <v>78.607739236111229</v>
      </c>
      <c r="BP1199" t="b">
        <v>0</v>
      </c>
      <c r="BQ1199">
        <v>1</v>
      </c>
      <c r="BR1199" t="s">
        <v>1686</v>
      </c>
      <c r="BS1199" t="s">
        <v>1772</v>
      </c>
      <c r="BT1199" t="b">
        <v>0</v>
      </c>
      <c r="BU1199" t="s">
        <v>3856</v>
      </c>
      <c r="BV1199" t="s">
        <v>1668</v>
      </c>
      <c r="BW1199">
        <v>16716</v>
      </c>
      <c r="BY1199">
        <v>428837</v>
      </c>
      <c r="BZ1199" t="s">
        <v>5207</v>
      </c>
      <c r="CA1199">
        <v>1</v>
      </c>
      <c r="CB1199" t="b">
        <v>1</v>
      </c>
      <c r="CC1199">
        <v>0</v>
      </c>
      <c r="CD1199" t="b">
        <v>0</v>
      </c>
      <c r="CE1199" t="b">
        <v>0</v>
      </c>
      <c r="CF1199" t="b">
        <v>1</v>
      </c>
      <c r="CG1199">
        <v>2569491</v>
      </c>
      <c r="CH1199" t="s">
        <v>1681</v>
      </c>
      <c r="CI1199" s="10">
        <v>549900</v>
      </c>
      <c r="CJ1199" s="7">
        <v>31559</v>
      </c>
    </row>
    <row r="1200" spans="1:89">
      <c r="A1200">
        <v>28014110</v>
      </c>
      <c r="B1200" s="2" t="str">
        <f>HYPERLINK("http://www.redfin.com/stingray/do/printable-listing?listing-id=1422495","Active")</f>
        <v>Active</v>
      </c>
      <c r="D1200" t="s">
        <v>3714</v>
      </c>
      <c r="E1200" t="s">
        <v>3771</v>
      </c>
      <c r="F1200">
        <v>2300000</v>
      </c>
      <c r="G1200">
        <v>2008</v>
      </c>
      <c r="H1200">
        <v>0</v>
      </c>
      <c r="I1200">
        <v>8075</v>
      </c>
      <c r="J1200">
        <v>4</v>
      </c>
      <c r="K1200">
        <v>3.5</v>
      </c>
      <c r="M1200" s="2" t="str">
        <f>HYPERLINK("http://maps.live.com/default.aspx?v=2&amp;lvl=15&amp;sp=Point.47.634673_-122.288296_1655 Broadmoor Dr E&amp;cp=47.634673~-122.288296","Map")</f>
        <v>Map</v>
      </c>
      <c r="N1200" s="2" t="str">
        <f>HYPERLINK("http://i-0.rfimg.us/photo/1/bigphoto/110/28014110_0.jpg","Photo")</f>
        <v>Photo</v>
      </c>
      <c r="AG1200">
        <v>47.634672999999999</v>
      </c>
      <c r="AH1200">
        <v>-122.288296</v>
      </c>
      <c r="AI1200" t="s">
        <v>66</v>
      </c>
      <c r="AJ1200">
        <v>98112</v>
      </c>
      <c r="BC1200" s="22">
        <v>39470.421875</v>
      </c>
      <c r="BI1200" s="22">
        <v>39549.294907407406</v>
      </c>
      <c r="BL1200">
        <v>46000</v>
      </c>
      <c r="BM1200">
        <v>1422495</v>
      </c>
      <c r="BN1200" t="s">
        <v>1674</v>
      </c>
      <c r="BO1200" s="17">
        <f t="shared" ca="1" si="18"/>
        <v>78.887530902778963</v>
      </c>
      <c r="BP1200" t="b">
        <v>0</v>
      </c>
      <c r="BQ1200">
        <v>1</v>
      </c>
      <c r="BR1200" t="s">
        <v>1816</v>
      </c>
      <c r="BS1200" t="s">
        <v>3714</v>
      </c>
      <c r="BT1200" t="b">
        <v>0</v>
      </c>
      <c r="BV1200" t="s">
        <v>1668</v>
      </c>
      <c r="BW1200">
        <v>1655</v>
      </c>
      <c r="BX1200" t="s">
        <v>2436</v>
      </c>
      <c r="BY1200">
        <v>12169801</v>
      </c>
      <c r="BZ1200" t="s">
        <v>1672</v>
      </c>
      <c r="CA1200">
        <v>1</v>
      </c>
      <c r="CB1200" t="b">
        <v>1</v>
      </c>
      <c r="CC1200">
        <v>0</v>
      </c>
      <c r="CD1200" t="b">
        <v>0</v>
      </c>
      <c r="CE1200" t="b">
        <v>0</v>
      </c>
      <c r="CF1200" t="b">
        <v>1</v>
      </c>
      <c r="CG1200">
        <v>15400465</v>
      </c>
      <c r="CH1200" t="s">
        <v>1681</v>
      </c>
      <c r="CI1200" s="10">
        <v>2300000</v>
      </c>
    </row>
    <row r="1201" spans="1:88">
      <c r="A1201">
        <v>28014174</v>
      </c>
      <c r="B1201" s="2" t="str">
        <f>HYPERLINK("http://www.redfin.com/stingray/do/printable-listing?listing-id=1422726","Active")</f>
        <v>Active</v>
      </c>
      <c r="D1201" t="s">
        <v>192</v>
      </c>
      <c r="E1201" t="s">
        <v>2982</v>
      </c>
      <c r="F1201">
        <v>869500</v>
      </c>
      <c r="G1201">
        <v>2008</v>
      </c>
      <c r="H1201">
        <v>3000</v>
      </c>
      <c r="I1201">
        <v>5000</v>
      </c>
      <c r="J1201">
        <v>5</v>
      </c>
      <c r="K1201">
        <v>2.5</v>
      </c>
      <c r="M1201" s="2" t="str">
        <f>HYPERLINK("http://maps.live.com/default.aspx?v=2&amp;lvl=15&amp;sp=Point.47.703766_-122.318978_835 NE 104 St&amp;cp=47.703766~-122.318978","Map")</f>
        <v>Map</v>
      </c>
      <c r="N1201" s="2" t="str">
        <f>HYPERLINK("http://i-0.rfimg.us/photo/1/bigphoto/174/28014174_2.jpg","Photo")</f>
        <v>Photo</v>
      </c>
      <c r="AG1201">
        <v>47.703766000000002</v>
      </c>
      <c r="AH1201">
        <v>-122.318978</v>
      </c>
      <c r="AI1201" t="s">
        <v>66</v>
      </c>
      <c r="AJ1201">
        <v>98115</v>
      </c>
      <c r="BC1201" s="22">
        <v>39470.465555555558</v>
      </c>
      <c r="BI1201" s="22">
        <v>39549.294907407406</v>
      </c>
      <c r="BL1201">
        <v>17390</v>
      </c>
      <c r="BM1201">
        <v>1422726</v>
      </c>
      <c r="BN1201" t="s">
        <v>1737</v>
      </c>
      <c r="BO1201" s="17">
        <f t="shared" ca="1" si="18"/>
        <v>78.843850347220723</v>
      </c>
      <c r="BP1201" t="b">
        <v>0</v>
      </c>
      <c r="BQ1201">
        <v>1</v>
      </c>
      <c r="BR1201" t="s">
        <v>1686</v>
      </c>
      <c r="BS1201">
        <v>104</v>
      </c>
      <c r="BT1201" t="b">
        <v>0</v>
      </c>
      <c r="BU1201" t="s">
        <v>1738</v>
      </c>
      <c r="BV1201" t="s">
        <v>1668</v>
      </c>
      <c r="BW1201">
        <v>835</v>
      </c>
      <c r="BY1201">
        <v>12384979</v>
      </c>
      <c r="BZ1201" t="s">
        <v>1730</v>
      </c>
      <c r="CA1201">
        <v>1</v>
      </c>
      <c r="CB1201" t="b">
        <v>1</v>
      </c>
      <c r="CC1201">
        <v>0</v>
      </c>
      <c r="CD1201" t="b">
        <v>0</v>
      </c>
      <c r="CE1201" t="b">
        <v>0</v>
      </c>
      <c r="CF1201" t="b">
        <v>1</v>
      </c>
      <c r="CG1201">
        <v>15588727</v>
      </c>
      <c r="CH1201" t="s">
        <v>1681</v>
      </c>
      <c r="CI1201" s="10">
        <v>869500</v>
      </c>
    </row>
    <row r="1202" spans="1:88">
      <c r="A1202">
        <v>28014246</v>
      </c>
      <c r="B1202" s="2" t="str">
        <f>HYPERLINK("http://www.redfin.com/stingray/do/printable-listing?listing-id=1427488","Subject To Inspection")</f>
        <v>Subject To Inspection</v>
      </c>
      <c r="D1202" t="s">
        <v>213</v>
      </c>
      <c r="E1202" t="s">
        <v>1124</v>
      </c>
      <c r="F1202">
        <v>399950</v>
      </c>
      <c r="G1202">
        <v>1972</v>
      </c>
      <c r="H1202">
        <v>2180</v>
      </c>
      <c r="I1202">
        <v>4120</v>
      </c>
      <c r="J1202">
        <v>4</v>
      </c>
      <c r="K1202">
        <v>1.75</v>
      </c>
      <c r="M1202" s="2" t="str">
        <f>HYPERLINK("http://maps.live.com/default.aspx?v=2&amp;lvl=15&amp;sp=Point.47.716417_-122.284882_12026 40th Ave NE&amp;cp=47.716417~-122.284882","Map")</f>
        <v>Map</v>
      </c>
      <c r="N1202" s="2" t="str">
        <f>HYPERLINK("http://i-0.rfimg.us/photo/1/bigphoto/246/28014246_1.jpg","Photo")</f>
        <v>Photo</v>
      </c>
      <c r="AG1202">
        <v>47.716417</v>
      </c>
      <c r="AH1202">
        <v>-122.284882</v>
      </c>
      <c r="AI1202" t="s">
        <v>66</v>
      </c>
      <c r="AJ1202">
        <v>98125</v>
      </c>
      <c r="AN1202">
        <v>138500</v>
      </c>
      <c r="BC1202" s="22">
        <v>39471.83021990741</v>
      </c>
      <c r="BI1202" s="7">
        <v>39536</v>
      </c>
      <c r="BL1202">
        <v>7999</v>
      </c>
      <c r="BM1202">
        <v>1427488</v>
      </c>
      <c r="BN1202" t="s">
        <v>1710</v>
      </c>
      <c r="BO1202" s="17">
        <f t="shared" ca="1" si="18"/>
        <v>77.479185995369335</v>
      </c>
      <c r="BP1202" t="b">
        <v>0</v>
      </c>
      <c r="BQ1202">
        <v>2</v>
      </c>
      <c r="BR1202" t="s">
        <v>1667</v>
      </c>
      <c r="BS1202" t="s">
        <v>2832</v>
      </c>
      <c r="BT1202" t="b">
        <v>0</v>
      </c>
      <c r="BV1202" t="s">
        <v>1668</v>
      </c>
      <c r="BW1202">
        <v>12026</v>
      </c>
      <c r="BX1202" t="s">
        <v>1738</v>
      </c>
      <c r="BY1202">
        <v>111060</v>
      </c>
      <c r="BZ1202" t="s">
        <v>1709</v>
      </c>
      <c r="CA1202">
        <v>1</v>
      </c>
      <c r="CB1202" t="b">
        <v>1</v>
      </c>
      <c r="CC1202">
        <v>0</v>
      </c>
      <c r="CD1202" t="b">
        <v>0</v>
      </c>
      <c r="CE1202" t="b">
        <v>0</v>
      </c>
      <c r="CF1202" t="b">
        <v>1</v>
      </c>
      <c r="CG1202">
        <v>2716556</v>
      </c>
      <c r="CH1202" t="s">
        <v>1681</v>
      </c>
      <c r="CI1202" s="10">
        <v>399950</v>
      </c>
      <c r="CJ1202" s="7">
        <v>34115</v>
      </c>
    </row>
    <row r="1203" spans="1:88">
      <c r="A1203">
        <v>28014264</v>
      </c>
      <c r="B1203" s="15" t="str">
        <f>HYPERLINK("http://www.redfin.com/stingray/do/printable-listing?listing-id=1425075","Subject To Inspection")</f>
        <v>Subject To Inspection</v>
      </c>
      <c r="D1203" t="s">
        <v>5053</v>
      </c>
      <c r="E1203" t="s">
        <v>5051</v>
      </c>
      <c r="F1203" s="19">
        <v>648000</v>
      </c>
      <c r="G1203">
        <v>1972</v>
      </c>
      <c r="H1203">
        <v>2580</v>
      </c>
      <c r="I1203">
        <v>12000</v>
      </c>
      <c r="J1203">
        <v>4</v>
      </c>
      <c r="K1203">
        <v>2.25</v>
      </c>
      <c r="M1203" s="2" t="str">
        <f>HYPERLINK("http://maps.live.com/default.aspx?v=2&amp;lvl=15&amp;sp=Point.47.613864_-122.17252_12525 NE 4th Pl&amp;cp=47.613864~-122.17252","Map")</f>
        <v>Map</v>
      </c>
      <c r="N1203" s="2" t="str">
        <f>HYPERLINK("http://i-0.rfimg.us/photo/1/bigphoto/264/28014264_1.jpg","Photo")</f>
        <v>Photo</v>
      </c>
      <c r="AG1203">
        <v>47.613864</v>
      </c>
      <c r="AH1203">
        <v>-122.17252000000001</v>
      </c>
      <c r="AI1203" t="s">
        <v>369</v>
      </c>
      <c r="AJ1203">
        <v>98005</v>
      </c>
      <c r="AN1203">
        <v>225000</v>
      </c>
      <c r="BC1203" s="22">
        <v>39471.088402777779</v>
      </c>
      <c r="BI1203" s="22">
        <v>39549.294907407406</v>
      </c>
      <c r="BL1203">
        <v>13398</v>
      </c>
      <c r="BM1203">
        <v>1425075</v>
      </c>
      <c r="BN1203" t="s">
        <v>2959</v>
      </c>
      <c r="BO1203" s="17">
        <f t="shared" ca="1" si="18"/>
        <v>78.221003124999697</v>
      </c>
      <c r="BP1203" t="b">
        <v>0</v>
      </c>
      <c r="BQ1203">
        <v>1</v>
      </c>
      <c r="BR1203" t="s">
        <v>1842</v>
      </c>
      <c r="BS1203" t="s">
        <v>1724</v>
      </c>
      <c r="BT1203" t="b">
        <v>0</v>
      </c>
      <c r="BU1203" t="s">
        <v>1738</v>
      </c>
      <c r="BV1203" t="s">
        <v>1668</v>
      </c>
      <c r="BW1203">
        <v>12525</v>
      </c>
      <c r="BY1203">
        <v>507650</v>
      </c>
      <c r="BZ1203" t="s">
        <v>5052</v>
      </c>
      <c r="CA1203">
        <v>1</v>
      </c>
      <c r="CB1203" t="b">
        <v>1</v>
      </c>
      <c r="CC1203">
        <v>0</v>
      </c>
      <c r="CD1203" t="b">
        <v>0</v>
      </c>
      <c r="CE1203" t="b">
        <v>0</v>
      </c>
      <c r="CF1203" t="b">
        <v>1</v>
      </c>
      <c r="CG1203">
        <v>2767686</v>
      </c>
      <c r="CH1203" t="s">
        <v>1681</v>
      </c>
      <c r="CI1203" s="10">
        <v>669900</v>
      </c>
      <c r="CJ1203" s="7">
        <v>35625</v>
      </c>
    </row>
    <row r="1204" spans="1:88">
      <c r="A1204">
        <v>28014291</v>
      </c>
      <c r="B1204" s="2" t="str">
        <f>HYPERLINK("http://www.redfin.com/stingray/do/printable-listing?listing-id=1426309","Active")</f>
        <v>Active</v>
      </c>
      <c r="D1204" t="s">
        <v>3885</v>
      </c>
      <c r="E1204" t="s">
        <v>5782</v>
      </c>
      <c r="F1204">
        <v>777000</v>
      </c>
      <c r="G1204">
        <v>1942</v>
      </c>
      <c r="H1204">
        <v>1210</v>
      </c>
      <c r="I1204">
        <v>23779</v>
      </c>
      <c r="J1204">
        <v>1</v>
      </c>
      <c r="K1204">
        <v>1</v>
      </c>
      <c r="M1204" s="2" t="str">
        <f>HYPERLINK("http://maps.live.com/default.aspx?v=2&amp;lvl=15&amp;sp=Point.47.524125_-122.185215_8646 116 Ave SE&amp;cp=47.524125~-122.185215","Map")</f>
        <v>Map</v>
      </c>
      <c r="N1204" s="2" t="str">
        <f>HYPERLINK("http://i-0.rfimg.us/photo/1/bigphoto/291/28014291_4.jpg","Photo")</f>
        <v>Photo</v>
      </c>
      <c r="AG1204">
        <v>47.524124999999998</v>
      </c>
      <c r="AH1204">
        <v>-122.185215</v>
      </c>
      <c r="AI1204" t="s">
        <v>3885</v>
      </c>
      <c r="AJ1204">
        <v>98056</v>
      </c>
      <c r="AN1204">
        <v>463000</v>
      </c>
      <c r="BC1204" s="22">
        <v>39471.576423611114</v>
      </c>
      <c r="BI1204" s="22">
        <v>39549.294907407406</v>
      </c>
      <c r="BL1204">
        <v>15540</v>
      </c>
      <c r="BM1204">
        <v>1426309</v>
      </c>
      <c r="BN1204" t="s">
        <v>5131</v>
      </c>
      <c r="BO1204" s="17">
        <f t="shared" ca="1" si="18"/>
        <v>77.732982291665394</v>
      </c>
      <c r="BP1204" t="b">
        <v>0</v>
      </c>
      <c r="BQ1204">
        <v>1</v>
      </c>
      <c r="BR1204" t="s">
        <v>1667</v>
      </c>
      <c r="BS1204">
        <v>116</v>
      </c>
      <c r="BT1204" t="b">
        <v>0</v>
      </c>
      <c r="BV1204" t="s">
        <v>1668</v>
      </c>
      <c r="BW1204">
        <v>8646</v>
      </c>
      <c r="BX1204" t="s">
        <v>3856</v>
      </c>
      <c r="BY1204">
        <v>414971</v>
      </c>
      <c r="BZ1204" t="s">
        <v>5783</v>
      </c>
      <c r="CA1204">
        <v>1</v>
      </c>
      <c r="CB1204" t="b">
        <v>1</v>
      </c>
      <c r="CC1204">
        <v>0</v>
      </c>
      <c r="CD1204" t="b">
        <v>0</v>
      </c>
      <c r="CE1204" t="b">
        <v>0</v>
      </c>
      <c r="CF1204" t="b">
        <v>1</v>
      </c>
      <c r="CG1204">
        <v>2596822</v>
      </c>
      <c r="CH1204" t="s">
        <v>1681</v>
      </c>
      <c r="CI1204" s="10">
        <v>777000</v>
      </c>
      <c r="CJ1204" s="7">
        <v>39030</v>
      </c>
    </row>
    <row r="1205" spans="1:88">
      <c r="A1205">
        <v>28014304</v>
      </c>
      <c r="B1205" s="2" t="str">
        <f>HYPERLINK("http://www.redfin.com/stingray/do/printable-listing?listing-id=1429584","Active")</f>
        <v>Active</v>
      </c>
      <c r="D1205" t="s">
        <v>3249</v>
      </c>
      <c r="E1205" t="s">
        <v>3434</v>
      </c>
      <c r="F1205">
        <v>579900</v>
      </c>
      <c r="G1205">
        <v>1946</v>
      </c>
      <c r="H1205">
        <v>1840</v>
      </c>
      <c r="I1205">
        <v>4412</v>
      </c>
      <c r="J1205">
        <v>3</v>
      </c>
      <c r="K1205">
        <v>2</v>
      </c>
      <c r="M1205" s="2" t="str">
        <f>HYPERLINK("http://maps.live.com/default.aspx?v=2&amp;lvl=15&amp;sp=Point.47.644568_-122.37322_2659 13th Ave W&amp;cp=47.644568~-122.37322","Map")</f>
        <v>Map</v>
      </c>
      <c r="N1205" s="2" t="str">
        <f>HYPERLINK("http://i-0.rfimg.us/photo/1/bigphoto/304/28014304_6.jpg","Photo")</f>
        <v>Photo</v>
      </c>
      <c r="AG1205">
        <v>47.644568</v>
      </c>
      <c r="AH1205">
        <v>-122.37322</v>
      </c>
      <c r="AI1205" t="s">
        <v>66</v>
      </c>
      <c r="AJ1205">
        <v>98119</v>
      </c>
      <c r="AN1205">
        <v>308950</v>
      </c>
      <c r="BC1205" s="22">
        <v>39472.610451388886</v>
      </c>
      <c r="BI1205" s="22">
        <v>39549.294907407406</v>
      </c>
      <c r="BL1205">
        <v>11598</v>
      </c>
      <c r="BM1205">
        <v>1429584</v>
      </c>
      <c r="BN1205" t="s">
        <v>1673</v>
      </c>
      <c r="BO1205" s="17">
        <f t="shared" ca="1" si="18"/>
        <v>76.698954513893113</v>
      </c>
      <c r="BP1205" t="b">
        <v>0</v>
      </c>
      <c r="BQ1205">
        <v>1</v>
      </c>
      <c r="BR1205" t="s">
        <v>1667</v>
      </c>
      <c r="BS1205" t="s">
        <v>1809</v>
      </c>
      <c r="BT1205" t="b">
        <v>0</v>
      </c>
      <c r="BV1205" t="s">
        <v>1668</v>
      </c>
      <c r="BW1205">
        <v>2659</v>
      </c>
      <c r="BX1205" t="s">
        <v>2423</v>
      </c>
      <c r="BY1205">
        <v>130434</v>
      </c>
      <c r="BZ1205" t="s">
        <v>3435</v>
      </c>
      <c r="CA1205">
        <v>1</v>
      </c>
      <c r="CB1205" t="b">
        <v>1</v>
      </c>
      <c r="CC1205">
        <v>0</v>
      </c>
      <c r="CD1205" t="b">
        <v>0</v>
      </c>
      <c r="CE1205" t="b">
        <v>0</v>
      </c>
      <c r="CF1205" t="b">
        <v>1</v>
      </c>
      <c r="CG1205">
        <v>2829370</v>
      </c>
      <c r="CH1205" t="s">
        <v>1681</v>
      </c>
      <c r="CI1205" s="10">
        <v>579900</v>
      </c>
      <c r="CJ1205" s="7">
        <v>37813</v>
      </c>
    </row>
    <row r="1206" spans="1:88">
      <c r="A1206">
        <v>28014318</v>
      </c>
      <c r="B1206" s="2" t="str">
        <f>HYPERLINK("http://www.redfin.com/stingray/do/printable-listing?listing-id=1423191","Active")</f>
        <v>Active</v>
      </c>
      <c r="D1206" t="s">
        <v>2552</v>
      </c>
      <c r="E1206" t="s">
        <v>3473</v>
      </c>
      <c r="F1206">
        <v>649000</v>
      </c>
      <c r="G1206">
        <v>1955</v>
      </c>
      <c r="H1206">
        <v>2000</v>
      </c>
      <c r="I1206">
        <v>4280</v>
      </c>
      <c r="J1206">
        <v>2</v>
      </c>
      <c r="K1206">
        <v>1</v>
      </c>
      <c r="M1206" s="2" t="str">
        <f>HYPERLINK("http://maps.live.com/default.aspx?v=2&amp;lvl=15&amp;sp=Point.47.659083_-122.397474_4327 W 31st Ave&amp;cp=47.659083~-122.397474","Map")</f>
        <v>Map</v>
      </c>
      <c r="N1206" s="2" t="str">
        <f>HYPERLINK("http://i-0.rfimg.us/photo/1/bigphoto/318/28014318_0.jpg","Photo")</f>
        <v>Photo</v>
      </c>
      <c r="AG1206">
        <v>47.659083000000003</v>
      </c>
      <c r="AH1206">
        <v>-122.397474</v>
      </c>
      <c r="AI1206" t="s">
        <v>66</v>
      </c>
      <c r="AJ1206">
        <v>98199</v>
      </c>
      <c r="AN1206">
        <v>275000</v>
      </c>
      <c r="BC1206" s="22">
        <v>39470.561851851853</v>
      </c>
      <c r="BI1206" s="22">
        <v>39549.294907407406</v>
      </c>
      <c r="BL1206">
        <v>12980</v>
      </c>
      <c r="BM1206">
        <v>1423191</v>
      </c>
      <c r="BN1206" t="s">
        <v>2444</v>
      </c>
      <c r="BO1206" s="17">
        <f t="shared" ca="1" si="18"/>
        <v>78.747554050925828</v>
      </c>
      <c r="BP1206" t="b">
        <v>0</v>
      </c>
      <c r="BQ1206">
        <v>1</v>
      </c>
      <c r="BR1206" t="s">
        <v>1667</v>
      </c>
      <c r="BS1206" t="s">
        <v>1732</v>
      </c>
      <c r="BT1206" t="b">
        <v>0</v>
      </c>
      <c r="BU1206" t="s">
        <v>2423</v>
      </c>
      <c r="BV1206" t="s">
        <v>1668</v>
      </c>
      <c r="BW1206">
        <v>4327</v>
      </c>
      <c r="BY1206">
        <v>127501</v>
      </c>
      <c r="BZ1206" s="21">
        <v>0</v>
      </c>
      <c r="CA1206">
        <v>1</v>
      </c>
      <c r="CB1206" t="b">
        <v>1</v>
      </c>
      <c r="CC1206">
        <v>0</v>
      </c>
      <c r="CD1206" t="b">
        <v>0</v>
      </c>
      <c r="CE1206" t="b">
        <v>0</v>
      </c>
      <c r="CF1206" t="b">
        <v>1</v>
      </c>
      <c r="CG1206">
        <v>2732825</v>
      </c>
      <c r="CH1206" t="s">
        <v>1681</v>
      </c>
      <c r="CI1206" s="10">
        <v>649000</v>
      </c>
      <c r="CJ1206" s="7">
        <v>37060</v>
      </c>
    </row>
    <row r="1207" spans="1:88">
      <c r="A1207">
        <v>28014322</v>
      </c>
      <c r="B1207" s="2" t="str">
        <f>HYPERLINK("http://www.redfin.com/stingray/do/printable-listing?listing-id=1423167","Active")</f>
        <v>Active</v>
      </c>
      <c r="D1207" t="s">
        <v>967</v>
      </c>
      <c r="E1207" t="s">
        <v>2933</v>
      </c>
      <c r="F1207">
        <v>299950</v>
      </c>
      <c r="G1207">
        <v>2008</v>
      </c>
      <c r="H1207">
        <v>1349</v>
      </c>
      <c r="I1207">
        <v>0</v>
      </c>
      <c r="J1207">
        <v>3</v>
      </c>
      <c r="K1207">
        <v>2</v>
      </c>
      <c r="M1207" s="2" t="str">
        <f>HYPERLINK("http://maps.live.com/default.aspx?v=2&amp;lvl=15&amp;sp=Point.47.717912_-122.292413_12314 33 Ave NE nC&amp;cp=47.717912~-122.292413","Map")</f>
        <v>Map</v>
      </c>
      <c r="N1207" s="2" t="str">
        <f>HYPERLINK("http://i-0.rfimg.us/photo/1/bigphoto/322/28014322_4.jpg","Photo")</f>
        <v>Photo</v>
      </c>
      <c r="AG1207">
        <v>47.717911999999998</v>
      </c>
      <c r="AH1207">
        <v>-122.292413</v>
      </c>
      <c r="AI1207" t="s">
        <v>66</v>
      </c>
      <c r="AJ1207">
        <v>98125</v>
      </c>
      <c r="AM1207" t="s">
        <v>2341</v>
      </c>
      <c r="BC1207" s="22">
        <v>39470.558425925927</v>
      </c>
      <c r="BI1207" s="7">
        <v>39531</v>
      </c>
      <c r="BL1207">
        <v>5999</v>
      </c>
      <c r="BM1207">
        <v>1423167</v>
      </c>
      <c r="BN1207" t="s">
        <v>1744</v>
      </c>
      <c r="BO1207" s="17">
        <f t="shared" ca="1" si="18"/>
        <v>78.75097997685225</v>
      </c>
      <c r="BP1207" t="b">
        <v>0</v>
      </c>
      <c r="BQ1207">
        <v>1</v>
      </c>
      <c r="BR1207" t="s">
        <v>1667</v>
      </c>
      <c r="BS1207">
        <v>33</v>
      </c>
      <c r="BT1207" t="b">
        <v>0</v>
      </c>
      <c r="BV1207" t="s">
        <v>1668</v>
      </c>
      <c r="BW1207">
        <v>12314</v>
      </c>
      <c r="BX1207" t="s">
        <v>1738</v>
      </c>
      <c r="BY1207">
        <v>12265747</v>
      </c>
      <c r="BZ1207" t="s">
        <v>2934</v>
      </c>
      <c r="CA1207">
        <v>1</v>
      </c>
      <c r="CB1207" t="b">
        <v>1</v>
      </c>
      <c r="CC1207">
        <v>0</v>
      </c>
      <c r="CD1207" t="b">
        <v>0</v>
      </c>
      <c r="CE1207" t="b">
        <v>0</v>
      </c>
      <c r="CF1207" t="b">
        <v>1</v>
      </c>
      <c r="CG1207">
        <v>15518089</v>
      </c>
      <c r="CH1207" t="s">
        <v>1681</v>
      </c>
      <c r="CI1207" s="10">
        <v>299950</v>
      </c>
    </row>
    <row r="1208" spans="1:88">
      <c r="A1208">
        <v>28014365</v>
      </c>
      <c r="B1208" s="2" t="str">
        <f>HYPERLINK("http://www.redfin.com/stingray/do/printable-listing?listing-id=1428688","Subject To Inspection")</f>
        <v>Subject To Inspection</v>
      </c>
      <c r="D1208" t="s">
        <v>5287</v>
      </c>
      <c r="E1208" t="s">
        <v>5671</v>
      </c>
      <c r="F1208">
        <v>859950</v>
      </c>
      <c r="G1208">
        <v>1987</v>
      </c>
      <c r="H1208">
        <v>2700</v>
      </c>
      <c r="I1208">
        <v>14275</v>
      </c>
      <c r="J1208">
        <v>4</v>
      </c>
      <c r="K1208">
        <v>2.5</v>
      </c>
      <c r="M1208" s="2" t="str">
        <f>HYPERLINK("http://maps.live.com/default.aspx?v=2&amp;lvl=15&amp;sp=Point.47.564161_-122.111266_4521 172nd Ave SE&amp;cp=47.564161~-122.111266","Map")</f>
        <v>Map</v>
      </c>
      <c r="N1208" s="2" t="str">
        <f>HYPERLINK("http://i-0.rfimg.us/photo/1/bigphoto/365/28014365_0.jpg","Photo")</f>
        <v>Photo</v>
      </c>
      <c r="AG1208">
        <v>47.564160999999999</v>
      </c>
      <c r="AH1208">
        <v>-122.111266</v>
      </c>
      <c r="AI1208" t="s">
        <v>369</v>
      </c>
      <c r="AJ1208">
        <v>98006</v>
      </c>
      <c r="AN1208">
        <v>670000</v>
      </c>
      <c r="BC1208" s="22">
        <v>39472.411273148151</v>
      </c>
      <c r="BI1208" s="7">
        <v>39533</v>
      </c>
      <c r="BL1208">
        <v>17199</v>
      </c>
      <c r="BM1208">
        <v>1428688</v>
      </c>
      <c r="BN1208" t="s">
        <v>1688</v>
      </c>
      <c r="BO1208" s="17">
        <f t="shared" ca="1" si="18"/>
        <v>76.898132754628023</v>
      </c>
      <c r="BP1208" t="b">
        <v>0</v>
      </c>
      <c r="BQ1208">
        <v>2</v>
      </c>
      <c r="BR1208" t="s">
        <v>1667</v>
      </c>
      <c r="BS1208" t="s">
        <v>4644</v>
      </c>
      <c r="BT1208" t="b">
        <v>0</v>
      </c>
      <c r="BV1208" t="s">
        <v>1668</v>
      </c>
      <c r="BW1208">
        <v>4521</v>
      </c>
      <c r="BX1208" t="s">
        <v>3856</v>
      </c>
      <c r="BY1208">
        <v>235340</v>
      </c>
      <c r="BZ1208" t="s">
        <v>1672</v>
      </c>
      <c r="CA1208">
        <v>1</v>
      </c>
      <c r="CB1208" t="b">
        <v>1</v>
      </c>
      <c r="CC1208">
        <v>0</v>
      </c>
      <c r="CD1208" t="b">
        <v>0</v>
      </c>
      <c r="CE1208" t="b">
        <v>0</v>
      </c>
      <c r="CF1208" t="b">
        <v>1</v>
      </c>
      <c r="CG1208">
        <v>2946217</v>
      </c>
      <c r="CH1208" t="s">
        <v>1681</v>
      </c>
      <c r="CI1208" s="10">
        <v>859950</v>
      </c>
      <c r="CJ1208" s="7">
        <v>38930</v>
      </c>
    </row>
    <row r="1209" spans="1:88">
      <c r="A1209">
        <v>28014428</v>
      </c>
      <c r="B1209" s="2" t="str">
        <f>HYPERLINK("http://www.redfin.com/stingray/do/printable-listing?listing-id=1423761","Active")</f>
        <v>Active</v>
      </c>
      <c r="D1209" t="s">
        <v>3249</v>
      </c>
      <c r="E1209" t="s">
        <v>3254</v>
      </c>
      <c r="F1209">
        <v>724950</v>
      </c>
      <c r="G1209">
        <v>1926</v>
      </c>
      <c r="H1209">
        <v>2990</v>
      </c>
      <c r="I1209">
        <v>0</v>
      </c>
      <c r="J1209">
        <v>6</v>
      </c>
      <c r="K1209">
        <v>3</v>
      </c>
      <c r="M1209" s="2" t="str">
        <f>HYPERLINK("http://maps.live.com/default.aspx?v=2&amp;lvl=15&amp;sp=Point.47.647037_-122.35995_152 W Florentia&amp;cp=47.647037~-122.35995","Map")</f>
        <v>Map</v>
      </c>
      <c r="N1209" s="2" t="str">
        <f>HYPERLINK("http://i-0.rfimg.us/photo/1/bigphoto/428/28014428_0.jpg","Photo")</f>
        <v>Photo</v>
      </c>
      <c r="AG1209">
        <v>47.647036999999997</v>
      </c>
      <c r="AH1209">
        <v>-122.35995</v>
      </c>
      <c r="AI1209" t="s">
        <v>66</v>
      </c>
      <c r="AJ1209">
        <v>98119</v>
      </c>
      <c r="AN1209">
        <v>385000</v>
      </c>
      <c r="BC1209" s="22">
        <v>39470.696192129632</v>
      </c>
      <c r="BI1209" s="22">
        <v>39549.294907407406</v>
      </c>
      <c r="BL1209">
        <v>14499</v>
      </c>
      <c r="BM1209">
        <v>1423761</v>
      </c>
      <c r="BN1209" t="s">
        <v>3253</v>
      </c>
      <c r="BO1209" s="17">
        <f t="shared" ca="1" si="18"/>
        <v>78.613213773147436</v>
      </c>
      <c r="BP1209" t="b">
        <v>0</v>
      </c>
      <c r="BQ1209">
        <v>1</v>
      </c>
      <c r="BS1209" t="s">
        <v>3255</v>
      </c>
      <c r="BT1209" t="b">
        <v>0</v>
      </c>
      <c r="BU1209" t="s">
        <v>2423</v>
      </c>
      <c r="BV1209" t="s">
        <v>1668</v>
      </c>
      <c r="BW1209">
        <v>152</v>
      </c>
      <c r="BY1209">
        <v>130051</v>
      </c>
      <c r="BZ1209" t="s">
        <v>1713</v>
      </c>
      <c r="CA1209">
        <v>1</v>
      </c>
      <c r="CB1209" t="b">
        <v>1</v>
      </c>
      <c r="CC1209">
        <v>0</v>
      </c>
      <c r="CD1209" t="b">
        <v>0</v>
      </c>
      <c r="CE1209" t="b">
        <v>0</v>
      </c>
      <c r="CF1209" t="b">
        <v>1</v>
      </c>
      <c r="CG1209">
        <v>2363819</v>
      </c>
      <c r="CH1209" t="s">
        <v>1681</v>
      </c>
      <c r="CI1209" s="10">
        <v>724950</v>
      </c>
      <c r="CJ1209" s="7">
        <v>37981</v>
      </c>
    </row>
    <row r="1210" spans="1:88">
      <c r="A1210">
        <v>28014442</v>
      </c>
      <c r="B1210" s="2" t="str">
        <f>HYPERLINK("http://www.redfin.com/stingray/do/printable-listing?listing-id=1423822","Active")</f>
        <v>Active</v>
      </c>
      <c r="D1210" t="s">
        <v>3064</v>
      </c>
      <c r="E1210" t="s">
        <v>3866</v>
      </c>
      <c r="F1210">
        <v>575000</v>
      </c>
      <c r="G1210">
        <v>2008</v>
      </c>
      <c r="H1210">
        <v>2765</v>
      </c>
      <c r="I1210">
        <v>5667</v>
      </c>
      <c r="J1210">
        <v>4</v>
      </c>
      <c r="K1210">
        <v>2.5</v>
      </c>
      <c r="M1210" s="2" t="str">
        <f>HYPERLINK("http://maps.live.com/default.aspx?v=2&amp;lvl=15&amp;sp=adr.16044 SE 137th Ter (Unable to map),98059","Map")</f>
        <v>Map</v>
      </c>
      <c r="N1210" s="2" t="str">
        <f>HYPERLINK("http://i-0.rfimg.us/photo/1/bigphoto/442/28014442_1.jpg","Photo")</f>
        <v>Photo</v>
      </c>
      <c r="AI1210" t="s">
        <v>1077</v>
      </c>
      <c r="AJ1210">
        <v>98059</v>
      </c>
      <c r="BC1210" s="22">
        <v>39470.70385416667</v>
      </c>
      <c r="BI1210" s="22">
        <v>39549.294907407406</v>
      </c>
      <c r="BL1210">
        <v>11500</v>
      </c>
      <c r="BM1210">
        <v>1423822</v>
      </c>
      <c r="BN1210" t="s">
        <v>1688</v>
      </c>
      <c r="BO1210" s="17">
        <f t="shared" ca="1" si="18"/>
        <v>78.605551736109192</v>
      </c>
      <c r="BP1210" t="b">
        <v>0</v>
      </c>
      <c r="BQ1210">
        <v>1</v>
      </c>
      <c r="BR1210" t="s">
        <v>2852</v>
      </c>
      <c r="BS1210" t="s">
        <v>3855</v>
      </c>
      <c r="BT1210" t="b">
        <v>0</v>
      </c>
      <c r="BU1210" t="s">
        <v>3856</v>
      </c>
      <c r="BV1210" t="s">
        <v>1668</v>
      </c>
      <c r="BW1210">
        <v>16044</v>
      </c>
      <c r="BY1210">
        <v>0</v>
      </c>
      <c r="BZ1210" t="s">
        <v>2373</v>
      </c>
      <c r="CA1210">
        <v>1</v>
      </c>
      <c r="CB1210" t="b">
        <v>1</v>
      </c>
      <c r="CC1210">
        <v>0</v>
      </c>
      <c r="CD1210" t="b">
        <v>0</v>
      </c>
      <c r="CE1210" t="b">
        <v>0</v>
      </c>
      <c r="CF1210" t="b">
        <v>1</v>
      </c>
      <c r="CG1210" t="s">
        <v>1870</v>
      </c>
      <c r="CH1210" t="s">
        <v>1681</v>
      </c>
      <c r="CI1210" s="10">
        <v>575000</v>
      </c>
    </row>
    <row r="1211" spans="1:88">
      <c r="A1211">
        <v>28014495</v>
      </c>
      <c r="B1211" s="2" t="str">
        <f>HYPERLINK("http://www.redfin.com/stingray/do/printable-listing?listing-id=1423945","Active")</f>
        <v>Active</v>
      </c>
      <c r="D1211" t="s">
        <v>3966</v>
      </c>
      <c r="E1211" t="s">
        <v>4250</v>
      </c>
      <c r="F1211">
        <v>749500</v>
      </c>
      <c r="G1211">
        <v>1909</v>
      </c>
      <c r="H1211">
        <v>2220</v>
      </c>
      <c r="I1211">
        <v>4000</v>
      </c>
      <c r="J1211">
        <v>3</v>
      </c>
      <c r="K1211">
        <v>2.25</v>
      </c>
      <c r="M1211" s="2" t="str">
        <f>HYPERLINK("http://maps.live.com/default.aspx?v=2&amp;lvl=15&amp;sp=Point.47.616828_-122.289521_1709 34th Ave&amp;cp=47.616828~-122.289521","Map")</f>
        <v>Map</v>
      </c>
      <c r="N1211" s="2" t="str">
        <f>HYPERLINK("http://i-0.rfimg.us/photo/1/bigphoto/495/28014495_1.jpg","Photo")</f>
        <v>Photo</v>
      </c>
      <c r="AG1211">
        <v>47.616827999999998</v>
      </c>
      <c r="AH1211">
        <v>-122.28952099999999</v>
      </c>
      <c r="AI1211" t="s">
        <v>66</v>
      </c>
      <c r="AJ1211">
        <v>98122</v>
      </c>
      <c r="AN1211">
        <v>202000</v>
      </c>
      <c r="BC1211" s="22">
        <v>39470.730763888889</v>
      </c>
      <c r="BI1211" s="22">
        <v>39549.294907407406</v>
      </c>
      <c r="BL1211">
        <v>14990</v>
      </c>
      <c r="BM1211">
        <v>1423945</v>
      </c>
      <c r="BN1211" t="s">
        <v>1829</v>
      </c>
      <c r="BO1211" s="17">
        <f t="shared" ca="1" si="18"/>
        <v>78.578642013890203</v>
      </c>
      <c r="BP1211" t="b">
        <v>0</v>
      </c>
      <c r="BQ1211">
        <v>1</v>
      </c>
      <c r="BR1211" t="s">
        <v>1667</v>
      </c>
      <c r="BS1211" t="s">
        <v>2912</v>
      </c>
      <c r="BT1211" t="b">
        <v>0</v>
      </c>
      <c r="BV1211" t="s">
        <v>1668</v>
      </c>
      <c r="BW1211">
        <v>1709</v>
      </c>
      <c r="BY1211">
        <v>146632</v>
      </c>
      <c r="BZ1211" t="s">
        <v>1709</v>
      </c>
      <c r="CA1211">
        <v>1</v>
      </c>
      <c r="CB1211" t="b">
        <v>1</v>
      </c>
      <c r="CC1211">
        <v>0</v>
      </c>
      <c r="CD1211" t="b">
        <v>0</v>
      </c>
      <c r="CE1211" t="b">
        <v>0</v>
      </c>
      <c r="CF1211" t="b">
        <v>1</v>
      </c>
      <c r="CG1211">
        <v>2771650</v>
      </c>
      <c r="CH1211" t="s">
        <v>1681</v>
      </c>
      <c r="CI1211" s="10">
        <v>749500</v>
      </c>
      <c r="CJ1211" s="7">
        <v>35727</v>
      </c>
    </row>
    <row r="1212" spans="1:88">
      <c r="A1212">
        <v>28014508</v>
      </c>
      <c r="B1212" s="2" t="str">
        <f>HYPERLINK("http://www.redfin.com/stingray/do/printable-listing?listing-id=1423821","Active")</f>
        <v>Active</v>
      </c>
      <c r="D1212" t="s">
        <v>3064</v>
      </c>
      <c r="E1212" t="s">
        <v>3867</v>
      </c>
      <c r="F1212">
        <v>579950</v>
      </c>
      <c r="G1212">
        <v>2008</v>
      </c>
      <c r="H1212">
        <v>2780</v>
      </c>
      <c r="I1212">
        <v>5558</v>
      </c>
      <c r="J1212">
        <v>4</v>
      </c>
      <c r="K1212">
        <v>2.5</v>
      </c>
      <c r="M1212" s="2" t="str">
        <f>HYPERLINK("http://maps.live.com/default.aspx?v=2&amp;lvl=15&amp;sp=adr.16014 SE 137th Ter (Unable to map),98059","Map")</f>
        <v>Map</v>
      </c>
      <c r="N1212" s="2" t="str">
        <f>HYPERLINK("http://i-0.rfimg.us/photo/1/bigphoto/508/28014508_1.jpg","Photo")</f>
        <v>Photo</v>
      </c>
      <c r="AI1212" t="s">
        <v>1077</v>
      </c>
      <c r="AJ1212">
        <v>98059</v>
      </c>
      <c r="BC1212" s="22">
        <v>39470.70385416667</v>
      </c>
      <c r="BI1212" s="22">
        <v>39549.294907407406</v>
      </c>
      <c r="BL1212">
        <v>11599</v>
      </c>
      <c r="BM1212">
        <v>1423821</v>
      </c>
      <c r="BN1212" t="s">
        <v>1688</v>
      </c>
      <c r="BO1212" s="17">
        <f t="shared" ca="1" si="18"/>
        <v>78.605551736109192</v>
      </c>
      <c r="BP1212" t="b">
        <v>0</v>
      </c>
      <c r="BQ1212">
        <v>1</v>
      </c>
      <c r="BR1212" t="s">
        <v>2852</v>
      </c>
      <c r="BS1212" t="s">
        <v>3855</v>
      </c>
      <c r="BT1212" t="b">
        <v>0</v>
      </c>
      <c r="BU1212" t="s">
        <v>3856</v>
      </c>
      <c r="BV1212" t="s">
        <v>1668</v>
      </c>
      <c r="BW1212">
        <v>16014</v>
      </c>
      <c r="BY1212">
        <v>0</v>
      </c>
      <c r="BZ1212" t="s">
        <v>3861</v>
      </c>
      <c r="CA1212">
        <v>1</v>
      </c>
      <c r="CB1212" t="b">
        <v>1</v>
      </c>
      <c r="CC1212">
        <v>0</v>
      </c>
      <c r="CD1212" t="b">
        <v>0</v>
      </c>
      <c r="CE1212" t="b">
        <v>0</v>
      </c>
      <c r="CF1212" t="b">
        <v>1</v>
      </c>
      <c r="CG1212" t="s">
        <v>1870</v>
      </c>
      <c r="CH1212" t="s">
        <v>1681</v>
      </c>
      <c r="CI1212" s="10">
        <v>579950</v>
      </c>
    </row>
    <row r="1213" spans="1:88">
      <c r="A1213">
        <v>28014582</v>
      </c>
      <c r="B1213" s="2" t="str">
        <f>HYPERLINK("http://www.redfin.com/stingray/do/printable-listing?listing-id=1423784","Active")</f>
        <v>Active</v>
      </c>
      <c r="D1213" t="s">
        <v>3064</v>
      </c>
      <c r="E1213" t="s">
        <v>3863</v>
      </c>
      <c r="F1213">
        <v>544950</v>
      </c>
      <c r="G1213">
        <v>2008</v>
      </c>
      <c r="H1213">
        <v>2568</v>
      </c>
      <c r="I1213">
        <v>5302</v>
      </c>
      <c r="J1213">
        <v>4</v>
      </c>
      <c r="K1213">
        <v>2.5</v>
      </c>
      <c r="M1213" s="2" t="str">
        <f>HYPERLINK("http://maps.live.com/default.aspx?v=2&amp;lvl=15&amp;sp=adr.16037 SE 137th Ter (Unable to map),98059","Map")</f>
        <v>Map</v>
      </c>
      <c r="N1213" s="2" t="str">
        <f>HYPERLINK("http://i-0.rfimg.us/photo/1/bigphoto/582/28014582_1.jpg","Photo")</f>
        <v>Photo</v>
      </c>
      <c r="AI1213" t="s">
        <v>1077</v>
      </c>
      <c r="AJ1213">
        <v>98059</v>
      </c>
      <c r="BC1213" s="22">
        <v>39470.701724537037</v>
      </c>
      <c r="BI1213" s="22">
        <v>39549.294907407406</v>
      </c>
      <c r="BL1213">
        <v>10899</v>
      </c>
      <c r="BM1213">
        <v>1423784</v>
      </c>
      <c r="BN1213" t="s">
        <v>1688</v>
      </c>
      <c r="BO1213" s="17">
        <f t="shared" ca="1" si="18"/>
        <v>78.607681365741882</v>
      </c>
      <c r="BP1213" t="b">
        <v>0</v>
      </c>
      <c r="BQ1213">
        <v>1</v>
      </c>
      <c r="BR1213" t="s">
        <v>2852</v>
      </c>
      <c r="BS1213" t="s">
        <v>3855</v>
      </c>
      <c r="BT1213" t="b">
        <v>0</v>
      </c>
      <c r="BU1213" t="s">
        <v>3856</v>
      </c>
      <c r="BV1213" t="s">
        <v>1668</v>
      </c>
      <c r="BW1213">
        <v>16037</v>
      </c>
      <c r="BY1213">
        <v>0</v>
      </c>
      <c r="BZ1213" t="s">
        <v>3861</v>
      </c>
      <c r="CA1213">
        <v>1</v>
      </c>
      <c r="CB1213" t="b">
        <v>1</v>
      </c>
      <c r="CC1213">
        <v>0</v>
      </c>
      <c r="CD1213" t="b">
        <v>0</v>
      </c>
      <c r="CE1213" t="b">
        <v>0</v>
      </c>
      <c r="CF1213" t="b">
        <v>1</v>
      </c>
      <c r="CG1213" t="s">
        <v>1870</v>
      </c>
      <c r="CH1213" t="s">
        <v>1681</v>
      </c>
      <c r="CI1213" s="10">
        <v>544950</v>
      </c>
    </row>
    <row r="1214" spans="1:88">
      <c r="A1214">
        <v>28014585</v>
      </c>
      <c r="B1214" s="2" t="str">
        <f>HYPERLINK("http://www.redfin.com/stingray/do/printable-listing?listing-id=1425068","Active")</f>
        <v>Active</v>
      </c>
      <c r="D1214" t="s">
        <v>5014</v>
      </c>
      <c r="E1214" t="s">
        <v>5023</v>
      </c>
      <c r="F1214">
        <v>1198000</v>
      </c>
      <c r="G1214">
        <v>1951</v>
      </c>
      <c r="H1214">
        <v>2640</v>
      </c>
      <c r="I1214">
        <v>13300</v>
      </c>
      <c r="J1214">
        <v>3</v>
      </c>
      <c r="K1214">
        <v>2</v>
      </c>
      <c r="M1214" s="2" t="str">
        <f>HYPERLINK("http://maps.live.com/default.aspx?v=2&amp;lvl=15&amp;sp=Point.47.623199_-122.210051_9724 NE 14th St&amp;cp=47.623199~-122.210051","Map")</f>
        <v>Map</v>
      </c>
      <c r="N1214" s="2" t="str">
        <f>HYPERLINK("http://i-0.rfimg.us/photo/1/bigphoto/585/28014585_1.jpg","Photo")</f>
        <v>Photo</v>
      </c>
      <c r="AG1214">
        <v>47.623199</v>
      </c>
      <c r="AH1214">
        <v>-122.21005100000001</v>
      </c>
      <c r="AI1214" t="s">
        <v>5014</v>
      </c>
      <c r="AJ1214">
        <v>98004</v>
      </c>
      <c r="AN1214">
        <v>92000</v>
      </c>
      <c r="BC1214" s="22">
        <v>39471.088171296295</v>
      </c>
      <c r="BI1214" s="22">
        <v>39549.294907407406</v>
      </c>
      <c r="BL1214">
        <v>23960</v>
      </c>
      <c r="BM1214">
        <v>1425068</v>
      </c>
      <c r="BN1214" t="s">
        <v>1674</v>
      </c>
      <c r="BO1214" s="17">
        <f t="shared" ca="1" si="18"/>
        <v>78.221234606484359</v>
      </c>
      <c r="BP1214" t="b">
        <v>0</v>
      </c>
      <c r="BQ1214">
        <v>1</v>
      </c>
      <c r="BR1214" t="s">
        <v>1686</v>
      </c>
      <c r="BS1214" t="s">
        <v>1900</v>
      </c>
      <c r="BT1214" t="b">
        <v>0</v>
      </c>
      <c r="BU1214" t="s">
        <v>1738</v>
      </c>
      <c r="BV1214" t="s">
        <v>1668</v>
      </c>
      <c r="BW1214">
        <v>9724</v>
      </c>
      <c r="BY1214">
        <v>506240</v>
      </c>
      <c r="BZ1214" t="s">
        <v>1704</v>
      </c>
      <c r="CA1214">
        <v>1</v>
      </c>
      <c r="CB1214" t="b">
        <v>1</v>
      </c>
      <c r="CC1214">
        <v>0</v>
      </c>
      <c r="CD1214" t="b">
        <v>0</v>
      </c>
      <c r="CE1214" t="b">
        <v>0</v>
      </c>
      <c r="CF1214" t="b">
        <v>1</v>
      </c>
      <c r="CG1214">
        <v>2785587</v>
      </c>
      <c r="CH1214" t="s">
        <v>1681</v>
      </c>
      <c r="CI1214" s="10">
        <v>1198000</v>
      </c>
      <c r="CJ1214" s="7">
        <v>31044</v>
      </c>
    </row>
    <row r="1215" spans="1:88">
      <c r="A1215">
        <v>28014614</v>
      </c>
      <c r="B1215" s="2" t="str">
        <f>HYPERLINK("http://www.redfin.com/stingray/do/printable-listing?listing-id=1424190","Active")</f>
        <v>Active</v>
      </c>
      <c r="D1215" t="s">
        <v>5490</v>
      </c>
      <c r="E1215" t="s">
        <v>5958</v>
      </c>
      <c r="F1215">
        <v>876000</v>
      </c>
      <c r="G1215">
        <v>1995</v>
      </c>
      <c r="H1215">
        <v>2710</v>
      </c>
      <c r="I1215">
        <v>12068</v>
      </c>
      <c r="J1215">
        <v>3</v>
      </c>
      <c r="K1215">
        <v>2.5</v>
      </c>
      <c r="M1215" s="2" t="str">
        <f>HYPERLINK("http://maps.live.com/default.aspx?v=2&amp;lvl=15&amp;sp=Point.47.552637_-122.104967_17585 SE 56 St&amp;cp=47.552637~-122.104967","Map")</f>
        <v>Map</v>
      </c>
      <c r="N1215" s="2" t="str">
        <f>HYPERLINK("http://i-0.rfimg.us/photo/1/bigphoto/614/28014614_0.jpg","Photo")</f>
        <v>Photo</v>
      </c>
      <c r="AG1215">
        <v>47.552636999999997</v>
      </c>
      <c r="AH1215">
        <v>-122.104967</v>
      </c>
      <c r="AI1215" t="s">
        <v>369</v>
      </c>
      <c r="AJ1215">
        <v>98006</v>
      </c>
      <c r="AN1215">
        <v>700000</v>
      </c>
      <c r="BC1215" s="22">
        <v>39470.853078703702</v>
      </c>
      <c r="BI1215" s="7">
        <v>39536</v>
      </c>
      <c r="BL1215">
        <v>17520</v>
      </c>
      <c r="BM1215">
        <v>1424190</v>
      </c>
      <c r="BN1215" t="s">
        <v>3171</v>
      </c>
      <c r="BO1215" s="17">
        <f t="shared" ca="1" si="18"/>
        <v>78.45632719907735</v>
      </c>
      <c r="BP1215" t="b">
        <v>0</v>
      </c>
      <c r="BQ1215">
        <v>1</v>
      </c>
      <c r="BR1215" t="s">
        <v>1686</v>
      </c>
      <c r="BS1215">
        <v>56</v>
      </c>
      <c r="BT1215" t="b">
        <v>0</v>
      </c>
      <c r="BU1215" t="s">
        <v>3856</v>
      </c>
      <c r="BV1215" t="s">
        <v>1668</v>
      </c>
      <c r="BW1215">
        <v>17585</v>
      </c>
      <c r="BY1215">
        <v>418227</v>
      </c>
      <c r="BZ1215" t="s">
        <v>1701</v>
      </c>
      <c r="CA1215">
        <v>1</v>
      </c>
      <c r="CB1215" t="b">
        <v>1</v>
      </c>
      <c r="CC1215">
        <v>0</v>
      </c>
      <c r="CD1215" t="b">
        <v>0</v>
      </c>
      <c r="CE1215" t="b">
        <v>0</v>
      </c>
      <c r="CF1215" t="b">
        <v>1</v>
      </c>
      <c r="CG1215">
        <v>2635045</v>
      </c>
      <c r="CH1215" t="s">
        <v>1681</v>
      </c>
      <c r="CI1215" s="10">
        <v>876000</v>
      </c>
      <c r="CJ1215" s="7">
        <v>38791</v>
      </c>
    </row>
    <row r="1216" spans="1:88">
      <c r="A1216">
        <v>28014728</v>
      </c>
      <c r="B1216" s="2" t="str">
        <f>HYPERLINK("http://www.redfin.com/stingray/do/printable-listing?listing-id=1425066","Active")</f>
        <v>Active</v>
      </c>
      <c r="D1216" t="s">
        <v>3924</v>
      </c>
      <c r="E1216" t="s">
        <v>4141</v>
      </c>
      <c r="F1216" s="19">
        <v>599950</v>
      </c>
      <c r="G1216">
        <v>2008</v>
      </c>
      <c r="H1216">
        <v>1820</v>
      </c>
      <c r="I1216">
        <v>0</v>
      </c>
      <c r="J1216">
        <v>3</v>
      </c>
      <c r="K1216">
        <v>2.5</v>
      </c>
      <c r="M1216" s="2" t="str">
        <f>HYPERLINK("http://maps.live.com/default.aspx?v=2&amp;lvl=15&amp;sp=Point.47.620462_-122.298803_213 26th Ave E nB&amp;cp=47.620462~-122.298803","Map")</f>
        <v>Map</v>
      </c>
      <c r="N1216" s="2" t="str">
        <f>HYPERLINK("http://i-0.rfimg.us/photo/1/bigphoto/728/28014728_1.jpg","Photo")</f>
        <v>Photo</v>
      </c>
      <c r="AG1216">
        <v>47.620462000000003</v>
      </c>
      <c r="AH1216">
        <v>-122.29880300000001</v>
      </c>
      <c r="AI1216" t="s">
        <v>66</v>
      </c>
      <c r="AJ1216">
        <v>98112</v>
      </c>
      <c r="AM1216" t="s">
        <v>1699</v>
      </c>
      <c r="BC1216" s="22">
        <v>39471.088159722225</v>
      </c>
      <c r="BI1216" s="22">
        <v>39549.294907407406</v>
      </c>
      <c r="BL1216">
        <v>12399</v>
      </c>
      <c r="BM1216">
        <v>1425066</v>
      </c>
      <c r="BN1216" t="s">
        <v>1829</v>
      </c>
      <c r="BO1216" s="17">
        <f t="shared" ca="1" si="18"/>
        <v>78.221246180553862</v>
      </c>
      <c r="BP1216" t="b">
        <v>0</v>
      </c>
      <c r="BQ1216">
        <v>1</v>
      </c>
      <c r="BR1216" t="s">
        <v>1667</v>
      </c>
      <c r="BS1216" t="s">
        <v>1769</v>
      </c>
      <c r="BT1216" t="b">
        <v>0</v>
      </c>
      <c r="BV1216" t="s">
        <v>1668</v>
      </c>
      <c r="BW1216">
        <v>213</v>
      </c>
      <c r="BX1216" t="s">
        <v>2436</v>
      </c>
      <c r="BY1216">
        <v>12362338</v>
      </c>
      <c r="BZ1216" t="s">
        <v>1704</v>
      </c>
      <c r="CA1216">
        <v>1</v>
      </c>
      <c r="CB1216" t="b">
        <v>1</v>
      </c>
      <c r="CC1216">
        <v>0</v>
      </c>
      <c r="CD1216" t="b">
        <v>0</v>
      </c>
      <c r="CE1216" t="b">
        <v>0</v>
      </c>
      <c r="CF1216" t="b">
        <v>1</v>
      </c>
      <c r="CG1216">
        <v>15566086</v>
      </c>
      <c r="CH1216" t="s">
        <v>1681</v>
      </c>
      <c r="CI1216" s="10">
        <v>619950</v>
      </c>
    </row>
    <row r="1217" spans="1:89">
      <c r="A1217">
        <v>28014784</v>
      </c>
      <c r="B1217" s="2" t="str">
        <f>HYPERLINK("http://www.redfin.com/stingray/do/printable-listing?listing-id=1432163","Active")</f>
        <v>Active</v>
      </c>
      <c r="D1217" t="s">
        <v>70</v>
      </c>
      <c r="E1217" t="s">
        <v>2754</v>
      </c>
      <c r="F1217">
        <v>695000</v>
      </c>
      <c r="G1217">
        <v>1959</v>
      </c>
      <c r="H1217">
        <v>0</v>
      </c>
      <c r="I1217">
        <v>7200</v>
      </c>
      <c r="J1217">
        <v>4</v>
      </c>
      <c r="K1217">
        <v>2.5</v>
      </c>
      <c r="M1217" s="2" t="str">
        <f>HYPERLINK("http://maps.live.com/default.aspx?v=2&amp;lvl=15&amp;sp=Point.47.720177_-122.368691_12514 10th Ave NW&amp;cp=47.720177~-122.368691","Map")</f>
        <v>Map</v>
      </c>
      <c r="N1217" s="2" t="str">
        <f>HYPERLINK("http://i-0.rfimg.us/photo/1/bigphoto/784/28014784_0.jpg","Photo")</f>
        <v>Photo</v>
      </c>
      <c r="AG1217">
        <v>47.720177</v>
      </c>
      <c r="AH1217">
        <v>-122.368691</v>
      </c>
      <c r="AI1217" t="s">
        <v>66</v>
      </c>
      <c r="AJ1217">
        <v>98177</v>
      </c>
      <c r="AN1217">
        <v>533000</v>
      </c>
      <c r="BC1217" s="22">
        <v>39473.536354166667</v>
      </c>
      <c r="BI1217" s="7">
        <v>39532</v>
      </c>
      <c r="BL1217">
        <v>13900</v>
      </c>
      <c r="BM1217">
        <v>1432163</v>
      </c>
      <c r="BN1217" t="s">
        <v>1749</v>
      </c>
      <c r="BO1217" s="17">
        <f t="shared" ca="1" si="18"/>
        <v>75.773051851851051</v>
      </c>
      <c r="BP1217" t="b">
        <v>0</v>
      </c>
      <c r="BQ1217">
        <v>1</v>
      </c>
      <c r="BR1217" t="s">
        <v>1667</v>
      </c>
      <c r="BS1217" t="s">
        <v>1788</v>
      </c>
      <c r="BT1217" t="b">
        <v>0</v>
      </c>
      <c r="BV1217" t="s">
        <v>1668</v>
      </c>
      <c r="BW1217">
        <v>12514</v>
      </c>
      <c r="BX1217" t="s">
        <v>1669</v>
      </c>
      <c r="BY1217">
        <v>291595</v>
      </c>
      <c r="BZ1217" t="s">
        <v>2755</v>
      </c>
      <c r="CA1217">
        <v>1</v>
      </c>
      <c r="CB1217" t="b">
        <v>1</v>
      </c>
      <c r="CC1217">
        <v>0</v>
      </c>
      <c r="CD1217" t="b">
        <v>0</v>
      </c>
      <c r="CE1217" t="b">
        <v>0</v>
      </c>
      <c r="CF1217" t="b">
        <v>1</v>
      </c>
      <c r="CG1217">
        <v>2368599</v>
      </c>
      <c r="CH1217" t="s">
        <v>1681</v>
      </c>
      <c r="CI1217" s="10">
        <v>695000</v>
      </c>
      <c r="CJ1217" s="7">
        <v>38958</v>
      </c>
    </row>
    <row r="1218" spans="1:89">
      <c r="A1218">
        <v>28014838</v>
      </c>
      <c r="B1218" s="2" t="str">
        <f>HYPERLINK("http://www.redfin.com/stingray/do/printable-listing?listing-id=1425791","Active")</f>
        <v>Active</v>
      </c>
      <c r="D1218" t="s">
        <v>66</v>
      </c>
      <c r="E1218" t="s">
        <v>174</v>
      </c>
      <c r="F1218">
        <v>450000</v>
      </c>
      <c r="G1218">
        <v>1953</v>
      </c>
      <c r="H1218">
        <v>2590</v>
      </c>
      <c r="I1218">
        <v>6480</v>
      </c>
      <c r="J1218">
        <v>4</v>
      </c>
      <c r="K1218">
        <v>1.75</v>
      </c>
      <c r="M1218" s="2" t="str">
        <f>HYPERLINK("http://maps.live.com/default.aspx?v=2&amp;lvl=15&amp;sp=Point.47.693429_-122.32801_8836 1st Ave NE&amp;cp=47.693429~-122.32801","Map")</f>
        <v>Map</v>
      </c>
      <c r="N1218" s="2" t="str">
        <f>HYPERLINK("http://i-0.rfimg.us/photo/1/bigphoto/838/28014838_2.jpg","Photo")</f>
        <v>Photo</v>
      </c>
      <c r="AG1218">
        <v>47.693429000000002</v>
      </c>
      <c r="AH1218">
        <v>-122.32801000000001</v>
      </c>
      <c r="AI1218" t="s">
        <v>66</v>
      </c>
      <c r="AJ1218">
        <v>98115</v>
      </c>
      <c r="AN1218">
        <v>84000</v>
      </c>
      <c r="BC1218" s="22">
        <v>39471.465509259258</v>
      </c>
      <c r="BI1218" s="22">
        <v>39549.294907407406</v>
      </c>
      <c r="BL1218">
        <v>9000</v>
      </c>
      <c r="BM1218">
        <v>1425791</v>
      </c>
      <c r="BN1218" t="s">
        <v>1725</v>
      </c>
      <c r="BO1218" s="17">
        <f t="shared" ref="BO1218:BO1281" ca="1" si="19">NOW()-BC1218</f>
        <v>77.843896759259223</v>
      </c>
      <c r="BP1218" t="b">
        <v>0</v>
      </c>
      <c r="BQ1218">
        <v>1</v>
      </c>
      <c r="BR1218" t="s">
        <v>1667</v>
      </c>
      <c r="BS1218" t="s">
        <v>1822</v>
      </c>
      <c r="BT1218" t="b">
        <v>0</v>
      </c>
      <c r="BV1218" t="s">
        <v>1668</v>
      </c>
      <c r="BW1218">
        <v>8836</v>
      </c>
      <c r="BX1218" t="s">
        <v>1738</v>
      </c>
      <c r="BY1218">
        <v>109516</v>
      </c>
      <c r="BZ1218" t="s">
        <v>2164</v>
      </c>
      <c r="CA1218">
        <v>1</v>
      </c>
      <c r="CB1218" t="b">
        <v>1</v>
      </c>
      <c r="CC1218">
        <v>0</v>
      </c>
      <c r="CD1218" t="b">
        <v>0</v>
      </c>
      <c r="CE1218" t="b">
        <v>0</v>
      </c>
      <c r="CF1218" t="b">
        <v>1</v>
      </c>
      <c r="CG1218">
        <v>2938319</v>
      </c>
      <c r="CH1218" t="s">
        <v>1681</v>
      </c>
      <c r="CI1218" s="10">
        <v>450000</v>
      </c>
      <c r="CJ1218" s="7">
        <v>31244</v>
      </c>
    </row>
    <row r="1219" spans="1:89">
      <c r="A1219">
        <v>28014849</v>
      </c>
      <c r="B1219" s="2" t="str">
        <f>HYPERLINK("http://www.redfin.com/stingray/do/printable-listing?listing-id=1426303","Active")</f>
        <v>Active</v>
      </c>
      <c r="D1219" t="s">
        <v>5300</v>
      </c>
      <c r="E1219" t="s">
        <v>5451</v>
      </c>
      <c r="F1219">
        <v>799950</v>
      </c>
      <c r="G1219">
        <v>1967</v>
      </c>
      <c r="H1219">
        <v>2380</v>
      </c>
      <c r="I1219">
        <v>9600</v>
      </c>
      <c r="J1219">
        <v>4</v>
      </c>
      <c r="K1219">
        <v>3</v>
      </c>
      <c r="M1219" s="2" t="str">
        <f>HYPERLINK("http://maps.live.com/default.aspx?v=2&amp;lvl=15&amp;sp=Point.47.620233_-122.106959_17444 NE 12th St&amp;cp=47.620233~-122.106959","Map")</f>
        <v>Map</v>
      </c>
      <c r="N1219" s="2" t="str">
        <f>HYPERLINK("http://i-0.rfimg.us/photo/1/bigphoto/849/28014849_1.jpg","Photo")</f>
        <v>Photo</v>
      </c>
      <c r="AG1219">
        <v>47.620232999999999</v>
      </c>
      <c r="AH1219">
        <v>-122.106959</v>
      </c>
      <c r="AI1219" t="s">
        <v>369</v>
      </c>
      <c r="AJ1219">
        <v>98008</v>
      </c>
      <c r="AN1219">
        <v>343520</v>
      </c>
      <c r="BC1219" s="22">
        <v>39471.575729166667</v>
      </c>
      <c r="BI1219" s="22">
        <v>39549.294907407406</v>
      </c>
      <c r="BL1219">
        <v>15999</v>
      </c>
      <c r="BM1219">
        <v>1426303</v>
      </c>
      <c r="BN1219" t="s">
        <v>1768</v>
      </c>
      <c r="BO1219" s="17">
        <f t="shared" ca="1" si="19"/>
        <v>77.733676736112102</v>
      </c>
      <c r="BP1219" t="b">
        <v>0</v>
      </c>
      <c r="BQ1219">
        <v>1</v>
      </c>
      <c r="BR1219" t="s">
        <v>1686</v>
      </c>
      <c r="BS1219" t="s">
        <v>1803</v>
      </c>
      <c r="BT1219" t="b">
        <v>0</v>
      </c>
      <c r="BU1219" t="s">
        <v>1738</v>
      </c>
      <c r="BV1219" t="s">
        <v>1668</v>
      </c>
      <c r="BW1219">
        <v>17444</v>
      </c>
      <c r="BY1219">
        <v>503774</v>
      </c>
      <c r="BZ1219" t="s">
        <v>5452</v>
      </c>
      <c r="CA1219">
        <v>1</v>
      </c>
      <c r="CB1219" t="b">
        <v>1</v>
      </c>
      <c r="CC1219">
        <v>0</v>
      </c>
      <c r="CD1219" t="b">
        <v>0</v>
      </c>
      <c r="CE1219" t="b">
        <v>0</v>
      </c>
      <c r="CF1219" t="b">
        <v>1</v>
      </c>
      <c r="CG1219">
        <v>2352042</v>
      </c>
      <c r="CH1219" t="s">
        <v>1681</v>
      </c>
      <c r="CI1219" s="10">
        <v>799950</v>
      </c>
      <c r="CJ1219" s="7">
        <v>37840</v>
      </c>
    </row>
    <row r="1220" spans="1:89">
      <c r="A1220">
        <v>28014892</v>
      </c>
      <c r="B1220" s="2" t="str">
        <f>HYPERLINK("http://www.redfin.com/stingray/do/printable-listing?listing-id=1427021","Active")</f>
        <v>Active</v>
      </c>
      <c r="D1220" t="s">
        <v>3089</v>
      </c>
      <c r="E1220" t="s">
        <v>3803</v>
      </c>
      <c r="F1220">
        <v>999950</v>
      </c>
      <c r="G1220">
        <v>1927</v>
      </c>
      <c r="H1220">
        <v>2800</v>
      </c>
      <c r="I1220">
        <v>6000</v>
      </c>
      <c r="J1220">
        <v>4</v>
      </c>
      <c r="K1220">
        <v>3.25</v>
      </c>
      <c r="M1220" s="2" t="str">
        <f>HYPERLINK("http://maps.live.com/default.aspx?v=2&amp;lvl=15&amp;sp=Point.47.656455_-122.281845_3821 43rd Ave NE&amp;cp=47.656455~-122.281845","Map")</f>
        <v>Map</v>
      </c>
      <c r="N1220" s="2" t="str">
        <f>HYPERLINK("http://i-0.rfimg.us/photo/1/bigphoto/892/28014892_1.jpg","Photo")</f>
        <v>Photo</v>
      </c>
      <c r="AG1220">
        <v>47.656455000000001</v>
      </c>
      <c r="AH1220">
        <v>-122.281845</v>
      </c>
      <c r="AI1220" t="s">
        <v>66</v>
      </c>
      <c r="AJ1220">
        <v>98105</v>
      </c>
      <c r="BC1220" s="22">
        <v>39471.732106481482</v>
      </c>
      <c r="BI1220" s="22">
        <v>39549.294907407406</v>
      </c>
      <c r="BL1220">
        <v>19999</v>
      </c>
      <c r="BM1220">
        <v>1427021</v>
      </c>
      <c r="BN1220" t="s">
        <v>3775</v>
      </c>
      <c r="BO1220" s="17">
        <f t="shared" ca="1" si="19"/>
        <v>77.57729942129663</v>
      </c>
      <c r="BP1220" t="b">
        <v>0</v>
      </c>
      <c r="BQ1220">
        <v>1</v>
      </c>
      <c r="BR1220" t="s">
        <v>1667</v>
      </c>
      <c r="BS1220" t="s">
        <v>3134</v>
      </c>
      <c r="BT1220" t="b">
        <v>0</v>
      </c>
      <c r="BV1220" t="s">
        <v>1668</v>
      </c>
      <c r="BW1220">
        <v>3821</v>
      </c>
      <c r="BX1220" t="s">
        <v>1738</v>
      </c>
      <c r="BY1220">
        <v>122630</v>
      </c>
      <c r="BZ1220" t="s">
        <v>1756</v>
      </c>
      <c r="CA1220">
        <v>1</v>
      </c>
      <c r="CB1220" t="b">
        <v>1</v>
      </c>
      <c r="CC1220">
        <v>0</v>
      </c>
      <c r="CD1220" t="b">
        <v>0</v>
      </c>
      <c r="CE1220" t="b">
        <v>0</v>
      </c>
      <c r="CF1220" t="b">
        <v>1</v>
      </c>
      <c r="CG1220">
        <v>2694725</v>
      </c>
      <c r="CH1220" t="s">
        <v>1681</v>
      </c>
      <c r="CI1220" s="10">
        <v>999950</v>
      </c>
    </row>
    <row r="1221" spans="1:89">
      <c r="A1221">
        <v>28014910</v>
      </c>
      <c r="B1221" s="2" t="str">
        <f>HYPERLINK("http://www.redfin.com/stingray/do/printable-listing?listing-id=1432081","Active")</f>
        <v>Active</v>
      </c>
      <c r="D1221" t="s">
        <v>109</v>
      </c>
      <c r="E1221" t="s">
        <v>2595</v>
      </c>
      <c r="F1221" s="19">
        <v>749950</v>
      </c>
      <c r="G1221">
        <v>1910</v>
      </c>
      <c r="H1221">
        <v>0</v>
      </c>
      <c r="I1221">
        <v>2400</v>
      </c>
      <c r="J1221">
        <v>5</v>
      </c>
      <c r="K1221">
        <v>3</v>
      </c>
      <c r="M1221" s="2" t="str">
        <f>HYPERLINK("http://maps.live.com/default.aspx?v=2&amp;lvl=15&amp;sp=Point.47.662354_-122.328436_4529 1st Ave NE&amp;cp=47.662354~-122.328436","Map")</f>
        <v>Map</v>
      </c>
      <c r="N1221" s="2" t="str">
        <f>HYPERLINK("http://i-0.rfimg.us/photo/1/bigphoto/910/28014910_2.jpg","Photo")</f>
        <v>Photo</v>
      </c>
      <c r="AG1221">
        <v>47.662354000000001</v>
      </c>
      <c r="AH1221">
        <v>-122.328436</v>
      </c>
      <c r="AI1221" t="s">
        <v>66</v>
      </c>
      <c r="AJ1221">
        <v>98105</v>
      </c>
      <c r="AN1221">
        <v>400000</v>
      </c>
      <c r="BC1221" s="22">
        <v>39473.515393518515</v>
      </c>
      <c r="BI1221" s="22">
        <v>39549.294907407406</v>
      </c>
      <c r="BL1221">
        <v>15900</v>
      </c>
      <c r="BM1221">
        <v>1432081</v>
      </c>
      <c r="BN1221" t="s">
        <v>1766</v>
      </c>
      <c r="BO1221" s="17">
        <f t="shared" ca="1" si="19"/>
        <v>75.794012500002282</v>
      </c>
      <c r="BP1221" t="b">
        <v>0</v>
      </c>
      <c r="BQ1221">
        <v>1</v>
      </c>
      <c r="BR1221" t="s">
        <v>1667</v>
      </c>
      <c r="BS1221" t="s">
        <v>1822</v>
      </c>
      <c r="BT1221" t="b">
        <v>0</v>
      </c>
      <c r="BV1221" t="s">
        <v>1668</v>
      </c>
      <c r="BW1221">
        <v>4529</v>
      </c>
      <c r="BX1221" t="s">
        <v>1738</v>
      </c>
      <c r="BY1221">
        <v>117146</v>
      </c>
      <c r="BZ1221" t="s">
        <v>2596</v>
      </c>
      <c r="CA1221">
        <v>1</v>
      </c>
      <c r="CB1221" t="b">
        <v>1</v>
      </c>
      <c r="CC1221">
        <v>0</v>
      </c>
      <c r="CD1221" t="b">
        <v>0</v>
      </c>
      <c r="CE1221" t="b">
        <v>0</v>
      </c>
      <c r="CF1221" t="b">
        <v>1</v>
      </c>
      <c r="CG1221">
        <v>2899790</v>
      </c>
      <c r="CH1221" t="s">
        <v>1681</v>
      </c>
      <c r="CI1221" s="10">
        <v>795000</v>
      </c>
      <c r="CJ1221" s="7">
        <v>39021</v>
      </c>
    </row>
    <row r="1222" spans="1:89">
      <c r="A1222">
        <v>28014953</v>
      </c>
      <c r="B1222" s="2" t="str">
        <f>HYPERLINK("http://www.redfin.com/stingray/do/printable-listing?listing-id=1426245","Subject To Inspection")</f>
        <v>Subject To Inspection</v>
      </c>
      <c r="D1222" t="s">
        <v>3961</v>
      </c>
      <c r="E1222" t="s">
        <v>4300</v>
      </c>
      <c r="F1222">
        <v>659950</v>
      </c>
      <c r="G1222">
        <v>2008</v>
      </c>
      <c r="H1222">
        <v>1965</v>
      </c>
      <c r="I1222">
        <v>0</v>
      </c>
      <c r="J1222">
        <v>3</v>
      </c>
      <c r="K1222">
        <v>3.5</v>
      </c>
      <c r="M1222" s="2" t="str">
        <f>HYPERLINK("http://maps.live.com/default.aspx?v=2&amp;lvl=15&amp;sp=Point.47.6019_-122.293495_112 30th Ave nB&amp;cp=47.6019~-122.293495","Map")</f>
        <v>Map</v>
      </c>
      <c r="N1222" s="2" t="str">
        <f>HYPERLINK("http://i-0.rfimg.us/photo/1/bigphoto/953/28014953_0.jpg","Photo")</f>
        <v>Photo</v>
      </c>
      <c r="AG1222">
        <v>47.601900000000001</v>
      </c>
      <c r="AH1222">
        <v>-122.29349499999999</v>
      </c>
      <c r="AI1222" t="s">
        <v>66</v>
      </c>
      <c r="AJ1222">
        <v>98122</v>
      </c>
      <c r="AM1222" t="s">
        <v>1699</v>
      </c>
      <c r="BC1222" s="22">
        <v>39471.551018518519</v>
      </c>
      <c r="BI1222" s="7">
        <v>39531</v>
      </c>
      <c r="BL1222">
        <v>13199</v>
      </c>
      <c r="BM1222">
        <v>1426245</v>
      </c>
      <c r="BN1222" t="s">
        <v>1829</v>
      </c>
      <c r="BO1222" s="17">
        <f t="shared" ca="1" si="19"/>
        <v>77.758387384259549</v>
      </c>
      <c r="BP1222" t="b">
        <v>0</v>
      </c>
      <c r="BQ1222">
        <v>2</v>
      </c>
      <c r="BR1222" t="s">
        <v>1667</v>
      </c>
      <c r="BS1222" t="s">
        <v>1818</v>
      </c>
      <c r="BT1222" t="b">
        <v>0</v>
      </c>
      <c r="BV1222" t="s">
        <v>1668</v>
      </c>
      <c r="BW1222">
        <v>112</v>
      </c>
      <c r="BY1222">
        <v>12366830</v>
      </c>
      <c r="BZ1222" t="s">
        <v>1745</v>
      </c>
      <c r="CA1222">
        <v>1</v>
      </c>
      <c r="CB1222" t="b">
        <v>1</v>
      </c>
      <c r="CC1222">
        <v>0</v>
      </c>
      <c r="CD1222" t="b">
        <v>0</v>
      </c>
      <c r="CE1222" t="b">
        <v>0</v>
      </c>
      <c r="CF1222" t="b">
        <v>1</v>
      </c>
      <c r="CG1222">
        <v>15570578</v>
      </c>
      <c r="CH1222" t="s">
        <v>1681</v>
      </c>
      <c r="CI1222" s="10">
        <v>659950</v>
      </c>
    </row>
    <row r="1223" spans="1:89">
      <c r="A1223">
        <v>28014967</v>
      </c>
      <c r="B1223" s="2" t="str">
        <f>HYPERLINK("http://www.redfin.com/stingray/do/printable-listing?listing-id=1430224","Active")</f>
        <v>Active</v>
      </c>
      <c r="D1223" t="s">
        <v>3066</v>
      </c>
      <c r="E1223" t="s">
        <v>4783</v>
      </c>
      <c r="F1223" s="19">
        <v>528900</v>
      </c>
      <c r="G1223">
        <v>2005</v>
      </c>
      <c r="H1223">
        <v>1550</v>
      </c>
      <c r="I1223">
        <v>2793</v>
      </c>
      <c r="J1223">
        <v>2</v>
      </c>
      <c r="K1223">
        <v>2.5</v>
      </c>
      <c r="M1223" s="2" t="str">
        <f>HYPERLINK("http://maps.live.com/default.aspx?v=2&amp;lvl=15&amp;sp=Point.47.68740278383_-122.16569698834_13119 NE 97th St&amp;cp=47.68740278383~-122.16569698834","Map")</f>
        <v>Map</v>
      </c>
      <c r="N1223" s="2" t="str">
        <f>HYPERLINK("http://i-0.rfimg.us/photo/1/bigphoto/967/28014967_0.jpg","Photo")</f>
        <v>Photo</v>
      </c>
      <c r="AG1223">
        <v>47.687402783830002</v>
      </c>
      <c r="AH1223">
        <v>-122.16569698834</v>
      </c>
      <c r="AI1223" t="s">
        <v>1058</v>
      </c>
      <c r="AJ1223">
        <v>98033</v>
      </c>
      <c r="AN1223">
        <v>536500</v>
      </c>
      <c r="BC1223" s="22">
        <v>39472.710532407407</v>
      </c>
      <c r="BI1223" s="22">
        <v>39549.294907407406</v>
      </c>
      <c r="BL1223">
        <v>10960</v>
      </c>
      <c r="BM1223">
        <v>1430224</v>
      </c>
      <c r="BN1223" t="s">
        <v>2372</v>
      </c>
      <c r="BO1223" s="17">
        <f t="shared" ca="1" si="19"/>
        <v>76.598873495371663</v>
      </c>
      <c r="BP1223" t="b">
        <v>0</v>
      </c>
      <c r="BQ1223">
        <v>1</v>
      </c>
      <c r="BR1223" t="s">
        <v>1686</v>
      </c>
      <c r="BS1223" t="s">
        <v>1840</v>
      </c>
      <c r="BT1223" t="b">
        <v>0</v>
      </c>
      <c r="BU1223" t="s">
        <v>1738</v>
      </c>
      <c r="BV1223" t="s">
        <v>1668</v>
      </c>
      <c r="BW1223">
        <v>13119</v>
      </c>
      <c r="BY1223">
        <v>2086118</v>
      </c>
      <c r="BZ1223" t="s">
        <v>1676</v>
      </c>
      <c r="CA1223">
        <v>1</v>
      </c>
      <c r="CB1223" t="b">
        <v>1</v>
      </c>
      <c r="CC1223">
        <v>0</v>
      </c>
      <c r="CD1223" t="b">
        <v>0</v>
      </c>
      <c r="CE1223" t="b">
        <v>0</v>
      </c>
      <c r="CF1223" t="b">
        <v>1</v>
      </c>
      <c r="CG1223">
        <v>2819859</v>
      </c>
      <c r="CH1223" t="s">
        <v>1681</v>
      </c>
      <c r="CI1223" s="10">
        <v>548000</v>
      </c>
      <c r="CJ1223" s="7">
        <v>39244</v>
      </c>
    </row>
    <row r="1224" spans="1:89">
      <c r="A1224">
        <v>28014975</v>
      </c>
      <c r="B1224" s="15" t="str">
        <f>HYPERLINK("http://www.redfin.com/stingray/do/printable-listing?listing-id=1426204","Subject To Inspection")</f>
        <v>Subject To Inspection</v>
      </c>
      <c r="D1224" t="s">
        <v>1022</v>
      </c>
      <c r="E1224" t="s">
        <v>1806</v>
      </c>
      <c r="F1224">
        <v>369950</v>
      </c>
      <c r="G1224">
        <v>2007</v>
      </c>
      <c r="H1224">
        <v>1272</v>
      </c>
      <c r="I1224">
        <v>0</v>
      </c>
      <c r="J1224">
        <v>3</v>
      </c>
      <c r="K1224">
        <v>2.5</v>
      </c>
      <c r="M1224" s="2" t="str">
        <f>HYPERLINK("http://maps.live.com/default.aspx?v=2&amp;lvl=15&amp;sp=Point.47.690263_-122.370603_8357 11th Ave NW&amp;cp=47.690263~-122.370603","Map")</f>
        <v>Map</v>
      </c>
      <c r="N1224" s="2" t="str">
        <f>HYPERLINK("http://i-0.rfimg.us/photo/1/bigphoto/975/28014975_1.jpg","Photo")</f>
        <v>Photo</v>
      </c>
      <c r="AG1224">
        <v>47.690263000000002</v>
      </c>
      <c r="AH1224">
        <v>-122.370603</v>
      </c>
      <c r="AI1224" t="s">
        <v>66</v>
      </c>
      <c r="AJ1224">
        <v>98117</v>
      </c>
      <c r="AN1224">
        <v>379950</v>
      </c>
      <c r="BC1224" s="22">
        <v>39471.540324074071</v>
      </c>
      <c r="BI1224" s="7">
        <v>39539</v>
      </c>
      <c r="BL1224">
        <v>7399</v>
      </c>
      <c r="BM1224">
        <v>1426204</v>
      </c>
      <c r="BN1224" t="s">
        <v>1710</v>
      </c>
      <c r="BO1224" s="17">
        <f t="shared" ca="1" si="19"/>
        <v>77.769081944446953</v>
      </c>
      <c r="BP1224" t="b">
        <v>0</v>
      </c>
      <c r="BQ1224">
        <v>1</v>
      </c>
      <c r="BR1224" t="s">
        <v>1667</v>
      </c>
      <c r="BS1224" t="s">
        <v>1792</v>
      </c>
      <c r="BT1224" t="b">
        <v>0</v>
      </c>
      <c r="BV1224" t="s">
        <v>1668</v>
      </c>
      <c r="BW1224">
        <v>8357</v>
      </c>
      <c r="BX1224" t="s">
        <v>1669</v>
      </c>
      <c r="BY1224">
        <v>2089410</v>
      </c>
      <c r="BZ1224" t="s">
        <v>1807</v>
      </c>
      <c r="CA1224">
        <v>1</v>
      </c>
      <c r="CB1224" t="b">
        <v>1</v>
      </c>
      <c r="CC1224">
        <v>0</v>
      </c>
      <c r="CD1224" t="b">
        <v>0</v>
      </c>
      <c r="CE1224" t="b">
        <v>0</v>
      </c>
      <c r="CF1224" t="b">
        <v>0</v>
      </c>
      <c r="CG1224">
        <v>2878812</v>
      </c>
      <c r="CH1224" t="s">
        <v>1681</v>
      </c>
      <c r="CI1224" s="10">
        <v>369950</v>
      </c>
      <c r="CJ1224" s="7">
        <v>39491</v>
      </c>
      <c r="CK1224" t="s">
        <v>2281</v>
      </c>
    </row>
    <row r="1225" spans="1:89">
      <c r="A1225">
        <v>28014989</v>
      </c>
      <c r="B1225" s="2" t="str">
        <f>HYPERLINK("http://www.redfin.com/stingray/do/printable-listing?listing-id=1426540","Active")</f>
        <v>Active</v>
      </c>
      <c r="D1225" t="s">
        <v>4611</v>
      </c>
      <c r="E1225" t="s">
        <v>5109</v>
      </c>
      <c r="F1225">
        <v>435000</v>
      </c>
      <c r="G1225">
        <v>1960</v>
      </c>
      <c r="H1225">
        <v>1100</v>
      </c>
      <c r="I1225">
        <v>7280</v>
      </c>
      <c r="J1225">
        <v>3</v>
      </c>
      <c r="K1225">
        <v>1</v>
      </c>
      <c r="M1225" s="2" t="str">
        <f>HYPERLINK("http://maps.live.com/default.aspx?v=2&amp;lvl=15&amp;sp=Point.47.624828_-122.114995_1627 169th Ave NE&amp;cp=47.624828~-122.114995","Map")</f>
        <v>Map</v>
      </c>
      <c r="N1225" s="2" t="str">
        <f>HYPERLINK("http://i-0.rfimg.us/photo/1/bigphoto/989/28014989_0.jpg","Photo")</f>
        <v>Photo</v>
      </c>
      <c r="AG1225">
        <v>47.624828000000001</v>
      </c>
      <c r="AH1225">
        <v>-122.11499499999999</v>
      </c>
      <c r="AI1225" t="s">
        <v>369</v>
      </c>
      <c r="AJ1225">
        <v>98008</v>
      </c>
      <c r="AN1225">
        <v>189500</v>
      </c>
      <c r="BC1225" s="22">
        <v>39471.632233796299</v>
      </c>
      <c r="BI1225" s="22">
        <v>39549.294907407406</v>
      </c>
      <c r="BL1225">
        <v>8700</v>
      </c>
      <c r="BM1225">
        <v>1426540</v>
      </c>
      <c r="BN1225" t="s">
        <v>1805</v>
      </c>
      <c r="BO1225" s="17">
        <f t="shared" ca="1" si="19"/>
        <v>77.677172106479702</v>
      </c>
      <c r="BP1225" t="b">
        <v>0</v>
      </c>
      <c r="BQ1225">
        <v>1</v>
      </c>
      <c r="BR1225" t="s">
        <v>1667</v>
      </c>
      <c r="BS1225" t="s">
        <v>5110</v>
      </c>
      <c r="BT1225" t="b">
        <v>0</v>
      </c>
      <c r="BV1225" t="s">
        <v>1668</v>
      </c>
      <c r="BW1225">
        <v>1627</v>
      </c>
      <c r="BX1225" t="s">
        <v>1738</v>
      </c>
      <c r="BY1225">
        <v>431575</v>
      </c>
      <c r="BZ1225" t="s">
        <v>1741</v>
      </c>
      <c r="CA1225">
        <v>1</v>
      </c>
      <c r="CB1225" t="b">
        <v>1</v>
      </c>
      <c r="CC1225">
        <v>0</v>
      </c>
      <c r="CD1225" t="b">
        <v>0</v>
      </c>
      <c r="CE1225" t="b">
        <v>0</v>
      </c>
      <c r="CF1225" t="b">
        <v>1</v>
      </c>
      <c r="CG1225">
        <v>2893111</v>
      </c>
      <c r="CH1225" t="s">
        <v>1681</v>
      </c>
      <c r="CI1225" s="10">
        <v>435000</v>
      </c>
      <c r="CJ1225" s="7">
        <v>36377</v>
      </c>
    </row>
    <row r="1226" spans="1:89">
      <c r="A1226">
        <v>28015007</v>
      </c>
      <c r="B1226" s="2" t="str">
        <f>HYPERLINK("http://www.redfin.com/stingray/do/printable-listing?listing-id=1426307","Active")</f>
        <v>Active</v>
      </c>
      <c r="D1226" t="s">
        <v>3966</v>
      </c>
      <c r="E1226" t="s">
        <v>3974</v>
      </c>
      <c r="F1226">
        <v>799000</v>
      </c>
      <c r="G1226">
        <v>1990</v>
      </c>
      <c r="H1226">
        <v>2768</v>
      </c>
      <c r="I1226">
        <v>5000</v>
      </c>
      <c r="J1226">
        <v>3</v>
      </c>
      <c r="K1226">
        <v>2</v>
      </c>
      <c r="M1226" s="2" t="str">
        <f>HYPERLINK("http://maps.live.com/default.aspx?v=2&amp;lvl=15&amp;sp=Point.47.603477_-122.291937_209 32nd Ave&amp;cp=47.603477~-122.291937","Map")</f>
        <v>Map</v>
      </c>
      <c r="N1226" s="2" t="str">
        <f>HYPERLINK("http://i-0.rfimg.us/photo/1/bigphoto/007/28015007_O.jpg","Photo")</f>
        <v>Photo</v>
      </c>
      <c r="AG1226">
        <v>47.603476999999998</v>
      </c>
      <c r="AH1226">
        <v>-122.291937</v>
      </c>
      <c r="AI1226" t="s">
        <v>66</v>
      </c>
      <c r="AJ1226">
        <v>98122</v>
      </c>
      <c r="AN1226">
        <v>363000</v>
      </c>
      <c r="BC1226" s="22">
        <v>39471.576238425929</v>
      </c>
      <c r="BI1226" s="22">
        <v>39545.917314814818</v>
      </c>
      <c r="BL1226">
        <v>15980</v>
      </c>
      <c r="BM1226">
        <v>1426307</v>
      </c>
      <c r="BN1226" t="s">
        <v>1810</v>
      </c>
      <c r="BO1226" s="17">
        <f t="shared" ca="1" si="19"/>
        <v>77.733167476850213</v>
      </c>
      <c r="BP1226" t="b">
        <v>0</v>
      </c>
      <c r="BQ1226">
        <v>1</v>
      </c>
      <c r="BR1226" t="s">
        <v>1667</v>
      </c>
      <c r="BS1226" t="s">
        <v>1733</v>
      </c>
      <c r="BT1226" t="b">
        <v>0</v>
      </c>
      <c r="BV1226" t="s">
        <v>1668</v>
      </c>
      <c r="BW1226">
        <v>209</v>
      </c>
      <c r="BY1226">
        <v>148549</v>
      </c>
      <c r="BZ1226" t="s">
        <v>3975</v>
      </c>
      <c r="CA1226">
        <v>1</v>
      </c>
      <c r="CB1226" t="b">
        <v>1</v>
      </c>
      <c r="CC1226">
        <v>0</v>
      </c>
      <c r="CD1226" t="b">
        <v>0</v>
      </c>
      <c r="CE1226" t="b">
        <v>0</v>
      </c>
      <c r="CF1226" t="b">
        <v>1</v>
      </c>
      <c r="CG1226">
        <v>2806673</v>
      </c>
      <c r="CH1226" t="s">
        <v>1681</v>
      </c>
      <c r="CI1226" s="10">
        <v>799000</v>
      </c>
      <c r="CJ1226" s="7">
        <v>36381</v>
      </c>
    </row>
    <row r="1227" spans="1:89">
      <c r="A1227">
        <v>28015062</v>
      </c>
      <c r="B1227" s="2" t="str">
        <f>HYPERLINK("http://www.redfin.com/stingray/do/printable-listing?listing-id=1430015","Active")</f>
        <v>Active</v>
      </c>
      <c r="D1227" t="s">
        <v>1023</v>
      </c>
      <c r="E1227" t="s">
        <v>1286</v>
      </c>
      <c r="F1227" s="19">
        <v>969500</v>
      </c>
      <c r="G1227">
        <v>2008</v>
      </c>
      <c r="H1227">
        <v>3078</v>
      </c>
      <c r="I1227">
        <v>6476</v>
      </c>
      <c r="J1227">
        <v>5</v>
      </c>
      <c r="K1227">
        <v>3</v>
      </c>
      <c r="M1227" s="2" t="str">
        <f>HYPERLINK("http://maps.live.com/default.aspx?v=2&amp;lvl=15&amp;sp=Point.47.683892_-122.397894_7526 32nd Ave NW&amp;cp=47.683892~-122.397894","Map")</f>
        <v>Map</v>
      </c>
      <c r="N1227" s="2" t="str">
        <f>HYPERLINK("http://i-0.rfimg.us/photo/1/bigphoto/062/28015062_2.jpg","Photo")</f>
        <v>Photo</v>
      </c>
      <c r="AG1227">
        <v>47.683892</v>
      </c>
      <c r="AH1227">
        <v>-122.39789399999999</v>
      </c>
      <c r="AI1227" t="s">
        <v>66</v>
      </c>
      <c r="AJ1227">
        <v>98117</v>
      </c>
      <c r="AN1227">
        <v>405000</v>
      </c>
      <c r="BC1227" s="22">
        <v>39472.675081018519</v>
      </c>
      <c r="BI1227" s="7">
        <v>39532</v>
      </c>
      <c r="BL1227">
        <v>19940</v>
      </c>
      <c r="BM1227">
        <v>1430015</v>
      </c>
      <c r="BN1227" t="s">
        <v>1744</v>
      </c>
      <c r="BO1227" s="17">
        <f t="shared" ca="1" si="19"/>
        <v>76.63432499999908</v>
      </c>
      <c r="BP1227" t="b">
        <v>0</v>
      </c>
      <c r="BQ1227">
        <v>1</v>
      </c>
      <c r="BR1227" t="s">
        <v>1667</v>
      </c>
      <c r="BS1227" t="s">
        <v>1733</v>
      </c>
      <c r="BT1227" t="b">
        <v>0</v>
      </c>
      <c r="BV1227" t="s">
        <v>1668</v>
      </c>
      <c r="BW1227">
        <v>7526</v>
      </c>
      <c r="BX1227" t="s">
        <v>1669</v>
      </c>
      <c r="BY1227">
        <v>165801</v>
      </c>
      <c r="BZ1227" t="s">
        <v>1912</v>
      </c>
      <c r="CA1227">
        <v>1</v>
      </c>
      <c r="CB1227" t="b">
        <v>1</v>
      </c>
      <c r="CC1227">
        <v>0</v>
      </c>
      <c r="CD1227" t="b">
        <v>0</v>
      </c>
      <c r="CE1227" t="b">
        <v>0</v>
      </c>
      <c r="CF1227" t="b">
        <v>0</v>
      </c>
      <c r="CG1227">
        <v>2584128</v>
      </c>
      <c r="CH1227" t="s">
        <v>1681</v>
      </c>
      <c r="CI1227" s="10">
        <v>997000</v>
      </c>
      <c r="CJ1227" s="7">
        <v>39157</v>
      </c>
    </row>
    <row r="1228" spans="1:89">
      <c r="A1228">
        <v>28015103</v>
      </c>
      <c r="B1228" s="2" t="str">
        <f>HYPERLINK("http://www.redfin.com/stingray/do/printable-listing?listing-id=1426798","Active")</f>
        <v>Active</v>
      </c>
      <c r="D1228" t="s">
        <v>109</v>
      </c>
      <c r="E1228" t="s">
        <v>3172</v>
      </c>
      <c r="F1228">
        <v>669000</v>
      </c>
      <c r="G1228">
        <v>1911</v>
      </c>
      <c r="H1228">
        <v>2990</v>
      </c>
      <c r="I1228">
        <v>4578</v>
      </c>
      <c r="J1228">
        <v>3</v>
      </c>
      <c r="K1228">
        <v>1.75</v>
      </c>
      <c r="M1228" s="2" t="str">
        <f>HYPERLINK("http://maps.live.com/default.aspx?v=2&amp;lvl=15&amp;sp=Point.47.66523_-122.319203_5006 8th Ave NE&amp;cp=47.66523~-122.319203","Map")</f>
        <v>Map</v>
      </c>
      <c r="N1228" s="2" t="str">
        <f>HYPERLINK("http://i-0.rfimg.us/photo/1/bigphoto/103/28015103_2.jpg","Photo")</f>
        <v>Photo</v>
      </c>
      <c r="AG1228">
        <v>47.665230000000001</v>
      </c>
      <c r="AH1228">
        <v>-122.319203</v>
      </c>
      <c r="AI1228" t="s">
        <v>66</v>
      </c>
      <c r="AJ1228">
        <v>98103</v>
      </c>
      <c r="AN1228">
        <v>282000</v>
      </c>
      <c r="BC1228" s="22">
        <v>39471.678506944445</v>
      </c>
      <c r="BI1228" s="22">
        <v>39549.294907407406</v>
      </c>
      <c r="BL1228">
        <v>13380</v>
      </c>
      <c r="BM1228">
        <v>1426798</v>
      </c>
      <c r="BN1228" t="s">
        <v>3171</v>
      </c>
      <c r="BO1228" s="17">
        <f t="shared" ca="1" si="19"/>
        <v>77.630898958334001</v>
      </c>
      <c r="BP1228" t="b">
        <v>0</v>
      </c>
      <c r="BQ1228">
        <v>1</v>
      </c>
      <c r="BR1228" t="s">
        <v>1667</v>
      </c>
      <c r="BS1228" t="s">
        <v>1723</v>
      </c>
      <c r="BT1228" t="b">
        <v>0</v>
      </c>
      <c r="BV1228" t="s">
        <v>1668</v>
      </c>
      <c r="BW1228">
        <v>5006</v>
      </c>
      <c r="BX1228" t="s">
        <v>1738</v>
      </c>
      <c r="BY1228">
        <v>311674</v>
      </c>
      <c r="BZ1228" t="s">
        <v>3173</v>
      </c>
      <c r="CA1228">
        <v>1</v>
      </c>
      <c r="CB1228" t="b">
        <v>1</v>
      </c>
      <c r="CC1228">
        <v>0</v>
      </c>
      <c r="CD1228" t="b">
        <v>0</v>
      </c>
      <c r="CE1228" t="b">
        <v>0</v>
      </c>
      <c r="CF1228" t="b">
        <v>1</v>
      </c>
      <c r="CG1228">
        <v>2957583</v>
      </c>
      <c r="CH1228" t="s">
        <v>1681</v>
      </c>
      <c r="CI1228" s="10">
        <v>669000</v>
      </c>
      <c r="CJ1228" s="7">
        <v>38225</v>
      </c>
    </row>
    <row r="1229" spans="1:89">
      <c r="A1229">
        <v>28015129</v>
      </c>
      <c r="B1229" s="2" t="str">
        <f>HYPERLINK("http://www.redfin.com/stingray/do/printable-listing?listing-id=1443765","Active")</f>
        <v>Active</v>
      </c>
      <c r="D1229" t="s">
        <v>4813</v>
      </c>
      <c r="E1229" t="s">
        <v>4812</v>
      </c>
      <c r="F1229">
        <v>499950</v>
      </c>
      <c r="G1229">
        <v>1969</v>
      </c>
      <c r="H1229">
        <v>3080</v>
      </c>
      <c r="I1229">
        <v>8451</v>
      </c>
      <c r="J1229">
        <v>4</v>
      </c>
      <c r="K1229">
        <v>2.5</v>
      </c>
      <c r="M1229" s="2" t="str">
        <f>HYPERLINK("http://maps.live.com/default.aspx?v=2&amp;lvl=15&amp;sp=Point.47.674045_-122.153597_7720 139th Pl NE&amp;cp=47.674045~-122.153597","Map")</f>
        <v>Map</v>
      </c>
      <c r="N1229" s="2" t="str">
        <f>HYPERLINK("http://i-0.rfimg.us/photo/1/bigphoto/129/28015129_0.jpg","Photo")</f>
        <v>Photo</v>
      </c>
      <c r="AG1229">
        <v>47.674045</v>
      </c>
      <c r="AH1229">
        <v>-122.153597</v>
      </c>
      <c r="AI1229" t="s">
        <v>4363</v>
      </c>
      <c r="AJ1229">
        <v>98052</v>
      </c>
      <c r="AN1229">
        <v>605000</v>
      </c>
      <c r="BC1229" s="22">
        <v>39478.682870370372</v>
      </c>
      <c r="BI1229" s="22">
        <v>39549.294907407406</v>
      </c>
      <c r="BL1229">
        <v>9999</v>
      </c>
      <c r="BM1229">
        <v>1443765</v>
      </c>
      <c r="BN1229" t="s">
        <v>1674</v>
      </c>
      <c r="BO1229" s="17">
        <f t="shared" ca="1" si="19"/>
        <v>70.626535532406706</v>
      </c>
      <c r="BP1229" t="b">
        <v>0</v>
      </c>
      <c r="BQ1229">
        <v>1</v>
      </c>
      <c r="BR1229" t="s">
        <v>1842</v>
      </c>
      <c r="BS1229" t="s">
        <v>4423</v>
      </c>
      <c r="BT1229" t="b">
        <v>0</v>
      </c>
      <c r="BV1229" t="s">
        <v>1668</v>
      </c>
      <c r="BW1229">
        <v>7720</v>
      </c>
      <c r="BX1229" t="s">
        <v>1738</v>
      </c>
      <c r="BY1229">
        <v>516654</v>
      </c>
      <c r="BZ1229" s="21">
        <v>0</v>
      </c>
      <c r="CA1229">
        <v>1</v>
      </c>
      <c r="CB1229" t="b">
        <v>1</v>
      </c>
      <c r="CC1229">
        <v>0</v>
      </c>
      <c r="CD1229" t="b">
        <v>0</v>
      </c>
      <c r="CE1229" t="b">
        <v>0</v>
      </c>
      <c r="CF1229" t="b">
        <v>1</v>
      </c>
      <c r="CG1229">
        <v>2697394</v>
      </c>
      <c r="CH1229" t="s">
        <v>1681</v>
      </c>
      <c r="CI1229" s="10">
        <v>499950</v>
      </c>
      <c r="CJ1229" s="7">
        <v>39195</v>
      </c>
    </row>
    <row r="1230" spans="1:89">
      <c r="A1230">
        <v>28015172</v>
      </c>
      <c r="B1230" s="2" t="str">
        <f>HYPERLINK("http://www.redfin.com/stingray/do/printable-listing?listing-id=1428753","Active")</f>
        <v>Active</v>
      </c>
      <c r="D1230" t="s">
        <v>70</v>
      </c>
      <c r="E1230" t="s">
        <v>155</v>
      </c>
      <c r="F1230">
        <v>445000</v>
      </c>
      <c r="G1230">
        <v>1948</v>
      </c>
      <c r="H1230">
        <v>2280</v>
      </c>
      <c r="I1230">
        <v>7020</v>
      </c>
      <c r="J1230">
        <v>3</v>
      </c>
      <c r="K1230">
        <v>2.5</v>
      </c>
      <c r="M1230" s="2" t="str">
        <f>HYPERLINK("http://maps.live.com/default.aspx?v=2&amp;lvl=15&amp;sp=Point.47.719452_-122.357882_12258 1st Ave NW&amp;cp=47.719452~-122.357882","Map")</f>
        <v>Map</v>
      </c>
      <c r="N1230" s="2" t="str">
        <f>HYPERLINK("http://i-0.rfimg.us/photo/1/bigphoto/172/28015172_0.jpg","Photo")</f>
        <v>Photo</v>
      </c>
      <c r="AG1230">
        <v>47.719451999999997</v>
      </c>
      <c r="AH1230">
        <v>-122.357882</v>
      </c>
      <c r="AI1230" t="s">
        <v>66</v>
      </c>
      <c r="AJ1230">
        <v>98177</v>
      </c>
      <c r="BC1230" s="22">
        <v>39472.433530092596</v>
      </c>
      <c r="BI1230" s="22">
        <v>39549.294907407406</v>
      </c>
      <c r="BL1230">
        <v>8900</v>
      </c>
      <c r="BM1230">
        <v>1428753</v>
      </c>
      <c r="BN1230" t="s">
        <v>1725</v>
      </c>
      <c r="BO1230" s="17">
        <f t="shared" ca="1" si="19"/>
        <v>76.875875925921719</v>
      </c>
      <c r="BP1230" t="b">
        <v>0</v>
      </c>
      <c r="BQ1230">
        <v>1</v>
      </c>
      <c r="BR1230" t="s">
        <v>1667</v>
      </c>
      <c r="BS1230" t="s">
        <v>1822</v>
      </c>
      <c r="BT1230" t="b">
        <v>0</v>
      </c>
      <c r="BV1230" t="s">
        <v>1668</v>
      </c>
      <c r="BW1230">
        <v>12258</v>
      </c>
      <c r="BX1230" t="s">
        <v>1669</v>
      </c>
      <c r="BY1230">
        <v>96594</v>
      </c>
      <c r="BZ1230" t="s">
        <v>1747</v>
      </c>
      <c r="CA1230">
        <v>1</v>
      </c>
      <c r="CB1230" t="b">
        <v>1</v>
      </c>
      <c r="CC1230">
        <v>0</v>
      </c>
      <c r="CD1230" t="b">
        <v>0</v>
      </c>
      <c r="CE1230" t="b">
        <v>0</v>
      </c>
      <c r="CF1230" t="b">
        <v>1</v>
      </c>
      <c r="CG1230">
        <v>2960452</v>
      </c>
      <c r="CH1230" t="s">
        <v>1681</v>
      </c>
      <c r="CI1230" s="10">
        <v>445000</v>
      </c>
    </row>
    <row r="1231" spans="1:89">
      <c r="A1231">
        <v>28015208</v>
      </c>
      <c r="B1231" s="2" t="str">
        <f>HYPERLINK("http://www.redfin.com/stingray/do/printable-listing?listing-id=1426911","Active")</f>
        <v>Active</v>
      </c>
      <c r="D1231" t="s">
        <v>3959</v>
      </c>
      <c r="E1231" t="s">
        <v>4145</v>
      </c>
      <c r="F1231">
        <v>454950</v>
      </c>
      <c r="G1231">
        <v>2007</v>
      </c>
      <c r="H1231">
        <v>1500</v>
      </c>
      <c r="I1231">
        <v>0</v>
      </c>
      <c r="J1231">
        <v>3</v>
      </c>
      <c r="K1231">
        <v>2.5</v>
      </c>
      <c r="M1231" s="2" t="str">
        <f>HYPERLINK("http://maps.live.com/default.aspx?v=2&amp;lvl=15&amp;sp=Point.47.603095_-122.309103_165 18th Ave&amp;cp=47.603095~-122.309103","Map")</f>
        <v>Map</v>
      </c>
      <c r="N1231" s="2" t="str">
        <f>HYPERLINK("http://i-0.rfimg.us/photo/1/bigphoto/208/28015208_0.jpg","Photo")</f>
        <v>Photo</v>
      </c>
      <c r="AG1231">
        <v>47.603095000000003</v>
      </c>
      <c r="AH1231">
        <v>-122.30910299999999</v>
      </c>
      <c r="AI1231" t="s">
        <v>66</v>
      </c>
      <c r="AJ1231">
        <v>98122</v>
      </c>
      <c r="BC1231" s="22">
        <v>39471.695833333331</v>
      </c>
      <c r="BI1231" s="7">
        <v>39539</v>
      </c>
      <c r="BL1231">
        <v>9099</v>
      </c>
      <c r="BM1231">
        <v>1426911</v>
      </c>
      <c r="BN1231" t="s">
        <v>1725</v>
      </c>
      <c r="BO1231" s="17">
        <f t="shared" ca="1" si="19"/>
        <v>77.61357256944757</v>
      </c>
      <c r="BP1231" t="b">
        <v>0</v>
      </c>
      <c r="BQ1231">
        <v>1</v>
      </c>
      <c r="BR1231" t="s">
        <v>1667</v>
      </c>
      <c r="BS1231" t="s">
        <v>1909</v>
      </c>
      <c r="BT1231" t="b">
        <v>0</v>
      </c>
      <c r="BV1231" t="s">
        <v>1668</v>
      </c>
      <c r="BW1231">
        <v>165</v>
      </c>
      <c r="BY1231">
        <v>11920416</v>
      </c>
      <c r="BZ1231" t="s">
        <v>1672</v>
      </c>
      <c r="CA1231">
        <v>1</v>
      </c>
      <c r="CB1231" t="b">
        <v>1</v>
      </c>
      <c r="CC1231">
        <v>0</v>
      </c>
      <c r="CD1231" t="b">
        <v>0</v>
      </c>
      <c r="CE1231" t="b">
        <v>0</v>
      </c>
      <c r="CF1231" t="b">
        <v>1</v>
      </c>
      <c r="CG1231">
        <v>15174641</v>
      </c>
      <c r="CH1231" t="s">
        <v>1681</v>
      </c>
      <c r="CI1231" s="10">
        <v>454950</v>
      </c>
    </row>
    <row r="1232" spans="1:89">
      <c r="A1232">
        <v>28015235</v>
      </c>
      <c r="B1232" s="2" t="str">
        <f>HYPERLINK("http://www.redfin.com/stingray/do/printable-listing?listing-id=1426930","Active")</f>
        <v>Active</v>
      </c>
      <c r="D1232" t="s">
        <v>5181</v>
      </c>
      <c r="E1232" t="s">
        <v>5180</v>
      </c>
      <c r="F1232">
        <v>675000</v>
      </c>
      <c r="G1232">
        <v>1980</v>
      </c>
      <c r="H1232">
        <v>3000</v>
      </c>
      <c r="I1232">
        <v>8740</v>
      </c>
      <c r="J1232">
        <v>4</v>
      </c>
      <c r="K1232">
        <v>2.5</v>
      </c>
      <c r="M1232" s="2" t="str">
        <f>HYPERLINK("http://maps.live.com/default.aspx?v=2&amp;lvl=15&amp;sp=Point.47.592634_-122.156944_13630 SE 20th St&amp;cp=47.592634~-122.156944","Map")</f>
        <v>Map</v>
      </c>
      <c r="N1232" s="2" t="str">
        <f>HYPERLINK("http://i-0.rfimg.us/photo/1/bigphoto/235/28015235_1.jpg","Photo")</f>
        <v>Photo</v>
      </c>
      <c r="AG1232">
        <v>47.592633999999997</v>
      </c>
      <c r="AH1232">
        <v>-122.156944</v>
      </c>
      <c r="AI1232" t="s">
        <v>369</v>
      </c>
      <c r="AJ1232">
        <v>98005</v>
      </c>
      <c r="BC1232" s="22">
        <v>39471.701701388891</v>
      </c>
      <c r="BI1232" s="22">
        <v>39549.294907407406</v>
      </c>
      <c r="BL1232">
        <v>13500</v>
      </c>
      <c r="BM1232">
        <v>1426930</v>
      </c>
      <c r="BN1232" t="s">
        <v>5179</v>
      </c>
      <c r="BO1232" s="17">
        <f t="shared" ca="1" si="19"/>
        <v>77.607704513888166</v>
      </c>
      <c r="BP1232" t="b">
        <v>0</v>
      </c>
      <c r="BQ1232">
        <v>1</v>
      </c>
      <c r="BR1232" t="s">
        <v>1686</v>
      </c>
      <c r="BS1232" t="s">
        <v>1844</v>
      </c>
      <c r="BT1232" t="b">
        <v>0</v>
      </c>
      <c r="BU1232" t="s">
        <v>3856</v>
      </c>
      <c r="BV1232" t="s">
        <v>1668</v>
      </c>
      <c r="BW1232">
        <v>13630</v>
      </c>
      <c r="BY1232">
        <v>509563</v>
      </c>
      <c r="BZ1232" t="s">
        <v>3795</v>
      </c>
      <c r="CA1232">
        <v>1</v>
      </c>
      <c r="CB1232" t="b">
        <v>1</v>
      </c>
      <c r="CC1232">
        <v>0</v>
      </c>
      <c r="CD1232" t="b">
        <v>0</v>
      </c>
      <c r="CE1232" t="b">
        <v>0</v>
      </c>
      <c r="CF1232" t="b">
        <v>1</v>
      </c>
      <c r="CG1232">
        <v>2414234</v>
      </c>
      <c r="CH1232" t="s">
        <v>1681</v>
      </c>
      <c r="CI1232" s="10">
        <v>675000</v>
      </c>
    </row>
    <row r="1233" spans="1:88">
      <c r="A1233">
        <v>28015341</v>
      </c>
      <c r="B1233" s="2" t="str">
        <f>HYPERLINK("http://www.redfin.com/stingray/do/printable-listing?listing-id=1427568","Active")</f>
        <v>Active</v>
      </c>
      <c r="D1233" t="s">
        <v>4542</v>
      </c>
      <c r="E1233" t="s">
        <v>4840</v>
      </c>
      <c r="F1233">
        <v>689000</v>
      </c>
      <c r="G1233">
        <v>1968</v>
      </c>
      <c r="H1233">
        <v>2400</v>
      </c>
      <c r="I1233">
        <v>11738</v>
      </c>
      <c r="J1233">
        <v>3</v>
      </c>
      <c r="K1233">
        <v>2.5</v>
      </c>
      <c r="M1233" s="2" t="str">
        <f>HYPERLINK("http://maps.live.com/default.aspx?v=2&amp;lvl=15&amp;sp=Point.47.688161_-122.202578_1526 3rd Pl&amp;cp=47.688161~-122.202578","Map")</f>
        <v>Map</v>
      </c>
      <c r="N1233" s="2" t="str">
        <f>HYPERLINK("http://i-0.rfimg.us/photo/1/bigphoto/341/28015341_0.jpg","Photo")</f>
        <v>Photo</v>
      </c>
      <c r="AG1233">
        <v>47.688161000000001</v>
      </c>
      <c r="AH1233">
        <v>-122.202578</v>
      </c>
      <c r="AI1233" t="s">
        <v>1058</v>
      </c>
      <c r="AJ1233">
        <v>98033</v>
      </c>
      <c r="AN1233">
        <v>295000</v>
      </c>
      <c r="BC1233" s="22">
        <v>39471.881099537037</v>
      </c>
      <c r="BI1233" s="22">
        <v>39549.294907407406</v>
      </c>
      <c r="BL1233">
        <v>13780</v>
      </c>
      <c r="BM1233">
        <v>1427568</v>
      </c>
      <c r="BN1233" t="s">
        <v>2372</v>
      </c>
      <c r="BO1233" s="17">
        <f t="shared" ca="1" si="19"/>
        <v>77.428306365742174</v>
      </c>
      <c r="BP1233" t="b">
        <v>0</v>
      </c>
      <c r="BQ1233">
        <v>1</v>
      </c>
      <c r="BR1233" t="s">
        <v>1842</v>
      </c>
      <c r="BS1233" t="s">
        <v>1796</v>
      </c>
      <c r="BT1233" t="b">
        <v>0</v>
      </c>
      <c r="BV1233" t="s">
        <v>1668</v>
      </c>
      <c r="BW1233">
        <v>1526</v>
      </c>
      <c r="BY1233">
        <v>463744</v>
      </c>
      <c r="BZ1233" t="s">
        <v>1701</v>
      </c>
      <c r="CA1233">
        <v>1</v>
      </c>
      <c r="CB1233" t="b">
        <v>1</v>
      </c>
      <c r="CC1233">
        <v>0</v>
      </c>
      <c r="CD1233" t="b">
        <v>0</v>
      </c>
      <c r="CE1233" t="b">
        <v>0</v>
      </c>
      <c r="CF1233" t="b">
        <v>1</v>
      </c>
      <c r="CG1233">
        <v>2507657</v>
      </c>
      <c r="CH1233" t="s">
        <v>1681</v>
      </c>
      <c r="CI1233" s="10">
        <v>689000</v>
      </c>
      <c r="CJ1233" s="7">
        <v>37144</v>
      </c>
    </row>
    <row r="1234" spans="1:88">
      <c r="A1234">
        <v>28015372</v>
      </c>
      <c r="B1234" s="2" t="str">
        <f>HYPERLINK("http://www.redfin.com/stingray/do/printable-listing?listing-id=1427701","Active")</f>
        <v>Active</v>
      </c>
      <c r="D1234" t="s">
        <v>4542</v>
      </c>
      <c r="E1234" t="s">
        <v>4541</v>
      </c>
      <c r="F1234">
        <v>999950</v>
      </c>
      <c r="G1234">
        <v>2007</v>
      </c>
      <c r="H1234">
        <v>3457</v>
      </c>
      <c r="I1234">
        <v>9000</v>
      </c>
      <c r="J1234">
        <v>4</v>
      </c>
      <c r="K1234">
        <v>2.5</v>
      </c>
      <c r="M1234" s="2" t="str">
        <f>HYPERLINK("http://maps.live.com/default.aspx?v=2&amp;lvl=15&amp;sp=Point.47.694662_-122.209572_2082 Market St&amp;cp=47.694662~-122.209572","Map")</f>
        <v>Map</v>
      </c>
      <c r="N1234" s="2" t="str">
        <f>HYPERLINK("http://i-0.rfimg.us/photo/1/bigphoto/372/28015372_0.jpg","Photo")</f>
        <v>Photo</v>
      </c>
      <c r="AG1234">
        <v>47.694662000000001</v>
      </c>
      <c r="AH1234">
        <v>-122.20957199999999</v>
      </c>
      <c r="AI1234" t="s">
        <v>1058</v>
      </c>
      <c r="AJ1234">
        <v>98033</v>
      </c>
      <c r="AN1234">
        <v>350000</v>
      </c>
      <c r="BC1234" s="22">
        <v>39471.983993055554</v>
      </c>
      <c r="BI1234" s="22">
        <v>39549.294907407406</v>
      </c>
      <c r="BL1234">
        <v>19999</v>
      </c>
      <c r="BM1234">
        <v>1427701</v>
      </c>
      <c r="BN1234" t="s">
        <v>2136</v>
      </c>
      <c r="BO1234" s="17">
        <f t="shared" ca="1" si="19"/>
        <v>77.32541284722538</v>
      </c>
      <c r="BP1234" t="b">
        <v>0</v>
      </c>
      <c r="BQ1234">
        <v>1</v>
      </c>
      <c r="BR1234" t="s">
        <v>1686</v>
      </c>
      <c r="BS1234" t="s">
        <v>2555</v>
      </c>
      <c r="BT1234" t="b">
        <v>0</v>
      </c>
      <c r="BV1234" t="s">
        <v>1668</v>
      </c>
      <c r="BW1234">
        <v>2082</v>
      </c>
      <c r="BY1234">
        <v>462871</v>
      </c>
      <c r="BZ1234" t="s">
        <v>1672</v>
      </c>
      <c r="CA1234">
        <v>1</v>
      </c>
      <c r="CB1234" t="b">
        <v>1</v>
      </c>
      <c r="CC1234">
        <v>0</v>
      </c>
      <c r="CD1234" t="b">
        <v>0</v>
      </c>
      <c r="CE1234" t="b">
        <v>0</v>
      </c>
      <c r="CF1234" t="b">
        <v>1</v>
      </c>
      <c r="CG1234">
        <v>2621931</v>
      </c>
      <c r="CH1234" t="s">
        <v>1681</v>
      </c>
      <c r="CI1234" s="10">
        <v>999950</v>
      </c>
      <c r="CJ1234" s="7">
        <v>38489</v>
      </c>
    </row>
    <row r="1235" spans="1:88">
      <c r="A1235">
        <v>28015380</v>
      </c>
      <c r="B1235" s="2" t="str">
        <f>HYPERLINK("http://www.redfin.com/stingray/do/printable-listing?listing-id=1427852","Active")</f>
        <v>Active</v>
      </c>
      <c r="D1235" t="s">
        <v>6050</v>
      </c>
      <c r="E1235" t="s">
        <v>6159</v>
      </c>
      <c r="F1235">
        <v>699900</v>
      </c>
      <c r="G1235">
        <v>1992</v>
      </c>
      <c r="H1235">
        <v>2380</v>
      </c>
      <c r="I1235">
        <v>37941</v>
      </c>
      <c r="J1235">
        <v>3</v>
      </c>
      <c r="K1235">
        <v>2.5</v>
      </c>
      <c r="M1235" s="2" t="str">
        <f>HYPERLINK("http://maps.live.com/default.aspx?v=2&amp;lvl=15&amp;sp=Point.47.515125_-122.163492_4140 NE 25th Pl&amp;cp=47.515125~-122.163492","Map")</f>
        <v>Map</v>
      </c>
      <c r="N1235" s="2" t="str">
        <f>HYPERLINK("http://i-0.rfimg.us/photo/1/bigphoto/380/28015380_0.jpg","Photo")</f>
        <v>Photo</v>
      </c>
      <c r="AG1235">
        <v>47.515124999999998</v>
      </c>
      <c r="AH1235">
        <v>-122.16349200000001</v>
      </c>
      <c r="AI1235" t="s">
        <v>1077</v>
      </c>
      <c r="AJ1235">
        <v>98059</v>
      </c>
      <c r="AN1235">
        <v>431025</v>
      </c>
      <c r="BC1235" s="22">
        <v>39472.108749999999</v>
      </c>
      <c r="BI1235" s="22">
        <v>39549.294907407406</v>
      </c>
      <c r="BL1235">
        <v>13998</v>
      </c>
      <c r="BM1235">
        <v>1427852</v>
      </c>
      <c r="BN1235" t="s">
        <v>1737</v>
      </c>
      <c r="BO1235" s="17">
        <f t="shared" ca="1" si="19"/>
        <v>77.200655902779545</v>
      </c>
      <c r="BP1235" t="b">
        <v>0</v>
      </c>
      <c r="BQ1235">
        <v>1</v>
      </c>
      <c r="BR1235" t="s">
        <v>1842</v>
      </c>
      <c r="BS1235" t="s">
        <v>1819</v>
      </c>
      <c r="BT1235" t="b">
        <v>0</v>
      </c>
      <c r="BU1235" t="s">
        <v>1738</v>
      </c>
      <c r="BV1235" t="s">
        <v>1668</v>
      </c>
      <c r="BW1235">
        <v>4140</v>
      </c>
      <c r="BY1235">
        <v>410361</v>
      </c>
      <c r="BZ1235" s="21">
        <v>0</v>
      </c>
      <c r="CA1235">
        <v>1</v>
      </c>
      <c r="CB1235" t="b">
        <v>1</v>
      </c>
      <c r="CC1235">
        <v>0</v>
      </c>
      <c r="CD1235" t="b">
        <v>0</v>
      </c>
      <c r="CE1235" t="b">
        <v>0</v>
      </c>
      <c r="CF1235" t="b">
        <v>1</v>
      </c>
      <c r="CG1235">
        <v>2346112</v>
      </c>
      <c r="CH1235" t="s">
        <v>1681</v>
      </c>
      <c r="CI1235" s="10">
        <v>699900</v>
      </c>
      <c r="CJ1235" s="7">
        <v>38310</v>
      </c>
    </row>
    <row r="1236" spans="1:88">
      <c r="A1236">
        <v>28015398</v>
      </c>
      <c r="B1236" s="2" t="str">
        <f>HYPERLINK("http://www.redfin.com/stingray/do/printable-listing?listing-id=1442250","Active")</f>
        <v>Active</v>
      </c>
      <c r="D1236" t="s">
        <v>5565</v>
      </c>
      <c r="E1236" t="s">
        <v>5816</v>
      </c>
      <c r="F1236" s="19">
        <v>625000</v>
      </c>
      <c r="G1236">
        <v>1974</v>
      </c>
      <c r="H1236">
        <v>2400</v>
      </c>
      <c r="I1236">
        <v>7250</v>
      </c>
      <c r="J1236">
        <v>4</v>
      </c>
      <c r="K1236">
        <v>2.5</v>
      </c>
      <c r="M1236" s="2" t="str">
        <f>HYPERLINK("http://maps.live.com/default.aspx?v=2&amp;lvl=15&amp;sp=Point.47.560438_-122.17624_12203 SE 47th Pl&amp;cp=47.560438~-122.17624","Map")</f>
        <v>Map</v>
      </c>
      <c r="N1236" s="2" t="str">
        <f>HYPERLINK("http://i-0.rfimg.us/photo/1/bigphoto/398/28015398_1.jpg","Photo")</f>
        <v>Photo</v>
      </c>
      <c r="AG1236">
        <v>47.560437999999998</v>
      </c>
      <c r="AH1236">
        <v>-122.17624000000001</v>
      </c>
      <c r="AI1236" t="s">
        <v>369</v>
      </c>
      <c r="AJ1236">
        <v>98006</v>
      </c>
      <c r="AN1236">
        <v>288000</v>
      </c>
      <c r="BC1236" s="22">
        <v>39478.296249999999</v>
      </c>
      <c r="BI1236" s="22">
        <v>39549.294907407406</v>
      </c>
      <c r="BL1236">
        <v>12750</v>
      </c>
      <c r="BM1236">
        <v>1442250</v>
      </c>
      <c r="BN1236" t="s">
        <v>1768</v>
      </c>
      <c r="BO1236" s="17">
        <f t="shared" ca="1" si="19"/>
        <v>71.013155902779545</v>
      </c>
      <c r="BP1236" t="b">
        <v>0</v>
      </c>
      <c r="BQ1236">
        <v>1</v>
      </c>
      <c r="BR1236" t="s">
        <v>1842</v>
      </c>
      <c r="BS1236" t="s">
        <v>2453</v>
      </c>
      <c r="BT1236" t="b">
        <v>0</v>
      </c>
      <c r="BU1236" t="s">
        <v>3856</v>
      </c>
      <c r="BV1236" t="s">
        <v>1668</v>
      </c>
      <c r="BW1236">
        <v>12203</v>
      </c>
      <c r="BY1236">
        <v>414920</v>
      </c>
      <c r="BZ1236" t="s">
        <v>5817</v>
      </c>
      <c r="CA1236">
        <v>1</v>
      </c>
      <c r="CB1236" t="b">
        <v>1</v>
      </c>
      <c r="CC1236">
        <v>0</v>
      </c>
      <c r="CD1236" t="b">
        <v>0</v>
      </c>
      <c r="CE1236" t="b">
        <v>0</v>
      </c>
      <c r="CF1236" t="b">
        <v>1</v>
      </c>
      <c r="CG1236">
        <v>2789541</v>
      </c>
      <c r="CH1236" t="s">
        <v>1681</v>
      </c>
      <c r="CI1236" s="10">
        <v>637500</v>
      </c>
      <c r="CJ1236" s="7">
        <v>36123</v>
      </c>
    </row>
    <row r="1237" spans="1:88">
      <c r="A1237">
        <v>28015400</v>
      </c>
      <c r="B1237" s="2" t="str">
        <f>HYPERLINK("http://www.redfin.com/stingray/do/printable-listing?listing-id=1428752","Active")</f>
        <v>Active</v>
      </c>
      <c r="D1237" t="s">
        <v>4710</v>
      </c>
      <c r="E1237" t="s">
        <v>4824</v>
      </c>
      <c r="F1237">
        <v>899999</v>
      </c>
      <c r="G1237">
        <v>2004</v>
      </c>
      <c r="H1237">
        <v>1978</v>
      </c>
      <c r="I1237">
        <v>3660</v>
      </c>
      <c r="J1237">
        <v>3</v>
      </c>
      <c r="K1237">
        <v>2.5</v>
      </c>
      <c r="M1237" s="2" t="str">
        <f>HYPERLINK("http://maps.live.com/default.aspx?v=2&amp;lvl=15&amp;sp=Point.47.673589_-122.199992_216 4th St S&amp;cp=47.673589~-122.199992","Map")</f>
        <v>Map</v>
      </c>
      <c r="N1237" s="2" t="str">
        <f>HYPERLINK("http://i-0.rfimg.us/photo/1/bigphoto/400/28015400_3.jpg","Photo")</f>
        <v>Photo</v>
      </c>
      <c r="AG1237">
        <v>47.673589</v>
      </c>
      <c r="AH1237">
        <v>-122.19999199999999</v>
      </c>
      <c r="AI1237" t="s">
        <v>1058</v>
      </c>
      <c r="AJ1237">
        <v>98033</v>
      </c>
      <c r="AN1237">
        <v>720000</v>
      </c>
      <c r="BC1237" s="22">
        <v>39472.433506944442</v>
      </c>
      <c r="BI1237" s="22">
        <v>39549.294907407406</v>
      </c>
      <c r="BL1237">
        <v>18000</v>
      </c>
      <c r="BM1237">
        <v>1428752</v>
      </c>
      <c r="BN1237" t="s">
        <v>1768</v>
      </c>
      <c r="BO1237" s="17">
        <f t="shared" ca="1" si="19"/>
        <v>76.87589895833662</v>
      </c>
      <c r="BP1237" t="b">
        <v>0</v>
      </c>
      <c r="BQ1237">
        <v>1</v>
      </c>
      <c r="BR1237" t="s">
        <v>1686</v>
      </c>
      <c r="BS1237" t="s">
        <v>1724</v>
      </c>
      <c r="BT1237" t="b">
        <v>0</v>
      </c>
      <c r="BV1237" t="s">
        <v>1668</v>
      </c>
      <c r="BW1237">
        <v>216</v>
      </c>
      <c r="BX1237" t="s">
        <v>1881</v>
      </c>
      <c r="BY1237">
        <v>461212</v>
      </c>
      <c r="BZ1237" t="s">
        <v>4825</v>
      </c>
      <c r="CA1237">
        <v>1</v>
      </c>
      <c r="CB1237" t="b">
        <v>1</v>
      </c>
      <c r="CC1237">
        <v>0</v>
      </c>
      <c r="CD1237" t="b">
        <v>0</v>
      </c>
      <c r="CE1237" t="b">
        <v>0</v>
      </c>
      <c r="CF1237" t="b">
        <v>1</v>
      </c>
      <c r="CG1237">
        <v>2455451</v>
      </c>
      <c r="CH1237" t="s">
        <v>1681</v>
      </c>
      <c r="CI1237" s="10">
        <v>899999</v>
      </c>
      <c r="CJ1237" s="7">
        <v>38191</v>
      </c>
    </row>
    <row r="1238" spans="1:88">
      <c r="A1238">
        <v>28015414</v>
      </c>
      <c r="B1238" s="2" t="str">
        <f>HYPERLINK("http://www.redfin.com/stingray/do/printable-listing?listing-id=1428689","Active")</f>
        <v>Active</v>
      </c>
      <c r="D1238" t="s">
        <v>5139</v>
      </c>
      <c r="E1238" t="s">
        <v>5347</v>
      </c>
      <c r="F1238" s="19">
        <v>1150000</v>
      </c>
      <c r="G1238">
        <v>1956</v>
      </c>
      <c r="H1238">
        <v>2500</v>
      </c>
      <c r="I1238">
        <v>10400</v>
      </c>
      <c r="J1238">
        <v>4</v>
      </c>
      <c r="K1238">
        <v>2.5</v>
      </c>
      <c r="M1238" s="2" t="str">
        <f>HYPERLINK("http://maps.live.com/default.aspx?v=2&amp;lvl=15&amp;sp=Point.47.57423_-122.210299_9729 SE 40th St&amp;cp=47.57423~-122.210299","Map")</f>
        <v>Map</v>
      </c>
      <c r="N1238" s="2" t="str">
        <f>HYPERLINK("http://i-0.rfimg.us/photo/1/bigphoto/414/28015414_2.jpg","Photo")</f>
        <v>Photo</v>
      </c>
      <c r="AG1238">
        <v>47.57423</v>
      </c>
      <c r="AH1238">
        <v>-122.21029900000001</v>
      </c>
      <c r="AI1238" t="s">
        <v>5139</v>
      </c>
      <c r="AJ1238">
        <v>98040</v>
      </c>
      <c r="AN1238">
        <v>393000</v>
      </c>
      <c r="BC1238" s="22">
        <v>39472.411307870374</v>
      </c>
      <c r="BI1238" s="22">
        <v>39549.294907407406</v>
      </c>
      <c r="BL1238">
        <v>24960</v>
      </c>
      <c r="BM1238">
        <v>1428689</v>
      </c>
      <c r="BN1238" t="s">
        <v>1678</v>
      </c>
      <c r="BO1238" s="17">
        <f t="shared" ca="1" si="19"/>
        <v>76.89809803240496</v>
      </c>
      <c r="BP1238" t="b">
        <v>0</v>
      </c>
      <c r="BQ1238">
        <v>1</v>
      </c>
      <c r="BR1238" t="s">
        <v>1686</v>
      </c>
      <c r="BS1238" t="s">
        <v>2832</v>
      </c>
      <c r="BT1238" t="b">
        <v>0</v>
      </c>
      <c r="BU1238" t="s">
        <v>3856</v>
      </c>
      <c r="BV1238" t="s">
        <v>1668</v>
      </c>
      <c r="BW1238">
        <v>9729</v>
      </c>
      <c r="BY1238">
        <v>254589</v>
      </c>
      <c r="BZ1238" t="s">
        <v>2340</v>
      </c>
      <c r="CA1238">
        <v>1</v>
      </c>
      <c r="CB1238" t="b">
        <v>1</v>
      </c>
      <c r="CC1238">
        <v>0</v>
      </c>
      <c r="CD1238" t="b">
        <v>0</v>
      </c>
      <c r="CE1238" t="b">
        <v>0</v>
      </c>
      <c r="CF1238" t="b">
        <v>1</v>
      </c>
      <c r="CG1238">
        <v>2894332</v>
      </c>
      <c r="CH1238" t="s">
        <v>1681</v>
      </c>
      <c r="CI1238" s="10">
        <v>1248000</v>
      </c>
      <c r="CJ1238" s="7">
        <v>36739</v>
      </c>
    </row>
    <row r="1239" spans="1:88">
      <c r="A1239">
        <v>28015462</v>
      </c>
      <c r="B1239" s="2" t="str">
        <f>HYPERLINK("http://www.redfin.com/stingray/do/printable-listing?listing-id=1428710","Active")</f>
        <v>Active</v>
      </c>
      <c r="D1239" t="s">
        <v>202</v>
      </c>
      <c r="E1239" t="s">
        <v>2955</v>
      </c>
      <c r="F1239">
        <v>806950</v>
      </c>
      <c r="G1239">
        <v>2008</v>
      </c>
      <c r="H1239">
        <v>3127</v>
      </c>
      <c r="I1239">
        <v>7494</v>
      </c>
      <c r="J1239">
        <v>5</v>
      </c>
      <c r="K1239">
        <v>3.5</v>
      </c>
      <c r="M1239" s="2" t="str">
        <f>HYPERLINK("http://maps.live.com/default.aspx?v=2&amp;lvl=15&amp;sp=Point.47.70789_-122.308303_10741 19th Ave NE&amp;cp=47.70789~-122.308303","Map")</f>
        <v>Map</v>
      </c>
      <c r="N1239" s="2" t="str">
        <f>HYPERLINK("http://i-0.rfimg.us/photo/1/bigphoto/462/28015462_2.jpg","Photo")</f>
        <v>Photo</v>
      </c>
      <c r="AG1239">
        <v>47.707889999999999</v>
      </c>
      <c r="AH1239">
        <v>-122.308303</v>
      </c>
      <c r="AI1239" t="s">
        <v>66</v>
      </c>
      <c r="AJ1239">
        <v>98125</v>
      </c>
      <c r="BC1239" s="22">
        <v>39472.421967592592</v>
      </c>
      <c r="BI1239" s="22">
        <v>39549.294907407406</v>
      </c>
      <c r="BL1239">
        <v>16139</v>
      </c>
      <c r="BM1239">
        <v>1428710</v>
      </c>
      <c r="BN1239" t="s">
        <v>1725</v>
      </c>
      <c r="BO1239" s="17">
        <f t="shared" ca="1" si="19"/>
        <v>76.887438310186553</v>
      </c>
      <c r="BP1239" t="b">
        <v>0</v>
      </c>
      <c r="BQ1239">
        <v>1</v>
      </c>
      <c r="BR1239" t="s">
        <v>1667</v>
      </c>
      <c r="BS1239" t="s">
        <v>1906</v>
      </c>
      <c r="BT1239" t="b">
        <v>0</v>
      </c>
      <c r="BV1239" t="s">
        <v>1668</v>
      </c>
      <c r="BW1239">
        <v>10741</v>
      </c>
      <c r="BX1239" t="s">
        <v>1738</v>
      </c>
      <c r="BY1239">
        <v>8188222</v>
      </c>
      <c r="BZ1239" t="s">
        <v>2956</v>
      </c>
      <c r="CA1239">
        <v>1</v>
      </c>
      <c r="CB1239" t="b">
        <v>1</v>
      </c>
      <c r="CC1239">
        <v>0</v>
      </c>
      <c r="CD1239" t="b">
        <v>0</v>
      </c>
      <c r="CE1239" t="b">
        <v>0</v>
      </c>
      <c r="CF1239" t="b">
        <v>1</v>
      </c>
      <c r="CG1239">
        <v>2785825</v>
      </c>
      <c r="CH1239" t="s">
        <v>1681</v>
      </c>
      <c r="CI1239" s="10">
        <v>806950</v>
      </c>
    </row>
    <row r="1240" spans="1:88">
      <c r="A1240">
        <v>28015603</v>
      </c>
      <c r="B1240" s="2" t="str">
        <f>HYPERLINK("http://www.redfin.com/stingray/do/printable-listing?listing-id=1437643","Active")</f>
        <v>Active</v>
      </c>
      <c r="D1240" t="s">
        <v>3885</v>
      </c>
      <c r="E1240" t="s">
        <v>5665</v>
      </c>
      <c r="F1240">
        <v>549950</v>
      </c>
      <c r="G1240">
        <v>1984</v>
      </c>
      <c r="H1240">
        <v>2300</v>
      </c>
      <c r="I1240">
        <v>12730</v>
      </c>
      <c r="J1240">
        <v>4</v>
      </c>
      <c r="K1240">
        <v>3</v>
      </c>
      <c r="M1240" s="2" t="str">
        <f>HYPERLINK("http://maps.live.com/default.aspx?v=2&amp;lvl=15&amp;sp=Point.47.533727_-122.160016_7702 134th Ave SE&amp;cp=47.533727~-122.160016","Map")</f>
        <v>Map</v>
      </c>
      <c r="N1240" s="2" t="str">
        <f>HYPERLINK("http://i-0.rfimg.us/photo/1/bigphoto/603/28015603_2.jpg","Photo")</f>
        <v>Photo</v>
      </c>
      <c r="AG1240">
        <v>47.533726999999999</v>
      </c>
      <c r="AH1240">
        <v>-122.160016</v>
      </c>
      <c r="AI1240" t="s">
        <v>3885</v>
      </c>
      <c r="AJ1240">
        <v>98059</v>
      </c>
      <c r="AN1240">
        <v>298000</v>
      </c>
      <c r="BC1240" s="22">
        <v>39476.602314814816</v>
      </c>
      <c r="BI1240" s="22">
        <v>39549.294907407406</v>
      </c>
      <c r="BL1240">
        <v>10999</v>
      </c>
      <c r="BM1240">
        <v>1437643</v>
      </c>
      <c r="BN1240" t="s">
        <v>3236</v>
      </c>
      <c r="BO1240" s="17">
        <f t="shared" ca="1" si="19"/>
        <v>72.707091087962908</v>
      </c>
      <c r="BP1240" t="b">
        <v>0</v>
      </c>
      <c r="BQ1240">
        <v>1</v>
      </c>
      <c r="BR1240" t="s">
        <v>1667</v>
      </c>
      <c r="BS1240" t="s">
        <v>2855</v>
      </c>
      <c r="BT1240" t="b">
        <v>0</v>
      </c>
      <c r="BV1240" t="s">
        <v>1668</v>
      </c>
      <c r="BW1240">
        <v>7702</v>
      </c>
      <c r="BX1240" t="s">
        <v>3856</v>
      </c>
      <c r="BY1240">
        <v>414588</v>
      </c>
      <c r="BZ1240" t="s">
        <v>5666</v>
      </c>
      <c r="CA1240">
        <v>1</v>
      </c>
      <c r="CB1240" t="b">
        <v>1</v>
      </c>
      <c r="CC1240">
        <v>0</v>
      </c>
      <c r="CD1240" t="b">
        <v>0</v>
      </c>
      <c r="CE1240" t="b">
        <v>0</v>
      </c>
      <c r="CF1240" t="b">
        <v>1</v>
      </c>
      <c r="CG1240">
        <v>2890220</v>
      </c>
      <c r="CH1240" t="s">
        <v>1681</v>
      </c>
      <c r="CI1240" s="10">
        <v>549950</v>
      </c>
      <c r="CJ1240" s="7">
        <v>36671</v>
      </c>
    </row>
    <row r="1241" spans="1:88">
      <c r="A1241">
        <v>28015605</v>
      </c>
      <c r="B1241" s="2" t="str">
        <f>HYPERLINK("http://www.redfin.com/stingray/do/printable-listing?listing-id=1429076","Active")</f>
        <v>Active</v>
      </c>
      <c r="D1241" t="s">
        <v>3064</v>
      </c>
      <c r="E1241" t="s">
        <v>3865</v>
      </c>
      <c r="F1241">
        <v>569950</v>
      </c>
      <c r="G1241">
        <v>2008</v>
      </c>
      <c r="H1241">
        <v>2765</v>
      </c>
      <c r="I1241">
        <v>5302</v>
      </c>
      <c r="J1241">
        <v>4</v>
      </c>
      <c r="K1241">
        <v>2.5</v>
      </c>
      <c r="M1241" s="2" t="str">
        <f>HYPERLINK("http://maps.live.com/default.aspx?v=2&amp;lvl=15&amp;sp=adr.16043 SE 137th Ter (Unable to map),98059","Map")</f>
        <v>Map</v>
      </c>
      <c r="N1241" s="2" t="str">
        <f>HYPERLINK("http://i-0.rfimg.us/photo/1/bigphoto/605/28015605_1.jpg","Photo")</f>
        <v>Photo</v>
      </c>
      <c r="AI1241" t="s">
        <v>1077</v>
      </c>
      <c r="AJ1241">
        <v>98059</v>
      </c>
      <c r="BC1241" s="22">
        <v>39472.496828703705</v>
      </c>
      <c r="BI1241" s="22">
        <v>39549.294907407406</v>
      </c>
      <c r="BL1241">
        <v>11399</v>
      </c>
      <c r="BM1241">
        <v>1429076</v>
      </c>
      <c r="BN1241" t="s">
        <v>1688</v>
      </c>
      <c r="BO1241" s="17">
        <f t="shared" ca="1" si="19"/>
        <v>76.81257719907444</v>
      </c>
      <c r="BP1241" t="b">
        <v>0</v>
      </c>
      <c r="BQ1241">
        <v>1</v>
      </c>
      <c r="BR1241" t="s">
        <v>2852</v>
      </c>
      <c r="BS1241" t="s">
        <v>3855</v>
      </c>
      <c r="BT1241" t="b">
        <v>0</v>
      </c>
      <c r="BU1241" t="s">
        <v>3856</v>
      </c>
      <c r="BV1241" t="s">
        <v>1668</v>
      </c>
      <c r="BW1241">
        <v>16043</v>
      </c>
      <c r="BY1241">
        <v>0</v>
      </c>
      <c r="BZ1241" t="s">
        <v>3861</v>
      </c>
      <c r="CA1241">
        <v>1</v>
      </c>
      <c r="CB1241" t="b">
        <v>1</v>
      </c>
      <c r="CC1241">
        <v>0</v>
      </c>
      <c r="CD1241" t="b">
        <v>0</v>
      </c>
      <c r="CE1241" t="b">
        <v>0</v>
      </c>
      <c r="CF1241" t="b">
        <v>1</v>
      </c>
      <c r="CG1241" t="s">
        <v>1870</v>
      </c>
      <c r="CH1241" t="s">
        <v>1681</v>
      </c>
      <c r="CI1241" s="10">
        <v>569950</v>
      </c>
    </row>
    <row r="1242" spans="1:88">
      <c r="A1242">
        <v>28015612</v>
      </c>
      <c r="B1242" s="2" t="str">
        <f>HYPERLINK("http://www.redfin.com/stingray/do/printable-listing?listing-id=1429109","Active")</f>
        <v>Active</v>
      </c>
      <c r="D1242" t="s">
        <v>2552</v>
      </c>
      <c r="E1242" t="s">
        <v>3451</v>
      </c>
      <c r="F1242">
        <v>949000</v>
      </c>
      <c r="G1242">
        <v>1929</v>
      </c>
      <c r="H1242">
        <v>2440</v>
      </c>
      <c r="I1242">
        <v>5741</v>
      </c>
      <c r="J1242">
        <v>3</v>
      </c>
      <c r="K1242">
        <v>2.5</v>
      </c>
      <c r="M1242" s="2" t="str">
        <f>HYPERLINK("http://maps.live.com/default.aspx?v=2&amp;lvl=15&amp;sp=Point.47.649718_-122.390491_3232 Whalley Pl W&amp;cp=47.649718~-122.390491","Map")</f>
        <v>Map</v>
      </c>
      <c r="N1242" s="2" t="str">
        <f>HYPERLINK("http://i-0.rfimg.us/photo/1/bigphoto/612/28015612_0.jpg","Photo")</f>
        <v>Photo</v>
      </c>
      <c r="AG1242">
        <v>47.649718</v>
      </c>
      <c r="AH1242">
        <v>-122.390491</v>
      </c>
      <c r="AI1242" t="s">
        <v>66</v>
      </c>
      <c r="AJ1242">
        <v>98199</v>
      </c>
      <c r="AN1242">
        <v>419000</v>
      </c>
      <c r="BC1242" s="22">
        <v>39472.508055555554</v>
      </c>
      <c r="BI1242" s="22">
        <v>39549.294907407406</v>
      </c>
      <c r="BL1242">
        <v>18980</v>
      </c>
      <c r="BM1242">
        <v>1429109</v>
      </c>
      <c r="BN1242" t="s">
        <v>1678</v>
      </c>
      <c r="BO1242" s="17">
        <f t="shared" ca="1" si="19"/>
        <v>76.801350347224798</v>
      </c>
      <c r="BP1242" t="b">
        <v>0</v>
      </c>
      <c r="BQ1242">
        <v>1</v>
      </c>
      <c r="BR1242" t="s">
        <v>1842</v>
      </c>
      <c r="BS1242" t="s">
        <v>3452</v>
      </c>
      <c r="BT1242" t="b">
        <v>0</v>
      </c>
      <c r="BV1242" t="s">
        <v>1668</v>
      </c>
      <c r="BW1242">
        <v>3232</v>
      </c>
      <c r="BX1242" t="s">
        <v>2423</v>
      </c>
      <c r="BY1242">
        <v>124153</v>
      </c>
      <c r="BZ1242" t="s">
        <v>1672</v>
      </c>
      <c r="CA1242">
        <v>1</v>
      </c>
      <c r="CB1242" t="b">
        <v>1</v>
      </c>
      <c r="CC1242">
        <v>0</v>
      </c>
      <c r="CD1242" t="b">
        <v>0</v>
      </c>
      <c r="CE1242" t="b">
        <v>0</v>
      </c>
      <c r="CF1242" t="b">
        <v>1</v>
      </c>
      <c r="CG1242">
        <v>2490718</v>
      </c>
      <c r="CH1242" t="s">
        <v>1681</v>
      </c>
      <c r="CI1242" s="10">
        <v>949000</v>
      </c>
      <c r="CJ1242" s="7">
        <v>35495</v>
      </c>
    </row>
    <row r="1243" spans="1:88">
      <c r="A1243">
        <v>28015635</v>
      </c>
      <c r="B1243" s="2" t="str">
        <f>HYPERLINK("http://www.redfin.com/stingray/do/printable-listing?listing-id=1434287","Active")</f>
        <v>Active</v>
      </c>
      <c r="D1243" t="s">
        <v>63</v>
      </c>
      <c r="E1243" t="s">
        <v>826</v>
      </c>
      <c r="F1243">
        <v>450000</v>
      </c>
      <c r="G1243">
        <v>1939</v>
      </c>
      <c r="H1243">
        <v>2480</v>
      </c>
      <c r="I1243">
        <v>4000</v>
      </c>
      <c r="J1243">
        <v>4</v>
      </c>
      <c r="K1243">
        <v>1.75</v>
      </c>
      <c r="M1243" s="2" t="str">
        <f>HYPERLINK("http://maps.live.com/default.aspx?v=2&amp;lvl=15&amp;sp=Point.47.66839_-122.367368_825 NW Market St&amp;cp=47.66839~-122.367368","Map")</f>
        <v>Map</v>
      </c>
      <c r="N1243" s="2" t="str">
        <f>HYPERLINK("http://i-0.rfimg.us/photo/1/bigphoto/635/28015635_0.jpg","Photo")</f>
        <v>Photo</v>
      </c>
      <c r="AG1243">
        <v>47.668390000000002</v>
      </c>
      <c r="AH1243">
        <v>-122.367368</v>
      </c>
      <c r="AI1243" t="s">
        <v>66</v>
      </c>
      <c r="AJ1243">
        <v>98107</v>
      </c>
      <c r="AN1243">
        <v>126950</v>
      </c>
      <c r="BC1243" s="22">
        <v>39475.442627314813</v>
      </c>
      <c r="BI1243" s="22">
        <v>39549.294907407406</v>
      </c>
      <c r="BL1243">
        <v>9000</v>
      </c>
      <c r="BM1243">
        <v>1434287</v>
      </c>
      <c r="BN1243" t="s">
        <v>1725</v>
      </c>
      <c r="BO1243" s="17">
        <f t="shared" ca="1" si="19"/>
        <v>73.866778703704767</v>
      </c>
      <c r="BP1243" t="b">
        <v>0</v>
      </c>
      <c r="BQ1243">
        <v>1</v>
      </c>
      <c r="BR1243" t="s">
        <v>1686</v>
      </c>
      <c r="BS1243" t="s">
        <v>2555</v>
      </c>
      <c r="BT1243" t="b">
        <v>0</v>
      </c>
      <c r="BU1243" t="s">
        <v>1669</v>
      </c>
      <c r="BV1243" t="s">
        <v>1668</v>
      </c>
      <c r="BW1243">
        <v>825</v>
      </c>
      <c r="BY1243">
        <v>302375</v>
      </c>
      <c r="BZ1243" t="s">
        <v>1745</v>
      </c>
      <c r="CA1243">
        <v>1</v>
      </c>
      <c r="CB1243" t="b">
        <v>1</v>
      </c>
      <c r="CC1243">
        <v>0</v>
      </c>
      <c r="CD1243" t="b">
        <v>0</v>
      </c>
      <c r="CE1243" t="b">
        <v>0</v>
      </c>
      <c r="CF1243" t="b">
        <v>1</v>
      </c>
      <c r="CG1243">
        <v>2375985</v>
      </c>
      <c r="CH1243" t="s">
        <v>1681</v>
      </c>
      <c r="CI1243" s="10">
        <v>450000</v>
      </c>
      <c r="CJ1243" s="7">
        <v>34115</v>
      </c>
    </row>
    <row r="1244" spans="1:88">
      <c r="A1244">
        <v>28015747</v>
      </c>
      <c r="B1244" s="2" t="str">
        <f>HYPERLINK("http://www.redfin.com/stingray/do/printable-listing?listing-id=1429587","Active")</f>
        <v>Active</v>
      </c>
      <c r="D1244" t="s">
        <v>2850</v>
      </c>
      <c r="E1244" t="s">
        <v>4381</v>
      </c>
      <c r="F1244">
        <v>849000</v>
      </c>
      <c r="G1244">
        <v>1966</v>
      </c>
      <c r="H1244">
        <v>3160</v>
      </c>
      <c r="I1244">
        <v>10328</v>
      </c>
      <c r="J1244">
        <v>3</v>
      </c>
      <c r="K1244">
        <v>2.75</v>
      </c>
      <c r="M1244" s="2" t="str">
        <f>HYPERLINK("http://maps.live.com/default.aspx?v=2&amp;lvl=15&amp;sp=Point.47.700682_-122.205726_10135 NE 112th Pl&amp;cp=47.700682~-122.205726","Map")</f>
        <v>Map</v>
      </c>
      <c r="N1244" s="2" t="str">
        <f>HYPERLINK("http://i-0.rfimg.us/photo/1/bigphoto/747/28015747_0.jpg","Photo")</f>
        <v>Photo</v>
      </c>
      <c r="AG1244">
        <v>47.700682</v>
      </c>
      <c r="AH1244">
        <v>-122.205726</v>
      </c>
      <c r="AI1244" t="s">
        <v>1058</v>
      </c>
      <c r="AJ1244">
        <v>98033</v>
      </c>
      <c r="AN1244">
        <v>633512</v>
      </c>
      <c r="BC1244" s="22">
        <v>39472.610567129632</v>
      </c>
      <c r="BI1244" s="22">
        <v>39549.294907407406</v>
      </c>
      <c r="BL1244">
        <v>16980</v>
      </c>
      <c r="BM1244">
        <v>1429587</v>
      </c>
      <c r="BN1244" t="s">
        <v>1737</v>
      </c>
      <c r="BO1244" s="17">
        <f t="shared" ca="1" si="19"/>
        <v>76.698838773147145</v>
      </c>
      <c r="BP1244" t="b">
        <v>0</v>
      </c>
      <c r="BQ1244">
        <v>1</v>
      </c>
      <c r="BR1244" t="s">
        <v>1842</v>
      </c>
      <c r="BS1244" t="s">
        <v>4382</v>
      </c>
      <c r="BT1244" t="b">
        <v>0</v>
      </c>
      <c r="BU1244" t="s">
        <v>1738</v>
      </c>
      <c r="BV1244" t="s">
        <v>1668</v>
      </c>
      <c r="BW1244">
        <v>10135</v>
      </c>
      <c r="BY1244">
        <v>462544</v>
      </c>
      <c r="BZ1244" t="s">
        <v>4384</v>
      </c>
      <c r="CA1244">
        <v>1</v>
      </c>
      <c r="CB1244" t="b">
        <v>1</v>
      </c>
      <c r="CC1244">
        <v>0</v>
      </c>
      <c r="CD1244" t="b">
        <v>0</v>
      </c>
      <c r="CE1244" t="b">
        <v>0</v>
      </c>
      <c r="CF1244" t="b">
        <v>1</v>
      </c>
      <c r="CG1244">
        <v>2460718</v>
      </c>
      <c r="CH1244" t="s">
        <v>1681</v>
      </c>
      <c r="CI1244" s="10">
        <v>849000</v>
      </c>
      <c r="CJ1244" s="7">
        <v>39276</v>
      </c>
    </row>
    <row r="1245" spans="1:88">
      <c r="A1245">
        <v>28015774</v>
      </c>
      <c r="B1245" s="2" t="str">
        <f>HYPERLINK("http://www.redfin.com/stingray/do/printable-listing?listing-id=1429704","Active")</f>
        <v>Active</v>
      </c>
      <c r="D1245" t="s">
        <v>66</v>
      </c>
      <c r="E1245" t="s">
        <v>4272</v>
      </c>
      <c r="F1245">
        <v>650000</v>
      </c>
      <c r="G1245">
        <v>1907</v>
      </c>
      <c r="H1245">
        <v>1850</v>
      </c>
      <c r="I1245">
        <v>0</v>
      </c>
      <c r="J1245">
        <v>3</v>
      </c>
      <c r="K1245">
        <v>2.5</v>
      </c>
      <c r="M1245" s="2" t="str">
        <f>HYPERLINK("http://maps.live.com/default.aspx?v=2&amp;lvl=15&amp;sp=Point.47.609329_-122.295159_809 29th Ave&amp;cp=47.609329~-122.295159","Map")</f>
        <v>Map</v>
      </c>
      <c r="N1245" s="2" t="str">
        <f>HYPERLINK("http://i-0.rfimg.us/photo/1/bigphoto/774/28015774_0.jpg","Photo")</f>
        <v>Photo</v>
      </c>
      <c r="AG1245">
        <v>47.609329000000002</v>
      </c>
      <c r="AH1245">
        <v>-122.295159</v>
      </c>
      <c r="AI1245" t="s">
        <v>66</v>
      </c>
      <c r="AJ1245">
        <v>98122</v>
      </c>
      <c r="BC1245" s="22">
        <v>39472.631747685184</v>
      </c>
      <c r="BI1245" s="22">
        <v>39549.294907407406</v>
      </c>
      <c r="BL1245">
        <v>13000</v>
      </c>
      <c r="BM1245">
        <v>1429704</v>
      </c>
      <c r="BN1245" t="s">
        <v>4271</v>
      </c>
      <c r="BO1245" s="17">
        <f t="shared" ca="1" si="19"/>
        <v>76.677658217595308</v>
      </c>
      <c r="BP1245" t="b">
        <v>0</v>
      </c>
      <c r="BQ1245">
        <v>1</v>
      </c>
      <c r="BR1245" t="s">
        <v>1667</v>
      </c>
      <c r="BS1245" t="s">
        <v>1772</v>
      </c>
      <c r="BT1245" t="b">
        <v>0</v>
      </c>
      <c r="BV1245" t="s">
        <v>1668</v>
      </c>
      <c r="BW1245">
        <v>809</v>
      </c>
      <c r="BY1245">
        <v>146612</v>
      </c>
      <c r="BZ1245" s="21">
        <v>0</v>
      </c>
      <c r="CA1245">
        <v>1</v>
      </c>
      <c r="CB1245" t="b">
        <v>1</v>
      </c>
      <c r="CC1245">
        <v>0</v>
      </c>
      <c r="CD1245" t="b">
        <v>0</v>
      </c>
      <c r="CE1245" t="b">
        <v>0</v>
      </c>
      <c r="CF1245" t="b">
        <v>1</v>
      </c>
      <c r="CG1245">
        <v>2622567</v>
      </c>
      <c r="CH1245" t="s">
        <v>1681</v>
      </c>
      <c r="CI1245" s="10">
        <v>650000</v>
      </c>
    </row>
    <row r="1246" spans="1:88">
      <c r="A1246">
        <v>28015794</v>
      </c>
      <c r="B1246" s="2" t="str">
        <f>HYPERLINK("http://www.redfin.com/stingray/do/printable-listing?listing-id=1437806","Active")</f>
        <v>Active</v>
      </c>
      <c r="D1246" t="s">
        <v>5705</v>
      </c>
      <c r="E1246" t="s">
        <v>5787</v>
      </c>
      <c r="F1246">
        <v>868000</v>
      </c>
      <c r="G1246">
        <v>1975</v>
      </c>
      <c r="H1246">
        <v>1980</v>
      </c>
      <c r="I1246">
        <v>11466</v>
      </c>
      <c r="J1246">
        <v>4</v>
      </c>
      <c r="K1246">
        <v>2.25</v>
      </c>
      <c r="M1246" s="2" t="str">
        <f>HYPERLINK("http://maps.live.com/default.aspx?v=2&amp;lvl=15&amp;sp=Point.47.544442_-122.232907_6521 80 Ave SE&amp;cp=47.544442~-122.232907","Map")</f>
        <v>Map</v>
      </c>
      <c r="N1246" s="2" t="str">
        <f>HYPERLINK("http://i-0.rfimg.us/photo/1/bigphoto/794/28015794_2.jpg","Photo")</f>
        <v>Photo</v>
      </c>
      <c r="AG1246">
        <v>47.544441999999997</v>
      </c>
      <c r="AH1246">
        <v>-122.232907</v>
      </c>
      <c r="AI1246" t="s">
        <v>5139</v>
      </c>
      <c r="AJ1246">
        <v>98040</v>
      </c>
      <c r="BC1246" s="22">
        <v>39476.648935185185</v>
      </c>
      <c r="BI1246" s="22">
        <v>39549.294907407406</v>
      </c>
      <c r="BL1246">
        <v>17360</v>
      </c>
      <c r="BM1246">
        <v>1437806</v>
      </c>
      <c r="BN1246" t="s">
        <v>4563</v>
      </c>
      <c r="BO1246" s="17">
        <f t="shared" ca="1" si="19"/>
        <v>72.660470717593853</v>
      </c>
      <c r="BP1246" t="b">
        <v>0</v>
      </c>
      <c r="BQ1246">
        <v>1</v>
      </c>
      <c r="BR1246" t="s">
        <v>1667</v>
      </c>
      <c r="BS1246">
        <v>80</v>
      </c>
      <c r="BT1246" t="b">
        <v>0</v>
      </c>
      <c r="BV1246" t="s">
        <v>1668</v>
      </c>
      <c r="BW1246">
        <v>6521</v>
      </c>
      <c r="BX1246" t="s">
        <v>3856</v>
      </c>
      <c r="BY1246">
        <v>260440</v>
      </c>
      <c r="BZ1246" t="s">
        <v>1730</v>
      </c>
      <c r="CA1246">
        <v>1</v>
      </c>
      <c r="CB1246" t="b">
        <v>1</v>
      </c>
      <c r="CC1246">
        <v>0</v>
      </c>
      <c r="CD1246" t="b">
        <v>0</v>
      </c>
      <c r="CE1246" t="b">
        <v>0</v>
      </c>
      <c r="CF1246" t="b">
        <v>1</v>
      </c>
      <c r="CG1246">
        <v>2974237</v>
      </c>
      <c r="CH1246" t="s">
        <v>1681</v>
      </c>
      <c r="CI1246" s="10">
        <v>868000</v>
      </c>
    </row>
    <row r="1247" spans="1:88">
      <c r="A1247">
        <v>28015809</v>
      </c>
      <c r="B1247" s="2" t="str">
        <f>HYPERLINK("http://www.redfin.com/stingray/do/printable-listing?listing-id=1429710","Active")</f>
        <v>Active</v>
      </c>
      <c r="D1247" t="s">
        <v>3064</v>
      </c>
      <c r="E1247" t="s">
        <v>3860</v>
      </c>
      <c r="F1247">
        <v>529950</v>
      </c>
      <c r="G1247">
        <v>2008</v>
      </c>
      <c r="H1247">
        <v>2415</v>
      </c>
      <c r="I1247">
        <v>5310</v>
      </c>
      <c r="J1247">
        <v>4</v>
      </c>
      <c r="K1247">
        <v>2.5</v>
      </c>
      <c r="M1247" s="2" t="str">
        <f>HYPERLINK("http://maps.live.com/default.aspx?v=2&amp;lvl=15&amp;sp=adr.16031 SE 137th Ter (Unable to map),98059","Map")</f>
        <v>Map</v>
      </c>
      <c r="N1247" s="2" t="str">
        <f>HYPERLINK("http://i-0.rfimg.us/photo/1/bigphoto/809/28015809_1.jpg","Photo")</f>
        <v>Photo</v>
      </c>
      <c r="AI1247" t="s">
        <v>1077</v>
      </c>
      <c r="AJ1247">
        <v>98059</v>
      </c>
      <c r="BC1247" s="22">
        <v>39472.636643518519</v>
      </c>
      <c r="BI1247" s="22">
        <v>39549.294907407406</v>
      </c>
      <c r="BL1247">
        <v>10599</v>
      </c>
      <c r="BM1247">
        <v>1429710</v>
      </c>
      <c r="BN1247" t="s">
        <v>1688</v>
      </c>
      <c r="BO1247" s="17">
        <f t="shared" ca="1" si="19"/>
        <v>76.67276238425984</v>
      </c>
      <c r="BP1247" t="b">
        <v>0</v>
      </c>
      <c r="BQ1247">
        <v>1</v>
      </c>
      <c r="BR1247" t="s">
        <v>2852</v>
      </c>
      <c r="BS1247" t="s">
        <v>3855</v>
      </c>
      <c r="BT1247" t="b">
        <v>0</v>
      </c>
      <c r="BU1247" t="s">
        <v>3856</v>
      </c>
      <c r="BV1247" t="s">
        <v>1668</v>
      </c>
      <c r="BW1247">
        <v>16031</v>
      </c>
      <c r="BY1247">
        <v>0</v>
      </c>
      <c r="BZ1247" t="s">
        <v>3861</v>
      </c>
      <c r="CA1247">
        <v>1</v>
      </c>
      <c r="CB1247" t="b">
        <v>1</v>
      </c>
      <c r="CC1247">
        <v>0</v>
      </c>
      <c r="CD1247" t="b">
        <v>0</v>
      </c>
      <c r="CE1247" t="b">
        <v>0</v>
      </c>
      <c r="CF1247" t="b">
        <v>1</v>
      </c>
      <c r="CG1247" t="s">
        <v>1870</v>
      </c>
      <c r="CH1247" t="s">
        <v>1681</v>
      </c>
      <c r="CI1247" s="10">
        <v>529950</v>
      </c>
    </row>
    <row r="1248" spans="1:88">
      <c r="A1248">
        <v>28015816</v>
      </c>
      <c r="B1248" s="2" t="str">
        <f>HYPERLINK("http://www.redfin.com/stingray/do/printable-listing?listing-id=1431874","Active")</f>
        <v>Active</v>
      </c>
      <c r="D1248" t="s">
        <v>1129</v>
      </c>
      <c r="E1248" t="s">
        <v>3014</v>
      </c>
      <c r="F1248">
        <v>2600000</v>
      </c>
      <c r="G1248">
        <v>1980</v>
      </c>
      <c r="H1248">
        <v>0</v>
      </c>
      <c r="I1248">
        <v>13021</v>
      </c>
      <c r="J1248">
        <v>7</v>
      </c>
      <c r="K1248">
        <v>5</v>
      </c>
      <c r="M1248" s="2" t="str">
        <f>HYPERLINK("http://maps.live.com/default.aspx?v=2&amp;lvl=15&amp;sp=Point.47.692634_-122.270175_8730 Sand Point Way NE&amp;cp=47.692634~-122.270175","Map")</f>
        <v>Map</v>
      </c>
      <c r="N1248" s="2" t="str">
        <f>HYPERLINK("http://i-0.rfimg.us/photo/1/bigphoto/816/28015816_2.jpg","Photo")</f>
        <v>Photo</v>
      </c>
      <c r="AG1248">
        <v>47.692633999999998</v>
      </c>
      <c r="AH1248">
        <v>-122.27017499999999</v>
      </c>
      <c r="AI1248" t="s">
        <v>66</v>
      </c>
      <c r="AJ1248">
        <v>98115</v>
      </c>
      <c r="BC1248" s="22">
        <v>39473.411087962966</v>
      </c>
      <c r="BI1248" s="22">
        <v>39549.294907407406</v>
      </c>
      <c r="BL1248">
        <v>52000</v>
      </c>
      <c r="BM1248">
        <v>1431874</v>
      </c>
      <c r="BN1248" t="s">
        <v>1710</v>
      </c>
      <c r="BO1248" s="17">
        <f t="shared" ca="1" si="19"/>
        <v>75.898317939812841</v>
      </c>
      <c r="BP1248" t="b">
        <v>0</v>
      </c>
      <c r="BQ1248">
        <v>1</v>
      </c>
      <c r="BR1248" t="s">
        <v>2463</v>
      </c>
      <c r="BS1248" t="s">
        <v>1129</v>
      </c>
      <c r="BT1248" t="b">
        <v>0</v>
      </c>
      <c r="BV1248" t="s">
        <v>1668</v>
      </c>
      <c r="BW1248">
        <v>8730</v>
      </c>
      <c r="BX1248" t="s">
        <v>1738</v>
      </c>
      <c r="BY1248">
        <v>319377</v>
      </c>
      <c r="BZ1248" t="s">
        <v>3015</v>
      </c>
      <c r="CA1248">
        <v>1</v>
      </c>
      <c r="CB1248" t="b">
        <v>1</v>
      </c>
      <c r="CC1248">
        <v>0</v>
      </c>
      <c r="CD1248" t="b">
        <v>0</v>
      </c>
      <c r="CE1248" t="b">
        <v>0</v>
      </c>
      <c r="CF1248" t="b">
        <v>1</v>
      </c>
      <c r="CG1248">
        <v>2466863</v>
      </c>
      <c r="CH1248" t="s">
        <v>1681</v>
      </c>
      <c r="CI1248" s="10">
        <v>2600000</v>
      </c>
    </row>
    <row r="1249" spans="1:88">
      <c r="A1249">
        <v>28015826</v>
      </c>
      <c r="B1249" s="2" t="str">
        <f>HYPERLINK("http://www.redfin.com/stingray/do/printable-listing?listing-id=1430010","Active")</f>
        <v>Active</v>
      </c>
      <c r="D1249" t="s">
        <v>3885</v>
      </c>
      <c r="E1249" t="s">
        <v>3890</v>
      </c>
      <c r="F1249">
        <v>825950</v>
      </c>
      <c r="G1249">
        <v>2008</v>
      </c>
      <c r="H1249">
        <v>3718</v>
      </c>
      <c r="I1249">
        <v>0</v>
      </c>
      <c r="J1249">
        <v>5</v>
      </c>
      <c r="K1249">
        <v>3.5</v>
      </c>
      <c r="M1249" s="2" t="str">
        <f>HYPERLINK("http://maps.live.com/default.aspx?v=2&amp;lvl=15&amp;sp=adr.13724 SE 90th Pl (Unable to map),98059","Map")</f>
        <v>Map</v>
      </c>
      <c r="N1249" s="2" t="str">
        <f>HYPERLINK("http://i-0.rfimg.us/photo/1/bigphoto/826/28015826_0.jpg","Photo")</f>
        <v>Photo</v>
      </c>
      <c r="AI1249" t="s">
        <v>3885</v>
      </c>
      <c r="AJ1249">
        <v>98059</v>
      </c>
      <c r="BC1249" s="22">
        <v>39472.674699074072</v>
      </c>
      <c r="BI1249" s="22">
        <v>39547.913935185185</v>
      </c>
      <c r="BL1249">
        <v>16519</v>
      </c>
      <c r="BM1249">
        <v>1430010</v>
      </c>
      <c r="BN1249" t="s">
        <v>3883</v>
      </c>
      <c r="BO1249" s="17">
        <f t="shared" ca="1" si="19"/>
        <v>76.63470682870684</v>
      </c>
      <c r="BP1249" t="b">
        <v>0</v>
      </c>
      <c r="BQ1249">
        <v>1</v>
      </c>
      <c r="BR1249" t="s">
        <v>1842</v>
      </c>
      <c r="BS1249" t="s">
        <v>1761</v>
      </c>
      <c r="BT1249" t="b">
        <v>0</v>
      </c>
      <c r="BU1249" t="s">
        <v>3856</v>
      </c>
      <c r="BV1249" t="s">
        <v>1668</v>
      </c>
      <c r="BW1249">
        <v>13724</v>
      </c>
      <c r="BY1249">
        <v>0</v>
      </c>
      <c r="BZ1249" s="21">
        <v>0</v>
      </c>
      <c r="CA1249">
        <v>1</v>
      </c>
      <c r="CB1249" t="b">
        <v>1</v>
      </c>
      <c r="CC1249">
        <v>0</v>
      </c>
      <c r="CD1249" t="b">
        <v>0</v>
      </c>
      <c r="CE1249" t="b">
        <v>0</v>
      </c>
      <c r="CF1249" t="b">
        <v>1</v>
      </c>
      <c r="CG1249" t="s">
        <v>1870</v>
      </c>
      <c r="CH1249" t="s">
        <v>1681</v>
      </c>
      <c r="CI1249" s="10">
        <v>825950</v>
      </c>
    </row>
    <row r="1250" spans="1:88">
      <c r="A1250">
        <v>28015848</v>
      </c>
      <c r="B1250" s="2" t="str">
        <f>HYPERLINK("http://www.redfin.com/stingray/do/printable-listing?listing-id=1430043","Active")</f>
        <v>Active</v>
      </c>
      <c r="D1250" t="s">
        <v>5139</v>
      </c>
      <c r="E1250" t="s">
        <v>5713</v>
      </c>
      <c r="F1250">
        <v>899000</v>
      </c>
      <c r="G1250">
        <v>1956</v>
      </c>
      <c r="H1250">
        <v>2580</v>
      </c>
      <c r="I1250">
        <v>16988</v>
      </c>
      <c r="J1250">
        <v>4</v>
      </c>
      <c r="K1250">
        <v>2.75</v>
      </c>
      <c r="M1250" s="2" t="str">
        <f>HYPERLINK("http://maps.live.com/default.aspx?v=2&amp;lvl=15&amp;sp=Point.47.548167_-122.220262_8833 SE 61st St&amp;cp=47.548167~-122.220262","Map")</f>
        <v>Map</v>
      </c>
      <c r="N1250" s="2" t="str">
        <f>HYPERLINK("http://i-0.rfimg.us/photo/1/bigphoto/848/28015848_0.jpg","Photo")</f>
        <v>Photo</v>
      </c>
      <c r="AG1250">
        <v>47.548166999999999</v>
      </c>
      <c r="AH1250">
        <v>-122.22026200000001</v>
      </c>
      <c r="AI1250" t="s">
        <v>5139</v>
      </c>
      <c r="AJ1250">
        <v>98040</v>
      </c>
      <c r="AN1250">
        <v>835000</v>
      </c>
      <c r="BC1250" s="22">
        <v>39472.68204861111</v>
      </c>
      <c r="BI1250" s="22">
        <v>39549.294907407406</v>
      </c>
      <c r="BL1250">
        <v>17980</v>
      </c>
      <c r="BM1250">
        <v>1430043</v>
      </c>
      <c r="BN1250" t="s">
        <v>1688</v>
      </c>
      <c r="BO1250" s="17">
        <f t="shared" ca="1" si="19"/>
        <v>76.627357291668886</v>
      </c>
      <c r="BP1250" t="b">
        <v>0</v>
      </c>
      <c r="BQ1250">
        <v>1</v>
      </c>
      <c r="BR1250" t="s">
        <v>1686</v>
      </c>
      <c r="BS1250" t="s">
        <v>2431</v>
      </c>
      <c r="BT1250" t="b">
        <v>0</v>
      </c>
      <c r="BU1250" t="s">
        <v>3856</v>
      </c>
      <c r="BV1250" t="s">
        <v>1668</v>
      </c>
      <c r="BW1250">
        <v>8833</v>
      </c>
      <c r="BY1250">
        <v>255537</v>
      </c>
      <c r="BZ1250" s="21">
        <v>0</v>
      </c>
      <c r="CA1250">
        <v>1</v>
      </c>
      <c r="CB1250" t="b">
        <v>1</v>
      </c>
      <c r="CC1250">
        <v>0</v>
      </c>
      <c r="CD1250" t="b">
        <v>0</v>
      </c>
      <c r="CE1250" t="b">
        <v>0</v>
      </c>
      <c r="CF1250" t="b">
        <v>1</v>
      </c>
      <c r="CG1250">
        <v>2642327</v>
      </c>
      <c r="CH1250" t="s">
        <v>1681</v>
      </c>
      <c r="CI1250" s="10">
        <v>899000</v>
      </c>
      <c r="CJ1250" s="7">
        <v>38715</v>
      </c>
    </row>
    <row r="1251" spans="1:88">
      <c r="A1251">
        <v>28015859</v>
      </c>
      <c r="B1251" s="2" t="str">
        <f>HYPERLINK("http://www.redfin.com/stingray/do/printable-listing?listing-id=1430044","Active")</f>
        <v>Active</v>
      </c>
      <c r="D1251" t="s">
        <v>3064</v>
      </c>
      <c r="E1251" t="s">
        <v>3862</v>
      </c>
      <c r="F1251">
        <v>529950</v>
      </c>
      <c r="G1251">
        <v>2008</v>
      </c>
      <c r="H1251">
        <v>2410</v>
      </c>
      <c r="I1251">
        <v>7255</v>
      </c>
      <c r="J1251">
        <v>4</v>
      </c>
      <c r="K1251">
        <v>2.5</v>
      </c>
      <c r="M1251" s="2" t="str">
        <f>HYPERLINK("http://maps.live.com/default.aspx?v=2&amp;lvl=15&amp;sp=adr.16019 SE 137th Ter (Unable to map),98059","Map")</f>
        <v>Map</v>
      </c>
      <c r="N1251" s="2" t="str">
        <f>HYPERLINK("http://i-0.rfimg.us/photo/1/bigphoto/859/28015859_1.jpg","Photo")</f>
        <v>Photo</v>
      </c>
      <c r="AI1251" t="s">
        <v>1077</v>
      </c>
      <c r="AJ1251">
        <v>98059</v>
      </c>
      <c r="BC1251" s="22">
        <v>39472.68209490741</v>
      </c>
      <c r="BI1251" s="22">
        <v>39549.294907407406</v>
      </c>
      <c r="BL1251">
        <v>10599</v>
      </c>
      <c r="BM1251">
        <v>1430044</v>
      </c>
      <c r="BN1251" t="s">
        <v>1688</v>
      </c>
      <c r="BO1251" s="17">
        <f t="shared" ca="1" si="19"/>
        <v>76.627310995369044</v>
      </c>
      <c r="BP1251" t="b">
        <v>0</v>
      </c>
      <c r="BQ1251">
        <v>1</v>
      </c>
      <c r="BR1251" t="s">
        <v>2852</v>
      </c>
      <c r="BS1251" t="s">
        <v>3855</v>
      </c>
      <c r="BT1251" t="b">
        <v>0</v>
      </c>
      <c r="BU1251" t="s">
        <v>3856</v>
      </c>
      <c r="BV1251" t="s">
        <v>1668</v>
      </c>
      <c r="BW1251">
        <v>16019</v>
      </c>
      <c r="BY1251">
        <v>0</v>
      </c>
      <c r="BZ1251" t="s">
        <v>3861</v>
      </c>
      <c r="CA1251">
        <v>1</v>
      </c>
      <c r="CB1251" t="b">
        <v>1</v>
      </c>
      <c r="CC1251">
        <v>0</v>
      </c>
      <c r="CD1251" t="b">
        <v>0</v>
      </c>
      <c r="CE1251" t="b">
        <v>0</v>
      </c>
      <c r="CF1251" t="b">
        <v>1</v>
      </c>
      <c r="CG1251" t="s">
        <v>1870</v>
      </c>
      <c r="CH1251" t="s">
        <v>1681</v>
      </c>
      <c r="CI1251" s="10">
        <v>529950</v>
      </c>
    </row>
    <row r="1252" spans="1:88">
      <c r="A1252">
        <v>28015865</v>
      </c>
      <c r="B1252" s="2" t="str">
        <f>HYPERLINK("http://www.redfin.com/stingray/do/printable-listing?listing-id=1430054","Active")</f>
        <v>Active</v>
      </c>
      <c r="D1252" t="s">
        <v>78</v>
      </c>
      <c r="E1252" t="s">
        <v>1282</v>
      </c>
      <c r="F1252" s="19">
        <v>917500</v>
      </c>
      <c r="G1252">
        <v>2008</v>
      </c>
      <c r="H1252">
        <v>3395</v>
      </c>
      <c r="I1252">
        <v>4046</v>
      </c>
      <c r="J1252">
        <v>4</v>
      </c>
      <c r="K1252">
        <v>3.5</v>
      </c>
      <c r="M1252" s="2" t="str">
        <f>HYPERLINK("http://maps.live.com/default.aspx?v=2&amp;lvl=15&amp;sp=Point.47.689712_-122.381859_8332 20th Ave NW&amp;cp=47.689712~-122.381859","Map")</f>
        <v>Map</v>
      </c>
      <c r="N1252" s="2" t="str">
        <f>HYPERLINK("http://i-0.rfimg.us/photo/1/bigphoto/865/28015865_0.jpg","Photo")</f>
        <v>Photo</v>
      </c>
      <c r="AG1252">
        <v>47.689712</v>
      </c>
      <c r="AH1252">
        <v>-122.38185900000001</v>
      </c>
      <c r="AI1252" t="s">
        <v>66</v>
      </c>
      <c r="AJ1252">
        <v>98117</v>
      </c>
      <c r="BC1252" s="22">
        <v>39472.682280092595</v>
      </c>
      <c r="BI1252" s="22">
        <v>39547.913935185185</v>
      </c>
      <c r="BL1252">
        <v>18979</v>
      </c>
      <c r="BM1252">
        <v>1430054</v>
      </c>
      <c r="BN1252" t="s">
        <v>1720</v>
      </c>
      <c r="BO1252" s="17">
        <f t="shared" ca="1" si="19"/>
        <v>76.627125925922883</v>
      </c>
      <c r="BP1252" t="b">
        <v>0</v>
      </c>
      <c r="BQ1252">
        <v>1</v>
      </c>
      <c r="BR1252" t="s">
        <v>1667</v>
      </c>
      <c r="BS1252" t="s">
        <v>1844</v>
      </c>
      <c r="BT1252" t="b">
        <v>0</v>
      </c>
      <c r="BV1252" t="s">
        <v>1668</v>
      </c>
      <c r="BW1252">
        <v>8332</v>
      </c>
      <c r="BX1252" t="s">
        <v>1669</v>
      </c>
      <c r="BY1252">
        <v>12369158</v>
      </c>
      <c r="BZ1252" t="s">
        <v>1672</v>
      </c>
      <c r="CA1252">
        <v>1</v>
      </c>
      <c r="CB1252" t="b">
        <v>1</v>
      </c>
      <c r="CC1252">
        <v>0</v>
      </c>
      <c r="CD1252" t="b">
        <v>0</v>
      </c>
      <c r="CE1252" t="b">
        <v>0</v>
      </c>
      <c r="CF1252" t="b">
        <v>0</v>
      </c>
      <c r="CG1252">
        <v>15572906</v>
      </c>
      <c r="CH1252" t="s">
        <v>1681</v>
      </c>
      <c r="CI1252" s="10">
        <v>948950</v>
      </c>
    </row>
    <row r="1253" spans="1:88">
      <c r="A1253">
        <v>28015870</v>
      </c>
      <c r="B1253" s="2" t="str">
        <f>HYPERLINK("http://www.redfin.com/stingray/do/printable-listing?listing-id=1430042","Subject To Inspection")</f>
        <v>Subject To Inspection</v>
      </c>
      <c r="D1253" t="s">
        <v>4805</v>
      </c>
      <c r="E1253" t="s">
        <v>4968</v>
      </c>
      <c r="F1253">
        <v>499950</v>
      </c>
      <c r="G1253">
        <v>1970</v>
      </c>
      <c r="H1253">
        <v>1700</v>
      </c>
      <c r="I1253">
        <v>7150</v>
      </c>
      <c r="J1253">
        <v>3</v>
      </c>
      <c r="K1253">
        <v>2.25</v>
      </c>
      <c r="M1253" s="2" t="str">
        <f>HYPERLINK("http://maps.live.com/default.aspx?v=2&amp;lvl=15&amp;sp=Point.47.664465_-122.147753_6501 144th Ave NE&amp;cp=47.664465~-122.147753","Map")</f>
        <v>Map</v>
      </c>
      <c r="N1253" s="2" t="str">
        <f>HYPERLINK("http://i-0.rfimg.us/photo/1/bigphoto/870/28015870_0.jpg","Photo")</f>
        <v>Photo</v>
      </c>
      <c r="AG1253">
        <v>47.664465</v>
      </c>
      <c r="AH1253">
        <v>-122.14775299999999</v>
      </c>
      <c r="AI1253" t="s">
        <v>4363</v>
      </c>
      <c r="AJ1253">
        <v>98052</v>
      </c>
      <c r="AN1253">
        <v>329950</v>
      </c>
      <c r="BC1253" s="22">
        <v>39472.682002314818</v>
      </c>
      <c r="BI1253" s="7">
        <v>39539</v>
      </c>
      <c r="BL1253">
        <v>9999</v>
      </c>
      <c r="BM1253">
        <v>1430042</v>
      </c>
      <c r="BN1253" t="s">
        <v>1768</v>
      </c>
      <c r="BO1253" s="17">
        <f t="shared" ca="1" si="19"/>
        <v>76.627403587961453</v>
      </c>
      <c r="BP1253" t="b">
        <v>0</v>
      </c>
      <c r="BQ1253">
        <v>2</v>
      </c>
      <c r="BR1253" t="s">
        <v>1667</v>
      </c>
      <c r="BS1253" t="s">
        <v>4969</v>
      </c>
      <c r="BT1253" t="b">
        <v>0</v>
      </c>
      <c r="BV1253" t="s">
        <v>1668</v>
      </c>
      <c r="BW1253">
        <v>6501</v>
      </c>
      <c r="BX1253" t="s">
        <v>1738</v>
      </c>
      <c r="BY1253">
        <v>515702</v>
      </c>
      <c r="BZ1253" t="s">
        <v>1741</v>
      </c>
      <c r="CA1253">
        <v>1</v>
      </c>
      <c r="CB1253" t="b">
        <v>1</v>
      </c>
      <c r="CC1253">
        <v>0</v>
      </c>
      <c r="CD1253" t="b">
        <v>0</v>
      </c>
      <c r="CE1253" t="b">
        <v>0</v>
      </c>
      <c r="CF1253" t="b">
        <v>1</v>
      </c>
      <c r="CG1253">
        <v>2352253</v>
      </c>
      <c r="CH1253" t="s">
        <v>1681</v>
      </c>
      <c r="CI1253" s="10">
        <v>499950</v>
      </c>
      <c r="CJ1253" s="7">
        <v>37860</v>
      </c>
    </row>
    <row r="1254" spans="1:88">
      <c r="A1254">
        <v>28015881</v>
      </c>
      <c r="B1254" s="2" t="str">
        <f>HYPERLINK("http://www.redfin.com/stingray/do/printable-listing?listing-id=1430052","Subject To Inspection")</f>
        <v>Subject To Inspection</v>
      </c>
      <c r="D1254" t="s">
        <v>919</v>
      </c>
      <c r="E1254" t="s">
        <v>2890</v>
      </c>
      <c r="F1254">
        <v>383900</v>
      </c>
      <c r="G1254">
        <v>2008</v>
      </c>
      <c r="H1254">
        <v>1845</v>
      </c>
      <c r="I1254">
        <v>0</v>
      </c>
      <c r="J1254">
        <v>3</v>
      </c>
      <c r="K1254">
        <v>3.5</v>
      </c>
      <c r="M1254" s="2" t="str">
        <f>HYPERLINK("http://maps.live.com/default.aspx?v=2&amp;lvl=15&amp;sp=Point.47.717384_-122.317123_1021 NE 123rd nA&amp;cp=47.717384~-122.317123","Map")</f>
        <v>Map</v>
      </c>
      <c r="N1254" s="2" t="str">
        <f>HYPERLINK("http://i-0.rfimg.us/photo/1/bigphoto/881/28015881_2.jpg","Photo")</f>
        <v>Photo</v>
      </c>
      <c r="AG1254">
        <v>47.717384000000003</v>
      </c>
      <c r="AH1254">
        <v>-122.317123</v>
      </c>
      <c r="AI1254" t="s">
        <v>66</v>
      </c>
      <c r="AJ1254">
        <v>98125</v>
      </c>
      <c r="AM1254" t="s">
        <v>1722</v>
      </c>
      <c r="BC1254" s="22">
        <v>39472.682256944441</v>
      </c>
      <c r="BI1254" s="7">
        <v>39533</v>
      </c>
      <c r="BL1254">
        <v>7678</v>
      </c>
      <c r="BM1254">
        <v>1430052</v>
      </c>
      <c r="BN1254" t="s">
        <v>1675</v>
      </c>
      <c r="BO1254" s="17">
        <f t="shared" ca="1" si="19"/>
        <v>76.627148958337784</v>
      </c>
      <c r="BP1254" t="b">
        <v>0</v>
      </c>
      <c r="BQ1254">
        <v>2</v>
      </c>
      <c r="BS1254" t="s">
        <v>2882</v>
      </c>
      <c r="BT1254" t="b">
        <v>0</v>
      </c>
      <c r="BU1254" t="s">
        <v>1738</v>
      </c>
      <c r="BV1254" t="s">
        <v>1668</v>
      </c>
      <c r="BW1254">
        <v>1021</v>
      </c>
      <c r="BY1254">
        <v>12369157</v>
      </c>
      <c r="BZ1254" t="s">
        <v>2891</v>
      </c>
      <c r="CA1254">
        <v>1</v>
      </c>
      <c r="CB1254" t="b">
        <v>1</v>
      </c>
      <c r="CC1254">
        <v>0</v>
      </c>
      <c r="CD1254" t="b">
        <v>0</v>
      </c>
      <c r="CE1254" t="b">
        <v>0</v>
      </c>
      <c r="CF1254" t="b">
        <v>1</v>
      </c>
      <c r="CG1254">
        <v>15533743</v>
      </c>
      <c r="CH1254" t="s">
        <v>1681</v>
      </c>
      <c r="CI1254" s="10">
        <v>383900</v>
      </c>
    </row>
    <row r="1255" spans="1:88">
      <c r="A1255">
        <v>28015885</v>
      </c>
      <c r="B1255" s="2" t="str">
        <f>HYPERLINK("http://www.redfin.com/stingray/do/printable-listing?listing-id=1430036","Subject To Inspection")</f>
        <v>Subject To Inspection</v>
      </c>
      <c r="D1255" t="s">
        <v>3885</v>
      </c>
      <c r="E1255" t="s">
        <v>3884</v>
      </c>
      <c r="F1255">
        <v>872950</v>
      </c>
      <c r="G1255">
        <v>2008</v>
      </c>
      <c r="H1255">
        <v>4141</v>
      </c>
      <c r="I1255">
        <v>0</v>
      </c>
      <c r="J1255">
        <v>5</v>
      </c>
      <c r="K1255">
        <v>3.5</v>
      </c>
      <c r="M1255" s="2" t="str">
        <f>HYPERLINK("http://maps.live.com/default.aspx?v=2&amp;lvl=15&amp;sp=adr.13729 SE 90th Pl (Unable to map),98059","Map")</f>
        <v>Map</v>
      </c>
      <c r="N1255" s="2" t="str">
        <f>HYPERLINK("http://i-0.rfimg.us/photo/1/bigphoto/885/28015885_0.jpg","Photo")</f>
        <v>Photo</v>
      </c>
      <c r="AI1255" t="s">
        <v>3885</v>
      </c>
      <c r="AJ1255">
        <v>98059</v>
      </c>
      <c r="BC1255" s="22">
        <v>39472.681851851848</v>
      </c>
      <c r="BI1255" s="22">
        <v>39549.294907407406</v>
      </c>
      <c r="BL1255">
        <v>17459</v>
      </c>
      <c r="BM1255">
        <v>1430036</v>
      </c>
      <c r="BN1255" t="s">
        <v>3883</v>
      </c>
      <c r="BO1255" s="17">
        <f t="shared" ca="1" si="19"/>
        <v>76.627554050930485</v>
      </c>
      <c r="BP1255" t="b">
        <v>0</v>
      </c>
      <c r="BQ1255">
        <v>2</v>
      </c>
      <c r="BR1255" t="s">
        <v>1842</v>
      </c>
      <c r="BS1255" t="s">
        <v>1761</v>
      </c>
      <c r="BT1255" t="b">
        <v>0</v>
      </c>
      <c r="BU1255" t="s">
        <v>3856</v>
      </c>
      <c r="BV1255" t="s">
        <v>1668</v>
      </c>
      <c r="BW1255">
        <v>13729</v>
      </c>
      <c r="BY1255">
        <v>0</v>
      </c>
      <c r="BZ1255" s="21">
        <v>0</v>
      </c>
      <c r="CA1255">
        <v>1</v>
      </c>
      <c r="CB1255" t="b">
        <v>1</v>
      </c>
      <c r="CC1255">
        <v>0</v>
      </c>
      <c r="CD1255" t="b">
        <v>0</v>
      </c>
      <c r="CE1255" t="b">
        <v>0</v>
      </c>
      <c r="CF1255" t="b">
        <v>1</v>
      </c>
      <c r="CG1255" t="s">
        <v>1870</v>
      </c>
      <c r="CH1255" t="s">
        <v>1681</v>
      </c>
      <c r="CI1255" s="10">
        <v>872950</v>
      </c>
    </row>
    <row r="1256" spans="1:88">
      <c r="A1256">
        <v>28015892</v>
      </c>
      <c r="B1256" s="2" t="str">
        <f>HYPERLINK("http://www.redfin.com/stingray/do/printable-listing?listing-id=1430159","Contingent")</f>
        <v>Contingent</v>
      </c>
      <c r="D1256" t="s">
        <v>919</v>
      </c>
      <c r="E1256" t="s">
        <v>2888</v>
      </c>
      <c r="F1256">
        <v>383900</v>
      </c>
      <c r="G1256">
        <v>2008</v>
      </c>
      <c r="H1256">
        <v>1845</v>
      </c>
      <c r="I1256">
        <v>0</v>
      </c>
      <c r="J1256">
        <v>3</v>
      </c>
      <c r="K1256">
        <v>3.5</v>
      </c>
      <c r="M1256" s="2" t="str">
        <f>HYPERLINK("http://maps.live.com/default.aspx?v=2&amp;lvl=15&amp;sp=Point.47.717384_-122.317123_1021 NE 123rd nC&amp;cp=47.717384~-122.317123","Map")</f>
        <v>Map</v>
      </c>
      <c r="N1256" s="2" t="str">
        <f>HYPERLINK("http://i-0.rfimg.us/photo/1/bigphoto/892/28015892_3.jpg","Photo")</f>
        <v>Photo</v>
      </c>
      <c r="AG1256">
        <v>47.717384000000003</v>
      </c>
      <c r="AH1256">
        <v>-122.317123</v>
      </c>
      <c r="AI1256" t="s">
        <v>66</v>
      </c>
      <c r="AJ1256">
        <v>98125</v>
      </c>
      <c r="AM1256" t="s">
        <v>2341</v>
      </c>
      <c r="BC1256" s="22">
        <v>39472.705648148149</v>
      </c>
      <c r="BI1256" s="22">
        <v>39549.294907407406</v>
      </c>
      <c r="BL1256">
        <v>7678</v>
      </c>
      <c r="BM1256">
        <v>1430159</v>
      </c>
      <c r="BN1256" t="s">
        <v>1675</v>
      </c>
      <c r="BO1256" s="17">
        <f t="shared" ca="1" si="19"/>
        <v>76.603757754630351</v>
      </c>
      <c r="BP1256" t="b">
        <v>0</v>
      </c>
      <c r="BQ1256">
        <v>2</v>
      </c>
      <c r="BS1256" t="s">
        <v>2882</v>
      </c>
      <c r="BT1256" t="b">
        <v>0</v>
      </c>
      <c r="BU1256" t="s">
        <v>1738</v>
      </c>
      <c r="BV1256" t="s">
        <v>1668</v>
      </c>
      <c r="BW1256">
        <v>1021</v>
      </c>
      <c r="BY1256">
        <v>12369174</v>
      </c>
      <c r="BZ1256" t="s">
        <v>2889</v>
      </c>
      <c r="CA1256">
        <v>1</v>
      </c>
      <c r="CB1256" t="b">
        <v>1</v>
      </c>
      <c r="CC1256">
        <v>0</v>
      </c>
      <c r="CD1256" t="b">
        <v>0</v>
      </c>
      <c r="CE1256" t="b">
        <v>0</v>
      </c>
      <c r="CF1256" t="b">
        <v>1</v>
      </c>
      <c r="CG1256">
        <v>15533743</v>
      </c>
      <c r="CH1256" t="s">
        <v>1681</v>
      </c>
      <c r="CI1256" s="10">
        <v>383900</v>
      </c>
    </row>
    <row r="1257" spans="1:88">
      <c r="A1257">
        <v>28015908</v>
      </c>
      <c r="B1257" s="2" t="str">
        <f>HYPERLINK("http://www.redfin.com/stingray/do/printable-listing?listing-id=1430157","Active")</f>
        <v>Active</v>
      </c>
      <c r="D1257" t="s">
        <v>4777</v>
      </c>
      <c r="E1257" t="s">
        <v>4964</v>
      </c>
      <c r="F1257">
        <v>575000</v>
      </c>
      <c r="G1257">
        <v>1984</v>
      </c>
      <c r="H1257">
        <v>1661</v>
      </c>
      <c r="I1257">
        <v>6752</v>
      </c>
      <c r="J1257">
        <v>3</v>
      </c>
      <c r="K1257">
        <v>2</v>
      </c>
      <c r="M1257" s="2" t="str">
        <f>HYPERLINK("http://maps.live.com/default.aspx?v=2&amp;lvl=15&amp;sp=Point.47.665341_-122.194226_10918 NE 66th Pl&amp;cp=47.665341~-122.194226","Map")</f>
        <v>Map</v>
      </c>
      <c r="N1257" s="2" t="str">
        <f>HYPERLINK("http://i-0.rfimg.us/photo/1/bigphoto/908/28015908_Q.jpg","Photo")</f>
        <v>Photo</v>
      </c>
      <c r="AG1257">
        <v>47.665340999999998</v>
      </c>
      <c r="AH1257">
        <v>-122.194226</v>
      </c>
      <c r="AI1257" t="s">
        <v>1058</v>
      </c>
      <c r="AJ1257">
        <v>98033</v>
      </c>
      <c r="AN1257">
        <v>632000</v>
      </c>
      <c r="BC1257" s="22">
        <v>39472.705613425926</v>
      </c>
      <c r="BI1257" s="22">
        <v>39549.294907407406</v>
      </c>
      <c r="BL1257">
        <v>11500</v>
      </c>
      <c r="BM1257">
        <v>1430157</v>
      </c>
      <c r="BN1257" t="s">
        <v>2202</v>
      </c>
      <c r="BO1257" s="17">
        <f t="shared" ca="1" si="19"/>
        <v>76.603792476853414</v>
      </c>
      <c r="BP1257" t="b">
        <v>0</v>
      </c>
      <c r="BQ1257">
        <v>1</v>
      </c>
      <c r="BR1257" t="s">
        <v>1842</v>
      </c>
      <c r="BS1257" t="s">
        <v>1915</v>
      </c>
      <c r="BT1257" t="b">
        <v>0</v>
      </c>
      <c r="BU1257" t="s">
        <v>1738</v>
      </c>
      <c r="BV1257" t="s">
        <v>1668</v>
      </c>
      <c r="BW1257">
        <v>10918</v>
      </c>
      <c r="BY1257">
        <v>460015</v>
      </c>
      <c r="BZ1257" t="s">
        <v>4965</v>
      </c>
      <c r="CA1257">
        <v>1</v>
      </c>
      <c r="CB1257" t="b">
        <v>1</v>
      </c>
      <c r="CC1257">
        <v>0</v>
      </c>
      <c r="CD1257" t="b">
        <v>0</v>
      </c>
      <c r="CE1257" t="b">
        <v>0</v>
      </c>
      <c r="CF1257" t="b">
        <v>1</v>
      </c>
      <c r="CG1257">
        <v>2561197</v>
      </c>
      <c r="CH1257" t="s">
        <v>1681</v>
      </c>
      <c r="CI1257" s="10">
        <v>575000</v>
      </c>
      <c r="CJ1257" s="7">
        <v>39262</v>
      </c>
    </row>
    <row r="1258" spans="1:88">
      <c r="A1258">
        <v>28015918</v>
      </c>
      <c r="B1258" s="2" t="str">
        <f>HYPERLINK("http://www.redfin.com/stingray/do/printable-listing?listing-id=1430230","Active")</f>
        <v>Active</v>
      </c>
      <c r="D1258" t="s">
        <v>218</v>
      </c>
      <c r="E1258" t="s">
        <v>3144</v>
      </c>
      <c r="F1258">
        <v>999500</v>
      </c>
      <c r="G1258">
        <v>2008</v>
      </c>
      <c r="H1258">
        <v>3430</v>
      </c>
      <c r="I1258">
        <v>0</v>
      </c>
      <c r="J1258">
        <v>5</v>
      </c>
      <c r="K1258">
        <v>3.5</v>
      </c>
      <c r="M1258" s="2" t="str">
        <f>HYPERLINK("http://maps.live.com/default.aspx?v=2&amp;lvl=15&amp;sp=Point.47.682528_-122.305093_7314 21st Ave NE&amp;cp=47.682528~-122.305093","Map")</f>
        <v>Map</v>
      </c>
      <c r="N1258" s="2" t="str">
        <f>HYPERLINK("http://i-0.rfimg.us/photo/1/bigphoto/918/28015918_2.jpg","Photo")</f>
        <v>Photo</v>
      </c>
      <c r="AG1258">
        <v>47.682527999999998</v>
      </c>
      <c r="AH1258">
        <v>-122.305093</v>
      </c>
      <c r="AI1258" t="s">
        <v>66</v>
      </c>
      <c r="AJ1258">
        <v>98115</v>
      </c>
      <c r="BC1258" s="22">
        <v>39472.710706018515</v>
      </c>
      <c r="BI1258" s="7">
        <v>39532</v>
      </c>
      <c r="BL1258">
        <v>19990</v>
      </c>
      <c r="BM1258">
        <v>1430230</v>
      </c>
      <c r="BN1258" t="s">
        <v>1685</v>
      </c>
      <c r="BO1258" s="17">
        <f t="shared" ca="1" si="19"/>
        <v>76.598699884263624</v>
      </c>
      <c r="BP1258" t="b">
        <v>0</v>
      </c>
      <c r="BQ1258">
        <v>1</v>
      </c>
      <c r="BR1258" t="s">
        <v>1667</v>
      </c>
      <c r="BS1258" t="s">
        <v>1903</v>
      </c>
      <c r="BT1258" t="b">
        <v>0</v>
      </c>
      <c r="BV1258" t="s">
        <v>1668</v>
      </c>
      <c r="BW1258">
        <v>7314</v>
      </c>
      <c r="BX1258" t="s">
        <v>1738</v>
      </c>
      <c r="BY1258">
        <v>12369184</v>
      </c>
      <c r="BZ1258" t="s">
        <v>3145</v>
      </c>
      <c r="CA1258">
        <v>1</v>
      </c>
      <c r="CB1258" t="b">
        <v>1</v>
      </c>
      <c r="CC1258">
        <v>0</v>
      </c>
      <c r="CD1258" t="b">
        <v>0</v>
      </c>
      <c r="CE1258" t="b">
        <v>0</v>
      </c>
      <c r="CF1258" t="b">
        <v>1</v>
      </c>
      <c r="CG1258">
        <v>15572932</v>
      </c>
      <c r="CH1258" t="s">
        <v>1681</v>
      </c>
      <c r="CI1258" s="10">
        <v>999500</v>
      </c>
    </row>
    <row r="1259" spans="1:88">
      <c r="A1259">
        <v>28015919</v>
      </c>
      <c r="B1259" s="2" t="str">
        <f>HYPERLINK("http://www.redfin.com/stingray/do/printable-listing?listing-id=1430229","Active")</f>
        <v>Active</v>
      </c>
      <c r="D1259" t="s">
        <v>63</v>
      </c>
      <c r="E1259" t="s">
        <v>2489</v>
      </c>
      <c r="F1259">
        <v>675000</v>
      </c>
      <c r="G1259">
        <v>1909</v>
      </c>
      <c r="H1259">
        <v>2180</v>
      </c>
      <c r="I1259">
        <v>5000</v>
      </c>
      <c r="J1259">
        <v>4</v>
      </c>
      <c r="K1259">
        <v>1.75</v>
      </c>
      <c r="M1259" s="2" t="str">
        <f>HYPERLINK("http://maps.live.com/default.aspx?v=2&amp;lvl=15&amp;sp=Point.47.670677_-122.379524_1715 NW 58th St&amp;cp=47.670677~-122.379524","Map")</f>
        <v>Map</v>
      </c>
      <c r="N1259" s="2" t="str">
        <f>HYPERLINK("http://i-0.rfimg.us/photo/1/bigphoto/919/28015919_0.jpg","Photo")</f>
        <v>Photo</v>
      </c>
      <c r="AG1259">
        <v>47.670676999999998</v>
      </c>
      <c r="AH1259">
        <v>-122.379524</v>
      </c>
      <c r="AI1259" t="s">
        <v>66</v>
      </c>
      <c r="AJ1259">
        <v>98107</v>
      </c>
      <c r="AN1259">
        <v>73500</v>
      </c>
      <c r="BC1259" s="22">
        <v>39472.710706018515</v>
      </c>
      <c r="BI1259" s="22">
        <v>39549.294907407406</v>
      </c>
      <c r="BL1259">
        <v>13500</v>
      </c>
      <c r="BM1259">
        <v>1430229</v>
      </c>
      <c r="BN1259" t="s">
        <v>1852</v>
      </c>
      <c r="BO1259" s="17">
        <f t="shared" ca="1" si="19"/>
        <v>76.598700000002282</v>
      </c>
      <c r="BP1259" t="b">
        <v>0</v>
      </c>
      <c r="BQ1259">
        <v>1</v>
      </c>
      <c r="BR1259" t="s">
        <v>1686</v>
      </c>
      <c r="BS1259" t="s">
        <v>2490</v>
      </c>
      <c r="BT1259" t="b">
        <v>0</v>
      </c>
      <c r="BU1259" t="s">
        <v>1669</v>
      </c>
      <c r="BV1259" t="s">
        <v>1668</v>
      </c>
      <c r="BW1259">
        <v>1715</v>
      </c>
      <c r="BY1259">
        <v>493943</v>
      </c>
      <c r="BZ1259" s="21">
        <v>0</v>
      </c>
      <c r="CA1259">
        <v>1</v>
      </c>
      <c r="CB1259" t="b">
        <v>1</v>
      </c>
      <c r="CC1259">
        <v>0</v>
      </c>
      <c r="CD1259" t="b">
        <v>0</v>
      </c>
      <c r="CE1259" t="b">
        <v>0</v>
      </c>
      <c r="CF1259" t="b">
        <v>1</v>
      </c>
      <c r="CG1259">
        <v>2472421</v>
      </c>
      <c r="CH1259" t="s">
        <v>1681</v>
      </c>
      <c r="CI1259" s="10">
        <v>675000</v>
      </c>
      <c r="CJ1259" s="7">
        <v>33238</v>
      </c>
    </row>
    <row r="1260" spans="1:88">
      <c r="A1260">
        <v>28015944</v>
      </c>
      <c r="B1260" s="2" t="str">
        <f>HYPERLINK("http://www.redfin.com/stingray/do/printable-listing?listing-id=1430280","Subject To Inspection")</f>
        <v>Subject To Inspection</v>
      </c>
      <c r="D1260" t="s">
        <v>1086</v>
      </c>
      <c r="E1260" t="s">
        <v>380</v>
      </c>
      <c r="F1260">
        <v>309999</v>
      </c>
      <c r="G1260">
        <v>1951</v>
      </c>
      <c r="H1260">
        <v>770</v>
      </c>
      <c r="I1260">
        <v>14469</v>
      </c>
      <c r="J1260">
        <v>2</v>
      </c>
      <c r="K1260">
        <v>1</v>
      </c>
      <c r="M1260" s="2" t="str">
        <f>HYPERLINK("http://maps.live.com/default.aspx?v=2&amp;lvl=15&amp;sp=Point.47.72166_-122.348809_734 N 127th St&amp;cp=47.72166~-122.348809","Map")</f>
        <v>Map</v>
      </c>
      <c r="N1260" s="2" t="str">
        <f>HYPERLINK("http://i-0.rfimg.us/photo/1/bigphoto/944/28015944_0.jpg","Photo")</f>
        <v>Photo</v>
      </c>
      <c r="AG1260">
        <v>47.72166</v>
      </c>
      <c r="AH1260">
        <v>-122.348809</v>
      </c>
      <c r="AI1260" t="s">
        <v>66</v>
      </c>
      <c r="AJ1260">
        <v>98133</v>
      </c>
      <c r="BC1260" s="22">
        <v>39472.727326388886</v>
      </c>
      <c r="BI1260" s="22">
        <v>39549.294907407406</v>
      </c>
      <c r="BL1260">
        <v>6200</v>
      </c>
      <c r="BM1260">
        <v>1430280</v>
      </c>
      <c r="BN1260" t="s">
        <v>2365</v>
      </c>
      <c r="BO1260" s="17">
        <f t="shared" ca="1" si="19"/>
        <v>76.582079629632062</v>
      </c>
      <c r="BP1260" t="b">
        <v>0</v>
      </c>
      <c r="BQ1260">
        <v>2</v>
      </c>
      <c r="BR1260" t="s">
        <v>1686</v>
      </c>
      <c r="BS1260" t="s">
        <v>2698</v>
      </c>
      <c r="BT1260" t="b">
        <v>0</v>
      </c>
      <c r="BU1260" t="s">
        <v>1712</v>
      </c>
      <c r="BV1260" t="s">
        <v>1668</v>
      </c>
      <c r="BW1260">
        <v>734</v>
      </c>
      <c r="BY1260">
        <v>98056</v>
      </c>
      <c r="BZ1260" t="s">
        <v>1684</v>
      </c>
      <c r="CA1260">
        <v>1</v>
      </c>
      <c r="CB1260" t="b">
        <v>1</v>
      </c>
      <c r="CC1260">
        <v>0</v>
      </c>
      <c r="CD1260" t="b">
        <v>0</v>
      </c>
      <c r="CE1260" t="b">
        <v>0</v>
      </c>
      <c r="CF1260" t="b">
        <v>1</v>
      </c>
      <c r="CG1260">
        <v>2735751</v>
      </c>
      <c r="CH1260" t="s">
        <v>1681</v>
      </c>
      <c r="CI1260" s="10">
        <v>309999</v>
      </c>
    </row>
    <row r="1261" spans="1:88">
      <c r="A1261">
        <v>28015973</v>
      </c>
      <c r="B1261" s="2" t="str">
        <f>HYPERLINK("http://www.redfin.com/stingray/do/printable-listing?listing-id=1432488","Active")</f>
        <v>Active</v>
      </c>
      <c r="D1261" t="s">
        <v>3249</v>
      </c>
      <c r="E1261" t="s">
        <v>3514</v>
      </c>
      <c r="F1261">
        <v>759950</v>
      </c>
      <c r="G1261">
        <v>2008</v>
      </c>
      <c r="H1261">
        <v>2290</v>
      </c>
      <c r="I1261">
        <v>1894</v>
      </c>
      <c r="J1261">
        <v>3</v>
      </c>
      <c r="K1261">
        <v>2.5</v>
      </c>
      <c r="M1261" s="2" t="str">
        <f>HYPERLINK("http://maps.live.com/default.aspx?v=2&amp;lvl=15&amp;sp=Point.47.647037_-122.357261_10 Florentia St&amp;cp=47.647037~-122.357261","Map")</f>
        <v>Map</v>
      </c>
      <c r="N1261" s="2" t="str">
        <f>HYPERLINK("http://i-0.rfimg.us/photo/1/bigphoto/973/28015973_1.jpg","Photo")</f>
        <v>Photo</v>
      </c>
      <c r="AG1261">
        <v>47.647036999999997</v>
      </c>
      <c r="AH1261">
        <v>-122.35726099999999</v>
      </c>
      <c r="AI1261" t="s">
        <v>66</v>
      </c>
      <c r="AJ1261">
        <v>98109</v>
      </c>
      <c r="BC1261" s="22">
        <v>39473.693599537037</v>
      </c>
      <c r="BI1261" s="22">
        <v>39549.294907407406</v>
      </c>
      <c r="BL1261">
        <v>15199</v>
      </c>
      <c r="BM1261">
        <v>1432488</v>
      </c>
      <c r="BN1261" t="s">
        <v>1746</v>
      </c>
      <c r="BO1261" s="17">
        <f t="shared" ca="1" si="19"/>
        <v>75.615806365742174</v>
      </c>
      <c r="BP1261" t="b">
        <v>0</v>
      </c>
      <c r="BQ1261">
        <v>1</v>
      </c>
      <c r="BR1261" t="s">
        <v>1686</v>
      </c>
      <c r="BS1261" t="s">
        <v>3255</v>
      </c>
      <c r="BT1261" t="b">
        <v>0</v>
      </c>
      <c r="BV1261" t="s">
        <v>1668</v>
      </c>
      <c r="BW1261">
        <v>10</v>
      </c>
      <c r="BY1261">
        <v>12369938</v>
      </c>
      <c r="BZ1261" t="s">
        <v>1748</v>
      </c>
      <c r="CA1261">
        <v>1</v>
      </c>
      <c r="CB1261" t="b">
        <v>1</v>
      </c>
      <c r="CC1261">
        <v>0</v>
      </c>
      <c r="CD1261" t="b">
        <v>0</v>
      </c>
      <c r="CE1261" t="b">
        <v>0</v>
      </c>
      <c r="CF1261" t="b">
        <v>1</v>
      </c>
      <c r="CG1261">
        <v>15573686</v>
      </c>
      <c r="CH1261" t="s">
        <v>1681</v>
      </c>
      <c r="CI1261" s="10">
        <v>759950</v>
      </c>
    </row>
    <row r="1262" spans="1:88">
      <c r="A1262">
        <v>28016007</v>
      </c>
      <c r="B1262" s="15" t="str">
        <f>HYPERLINK("http://www.redfin.com/stingray/do/printable-listing?listing-id=1430674","Subject To Inspection")</f>
        <v>Subject To Inspection</v>
      </c>
      <c r="D1262" t="s">
        <v>3924</v>
      </c>
      <c r="E1262" t="s">
        <v>4146</v>
      </c>
      <c r="F1262" s="19">
        <v>664950</v>
      </c>
      <c r="G1262">
        <v>2007</v>
      </c>
      <c r="H1262">
        <v>2350</v>
      </c>
      <c r="I1262">
        <v>4800</v>
      </c>
      <c r="J1262">
        <v>3</v>
      </c>
      <c r="K1262">
        <v>3</v>
      </c>
      <c r="M1262" s="2" t="str">
        <f>HYPERLINK("http://maps.live.com/default.aspx?v=2&amp;lvl=15&amp;sp=Point.47.615946_-122.300459_1621 25th Ave&amp;cp=47.615946~-122.300459","Map")</f>
        <v>Map</v>
      </c>
      <c r="N1262" s="2" t="str">
        <f>HYPERLINK("http://i-0.rfimg.us/photo/1/bigphoto/007/28016007_0.jpg","Photo")</f>
        <v>Photo</v>
      </c>
      <c r="AG1262">
        <v>47.615946000000001</v>
      </c>
      <c r="AH1262">
        <v>-122.300459</v>
      </c>
      <c r="AI1262" t="s">
        <v>66</v>
      </c>
      <c r="AJ1262">
        <v>98122</v>
      </c>
      <c r="AN1262">
        <v>395000</v>
      </c>
      <c r="BC1262" s="22">
        <v>39472.797175925924</v>
      </c>
      <c r="BI1262" s="22">
        <v>39549.294907407406</v>
      </c>
      <c r="BL1262">
        <v>13499</v>
      </c>
      <c r="BM1262">
        <v>1430674</v>
      </c>
      <c r="BN1262" t="s">
        <v>1766</v>
      </c>
      <c r="BO1262" s="17">
        <f t="shared" ca="1" si="19"/>
        <v>76.512229976855451</v>
      </c>
      <c r="BP1262" t="b">
        <v>0</v>
      </c>
      <c r="BQ1262">
        <v>1</v>
      </c>
      <c r="BR1262" t="s">
        <v>1667</v>
      </c>
      <c r="BS1262" t="s">
        <v>1819</v>
      </c>
      <c r="BT1262" t="b">
        <v>0</v>
      </c>
      <c r="BV1262" t="s">
        <v>1668</v>
      </c>
      <c r="BW1262">
        <v>1621</v>
      </c>
      <c r="BY1262">
        <v>147749</v>
      </c>
      <c r="BZ1262" t="s">
        <v>1741</v>
      </c>
      <c r="CA1262">
        <v>1</v>
      </c>
      <c r="CB1262" t="b">
        <v>1</v>
      </c>
      <c r="CC1262">
        <v>0</v>
      </c>
      <c r="CD1262" t="b">
        <v>0</v>
      </c>
      <c r="CE1262" t="b">
        <v>0</v>
      </c>
      <c r="CF1262" t="b">
        <v>1</v>
      </c>
      <c r="CG1262">
        <v>2429521</v>
      </c>
      <c r="CH1262" t="s">
        <v>1681</v>
      </c>
      <c r="CI1262" s="10">
        <v>674950</v>
      </c>
      <c r="CJ1262" s="7">
        <v>39148</v>
      </c>
    </row>
    <row r="1263" spans="1:88">
      <c r="A1263">
        <v>28016062</v>
      </c>
      <c r="B1263" s="2" t="str">
        <f>HYPERLINK("http://www.redfin.com/stingray/do/printable-listing?listing-id=1431184","Subject To Inspection")</f>
        <v>Subject To Inspection</v>
      </c>
      <c r="D1263" t="s">
        <v>1238</v>
      </c>
      <c r="E1263" t="s">
        <v>4125</v>
      </c>
      <c r="F1263">
        <v>694500</v>
      </c>
      <c r="G1263">
        <v>1924</v>
      </c>
      <c r="H1263">
        <v>3300</v>
      </c>
      <c r="I1263">
        <v>4000</v>
      </c>
      <c r="J1263">
        <v>4</v>
      </c>
      <c r="K1263">
        <v>2</v>
      </c>
      <c r="M1263" s="2" t="str">
        <f>HYPERLINK("http://maps.live.com/default.aspx?v=2&amp;lvl=15&amp;sp=Point.47.626353_-122.319877_734 10 Ave E&amp;cp=47.626353~-122.319877","Map")</f>
        <v>Map</v>
      </c>
      <c r="N1263" s="2" t="str">
        <f>HYPERLINK("http://i-0.rfimg.us/photo/1/bigphoto/062/28016062_2.jpg","Photo")</f>
        <v>Photo</v>
      </c>
      <c r="AG1263">
        <v>47.626353000000002</v>
      </c>
      <c r="AH1263">
        <v>-122.31987700000001</v>
      </c>
      <c r="AI1263" t="s">
        <v>66</v>
      </c>
      <c r="AJ1263">
        <v>98102</v>
      </c>
      <c r="BC1263" s="22">
        <v>39473.088020833333</v>
      </c>
      <c r="BI1263" s="22">
        <v>39549.294907407406</v>
      </c>
      <c r="BL1263">
        <v>13890</v>
      </c>
      <c r="BM1263">
        <v>1431184</v>
      </c>
      <c r="BN1263" t="s">
        <v>1773</v>
      </c>
      <c r="BO1263" s="17">
        <f t="shared" ca="1" si="19"/>
        <v>76.221385069446114</v>
      </c>
      <c r="BP1263" t="b">
        <v>0</v>
      </c>
      <c r="BQ1263">
        <v>2</v>
      </c>
      <c r="BR1263" t="s">
        <v>1667</v>
      </c>
      <c r="BS1263">
        <v>10</v>
      </c>
      <c r="BT1263" t="b">
        <v>0</v>
      </c>
      <c r="BV1263" t="s">
        <v>1668</v>
      </c>
      <c r="BW1263">
        <v>734</v>
      </c>
      <c r="BX1263" t="s">
        <v>2436</v>
      </c>
      <c r="BY1263">
        <v>135801</v>
      </c>
      <c r="BZ1263" t="s">
        <v>4126</v>
      </c>
      <c r="CA1263">
        <v>1</v>
      </c>
      <c r="CB1263" t="b">
        <v>1</v>
      </c>
      <c r="CC1263">
        <v>0</v>
      </c>
      <c r="CD1263" t="b">
        <v>1</v>
      </c>
      <c r="CE1263" t="b">
        <v>0</v>
      </c>
      <c r="CF1263" t="b">
        <v>1</v>
      </c>
      <c r="CG1263">
        <v>2371904</v>
      </c>
      <c r="CH1263" t="s">
        <v>1681</v>
      </c>
      <c r="CI1263" s="10">
        <v>694500</v>
      </c>
    </row>
    <row r="1264" spans="1:88">
      <c r="A1264">
        <v>28016173</v>
      </c>
      <c r="B1264" s="2" t="str">
        <f>HYPERLINK("http://www.redfin.com/stingray/do/printable-listing?listing-id=1432225","Active")</f>
        <v>Active</v>
      </c>
      <c r="D1264" t="s">
        <v>3924</v>
      </c>
      <c r="E1264" t="s">
        <v>4144</v>
      </c>
      <c r="F1264">
        <v>389000</v>
      </c>
      <c r="G1264">
        <v>1988</v>
      </c>
      <c r="H1264">
        <v>988</v>
      </c>
      <c r="I1264">
        <v>0</v>
      </c>
      <c r="J1264">
        <v>2</v>
      </c>
      <c r="K1264">
        <v>1.5</v>
      </c>
      <c r="M1264" s="2" t="str">
        <f>HYPERLINK("http://maps.live.com/default.aspx?v=2&amp;lvl=15&amp;sp=Point.47.617837_-122.300608_2400 E Howell St&amp;cp=47.617837~-122.300608","Map")</f>
        <v>Map</v>
      </c>
      <c r="N1264" s="2" t="str">
        <f>HYPERLINK("http://i-0.rfimg.us/photo/1/bigphoto/173/28016173_2.jpg","Photo")</f>
        <v>Photo</v>
      </c>
      <c r="AG1264">
        <v>47.617837000000002</v>
      </c>
      <c r="AH1264">
        <v>-122.300608</v>
      </c>
      <c r="AI1264" t="s">
        <v>66</v>
      </c>
      <c r="AJ1264">
        <v>98122</v>
      </c>
      <c r="BC1264" s="22">
        <v>39473.558159722219</v>
      </c>
      <c r="BI1264" s="22">
        <v>39549.294907407406</v>
      </c>
      <c r="BL1264">
        <v>7780</v>
      </c>
      <c r="BM1264">
        <v>1432225</v>
      </c>
      <c r="BN1264" t="s">
        <v>1939</v>
      </c>
      <c r="BO1264" s="17">
        <f t="shared" ca="1" si="19"/>
        <v>75.751246180559974</v>
      </c>
      <c r="BP1264" t="b">
        <v>0</v>
      </c>
      <c r="BQ1264">
        <v>1</v>
      </c>
      <c r="BR1264" t="s">
        <v>1686</v>
      </c>
      <c r="BS1264" t="s">
        <v>4020</v>
      </c>
      <c r="BT1264" t="b">
        <v>0</v>
      </c>
      <c r="BU1264" t="s">
        <v>2436</v>
      </c>
      <c r="BV1264" t="s">
        <v>1668</v>
      </c>
      <c r="BW1264">
        <v>2400</v>
      </c>
      <c r="BY1264">
        <v>2093436</v>
      </c>
      <c r="BZ1264" t="s">
        <v>1730</v>
      </c>
      <c r="CA1264">
        <v>1</v>
      </c>
      <c r="CB1264" t="b">
        <v>1</v>
      </c>
      <c r="CC1264">
        <v>0</v>
      </c>
      <c r="CD1264" t="b">
        <v>0</v>
      </c>
      <c r="CE1264" t="b">
        <v>0</v>
      </c>
      <c r="CF1264" t="b">
        <v>1</v>
      </c>
      <c r="CG1264">
        <v>2946366</v>
      </c>
      <c r="CH1264" t="s">
        <v>1681</v>
      </c>
      <c r="CI1264" s="10">
        <v>389000</v>
      </c>
    </row>
    <row r="1265" spans="1:88">
      <c r="A1265">
        <v>28016201</v>
      </c>
      <c r="B1265" s="2" t="str">
        <f>HYPERLINK("http://www.redfin.com/stingray/do/printable-listing?listing-id=1445610","Active")</f>
        <v>Active</v>
      </c>
      <c r="D1265" t="s">
        <v>4798</v>
      </c>
      <c r="E1265" t="s">
        <v>4797</v>
      </c>
      <c r="F1265">
        <v>925000</v>
      </c>
      <c r="G1265">
        <v>1991</v>
      </c>
      <c r="H1265">
        <v>2984</v>
      </c>
      <c r="I1265">
        <v>9400</v>
      </c>
      <c r="J1265">
        <v>3</v>
      </c>
      <c r="K1265">
        <v>2.5</v>
      </c>
      <c r="M1265" s="2" t="str">
        <f>HYPERLINK("http://maps.live.com/default.aspx?v=2&amp;lvl=15&amp;sp=Point.47.672066_-122.190355_424 10th St S&amp;cp=47.672066~-122.190355","Map")</f>
        <v>Map</v>
      </c>
      <c r="N1265" s="2" t="str">
        <f>HYPERLINK("http://i-0.rfimg.us/photo/1/bigphoto/201/28016201_1.jpg","Photo")</f>
        <v>Photo</v>
      </c>
      <c r="AG1265">
        <v>47.672066000000001</v>
      </c>
      <c r="AH1265">
        <v>-122.190355</v>
      </c>
      <c r="AI1265" t="s">
        <v>1058</v>
      </c>
      <c r="AJ1265">
        <v>98033</v>
      </c>
      <c r="AN1265">
        <v>325000</v>
      </c>
      <c r="BC1265" s="22">
        <v>39479.379537037035</v>
      </c>
      <c r="BI1265" s="22">
        <v>39549.294907407406</v>
      </c>
      <c r="BL1265">
        <v>18500</v>
      </c>
      <c r="BM1265">
        <v>1445610</v>
      </c>
      <c r="BN1265" t="s">
        <v>1798</v>
      </c>
      <c r="BO1265" s="17">
        <f t="shared" ca="1" si="19"/>
        <v>69.929868865743629</v>
      </c>
      <c r="BP1265" t="b">
        <v>0</v>
      </c>
      <c r="BQ1265">
        <v>1</v>
      </c>
      <c r="BR1265" t="s">
        <v>1686</v>
      </c>
      <c r="BS1265" t="s">
        <v>1788</v>
      </c>
      <c r="BT1265" t="b">
        <v>0</v>
      </c>
      <c r="BV1265" t="s">
        <v>1668</v>
      </c>
      <c r="BW1265">
        <v>424</v>
      </c>
      <c r="BX1265" t="s">
        <v>1881</v>
      </c>
      <c r="BY1265">
        <v>461121</v>
      </c>
      <c r="BZ1265" t="s">
        <v>2200</v>
      </c>
      <c r="CA1265">
        <v>1</v>
      </c>
      <c r="CB1265" t="b">
        <v>1</v>
      </c>
      <c r="CC1265">
        <v>0</v>
      </c>
      <c r="CD1265" t="b">
        <v>0</v>
      </c>
      <c r="CE1265" t="b">
        <v>0</v>
      </c>
      <c r="CF1265" t="b">
        <v>1</v>
      </c>
      <c r="CG1265">
        <v>2386644</v>
      </c>
      <c r="CH1265" t="s">
        <v>1681</v>
      </c>
      <c r="CI1265" s="10">
        <v>925000</v>
      </c>
      <c r="CJ1265" s="7">
        <v>33403</v>
      </c>
    </row>
    <row r="1266" spans="1:88">
      <c r="A1266">
        <v>28016277</v>
      </c>
      <c r="B1266" s="2" t="str">
        <f>HYPERLINK("http://www.redfin.com/stingray/do/printable-listing?listing-id=1432539","Active")</f>
        <v>Active</v>
      </c>
      <c r="D1266" t="s">
        <v>66</v>
      </c>
      <c r="E1266" t="s">
        <v>3970</v>
      </c>
      <c r="F1266">
        <v>529950</v>
      </c>
      <c r="G1266">
        <v>2008</v>
      </c>
      <c r="H1266">
        <v>2046</v>
      </c>
      <c r="I1266">
        <v>0</v>
      </c>
      <c r="J1266">
        <v>3</v>
      </c>
      <c r="K1266">
        <v>3.25</v>
      </c>
      <c r="M1266" s="2" t="str">
        <f>HYPERLINK("http://maps.live.com/default.aspx?v=2&amp;lvl=15&amp;sp=Point.47.597758_-122.298595_518 26th Ave S&amp;cp=47.597758~-122.298595","Map")</f>
        <v>Map</v>
      </c>
      <c r="N1266" s="2" t="str">
        <f>HYPERLINK("http://i-0.rfimg.us/photo/1/bigphoto/277/28016277_2.jpg","Photo")</f>
        <v>Photo</v>
      </c>
      <c r="AG1266">
        <v>47.597757999999999</v>
      </c>
      <c r="AH1266">
        <v>-122.29859500000001</v>
      </c>
      <c r="AI1266" t="s">
        <v>66</v>
      </c>
      <c r="AJ1266">
        <v>98144</v>
      </c>
      <c r="BC1266" s="22">
        <v>39473.725439814814</v>
      </c>
      <c r="BI1266" s="22">
        <v>39549.294907407406</v>
      </c>
      <c r="BL1266">
        <v>10599</v>
      </c>
      <c r="BM1266">
        <v>1432539</v>
      </c>
      <c r="BN1266" t="s">
        <v>2974</v>
      </c>
      <c r="BO1266" s="17">
        <f t="shared" ca="1" si="19"/>
        <v>75.583966087964654</v>
      </c>
      <c r="BP1266" t="b">
        <v>0</v>
      </c>
      <c r="BQ1266">
        <v>1</v>
      </c>
      <c r="BR1266" t="s">
        <v>1667</v>
      </c>
      <c r="BS1266" t="s">
        <v>1769</v>
      </c>
      <c r="BT1266" t="b">
        <v>0</v>
      </c>
      <c r="BV1266" t="s">
        <v>1668</v>
      </c>
      <c r="BW1266">
        <v>518</v>
      </c>
      <c r="BX1266" t="s">
        <v>1881</v>
      </c>
      <c r="BY1266">
        <v>12369947</v>
      </c>
      <c r="BZ1266" t="s">
        <v>2651</v>
      </c>
      <c r="CA1266">
        <v>1</v>
      </c>
      <c r="CB1266" t="b">
        <v>1</v>
      </c>
      <c r="CC1266">
        <v>0</v>
      </c>
      <c r="CD1266" t="b">
        <v>0</v>
      </c>
      <c r="CE1266" t="b">
        <v>0</v>
      </c>
      <c r="CF1266" t="b">
        <v>1</v>
      </c>
      <c r="CG1266">
        <v>15573695</v>
      </c>
      <c r="CH1266" t="s">
        <v>1681</v>
      </c>
      <c r="CI1266" s="10">
        <v>529950</v>
      </c>
    </row>
    <row r="1267" spans="1:88">
      <c r="A1267">
        <v>28016312</v>
      </c>
      <c r="B1267" s="2" t="str">
        <f>HYPERLINK("http://www.redfin.com/stingray/do/printable-listing?listing-id=1432645","Subject To Inspection")</f>
        <v>Subject To Inspection</v>
      </c>
      <c r="D1267" t="s">
        <v>184</v>
      </c>
      <c r="E1267" t="s">
        <v>627</v>
      </c>
      <c r="F1267">
        <v>399950</v>
      </c>
      <c r="G1267">
        <v>2007</v>
      </c>
      <c r="H1267">
        <v>1860</v>
      </c>
      <c r="I1267">
        <v>0</v>
      </c>
      <c r="J1267">
        <v>3</v>
      </c>
      <c r="K1267">
        <v>2.5</v>
      </c>
      <c r="M1267" s="2" t="str">
        <f>HYPERLINK("http://maps.live.com/default.aspx?v=2&amp;lvl=15&amp;sp=Point.47.718378_-122.317073_12335 10th Pl NE&amp;cp=47.718378~-122.317073","Map")</f>
        <v>Map</v>
      </c>
      <c r="N1267" s="2" t="str">
        <f>HYPERLINK("http://i-0.rfimg.us/photo/1/bigphoto/312/28016312_0.jpg","Photo")</f>
        <v>Photo</v>
      </c>
      <c r="AG1267">
        <v>47.718378000000001</v>
      </c>
      <c r="AH1267">
        <v>-122.31707299999999</v>
      </c>
      <c r="AI1267" t="s">
        <v>66</v>
      </c>
      <c r="AJ1267">
        <v>98125</v>
      </c>
      <c r="BC1267" s="22">
        <v>39473.81763888889</v>
      </c>
      <c r="BI1267" s="7">
        <v>39533</v>
      </c>
      <c r="BL1267">
        <v>7999</v>
      </c>
      <c r="BM1267">
        <v>1432645</v>
      </c>
      <c r="BN1267" t="s">
        <v>1685</v>
      </c>
      <c r="BO1267" s="17">
        <f t="shared" ca="1" si="19"/>
        <v>75.49176701388933</v>
      </c>
      <c r="BP1267" t="b">
        <v>0</v>
      </c>
      <c r="BQ1267">
        <v>2</v>
      </c>
      <c r="BR1267" t="s">
        <v>1842</v>
      </c>
      <c r="BS1267" t="s">
        <v>1788</v>
      </c>
      <c r="BT1267" t="b">
        <v>0</v>
      </c>
      <c r="BV1267" t="s">
        <v>1668</v>
      </c>
      <c r="BW1267">
        <v>12335</v>
      </c>
      <c r="BX1267" t="s">
        <v>1738</v>
      </c>
      <c r="BY1267">
        <v>12167479</v>
      </c>
      <c r="BZ1267" t="s">
        <v>1713</v>
      </c>
      <c r="CA1267">
        <v>1</v>
      </c>
      <c r="CB1267" t="b">
        <v>1</v>
      </c>
      <c r="CC1267">
        <v>0</v>
      </c>
      <c r="CD1267" t="b">
        <v>0</v>
      </c>
      <c r="CE1267" t="b">
        <v>0</v>
      </c>
      <c r="CF1267" t="b">
        <v>1</v>
      </c>
      <c r="CG1267">
        <v>15398143</v>
      </c>
      <c r="CH1267" t="s">
        <v>1681</v>
      </c>
      <c r="CI1267" s="10">
        <v>399950</v>
      </c>
    </row>
    <row r="1268" spans="1:88">
      <c r="A1268">
        <v>28016323</v>
      </c>
      <c r="B1268" s="15" t="str">
        <f>HYPERLINK("http://www.redfin.com/stingray/do/printable-listing?listing-id=1433776","Active")</f>
        <v>Active</v>
      </c>
      <c r="D1268" t="s">
        <v>99</v>
      </c>
      <c r="E1268" t="s">
        <v>1160</v>
      </c>
      <c r="F1268" s="19">
        <v>259950</v>
      </c>
      <c r="G1268">
        <v>1940</v>
      </c>
      <c r="H1268">
        <v>540</v>
      </c>
      <c r="I1268">
        <v>2325</v>
      </c>
      <c r="J1268">
        <v>1</v>
      </c>
      <c r="K1268">
        <v>1</v>
      </c>
      <c r="M1268" s="2" t="str">
        <f>HYPERLINK("http://maps.live.com/default.aspx?v=2&amp;lvl=15&amp;sp=Point.47.691792_-122.371119_8538 12th Ave NW&amp;cp=47.691792~-122.371119","Map")</f>
        <v>Map</v>
      </c>
      <c r="N1268" s="2" t="str">
        <f>HYPERLINK("http://i-0.rfimg.us/photo/1/bigphoto/323/28016323_1.jpg","Photo")</f>
        <v>Photo</v>
      </c>
      <c r="AG1268">
        <v>47.691792</v>
      </c>
      <c r="AH1268">
        <v>-122.37111899999999</v>
      </c>
      <c r="AI1268" t="s">
        <v>66</v>
      </c>
      <c r="AJ1268">
        <v>98117</v>
      </c>
      <c r="BC1268" s="22">
        <v>39475.338865740741</v>
      </c>
      <c r="BI1268" s="22">
        <v>39549.294907407406</v>
      </c>
      <c r="BL1268">
        <v>5099</v>
      </c>
      <c r="BM1268">
        <v>1433776</v>
      </c>
      <c r="BN1268" t="s">
        <v>1710</v>
      </c>
      <c r="BO1268" s="17">
        <f t="shared" ca="1" si="19"/>
        <v>73.970540277776308</v>
      </c>
      <c r="BP1268" t="b">
        <v>0</v>
      </c>
      <c r="BQ1268">
        <v>1</v>
      </c>
      <c r="BR1268" t="s">
        <v>1667</v>
      </c>
      <c r="BS1268" t="s">
        <v>1803</v>
      </c>
      <c r="BT1268" t="b">
        <v>0</v>
      </c>
      <c r="BV1268" t="s">
        <v>1668</v>
      </c>
      <c r="BW1268">
        <v>8538</v>
      </c>
      <c r="BX1268" t="s">
        <v>1669</v>
      </c>
      <c r="BY1268">
        <v>100139</v>
      </c>
      <c r="BZ1268" t="s">
        <v>2052</v>
      </c>
      <c r="CA1268">
        <v>1</v>
      </c>
      <c r="CB1268" t="b">
        <v>1</v>
      </c>
      <c r="CC1268">
        <v>0</v>
      </c>
      <c r="CD1268" t="b">
        <v>0</v>
      </c>
      <c r="CE1268" t="b">
        <v>0</v>
      </c>
      <c r="CF1268" t="b">
        <v>0</v>
      </c>
      <c r="CG1268">
        <v>2844804</v>
      </c>
      <c r="CH1268" t="s">
        <v>1666</v>
      </c>
      <c r="CI1268" s="10">
        <v>269950</v>
      </c>
    </row>
    <row r="1269" spans="1:88">
      <c r="A1269">
        <v>28016324</v>
      </c>
      <c r="B1269" s="2" t="str">
        <f>HYPERLINK("http://www.redfin.com/stingray/do/printable-listing?listing-id=1434425","Active")</f>
        <v>Active</v>
      </c>
      <c r="D1269" t="s">
        <v>3249</v>
      </c>
      <c r="E1269" t="s">
        <v>3334</v>
      </c>
      <c r="F1269">
        <v>1190000</v>
      </c>
      <c r="G1269">
        <v>1930</v>
      </c>
      <c r="H1269">
        <v>3000</v>
      </c>
      <c r="I1269">
        <v>3800</v>
      </c>
      <c r="J1269">
        <v>4</v>
      </c>
      <c r="K1269">
        <v>3</v>
      </c>
      <c r="M1269" s="2" t="str">
        <f>HYPERLINK("http://maps.live.com/default.aspx?v=2&amp;lvl=15&amp;sp=Point.47.642279_-122.351262_312 Halladay&amp;cp=47.642279~-122.351262","Map")</f>
        <v>Map</v>
      </c>
      <c r="N1269" s="2" t="str">
        <f>HYPERLINK("http://i-0.rfimg.us/photo/1/bigphoto/324/28016324_1.jpg","Photo")</f>
        <v>Photo</v>
      </c>
      <c r="AG1269">
        <v>47.642279000000002</v>
      </c>
      <c r="AH1269">
        <v>-122.35126200000001</v>
      </c>
      <c r="AI1269" t="s">
        <v>66</v>
      </c>
      <c r="AJ1269">
        <v>98109</v>
      </c>
      <c r="AN1269">
        <v>581500</v>
      </c>
      <c r="BC1269" s="22">
        <v>39475.477303240739</v>
      </c>
      <c r="BI1269" s="22">
        <v>39549.294907407406</v>
      </c>
      <c r="BL1269">
        <v>23800</v>
      </c>
      <c r="BM1269">
        <v>1434425</v>
      </c>
      <c r="BN1269" t="s">
        <v>1725</v>
      </c>
      <c r="BO1269" s="17">
        <f t="shared" ca="1" si="19"/>
        <v>73.832102662039688</v>
      </c>
      <c r="BP1269" t="b">
        <v>0</v>
      </c>
      <c r="BQ1269">
        <v>1</v>
      </c>
      <c r="BS1269" t="s">
        <v>3335</v>
      </c>
      <c r="BT1269" t="b">
        <v>0</v>
      </c>
      <c r="BV1269" t="s">
        <v>1668</v>
      </c>
      <c r="BW1269">
        <v>312</v>
      </c>
      <c r="BY1269">
        <v>134747</v>
      </c>
      <c r="BZ1269" t="s">
        <v>1704</v>
      </c>
      <c r="CA1269">
        <v>1</v>
      </c>
      <c r="CB1269" t="b">
        <v>1</v>
      </c>
      <c r="CC1269">
        <v>0</v>
      </c>
      <c r="CD1269" t="b">
        <v>0</v>
      </c>
      <c r="CE1269" t="b">
        <v>0</v>
      </c>
      <c r="CF1269" t="b">
        <v>1</v>
      </c>
      <c r="CG1269">
        <v>2491136</v>
      </c>
      <c r="CH1269" t="s">
        <v>1681</v>
      </c>
      <c r="CI1269" s="10">
        <v>1190000</v>
      </c>
      <c r="CJ1269" s="7">
        <v>38595</v>
      </c>
    </row>
    <row r="1270" spans="1:88">
      <c r="A1270">
        <v>28016328</v>
      </c>
      <c r="B1270" s="2" t="str">
        <f>HYPERLINK("http://www.redfin.com/stingray/do/printable-listing?listing-id=1435725","Active")</f>
        <v>Active</v>
      </c>
      <c r="D1270" t="s">
        <v>5139</v>
      </c>
      <c r="E1270" t="s">
        <v>5952</v>
      </c>
      <c r="F1270">
        <v>1195000</v>
      </c>
      <c r="G1270">
        <v>1972</v>
      </c>
      <c r="H1270">
        <v>2680</v>
      </c>
      <c r="I1270">
        <v>14004</v>
      </c>
      <c r="J1270">
        <v>4</v>
      </c>
      <c r="K1270">
        <v>2.5</v>
      </c>
      <c r="M1270" s="2" t="str">
        <f>HYPERLINK("http://maps.live.com/default.aspx?v=2&amp;lvl=15&amp;sp=Point.47.549842_-122.22737_5901 84th Ave SE&amp;cp=47.549842~-122.22737","Map")</f>
        <v>Map</v>
      </c>
      <c r="N1270" s="2" t="str">
        <f>HYPERLINK("http://i-0.rfimg.us/photo/1/bigphoto/328/28016328_1.jpg","Photo")</f>
        <v>Photo</v>
      </c>
      <c r="AG1270">
        <v>47.549841999999998</v>
      </c>
      <c r="AH1270">
        <v>-122.22736999999999</v>
      </c>
      <c r="AI1270" t="s">
        <v>5139</v>
      </c>
      <c r="AJ1270">
        <v>98040</v>
      </c>
      <c r="AN1270">
        <v>635000</v>
      </c>
      <c r="BC1270" s="22">
        <v>39475.801574074074</v>
      </c>
      <c r="BI1270" s="22">
        <v>39549.294907407406</v>
      </c>
      <c r="BL1270">
        <v>23900</v>
      </c>
      <c r="BM1270">
        <v>1435725</v>
      </c>
      <c r="BN1270" t="s">
        <v>1688</v>
      </c>
      <c r="BO1270" s="17">
        <f t="shared" ca="1" si="19"/>
        <v>73.507831828705093</v>
      </c>
      <c r="BP1270" t="b">
        <v>0</v>
      </c>
      <c r="BQ1270">
        <v>1</v>
      </c>
      <c r="BR1270" t="s">
        <v>1667</v>
      </c>
      <c r="BS1270" t="s">
        <v>1826</v>
      </c>
      <c r="BT1270" t="b">
        <v>0</v>
      </c>
      <c r="BV1270" t="s">
        <v>1668</v>
      </c>
      <c r="BW1270">
        <v>5901</v>
      </c>
      <c r="BX1270" t="s">
        <v>3856</v>
      </c>
      <c r="BY1270">
        <v>260868</v>
      </c>
      <c r="BZ1270" t="s">
        <v>2065</v>
      </c>
      <c r="CA1270">
        <v>1</v>
      </c>
      <c r="CB1270" t="b">
        <v>1</v>
      </c>
      <c r="CC1270">
        <v>0</v>
      </c>
      <c r="CD1270" t="b">
        <v>0</v>
      </c>
      <c r="CE1270" t="b">
        <v>0</v>
      </c>
      <c r="CF1270" t="b">
        <v>1</v>
      </c>
      <c r="CG1270">
        <v>2870124</v>
      </c>
      <c r="CH1270" t="s">
        <v>1681</v>
      </c>
      <c r="CI1270" s="10">
        <v>1195000</v>
      </c>
      <c r="CJ1270" s="7">
        <v>37890</v>
      </c>
    </row>
    <row r="1271" spans="1:88">
      <c r="A1271">
        <v>28016368</v>
      </c>
      <c r="B1271" s="2" t="str">
        <f>HYPERLINK("http://www.redfin.com/stingray/do/printable-listing?listing-id=1433203","Active")</f>
        <v>Active</v>
      </c>
      <c r="D1271" t="s">
        <v>192</v>
      </c>
      <c r="E1271" t="s">
        <v>559</v>
      </c>
      <c r="F1271">
        <v>375000</v>
      </c>
      <c r="G1271">
        <v>1924</v>
      </c>
      <c r="H1271">
        <v>1400</v>
      </c>
      <c r="I1271">
        <v>2679</v>
      </c>
      <c r="J1271">
        <v>2</v>
      </c>
      <c r="K1271">
        <v>1</v>
      </c>
      <c r="M1271" s="2" t="str">
        <f>HYPERLINK("http://maps.live.com/default.aspx?v=2&amp;lvl=15&amp;sp=Point.47.685876_-122.320462_559 NE 79th St&amp;cp=47.685876~-122.320462","Map")</f>
        <v>Map</v>
      </c>
      <c r="N1271" s="2" t="str">
        <f>HYPERLINK("http://i-0.rfimg.us/photo/1/bigphoto/368/28016368_0.jpg","Photo")</f>
        <v>Photo</v>
      </c>
      <c r="AG1271">
        <v>47.685876</v>
      </c>
      <c r="AH1271">
        <v>-122.32046200000001</v>
      </c>
      <c r="AI1271" t="s">
        <v>66</v>
      </c>
      <c r="AJ1271">
        <v>98115</v>
      </c>
      <c r="BC1271" s="22">
        <v>39474.473541666666</v>
      </c>
      <c r="BI1271" s="7">
        <v>39538</v>
      </c>
      <c r="BL1271">
        <v>7500</v>
      </c>
      <c r="BM1271">
        <v>1433203</v>
      </c>
      <c r="BN1271" t="s">
        <v>1829</v>
      </c>
      <c r="BO1271" s="17">
        <f t="shared" ca="1" si="19"/>
        <v>74.835864236112684</v>
      </c>
      <c r="BP1271" t="b">
        <v>0</v>
      </c>
      <c r="BQ1271">
        <v>1</v>
      </c>
      <c r="BR1271" t="s">
        <v>1686</v>
      </c>
      <c r="BS1271" t="s">
        <v>3206</v>
      </c>
      <c r="BT1271" t="b">
        <v>0</v>
      </c>
      <c r="BU1271" t="s">
        <v>1738</v>
      </c>
      <c r="BV1271" t="s">
        <v>1668</v>
      </c>
      <c r="BW1271">
        <v>559</v>
      </c>
      <c r="BY1271">
        <v>108813</v>
      </c>
      <c r="BZ1271" t="s">
        <v>1801</v>
      </c>
      <c r="CA1271">
        <v>1</v>
      </c>
      <c r="CB1271" t="b">
        <v>1</v>
      </c>
      <c r="CC1271">
        <v>0</v>
      </c>
      <c r="CD1271" t="b">
        <v>0</v>
      </c>
      <c r="CE1271" t="b">
        <v>0</v>
      </c>
      <c r="CF1271" t="b">
        <v>1</v>
      </c>
      <c r="CG1271">
        <v>2743542</v>
      </c>
      <c r="CH1271" t="s">
        <v>1681</v>
      </c>
      <c r="CI1271" s="10">
        <v>375000</v>
      </c>
    </row>
    <row r="1272" spans="1:88">
      <c r="A1272">
        <v>28016406</v>
      </c>
      <c r="B1272" s="2" t="str">
        <f>HYPERLINK("http://www.redfin.com/stingray/do/printable-listing?listing-id=1433627","Active")</f>
        <v>Active</v>
      </c>
      <c r="D1272" t="s">
        <v>3066</v>
      </c>
      <c r="E1272" t="s">
        <v>4690</v>
      </c>
      <c r="F1272">
        <v>997000</v>
      </c>
      <c r="G1272">
        <v>2008</v>
      </c>
      <c r="H1272">
        <v>3458</v>
      </c>
      <c r="I1272">
        <v>7467</v>
      </c>
      <c r="J1272">
        <v>4</v>
      </c>
      <c r="K1272">
        <v>2.75</v>
      </c>
      <c r="M1272" s="2" t="str">
        <f>HYPERLINK("http://maps.live.com/default.aspx?v=2&amp;lvl=15&amp;sp=Point.47.678746_-122.151987_14005 NE 85 Ct&amp;cp=47.678746~-122.151987","Map")</f>
        <v>Map</v>
      </c>
      <c r="N1272" s="2" t="str">
        <f>HYPERLINK("http://i-0.rfimg.us/photo/1/bigphoto/406/28016406_3.jpg","Photo")</f>
        <v>Photo</v>
      </c>
      <c r="AG1272">
        <v>47.678745999999997</v>
      </c>
      <c r="AH1272">
        <v>-122.15198700000001</v>
      </c>
      <c r="AI1272" t="s">
        <v>4363</v>
      </c>
      <c r="AJ1272">
        <v>98052</v>
      </c>
      <c r="BC1272" s="22">
        <v>39474.817337962966</v>
      </c>
      <c r="BI1272" s="22">
        <v>39549.294907407406</v>
      </c>
      <c r="BL1272">
        <v>19940</v>
      </c>
      <c r="BM1272">
        <v>1433627</v>
      </c>
      <c r="BN1272" t="s">
        <v>1768</v>
      </c>
      <c r="BO1272" s="17">
        <f t="shared" ca="1" si="19"/>
        <v>74.492067939812841</v>
      </c>
      <c r="BP1272" t="b">
        <v>0</v>
      </c>
      <c r="BQ1272">
        <v>1</v>
      </c>
      <c r="BR1272" t="s">
        <v>3768</v>
      </c>
      <c r="BS1272">
        <v>85</v>
      </c>
      <c r="BT1272" t="b">
        <v>0</v>
      </c>
      <c r="BU1272" t="s">
        <v>1738</v>
      </c>
      <c r="BV1272" t="s">
        <v>1668</v>
      </c>
      <c r="BW1272">
        <v>14005</v>
      </c>
      <c r="BY1272">
        <v>12370089</v>
      </c>
      <c r="BZ1272" t="s">
        <v>4691</v>
      </c>
      <c r="CA1272">
        <v>1</v>
      </c>
      <c r="CB1272" t="b">
        <v>1</v>
      </c>
      <c r="CC1272">
        <v>0</v>
      </c>
      <c r="CD1272" t="b">
        <v>0</v>
      </c>
      <c r="CE1272" t="b">
        <v>0</v>
      </c>
      <c r="CF1272" t="b">
        <v>1</v>
      </c>
      <c r="CG1272">
        <v>15573837</v>
      </c>
      <c r="CH1272" t="s">
        <v>1681</v>
      </c>
      <c r="CI1272" s="10">
        <v>997000</v>
      </c>
    </row>
    <row r="1273" spans="1:88">
      <c r="A1273">
        <v>28016485</v>
      </c>
      <c r="B1273" s="15" t="str">
        <f>HYPERLINK("http://www.redfin.com/stingray/do/printable-listing?listing-id=1436978","Subject To Inspection")</f>
        <v>Subject To Inspection</v>
      </c>
      <c r="D1273" t="s">
        <v>60</v>
      </c>
      <c r="E1273" t="s">
        <v>2634</v>
      </c>
      <c r="F1273">
        <v>710000</v>
      </c>
      <c r="G1273">
        <v>2001</v>
      </c>
      <c r="H1273">
        <v>2560</v>
      </c>
      <c r="I1273">
        <v>3000</v>
      </c>
      <c r="J1273">
        <v>3</v>
      </c>
      <c r="K1273">
        <v>2</v>
      </c>
      <c r="M1273" s="2" t="str">
        <f>HYPERLINK("http://maps.live.com/default.aspx?v=2&amp;lvl=15&amp;sp=Point.47.683824_-122.348023_743 N 76th St&amp;cp=47.683824~-122.348023","Map")</f>
        <v>Map</v>
      </c>
      <c r="N1273" s="2" t="str">
        <f>HYPERLINK("http://i-0.rfimg.us/photo/1/bigphoto/485/28016485_1.jpg","Photo")</f>
        <v>Photo</v>
      </c>
      <c r="AG1273">
        <v>47.683824000000001</v>
      </c>
      <c r="AH1273">
        <v>-122.348023</v>
      </c>
      <c r="AI1273" t="s">
        <v>66</v>
      </c>
      <c r="AJ1273">
        <v>98103</v>
      </c>
      <c r="AN1273">
        <v>470000</v>
      </c>
      <c r="BC1273" s="22">
        <v>39476.421851851854</v>
      </c>
      <c r="BI1273" s="22">
        <v>39546.925937499997</v>
      </c>
      <c r="BL1273">
        <v>14200</v>
      </c>
      <c r="BM1273">
        <v>1436978</v>
      </c>
      <c r="BN1273" t="s">
        <v>1715</v>
      </c>
      <c r="BO1273" s="17">
        <f t="shared" ca="1" si="19"/>
        <v>72.887554166663904</v>
      </c>
      <c r="BP1273" t="b">
        <v>0</v>
      </c>
      <c r="BQ1273">
        <v>1</v>
      </c>
      <c r="BR1273" t="s">
        <v>1686</v>
      </c>
      <c r="BS1273" t="s">
        <v>2057</v>
      </c>
      <c r="BT1273" t="b">
        <v>0</v>
      </c>
      <c r="BU1273" t="s">
        <v>1712</v>
      </c>
      <c r="BV1273" t="s">
        <v>1668</v>
      </c>
      <c r="BW1273">
        <v>743</v>
      </c>
      <c r="BY1273">
        <v>300005</v>
      </c>
      <c r="BZ1273" t="s">
        <v>2635</v>
      </c>
      <c r="CA1273">
        <v>1</v>
      </c>
      <c r="CB1273" t="b">
        <v>1</v>
      </c>
      <c r="CC1273">
        <v>0</v>
      </c>
      <c r="CD1273" t="b">
        <v>0</v>
      </c>
      <c r="CE1273" t="b">
        <v>0</v>
      </c>
      <c r="CF1273" t="b">
        <v>1</v>
      </c>
      <c r="CG1273">
        <v>2474309</v>
      </c>
      <c r="CH1273" t="s">
        <v>1681</v>
      </c>
      <c r="CI1273" s="10">
        <v>710000</v>
      </c>
      <c r="CJ1273" s="7">
        <v>37995</v>
      </c>
    </row>
    <row r="1274" spans="1:88">
      <c r="A1274">
        <v>28016505</v>
      </c>
      <c r="B1274" s="2" t="str">
        <f>HYPERLINK("http://www.redfin.com/stingray/do/printable-listing?listing-id=1433741","Active")</f>
        <v>Active</v>
      </c>
      <c r="D1274" t="s">
        <v>100</v>
      </c>
      <c r="E1274" t="s">
        <v>3341</v>
      </c>
      <c r="F1274">
        <v>489000</v>
      </c>
      <c r="G1274">
        <v>2001</v>
      </c>
      <c r="H1274">
        <v>1630</v>
      </c>
      <c r="I1274">
        <v>1275</v>
      </c>
      <c r="J1274">
        <v>3</v>
      </c>
      <c r="K1274">
        <v>2.5</v>
      </c>
      <c r="M1274" s="2" t="str">
        <f>HYPERLINK("http://maps.live.com/default.aspx?v=2&amp;lvl=15&amp;sp=Point.47.649582_-122.346027_931 N 35th St&amp;cp=47.649582~-122.346027","Map")</f>
        <v>Map</v>
      </c>
      <c r="N1274" s="2" t="str">
        <f>HYPERLINK("http://i-0.rfimg.us/photo/1/bigphoto/505/28016505_0.jpg","Photo")</f>
        <v>Photo</v>
      </c>
      <c r="AG1274">
        <v>47.649582000000002</v>
      </c>
      <c r="AH1274">
        <v>-122.34602700000001</v>
      </c>
      <c r="AI1274" t="s">
        <v>66</v>
      </c>
      <c r="AJ1274">
        <v>98103</v>
      </c>
      <c r="BC1274" s="22">
        <v>39474.931747685187</v>
      </c>
      <c r="BI1274" s="7">
        <v>39538</v>
      </c>
      <c r="BL1274">
        <v>9780</v>
      </c>
      <c r="BM1274">
        <v>1433741</v>
      </c>
      <c r="BN1274" t="s">
        <v>1710</v>
      </c>
      <c r="BO1274" s="17">
        <f t="shared" ca="1" si="19"/>
        <v>74.377658217592398</v>
      </c>
      <c r="BP1274" t="b">
        <v>0</v>
      </c>
      <c r="BQ1274">
        <v>1</v>
      </c>
      <c r="BR1274" t="s">
        <v>1686</v>
      </c>
      <c r="BS1274" t="s">
        <v>2920</v>
      </c>
      <c r="BT1274" t="b">
        <v>0</v>
      </c>
      <c r="BU1274" t="s">
        <v>1712</v>
      </c>
      <c r="BV1274" t="s">
        <v>1668</v>
      </c>
      <c r="BW1274">
        <v>931</v>
      </c>
      <c r="BY1274">
        <v>12370101</v>
      </c>
      <c r="BZ1274" t="s">
        <v>1672</v>
      </c>
      <c r="CA1274">
        <v>1</v>
      </c>
      <c r="CB1274" t="b">
        <v>1</v>
      </c>
      <c r="CC1274">
        <v>0</v>
      </c>
      <c r="CD1274" t="b">
        <v>0</v>
      </c>
      <c r="CE1274" t="b">
        <v>0</v>
      </c>
      <c r="CF1274" t="b">
        <v>1</v>
      </c>
      <c r="CG1274">
        <v>15573849</v>
      </c>
      <c r="CH1274" t="s">
        <v>1681</v>
      </c>
      <c r="CI1274" s="10">
        <v>489000</v>
      </c>
    </row>
    <row r="1275" spans="1:88">
      <c r="A1275">
        <v>28016531</v>
      </c>
      <c r="B1275" s="2" t="str">
        <f>HYPERLINK("http://www.redfin.com/stingray/do/printable-listing?listing-id=1433874","Active")</f>
        <v>Active</v>
      </c>
      <c r="D1275" t="s">
        <v>3249</v>
      </c>
      <c r="E1275" t="s">
        <v>3650</v>
      </c>
      <c r="F1275">
        <v>2488800</v>
      </c>
      <c r="G1275">
        <v>2004</v>
      </c>
      <c r="H1275">
        <v>4500</v>
      </c>
      <c r="I1275">
        <v>5400</v>
      </c>
      <c r="J1275">
        <v>2</v>
      </c>
      <c r="K1275">
        <v>3.25</v>
      </c>
      <c r="M1275" s="2" t="str">
        <f>HYPERLINK("http://maps.live.com/default.aspx?v=2&amp;lvl=15&amp;sp=Point.47.630194_-122.353476_162 Highland Dr&amp;cp=47.630194~-122.353476","Map")</f>
        <v>Map</v>
      </c>
      <c r="N1275" s="2" t="str">
        <f>HYPERLINK("http://i-0.rfimg.us/photo/1/bigphoto/531/28016531_1.jpg","Photo")</f>
        <v>Photo</v>
      </c>
      <c r="AG1275">
        <v>47.630194000000003</v>
      </c>
      <c r="AH1275">
        <v>-122.353476</v>
      </c>
      <c r="AI1275" t="s">
        <v>66</v>
      </c>
      <c r="AJ1275">
        <v>98109</v>
      </c>
      <c r="AN1275">
        <v>762500</v>
      </c>
      <c r="BC1275" s="22">
        <v>39475.348090277781</v>
      </c>
      <c r="BI1275" s="22">
        <v>39549.294907407406</v>
      </c>
      <c r="BL1275">
        <v>49776</v>
      </c>
      <c r="BM1275">
        <v>1433874</v>
      </c>
      <c r="BN1275" t="s">
        <v>1674</v>
      </c>
      <c r="BO1275" s="17">
        <f t="shared" ca="1" si="19"/>
        <v>73.961315624997951</v>
      </c>
      <c r="BP1275" t="b">
        <v>0</v>
      </c>
      <c r="BQ1275">
        <v>1</v>
      </c>
      <c r="BR1275" t="s">
        <v>1816</v>
      </c>
      <c r="BS1275" t="s">
        <v>3651</v>
      </c>
      <c r="BT1275" t="b">
        <v>0</v>
      </c>
      <c r="BV1275" t="s">
        <v>1668</v>
      </c>
      <c r="BW1275">
        <v>162</v>
      </c>
      <c r="BY1275">
        <v>133847</v>
      </c>
      <c r="BZ1275" t="s">
        <v>1704</v>
      </c>
      <c r="CA1275">
        <v>1</v>
      </c>
      <c r="CB1275" t="b">
        <v>1</v>
      </c>
      <c r="CC1275">
        <v>0</v>
      </c>
      <c r="CD1275" t="b">
        <v>0</v>
      </c>
      <c r="CE1275" t="b">
        <v>0</v>
      </c>
      <c r="CF1275" t="b">
        <v>1</v>
      </c>
      <c r="CG1275">
        <v>2647641</v>
      </c>
      <c r="CH1275" t="s">
        <v>1681</v>
      </c>
      <c r="CI1275" s="10">
        <v>2488800</v>
      </c>
      <c r="CJ1275" s="7">
        <v>37706</v>
      </c>
    </row>
    <row r="1276" spans="1:88">
      <c r="A1276">
        <v>28016654</v>
      </c>
      <c r="B1276" s="2" t="str">
        <f>HYPERLINK("http://www.redfin.com/stingray/do/printable-listing?listing-id=1434917","Active")</f>
        <v>Active</v>
      </c>
      <c r="D1276" t="s">
        <v>99</v>
      </c>
      <c r="E1276" t="s">
        <v>1780</v>
      </c>
      <c r="F1276" s="19">
        <v>345500</v>
      </c>
      <c r="G1276">
        <v>1981</v>
      </c>
      <c r="H1276">
        <v>1286</v>
      </c>
      <c r="I1276">
        <v>0</v>
      </c>
      <c r="J1276">
        <v>2</v>
      </c>
      <c r="K1276">
        <v>1.75</v>
      </c>
      <c r="M1276" s="2" t="str">
        <f>HYPERLINK("http://maps.live.com/default.aspx?v=2&amp;lvl=15&amp;sp=Point.47.695532_-122.375703_9023 Mary Ave NW n105&amp;cp=47.695532~-122.375703","Map")</f>
        <v>Map</v>
      </c>
      <c r="N1276" s="2" t="str">
        <f>HYPERLINK("http://i-0.rfimg.us/photo/1/bigphoto/654/28016654_1.jpg","Photo")</f>
        <v>Photo</v>
      </c>
      <c r="AG1276">
        <v>47.695532</v>
      </c>
      <c r="AH1276">
        <v>-122.375703</v>
      </c>
      <c r="AI1276" t="s">
        <v>66</v>
      </c>
      <c r="AJ1276">
        <v>98117</v>
      </c>
      <c r="AM1276" t="s">
        <v>1777</v>
      </c>
      <c r="AN1276">
        <v>132500</v>
      </c>
      <c r="BC1276" s="22">
        <v>39475.605439814812</v>
      </c>
      <c r="BI1276" s="22">
        <v>39549.294907407406</v>
      </c>
      <c r="BL1276">
        <v>6950</v>
      </c>
      <c r="BM1276">
        <v>1434917</v>
      </c>
      <c r="BN1276" t="s">
        <v>1776</v>
      </c>
      <c r="BO1276" s="17">
        <f t="shared" ca="1" si="19"/>
        <v>73.703966203705932</v>
      </c>
      <c r="BP1276" t="b">
        <v>0</v>
      </c>
      <c r="BQ1276">
        <v>1</v>
      </c>
      <c r="BR1276" t="s">
        <v>1667</v>
      </c>
      <c r="BS1276" t="s">
        <v>1779</v>
      </c>
      <c r="BT1276" t="b">
        <v>0</v>
      </c>
      <c r="BV1276" t="s">
        <v>1668</v>
      </c>
      <c r="BW1276">
        <v>9023</v>
      </c>
      <c r="BX1276" t="s">
        <v>1669</v>
      </c>
      <c r="BY1276">
        <v>22601</v>
      </c>
      <c r="BZ1276" t="s">
        <v>1781</v>
      </c>
      <c r="CA1276">
        <v>1</v>
      </c>
      <c r="CB1276" t="b">
        <v>1</v>
      </c>
      <c r="CC1276">
        <v>0</v>
      </c>
      <c r="CD1276" t="b">
        <v>0</v>
      </c>
      <c r="CE1276" t="b">
        <v>0</v>
      </c>
      <c r="CF1276" t="b">
        <v>0</v>
      </c>
      <c r="CG1276">
        <v>2402595</v>
      </c>
      <c r="CH1276" t="s">
        <v>1666</v>
      </c>
      <c r="CI1276" s="10">
        <v>347500</v>
      </c>
      <c r="CJ1276" s="7">
        <v>33634</v>
      </c>
    </row>
    <row r="1277" spans="1:88">
      <c r="A1277">
        <v>28016659</v>
      </c>
      <c r="B1277" s="2" t="str">
        <f>HYPERLINK("http://www.redfin.com/stingray/do/printable-listing?listing-id=1442879","Active")</f>
        <v>Active</v>
      </c>
      <c r="D1277" t="s">
        <v>2850</v>
      </c>
      <c r="E1277" t="s">
        <v>4551</v>
      </c>
      <c r="F1277">
        <v>975000</v>
      </c>
      <c r="G1277">
        <v>1963</v>
      </c>
      <c r="H1277">
        <v>3300</v>
      </c>
      <c r="I1277">
        <v>6977</v>
      </c>
      <c r="J1277">
        <v>5</v>
      </c>
      <c r="K1277">
        <v>4</v>
      </c>
      <c r="M1277" s="2" t="str">
        <f>HYPERLINK("http://maps.live.com/default.aspx?v=2&amp;lvl=15&amp;sp=Point.47.700062_-122.23299_8121 NE 110th Pl&amp;cp=47.700062~-122.23299","Map")</f>
        <v>Map</v>
      </c>
      <c r="N1277" s="2" t="str">
        <f>HYPERLINK("http://i-0.rfimg.us/photo/1/bigphoto/659/28016659_2.jpg","Photo")</f>
        <v>Photo</v>
      </c>
      <c r="AG1277">
        <v>47.700062000000003</v>
      </c>
      <c r="AH1277">
        <v>-122.23299</v>
      </c>
      <c r="AI1277" t="s">
        <v>1058</v>
      </c>
      <c r="AJ1277">
        <v>98034</v>
      </c>
      <c r="AN1277">
        <v>467500</v>
      </c>
      <c r="BC1277" s="22">
        <v>39478.484525462962</v>
      </c>
      <c r="BI1277" s="22">
        <v>39549.294907407406</v>
      </c>
      <c r="BL1277">
        <v>19500</v>
      </c>
      <c r="BM1277">
        <v>1442879</v>
      </c>
      <c r="BN1277" t="s">
        <v>1674</v>
      </c>
      <c r="BO1277" s="17">
        <f t="shared" ca="1" si="19"/>
        <v>70.824880439817207</v>
      </c>
      <c r="BP1277" t="b">
        <v>0</v>
      </c>
      <c r="BQ1277">
        <v>1</v>
      </c>
      <c r="BR1277" t="s">
        <v>1842</v>
      </c>
      <c r="BS1277" t="s">
        <v>4369</v>
      </c>
      <c r="BT1277" t="b">
        <v>0</v>
      </c>
      <c r="BU1277" t="s">
        <v>1738</v>
      </c>
      <c r="BV1277" t="s">
        <v>1668</v>
      </c>
      <c r="BW1277">
        <v>8121</v>
      </c>
      <c r="BY1277">
        <v>282414</v>
      </c>
      <c r="BZ1277" t="s">
        <v>3497</v>
      </c>
      <c r="CA1277">
        <v>1</v>
      </c>
      <c r="CB1277" t="b">
        <v>1</v>
      </c>
      <c r="CC1277">
        <v>0</v>
      </c>
      <c r="CD1277" t="b">
        <v>0</v>
      </c>
      <c r="CE1277" t="b">
        <v>0</v>
      </c>
      <c r="CF1277" t="b">
        <v>1</v>
      </c>
      <c r="CG1277">
        <v>2776415</v>
      </c>
      <c r="CH1277" t="s">
        <v>1681</v>
      </c>
      <c r="CI1277" s="10">
        <v>975000</v>
      </c>
      <c r="CJ1277" s="7">
        <v>36663</v>
      </c>
    </row>
    <row r="1278" spans="1:88">
      <c r="A1278">
        <v>28016673</v>
      </c>
      <c r="B1278" s="2" t="str">
        <f>HYPERLINK("http://www.redfin.com/stingray/do/printable-listing?listing-id=1434903","Active")</f>
        <v>Active</v>
      </c>
      <c r="D1278" t="s">
        <v>3066</v>
      </c>
      <c r="E1278" t="s">
        <v>4794</v>
      </c>
      <c r="F1278">
        <v>888850</v>
      </c>
      <c r="G1278">
        <v>2007</v>
      </c>
      <c r="H1278">
        <v>3130</v>
      </c>
      <c r="I1278">
        <v>8138</v>
      </c>
      <c r="J1278">
        <v>3</v>
      </c>
      <c r="K1278">
        <v>2.5</v>
      </c>
      <c r="M1278" s="2" t="str">
        <f>HYPERLINK("http://maps.live.com/default.aspx?v=2&amp;lvl=15&amp;sp=Point.47.693337_-122.171588_12646 NE 104th St&amp;cp=47.693337~-122.171588","Map")</f>
        <v>Map</v>
      </c>
      <c r="N1278" s="2" t="str">
        <f>HYPERLINK("http://i-0.rfimg.us/photo/1/bigphoto/673/28016673_R.jpg","Photo")</f>
        <v>Photo</v>
      </c>
      <c r="AG1278">
        <v>47.693337</v>
      </c>
      <c r="AH1278">
        <v>-122.171588</v>
      </c>
      <c r="AI1278" t="s">
        <v>1058</v>
      </c>
      <c r="AJ1278">
        <v>98033</v>
      </c>
      <c r="AN1278">
        <v>549000</v>
      </c>
      <c r="BC1278" s="22">
        <v>39475.600486111114</v>
      </c>
      <c r="BI1278" s="22">
        <v>39549.294907407406</v>
      </c>
      <c r="BL1278">
        <v>17777</v>
      </c>
      <c r="BM1278">
        <v>1434903</v>
      </c>
      <c r="BN1278" t="s">
        <v>1735</v>
      </c>
      <c r="BO1278" s="17">
        <f t="shared" ca="1" si="19"/>
        <v>73.708919791664812</v>
      </c>
      <c r="BP1278" t="b">
        <v>0</v>
      </c>
      <c r="BQ1278">
        <v>1</v>
      </c>
      <c r="BR1278" t="s">
        <v>1686</v>
      </c>
      <c r="BS1278" t="s">
        <v>2910</v>
      </c>
      <c r="BT1278" t="b">
        <v>0</v>
      </c>
      <c r="BU1278" t="s">
        <v>1738</v>
      </c>
      <c r="BV1278" t="s">
        <v>1668</v>
      </c>
      <c r="BW1278">
        <v>12646</v>
      </c>
      <c r="BY1278">
        <v>511990</v>
      </c>
      <c r="BZ1278" t="s">
        <v>4795</v>
      </c>
      <c r="CA1278">
        <v>1</v>
      </c>
      <c r="CB1278" t="b">
        <v>1</v>
      </c>
      <c r="CC1278">
        <v>0</v>
      </c>
      <c r="CD1278" t="b">
        <v>0</v>
      </c>
      <c r="CE1278" t="b">
        <v>0</v>
      </c>
      <c r="CF1278" t="b">
        <v>1</v>
      </c>
      <c r="CG1278">
        <v>2854734</v>
      </c>
      <c r="CH1278" t="s">
        <v>1681</v>
      </c>
      <c r="CI1278" s="10">
        <v>888850</v>
      </c>
      <c r="CJ1278" s="7">
        <v>38932</v>
      </c>
    </row>
    <row r="1279" spans="1:88">
      <c r="A1279">
        <v>28016720</v>
      </c>
      <c r="B1279" s="2" t="str">
        <f>HYPERLINK("http://www.redfin.com/stingray/do/printable-listing?listing-id=1435793","Active")</f>
        <v>Active</v>
      </c>
      <c r="D1279" t="s">
        <v>2552</v>
      </c>
      <c r="E1279" t="s">
        <v>3369</v>
      </c>
      <c r="F1279">
        <v>899000</v>
      </c>
      <c r="G1279">
        <v>1937</v>
      </c>
      <c r="H1279">
        <v>1920</v>
      </c>
      <c r="I1279">
        <v>4080</v>
      </c>
      <c r="J1279">
        <v>3</v>
      </c>
      <c r="K1279">
        <v>2</v>
      </c>
      <c r="M1279" s="2" t="str">
        <f>HYPERLINK("http://maps.live.com/default.aspx?v=2&amp;lvl=15&amp;sp=Point.47.641337_-122.391946_2700 W Smith St&amp;cp=47.641337~-122.391946","Map")</f>
        <v>Map</v>
      </c>
      <c r="N1279" s="2" t="str">
        <f>HYPERLINK("http://i-0.rfimg.us/photo/1/bigphoto/720/28016720_1.jpg","Photo")</f>
        <v>Photo</v>
      </c>
      <c r="AG1279">
        <v>47.641337</v>
      </c>
      <c r="AH1279">
        <v>-122.391946</v>
      </c>
      <c r="AI1279" t="s">
        <v>66</v>
      </c>
      <c r="AJ1279">
        <v>98199</v>
      </c>
      <c r="AN1279">
        <v>770000</v>
      </c>
      <c r="BC1279" s="22">
        <v>39475.843576388892</v>
      </c>
      <c r="BI1279" s="22">
        <v>39549.294907407406</v>
      </c>
      <c r="BL1279">
        <v>17980</v>
      </c>
      <c r="BM1279">
        <v>1435793</v>
      </c>
      <c r="BN1279" t="s">
        <v>1680</v>
      </c>
      <c r="BO1279" s="17">
        <f t="shared" ca="1" si="19"/>
        <v>73.465829513887002</v>
      </c>
      <c r="BP1279" t="b">
        <v>0</v>
      </c>
      <c r="BQ1279">
        <v>1</v>
      </c>
      <c r="BR1279" t="s">
        <v>1686</v>
      </c>
      <c r="BS1279" t="s">
        <v>3357</v>
      </c>
      <c r="BT1279" t="b">
        <v>0</v>
      </c>
      <c r="BU1279" t="s">
        <v>2423</v>
      </c>
      <c r="BV1279" t="s">
        <v>1668</v>
      </c>
      <c r="BW1279">
        <v>2700</v>
      </c>
      <c r="BY1279">
        <v>123942</v>
      </c>
      <c r="BZ1279" t="s">
        <v>1911</v>
      </c>
      <c r="CA1279">
        <v>1</v>
      </c>
      <c r="CB1279" t="b">
        <v>1</v>
      </c>
      <c r="CC1279">
        <v>0</v>
      </c>
      <c r="CD1279" t="b">
        <v>0</v>
      </c>
      <c r="CE1279" t="b">
        <v>0</v>
      </c>
      <c r="CF1279" t="b">
        <v>1</v>
      </c>
      <c r="CG1279">
        <v>2589353</v>
      </c>
      <c r="CH1279" t="s">
        <v>1681</v>
      </c>
      <c r="CI1279" s="10">
        <v>899000</v>
      </c>
      <c r="CJ1279" s="7">
        <v>38845</v>
      </c>
    </row>
    <row r="1280" spans="1:88">
      <c r="A1280">
        <v>28016773</v>
      </c>
      <c r="B1280" s="2" t="str">
        <f>HYPERLINK("http://www.redfin.com/stingray/do/printable-listing?listing-id=1439014","Active")</f>
        <v>Active</v>
      </c>
      <c r="D1280" t="s">
        <v>63</v>
      </c>
      <c r="E1280" t="s">
        <v>1167</v>
      </c>
      <c r="F1280" s="19">
        <v>509000</v>
      </c>
      <c r="G1280">
        <v>1905</v>
      </c>
      <c r="H1280">
        <v>1520</v>
      </c>
      <c r="I1280">
        <v>3750</v>
      </c>
      <c r="J1280">
        <v>3</v>
      </c>
      <c r="K1280">
        <v>1.75</v>
      </c>
      <c r="M1280" s="2" t="str">
        <f>HYPERLINK("http://maps.live.com/default.aspx?v=2&amp;lvl=15&amp;sp=Point.47.676217_-122.361193_6504 4th Ave NW&amp;cp=47.676217~-122.361193","Map")</f>
        <v>Map</v>
      </c>
      <c r="N1280" s="2" t="str">
        <f>HYPERLINK("http://i-0.rfimg.us/photo/1/bigphoto/773/28016773_0.jpg","Photo")</f>
        <v>Photo</v>
      </c>
      <c r="AG1280">
        <v>47.676217000000001</v>
      </c>
      <c r="AH1280">
        <v>-122.361193</v>
      </c>
      <c r="AI1280" t="s">
        <v>66</v>
      </c>
      <c r="AJ1280">
        <v>98117</v>
      </c>
      <c r="AN1280">
        <v>405652</v>
      </c>
      <c r="BC1280" s="22">
        <v>39477.880277777775</v>
      </c>
      <c r="BI1280" s="7">
        <v>39520</v>
      </c>
      <c r="BL1280">
        <v>10498</v>
      </c>
      <c r="BM1280">
        <v>1439014</v>
      </c>
      <c r="BN1280" t="s">
        <v>2014</v>
      </c>
      <c r="BO1280" s="17">
        <f t="shared" ca="1" si="19"/>
        <v>71.429128240743012</v>
      </c>
      <c r="BP1280" t="b">
        <v>0</v>
      </c>
      <c r="BQ1280">
        <v>1</v>
      </c>
      <c r="BR1280" t="s">
        <v>1667</v>
      </c>
      <c r="BS1280" t="s">
        <v>1724</v>
      </c>
      <c r="BT1280" t="b">
        <v>0</v>
      </c>
      <c r="BV1280" t="s">
        <v>1668</v>
      </c>
      <c r="BW1280">
        <v>6504</v>
      </c>
      <c r="BX1280" t="s">
        <v>1669</v>
      </c>
      <c r="BY1280">
        <v>497142</v>
      </c>
      <c r="BZ1280" t="s">
        <v>1672</v>
      </c>
      <c r="CA1280">
        <v>1</v>
      </c>
      <c r="CB1280" t="b">
        <v>1</v>
      </c>
      <c r="CC1280">
        <v>0</v>
      </c>
      <c r="CD1280" t="b">
        <v>0</v>
      </c>
      <c r="CE1280" t="b">
        <v>0</v>
      </c>
      <c r="CF1280" t="b">
        <v>0</v>
      </c>
      <c r="CG1280">
        <v>2602329</v>
      </c>
      <c r="CH1280" t="s">
        <v>1681</v>
      </c>
      <c r="CI1280" s="10">
        <v>524924</v>
      </c>
      <c r="CJ1280" s="7">
        <v>39303</v>
      </c>
    </row>
    <row r="1281" spans="1:90">
      <c r="A1281">
        <v>28016821</v>
      </c>
      <c r="B1281" s="2" t="str">
        <f>HYPERLINK("http://www.redfin.com/stingray/do/printable-listing?listing-id=1435049","Active")</f>
        <v>Active</v>
      </c>
      <c r="D1281" t="s">
        <v>1058</v>
      </c>
      <c r="E1281" t="s">
        <v>4939</v>
      </c>
      <c r="F1281">
        <v>579000</v>
      </c>
      <c r="G1281">
        <v>1967</v>
      </c>
      <c r="H1281">
        <v>0</v>
      </c>
      <c r="I1281">
        <v>0</v>
      </c>
      <c r="J1281">
        <v>2</v>
      </c>
      <c r="K1281">
        <v>1.75</v>
      </c>
      <c r="M1281" s="2" t="str">
        <f>HYPERLINK("http://maps.live.com/default.aspx?v=2&amp;lvl=15&amp;sp=Point.47.663829_-122.207329_6401 Lake Washington Blvd&amp;cp=47.663829~-122.207329","Map")</f>
        <v>Map</v>
      </c>
      <c r="N1281" s="2" t="str">
        <f>HYPERLINK("http://i-0.rfimg.us/photo/1/bigphoto/821/28016821_1.jpg","Photo")</f>
        <v>Photo</v>
      </c>
      <c r="AG1281">
        <v>47.663829</v>
      </c>
      <c r="AH1281">
        <v>-122.207329</v>
      </c>
      <c r="AI1281" t="s">
        <v>1058</v>
      </c>
      <c r="AJ1281">
        <v>98033</v>
      </c>
      <c r="BC1281" s="22">
        <v>39475.63077546296</v>
      </c>
      <c r="BI1281" s="7">
        <v>39539</v>
      </c>
      <c r="BL1281">
        <v>11580</v>
      </c>
      <c r="BM1281">
        <v>1435049</v>
      </c>
      <c r="BN1281" t="s">
        <v>1768</v>
      </c>
      <c r="BO1281" s="17">
        <f t="shared" ca="1" si="19"/>
        <v>73.678630439819244</v>
      </c>
      <c r="BP1281" t="b">
        <v>0</v>
      </c>
      <c r="BQ1281">
        <v>1</v>
      </c>
      <c r="BR1281" t="s">
        <v>3141</v>
      </c>
      <c r="BS1281" t="s">
        <v>4293</v>
      </c>
      <c r="BT1281" t="b">
        <v>0</v>
      </c>
      <c r="BV1281" t="s">
        <v>1668</v>
      </c>
      <c r="BW1281">
        <v>6401</v>
      </c>
      <c r="BY1281">
        <v>2093880</v>
      </c>
      <c r="BZ1281" t="s">
        <v>2429</v>
      </c>
      <c r="CA1281">
        <v>1</v>
      </c>
      <c r="CB1281" t="b">
        <v>1</v>
      </c>
      <c r="CC1281">
        <v>0</v>
      </c>
      <c r="CD1281" t="b">
        <v>0</v>
      </c>
      <c r="CE1281" t="b">
        <v>0</v>
      </c>
      <c r="CF1281" t="b">
        <v>1</v>
      </c>
      <c r="CG1281">
        <v>2947607</v>
      </c>
      <c r="CH1281" t="s">
        <v>1681</v>
      </c>
      <c r="CI1281" s="10">
        <v>579000</v>
      </c>
    </row>
    <row r="1282" spans="1:90">
      <c r="A1282">
        <v>28016885</v>
      </c>
      <c r="B1282" s="15" t="str">
        <f>HYPERLINK("http://www.redfin.com/stingray/do/printable-listing?listing-id=1435050","Subject To Inspection")</f>
        <v>Subject To Inspection</v>
      </c>
      <c r="D1282" t="s">
        <v>5191</v>
      </c>
      <c r="E1282" t="s">
        <v>5677</v>
      </c>
      <c r="F1282" s="19">
        <v>595000</v>
      </c>
      <c r="G1282">
        <v>1984</v>
      </c>
      <c r="H1282">
        <v>2260</v>
      </c>
      <c r="I1282">
        <v>8985</v>
      </c>
      <c r="J1282">
        <v>3</v>
      </c>
      <c r="K1282">
        <v>2.5</v>
      </c>
      <c r="M1282" s="2" t="str">
        <f>HYPERLINK("http://maps.live.com/default.aspx?v=2&amp;lvl=15&amp;sp=Point.47.55419_-122.162793_13278 SE 54th Pl&amp;cp=47.55419~-122.162793","Map")</f>
        <v>Map</v>
      </c>
      <c r="N1282" s="2" t="str">
        <f>HYPERLINK("http://i-0.rfimg.us/photo/1/bigphoto/885/28016885_0.jpg","Photo")</f>
        <v>Photo</v>
      </c>
      <c r="AG1282">
        <v>47.554189999999998</v>
      </c>
      <c r="AH1282">
        <v>-122.16279299999999</v>
      </c>
      <c r="AI1282" t="s">
        <v>369</v>
      </c>
      <c r="AJ1282">
        <v>98006</v>
      </c>
      <c r="AN1282">
        <v>352000</v>
      </c>
      <c r="BC1282" s="22">
        <v>39475.630787037036</v>
      </c>
      <c r="BI1282" s="22">
        <v>39549.294907407406</v>
      </c>
      <c r="BL1282">
        <v>12110</v>
      </c>
      <c r="BM1282">
        <v>1435050</v>
      </c>
      <c r="BN1282" t="s">
        <v>1775</v>
      </c>
      <c r="BO1282" s="17">
        <f t="shared" ref="BO1282:BO1345" ca="1" si="20">NOW()-BC1282</f>
        <v>73.678618865742465</v>
      </c>
      <c r="BP1282" t="b">
        <v>0</v>
      </c>
      <c r="BQ1282">
        <v>1</v>
      </c>
      <c r="BR1282" t="s">
        <v>1842</v>
      </c>
      <c r="BS1282" t="s">
        <v>2585</v>
      </c>
      <c r="BT1282" t="b">
        <v>0</v>
      </c>
      <c r="BU1282" t="s">
        <v>3856</v>
      </c>
      <c r="BV1282" t="s">
        <v>1668</v>
      </c>
      <c r="BW1282">
        <v>13278</v>
      </c>
      <c r="BY1282">
        <v>237039</v>
      </c>
      <c r="BZ1282" t="s">
        <v>1747</v>
      </c>
      <c r="CA1282">
        <v>1</v>
      </c>
      <c r="CB1282" t="b">
        <v>1</v>
      </c>
      <c r="CC1282">
        <v>0</v>
      </c>
      <c r="CD1282" t="b">
        <v>0</v>
      </c>
      <c r="CE1282" t="b">
        <v>0</v>
      </c>
      <c r="CF1282" t="b">
        <v>1</v>
      </c>
      <c r="CG1282">
        <v>2693474</v>
      </c>
      <c r="CH1282" t="s">
        <v>1681</v>
      </c>
      <c r="CI1282" s="10">
        <v>605500</v>
      </c>
      <c r="CJ1282" s="7">
        <v>36476</v>
      </c>
    </row>
    <row r="1283" spans="1:90">
      <c r="A1283">
        <v>28016980</v>
      </c>
      <c r="B1283" s="2" t="str">
        <f>HYPERLINK("http://www.redfin.com/stingray/do/printable-listing?listing-id=1439093","Active")</f>
        <v>Active</v>
      </c>
      <c r="D1283" t="s">
        <v>3685</v>
      </c>
      <c r="E1283" t="s">
        <v>3792</v>
      </c>
      <c r="F1283" s="19">
        <v>1670000</v>
      </c>
      <c r="G1283">
        <v>2007</v>
      </c>
      <c r="H1283">
        <v>3940</v>
      </c>
      <c r="I1283">
        <v>0</v>
      </c>
      <c r="J1283">
        <v>5</v>
      </c>
      <c r="K1283">
        <v>3.5</v>
      </c>
      <c r="M1283" s="2" t="str">
        <f>HYPERLINK("http://maps.live.com/default.aspx?v=2&amp;lvl=15&amp;sp=Point.47.633238_-122.28503_3701 E Garfield St&amp;cp=47.633238~-122.28503","Map")</f>
        <v>Map</v>
      </c>
      <c r="N1283" s="2" t="str">
        <f>HYPERLINK("http://i-0.rfimg.us/photo/1/bigphoto/980/28016980_0.jpg","Photo")</f>
        <v>Photo</v>
      </c>
      <c r="AG1283">
        <v>47.633237999999999</v>
      </c>
      <c r="AH1283">
        <v>-122.28503000000001</v>
      </c>
      <c r="AI1283" t="s">
        <v>66</v>
      </c>
      <c r="AJ1283">
        <v>98112</v>
      </c>
      <c r="AN1283">
        <v>1995000</v>
      </c>
      <c r="BC1283" s="22">
        <v>39477.881006944444</v>
      </c>
      <c r="BI1283" s="22">
        <v>39549.294907407406</v>
      </c>
      <c r="BL1283">
        <v>35900</v>
      </c>
      <c r="BM1283">
        <v>1439093</v>
      </c>
      <c r="BN1283" t="s">
        <v>2556</v>
      </c>
      <c r="BO1283" s="17">
        <f t="shared" ca="1" si="20"/>
        <v>71.428398958334583</v>
      </c>
      <c r="BP1283" t="b">
        <v>0</v>
      </c>
      <c r="BQ1283">
        <v>1</v>
      </c>
      <c r="BR1283" t="s">
        <v>1686</v>
      </c>
      <c r="BS1283" t="s">
        <v>3299</v>
      </c>
      <c r="BT1283" t="b">
        <v>0</v>
      </c>
      <c r="BU1283" t="s">
        <v>2436</v>
      </c>
      <c r="BV1283" t="s">
        <v>1668</v>
      </c>
      <c r="BW1283">
        <v>3701</v>
      </c>
      <c r="BY1283">
        <v>139645</v>
      </c>
      <c r="BZ1283" t="s">
        <v>1745</v>
      </c>
      <c r="CA1283">
        <v>1</v>
      </c>
      <c r="CB1283" t="b">
        <v>1</v>
      </c>
      <c r="CC1283">
        <v>0</v>
      </c>
      <c r="CD1283" t="b">
        <v>0</v>
      </c>
      <c r="CE1283" t="b">
        <v>0</v>
      </c>
      <c r="CF1283" t="b">
        <v>1</v>
      </c>
      <c r="CG1283">
        <v>2395870</v>
      </c>
      <c r="CH1283" t="s">
        <v>1681</v>
      </c>
      <c r="CI1283" s="10">
        <v>1795000</v>
      </c>
      <c r="CJ1283" s="7">
        <v>39304</v>
      </c>
      <c r="CL1283" s="19" t="s">
        <v>6837</v>
      </c>
    </row>
    <row r="1284" spans="1:90">
      <c r="A1284">
        <v>28017008</v>
      </c>
      <c r="B1284" s="2" t="str">
        <f>HYPERLINK("http://www.redfin.com/stingray/do/printable-listing?listing-id=1443438","Active")</f>
        <v>Active</v>
      </c>
      <c r="D1284" t="s">
        <v>5121</v>
      </c>
      <c r="E1284" t="s">
        <v>5376</v>
      </c>
      <c r="F1284">
        <v>720000</v>
      </c>
      <c r="G1284">
        <v>1954</v>
      </c>
      <c r="H1284">
        <v>1830</v>
      </c>
      <c r="I1284">
        <v>11200</v>
      </c>
      <c r="J1284">
        <v>4</v>
      </c>
      <c r="K1284">
        <v>1.75</v>
      </c>
      <c r="M1284" s="2" t="str">
        <f>HYPERLINK("http://maps.live.com/default.aspx?v=2&amp;lvl=15&amp;sp=Point.47.586367_-122.192192_11036 SE 27th Pl&amp;cp=47.586367~-122.192192","Map")</f>
        <v>Map</v>
      </c>
      <c r="N1284" s="2" t="str">
        <f>HYPERLINK("http://i-0.rfimg.us/photo/1/bigphoto/008/28017008_1.jpg","Photo")</f>
        <v>Photo</v>
      </c>
      <c r="AG1284">
        <v>47.586367000000003</v>
      </c>
      <c r="AH1284">
        <v>-122.19219200000001</v>
      </c>
      <c r="AI1284" t="s">
        <v>369</v>
      </c>
      <c r="AJ1284">
        <v>98004</v>
      </c>
      <c r="AN1284">
        <v>688000</v>
      </c>
      <c r="BC1284" s="22">
        <v>39478.610081018516</v>
      </c>
      <c r="BI1284" s="22">
        <v>39549.294907407406</v>
      </c>
      <c r="BL1284">
        <v>14400</v>
      </c>
      <c r="BM1284">
        <v>1443438</v>
      </c>
      <c r="BN1284" t="s">
        <v>2136</v>
      </c>
      <c r="BO1284" s="17">
        <f t="shared" ca="1" si="20"/>
        <v>70.699324884262751</v>
      </c>
      <c r="BP1284" t="b">
        <v>0</v>
      </c>
      <c r="BQ1284">
        <v>1</v>
      </c>
      <c r="BR1284" t="s">
        <v>1842</v>
      </c>
      <c r="BS1284" t="s">
        <v>1751</v>
      </c>
      <c r="BT1284" t="b">
        <v>0</v>
      </c>
      <c r="BU1284" t="s">
        <v>3856</v>
      </c>
      <c r="BV1284" t="s">
        <v>1668</v>
      </c>
      <c r="BW1284">
        <v>11036</v>
      </c>
      <c r="BY1284">
        <v>510960</v>
      </c>
      <c r="BZ1284" t="s">
        <v>5377</v>
      </c>
      <c r="CA1284">
        <v>1</v>
      </c>
      <c r="CB1284" t="b">
        <v>1</v>
      </c>
      <c r="CC1284">
        <v>0</v>
      </c>
      <c r="CD1284" t="b">
        <v>0</v>
      </c>
      <c r="CE1284" t="b">
        <v>0</v>
      </c>
      <c r="CF1284" t="b">
        <v>1</v>
      </c>
      <c r="CG1284">
        <v>2692029</v>
      </c>
      <c r="CH1284" t="s">
        <v>1681</v>
      </c>
      <c r="CI1284" s="10">
        <v>720000</v>
      </c>
      <c r="CJ1284" s="7">
        <v>38615</v>
      </c>
    </row>
    <row r="1285" spans="1:90">
      <c r="A1285">
        <v>28017066</v>
      </c>
      <c r="B1285" s="2" t="str">
        <f>HYPERLINK("http://www.redfin.com/stingray/do/printable-listing?listing-id=1438760","Active")</f>
        <v>Active</v>
      </c>
      <c r="D1285" t="s">
        <v>5606</v>
      </c>
      <c r="E1285" t="s">
        <v>5865</v>
      </c>
      <c r="F1285">
        <v>950000</v>
      </c>
      <c r="G1285">
        <v>1996</v>
      </c>
      <c r="H1285">
        <v>2350</v>
      </c>
      <c r="I1285">
        <v>9602</v>
      </c>
      <c r="J1285">
        <v>4</v>
      </c>
      <c r="K1285">
        <v>2.5</v>
      </c>
      <c r="M1285" s="2" t="str">
        <f>HYPERLINK("http://maps.live.com/default.aspx?v=2&amp;lvl=15&amp;sp=Point.47.555864_-122.221365_5232 88th Ave SE&amp;cp=47.555864~-122.221365","Map")</f>
        <v>Map</v>
      </c>
      <c r="N1285" s="2" t="str">
        <f>HYPERLINK("http://i-0.rfimg.us/photo/1/bigphoto/066/28017066_1.jpg","Photo")</f>
        <v>Photo</v>
      </c>
      <c r="AG1285">
        <v>47.555864</v>
      </c>
      <c r="AH1285">
        <v>-122.22136500000001</v>
      </c>
      <c r="AI1285" t="s">
        <v>5139</v>
      </c>
      <c r="AJ1285">
        <v>98040</v>
      </c>
      <c r="AN1285">
        <v>593000</v>
      </c>
      <c r="BC1285" s="22">
        <v>39476.944363425922</v>
      </c>
      <c r="BI1285" s="22">
        <v>39549.294907407406</v>
      </c>
      <c r="BL1285">
        <v>19000</v>
      </c>
      <c r="BM1285">
        <v>1438760</v>
      </c>
      <c r="BN1285" t="s">
        <v>1674</v>
      </c>
      <c r="BO1285" s="17">
        <f t="shared" ca="1" si="20"/>
        <v>72.365042476856615</v>
      </c>
      <c r="BP1285" t="b">
        <v>0</v>
      </c>
      <c r="BQ1285">
        <v>1</v>
      </c>
      <c r="BR1285" t="s">
        <v>1667</v>
      </c>
      <c r="BS1285" t="s">
        <v>1719</v>
      </c>
      <c r="BT1285" t="b">
        <v>0</v>
      </c>
      <c r="BV1285" t="s">
        <v>1668</v>
      </c>
      <c r="BW1285">
        <v>5232</v>
      </c>
      <c r="BX1285" t="s">
        <v>3856</v>
      </c>
      <c r="BY1285">
        <v>259958</v>
      </c>
      <c r="BZ1285" t="s">
        <v>3305</v>
      </c>
      <c r="CA1285">
        <v>1</v>
      </c>
      <c r="CB1285" t="b">
        <v>1</v>
      </c>
      <c r="CC1285">
        <v>0</v>
      </c>
      <c r="CD1285" t="b">
        <v>0</v>
      </c>
      <c r="CE1285" t="b">
        <v>0</v>
      </c>
      <c r="CF1285" t="b">
        <v>1</v>
      </c>
      <c r="CG1285">
        <v>2510804</v>
      </c>
      <c r="CH1285" t="s">
        <v>1681</v>
      </c>
      <c r="CI1285" s="10">
        <v>950000</v>
      </c>
      <c r="CJ1285" s="7">
        <v>37546</v>
      </c>
    </row>
    <row r="1286" spans="1:90">
      <c r="A1286">
        <v>28017090</v>
      </c>
      <c r="B1286" s="15" t="str">
        <f>HYPERLINK("http://www.redfin.com/stingray/do/printable-listing?listing-id=1438737","Subject To Inspection")</f>
        <v>Subject To Inspection</v>
      </c>
      <c r="D1286" t="s">
        <v>63</v>
      </c>
      <c r="E1286" t="s">
        <v>1194</v>
      </c>
      <c r="F1286" s="19">
        <v>524950</v>
      </c>
      <c r="G1286">
        <v>1942</v>
      </c>
      <c r="H1286">
        <v>2590</v>
      </c>
      <c r="I1286">
        <v>4224</v>
      </c>
      <c r="J1286">
        <v>3</v>
      </c>
      <c r="K1286">
        <v>2</v>
      </c>
      <c r="M1286" s="2" t="str">
        <f>HYPERLINK("http://maps.live.com/default.aspx?v=2&amp;lvl=15&amp;sp=Point.47.687538_-122.377565_8020 16th Ave NW&amp;cp=47.687538~-122.377565","Map")</f>
        <v>Map</v>
      </c>
      <c r="N1286" s="2" t="str">
        <f>HYPERLINK("http://i-0.rfimg.us/photo/1/bigphoto/090/28017090_1.jpg","Photo")</f>
        <v>Photo</v>
      </c>
      <c r="AG1286">
        <v>47.687538000000004</v>
      </c>
      <c r="AH1286">
        <v>-122.377565</v>
      </c>
      <c r="AI1286" t="s">
        <v>66</v>
      </c>
      <c r="AJ1286">
        <v>98117</v>
      </c>
      <c r="AN1286">
        <v>276000</v>
      </c>
      <c r="BC1286" s="22">
        <v>39476.925173611111</v>
      </c>
      <c r="BI1286" s="7">
        <v>39542</v>
      </c>
      <c r="BL1286">
        <v>11099</v>
      </c>
      <c r="BM1286">
        <v>1438737</v>
      </c>
      <c r="BN1286" t="s">
        <v>1690</v>
      </c>
      <c r="BO1286" s="17">
        <f t="shared" ca="1" si="20"/>
        <v>72.384232407406671</v>
      </c>
      <c r="BP1286" t="b">
        <v>0</v>
      </c>
      <c r="BQ1286">
        <v>1</v>
      </c>
      <c r="BR1286" t="s">
        <v>1667</v>
      </c>
      <c r="BS1286" t="s">
        <v>1695</v>
      </c>
      <c r="BT1286" t="b">
        <v>0</v>
      </c>
      <c r="BV1286" t="s">
        <v>1668</v>
      </c>
      <c r="BW1286">
        <v>8020</v>
      </c>
      <c r="BX1286" t="s">
        <v>1669</v>
      </c>
      <c r="BY1286">
        <v>166401</v>
      </c>
      <c r="BZ1286" t="s">
        <v>1709</v>
      </c>
      <c r="CA1286">
        <v>1</v>
      </c>
      <c r="CB1286" t="b">
        <v>1</v>
      </c>
      <c r="CC1286">
        <v>0</v>
      </c>
      <c r="CD1286" t="b">
        <v>0</v>
      </c>
      <c r="CE1286" t="b">
        <v>0</v>
      </c>
      <c r="CF1286" t="b">
        <v>0</v>
      </c>
      <c r="CG1286">
        <v>2489436</v>
      </c>
      <c r="CH1286" t="s">
        <v>1681</v>
      </c>
      <c r="CI1286" s="10">
        <v>554950</v>
      </c>
      <c r="CJ1286" s="7">
        <v>36739</v>
      </c>
      <c r="CK1286" t="s">
        <v>2274</v>
      </c>
    </row>
    <row r="1287" spans="1:90">
      <c r="A1287">
        <v>28017134</v>
      </c>
      <c r="B1287" s="2" t="str">
        <f>HYPERLINK("http://www.redfin.com/stingray/do/printable-listing?listing-id=1451009","Active")</f>
        <v>Active</v>
      </c>
      <c r="D1287" t="s">
        <v>194</v>
      </c>
      <c r="E1287" t="s">
        <v>3008</v>
      </c>
      <c r="F1287">
        <v>795000</v>
      </c>
      <c r="G1287">
        <v>2007</v>
      </c>
      <c r="H1287">
        <v>1692</v>
      </c>
      <c r="I1287">
        <v>4101</v>
      </c>
      <c r="J1287">
        <v>3</v>
      </c>
      <c r="K1287">
        <v>2.25</v>
      </c>
      <c r="M1287" s="2" t="str">
        <f>HYPERLINK("http://maps.live.com/default.aspx?v=2&amp;lvl=15&amp;sp=Point.47.699037_-122.293468_3061 NE 97th St&amp;cp=47.699037~-122.293468","Map")</f>
        <v>Map</v>
      </c>
      <c r="N1287" s="2" t="str">
        <f>HYPERLINK("http://i-0.rfimg.us/photo/1/bigphoto/134/28017134_2.jpg","Photo")</f>
        <v>Photo</v>
      </c>
      <c r="AG1287">
        <v>47.699036999999997</v>
      </c>
      <c r="AH1287">
        <v>-122.293468</v>
      </c>
      <c r="AI1287" t="s">
        <v>66</v>
      </c>
      <c r="AJ1287">
        <v>98115</v>
      </c>
      <c r="AN1287">
        <v>305000</v>
      </c>
      <c r="BC1287" s="22">
        <v>39481.733831018515</v>
      </c>
      <c r="BI1287" s="22">
        <v>39549.294907407406</v>
      </c>
      <c r="BL1287">
        <v>15900</v>
      </c>
      <c r="BM1287">
        <v>1451009</v>
      </c>
      <c r="BN1287" t="s">
        <v>2014</v>
      </c>
      <c r="BO1287" s="17">
        <f t="shared" ca="1" si="20"/>
        <v>67.575574884263915</v>
      </c>
      <c r="BP1287" t="b">
        <v>0</v>
      </c>
      <c r="BQ1287">
        <v>1</v>
      </c>
      <c r="BR1287" t="s">
        <v>1686</v>
      </c>
      <c r="BS1287" t="s">
        <v>1840</v>
      </c>
      <c r="BT1287" t="b">
        <v>0</v>
      </c>
      <c r="BU1287" t="s">
        <v>1738</v>
      </c>
      <c r="BV1287" t="s">
        <v>1668</v>
      </c>
      <c r="BW1287">
        <v>3061</v>
      </c>
      <c r="BY1287">
        <v>113505</v>
      </c>
      <c r="BZ1287" t="s">
        <v>1730</v>
      </c>
      <c r="CA1287">
        <v>1</v>
      </c>
      <c r="CB1287" t="b">
        <v>1</v>
      </c>
      <c r="CC1287">
        <v>0</v>
      </c>
      <c r="CD1287" t="b">
        <v>0</v>
      </c>
      <c r="CE1287" t="b">
        <v>0</v>
      </c>
      <c r="CF1287" t="b">
        <v>1</v>
      </c>
      <c r="CG1287">
        <v>2530636</v>
      </c>
      <c r="CH1287" t="s">
        <v>1681</v>
      </c>
      <c r="CI1287" s="10">
        <v>795000</v>
      </c>
      <c r="CJ1287" s="7">
        <v>38875</v>
      </c>
    </row>
    <row r="1288" spans="1:90">
      <c r="A1288">
        <v>28017146</v>
      </c>
      <c r="B1288" s="2" t="str">
        <f>HYPERLINK("http://www.redfin.com/stingray/do/printable-listing?listing-id=1436917","Active")</f>
        <v>Active</v>
      </c>
      <c r="D1288" t="s">
        <v>5216</v>
      </c>
      <c r="E1288" t="s">
        <v>5461</v>
      </c>
      <c r="F1288" s="19">
        <v>669900</v>
      </c>
      <c r="G1288">
        <v>1961</v>
      </c>
      <c r="H1288">
        <v>2150</v>
      </c>
      <c r="I1288">
        <v>8250</v>
      </c>
      <c r="J1288">
        <v>3</v>
      </c>
      <c r="K1288">
        <v>2.25</v>
      </c>
      <c r="M1288" s="2" t="str">
        <f>HYPERLINK("http://maps.live.com/default.aspx?v=2&amp;lvl=15&amp;sp=Point.47.615466_-122.112075_17172 NE 5th St&amp;cp=47.615466~-122.112075","Map")</f>
        <v>Map</v>
      </c>
      <c r="N1288" s="2" t="str">
        <f>HYPERLINK("http://i-0.rfimg.us/photo/1/bigphoto/146/28017146_0.jpg","Photo")</f>
        <v>Photo</v>
      </c>
      <c r="AG1288">
        <v>47.615465999999998</v>
      </c>
      <c r="AH1288">
        <v>-122.112075</v>
      </c>
      <c r="AI1288" t="s">
        <v>369</v>
      </c>
      <c r="AJ1288">
        <v>98008</v>
      </c>
      <c r="AN1288">
        <v>338000</v>
      </c>
      <c r="BC1288" s="22">
        <v>39476.390416666669</v>
      </c>
      <c r="BI1288" s="22">
        <v>39549.294907407406</v>
      </c>
      <c r="BL1288">
        <v>13558</v>
      </c>
      <c r="BM1288">
        <v>1436917</v>
      </c>
      <c r="BN1288" t="s">
        <v>1688</v>
      </c>
      <c r="BO1288" s="17">
        <f t="shared" ca="1" si="20"/>
        <v>72.918989236110065</v>
      </c>
      <c r="BP1288" t="b">
        <v>0</v>
      </c>
      <c r="BQ1288">
        <v>1</v>
      </c>
      <c r="BR1288" t="s">
        <v>1686</v>
      </c>
      <c r="BS1288" t="s">
        <v>1832</v>
      </c>
      <c r="BT1288" t="b">
        <v>0</v>
      </c>
      <c r="BU1288" t="s">
        <v>1738</v>
      </c>
      <c r="BV1288" t="s">
        <v>1668</v>
      </c>
      <c r="BW1288">
        <v>17172</v>
      </c>
      <c r="BY1288">
        <v>500700</v>
      </c>
      <c r="BZ1288" t="s">
        <v>1713</v>
      </c>
      <c r="CA1288">
        <v>1</v>
      </c>
      <c r="CB1288" t="b">
        <v>1</v>
      </c>
      <c r="CC1288">
        <v>0</v>
      </c>
      <c r="CD1288" t="b">
        <v>0</v>
      </c>
      <c r="CE1288" t="b">
        <v>0</v>
      </c>
      <c r="CF1288" t="b">
        <v>1</v>
      </c>
      <c r="CG1288">
        <v>2986884</v>
      </c>
      <c r="CH1288" t="s">
        <v>1681</v>
      </c>
      <c r="CI1288" s="10">
        <v>677900</v>
      </c>
      <c r="CJ1288" s="7">
        <v>36672</v>
      </c>
    </row>
    <row r="1289" spans="1:90">
      <c r="A1289">
        <v>28017178</v>
      </c>
      <c r="B1289" s="2" t="str">
        <f>HYPERLINK("http://www.redfin.com/stingray/do/printable-listing?listing-id=1437060","Active")</f>
        <v>Active</v>
      </c>
      <c r="D1289" t="s">
        <v>4542</v>
      </c>
      <c r="E1289" t="s">
        <v>4651</v>
      </c>
      <c r="F1289">
        <v>1058950</v>
      </c>
      <c r="G1289">
        <v>2005</v>
      </c>
      <c r="H1289">
        <v>2997</v>
      </c>
      <c r="I1289">
        <v>7367</v>
      </c>
      <c r="J1289">
        <v>4</v>
      </c>
      <c r="K1289">
        <v>3.5</v>
      </c>
      <c r="M1289" s="2" t="str">
        <f>HYPERLINK("http://maps.live.com/default.aspx?v=2&amp;lvl=15&amp;sp=Point.47.689463_-122.202002_423 18th Ave&amp;cp=47.689463~-122.202002","Map")</f>
        <v>Map</v>
      </c>
      <c r="N1289" s="2" t="str">
        <f>HYPERLINK("http://i-0.rfimg.us/photo/1/bigphoto/178/28017178_3.jpg","Photo")</f>
        <v>Photo</v>
      </c>
      <c r="AG1289">
        <v>47.689463000000003</v>
      </c>
      <c r="AH1289">
        <v>-122.20200199999999</v>
      </c>
      <c r="AI1289" t="s">
        <v>1058</v>
      </c>
      <c r="AJ1289">
        <v>98033</v>
      </c>
      <c r="AN1289">
        <v>898000</v>
      </c>
      <c r="BC1289" s="22">
        <v>39476.444351851853</v>
      </c>
      <c r="BI1289" s="22">
        <v>39549.294907407406</v>
      </c>
      <c r="BL1289">
        <v>21179</v>
      </c>
      <c r="BM1289">
        <v>1437060</v>
      </c>
      <c r="BN1289" t="s">
        <v>1746</v>
      </c>
      <c r="BO1289" s="17">
        <f t="shared" ca="1" si="20"/>
        <v>72.865054050926119</v>
      </c>
      <c r="BP1289" t="b">
        <v>0</v>
      </c>
      <c r="BQ1289">
        <v>1</v>
      </c>
      <c r="BR1289" t="s">
        <v>1667</v>
      </c>
      <c r="BS1289" t="s">
        <v>1909</v>
      </c>
      <c r="BT1289" t="b">
        <v>0</v>
      </c>
      <c r="BV1289" t="s">
        <v>1668</v>
      </c>
      <c r="BW1289">
        <v>423</v>
      </c>
      <c r="BY1289">
        <v>464615</v>
      </c>
      <c r="BZ1289" t="s">
        <v>4652</v>
      </c>
      <c r="CA1289">
        <v>1</v>
      </c>
      <c r="CB1289" t="b">
        <v>1</v>
      </c>
      <c r="CC1289">
        <v>0</v>
      </c>
      <c r="CD1289" t="b">
        <v>0</v>
      </c>
      <c r="CE1289" t="b">
        <v>0</v>
      </c>
      <c r="CF1289" t="b">
        <v>1</v>
      </c>
      <c r="CG1289">
        <v>2531434</v>
      </c>
      <c r="CH1289" t="s">
        <v>1681</v>
      </c>
      <c r="CI1289" s="10">
        <v>1058950</v>
      </c>
      <c r="CJ1289" s="7">
        <v>38478</v>
      </c>
    </row>
    <row r="1290" spans="1:90">
      <c r="A1290">
        <v>28017204</v>
      </c>
      <c r="B1290" s="2" t="str">
        <f>HYPERLINK("http://www.redfin.com/stingray/do/printable-listing?listing-id=1437195","Active")</f>
        <v>Active</v>
      </c>
      <c r="D1290" t="s">
        <v>4542</v>
      </c>
      <c r="E1290" t="s">
        <v>4728</v>
      </c>
      <c r="F1290">
        <v>850000</v>
      </c>
      <c r="G1290">
        <v>1916</v>
      </c>
      <c r="H1290">
        <v>2030</v>
      </c>
      <c r="I1290">
        <v>7842</v>
      </c>
      <c r="J1290">
        <v>3</v>
      </c>
      <c r="K1290">
        <v>2</v>
      </c>
      <c r="M1290" s="2" t="str">
        <f>HYPERLINK("http://maps.live.com/default.aspx?v=2&amp;lvl=15&amp;sp=Point.47.683204_-122.204042_1016 3rd St&amp;cp=47.683204~-122.204042","Map")</f>
        <v>Map</v>
      </c>
      <c r="N1290" s="2" t="str">
        <f>HYPERLINK("http://i-0.rfimg.us/photo/1/bigphoto/204/28017204_T.jpg","Photo")</f>
        <v>Photo</v>
      </c>
      <c r="AG1290">
        <v>47.683204000000003</v>
      </c>
      <c r="AH1290">
        <v>-122.204042</v>
      </c>
      <c r="AI1290" t="s">
        <v>1058</v>
      </c>
      <c r="AJ1290">
        <v>98033</v>
      </c>
      <c r="AN1290">
        <v>822000</v>
      </c>
      <c r="BC1290" s="22">
        <v>39476.476527777777</v>
      </c>
      <c r="BI1290" s="22">
        <v>39549.294907407406</v>
      </c>
      <c r="BL1290">
        <v>17000</v>
      </c>
      <c r="BM1290">
        <v>1437195</v>
      </c>
      <c r="BN1290" t="s">
        <v>1746</v>
      </c>
      <c r="BO1290" s="17">
        <f t="shared" ca="1" si="20"/>
        <v>72.832878125002026</v>
      </c>
      <c r="BP1290" t="b">
        <v>0</v>
      </c>
      <c r="BQ1290">
        <v>1</v>
      </c>
      <c r="BR1290" t="s">
        <v>1686</v>
      </c>
      <c r="BS1290" t="s">
        <v>1796</v>
      </c>
      <c r="BT1290" t="b">
        <v>0</v>
      </c>
      <c r="BV1290" t="s">
        <v>1668</v>
      </c>
      <c r="BW1290">
        <v>1016</v>
      </c>
      <c r="BY1290">
        <v>462642</v>
      </c>
      <c r="BZ1290" t="s">
        <v>4729</v>
      </c>
      <c r="CA1290">
        <v>1</v>
      </c>
      <c r="CB1290" t="b">
        <v>1</v>
      </c>
      <c r="CC1290">
        <v>0</v>
      </c>
      <c r="CD1290" t="b">
        <v>0</v>
      </c>
      <c r="CE1290" t="b">
        <v>0</v>
      </c>
      <c r="CF1290" t="b">
        <v>1</v>
      </c>
      <c r="CG1290">
        <v>2614772</v>
      </c>
      <c r="CH1290" t="s">
        <v>1681</v>
      </c>
      <c r="CI1290" s="10">
        <v>850000</v>
      </c>
      <c r="CJ1290" s="7">
        <v>39279</v>
      </c>
    </row>
    <row r="1291" spans="1:90">
      <c r="A1291">
        <v>28017223</v>
      </c>
      <c r="B1291" s="2" t="str">
        <f>HYPERLINK("http://www.redfin.com/stingray/do/printable-listing?listing-id=1437095","Active")</f>
        <v>Active</v>
      </c>
      <c r="D1291" t="s">
        <v>3681</v>
      </c>
      <c r="E1291" t="s">
        <v>3730</v>
      </c>
      <c r="F1291">
        <v>939000</v>
      </c>
      <c r="G1291">
        <v>1912</v>
      </c>
      <c r="H1291">
        <v>3550</v>
      </c>
      <c r="I1291">
        <v>7247</v>
      </c>
      <c r="J1291">
        <v>4</v>
      </c>
      <c r="K1291">
        <v>2</v>
      </c>
      <c r="M1291" s="2" t="str">
        <f>HYPERLINK("http://maps.live.com/default.aspx?v=2&amp;lvl=15&amp;sp=Point.47.639285_-122.305719_1931 E Lynn St&amp;cp=47.639285~-122.305719","Map")</f>
        <v>Map</v>
      </c>
      <c r="N1291" s="2" t="str">
        <f>HYPERLINK("http://i-0.rfimg.us/photo/1/bigphoto/223/28017223_0.jpg","Photo")</f>
        <v>Photo</v>
      </c>
      <c r="AG1291">
        <v>47.639285000000001</v>
      </c>
      <c r="AH1291">
        <v>-122.305719</v>
      </c>
      <c r="AI1291" t="s">
        <v>66</v>
      </c>
      <c r="AJ1291">
        <v>98112</v>
      </c>
      <c r="AN1291">
        <v>620000</v>
      </c>
      <c r="BC1291" s="22">
        <v>39476.45416666667</v>
      </c>
      <c r="BI1291" s="22">
        <v>39549.294907407406</v>
      </c>
      <c r="BL1291">
        <v>18780</v>
      </c>
      <c r="BM1291">
        <v>1437095</v>
      </c>
      <c r="BN1291" t="s">
        <v>1688</v>
      </c>
      <c r="BO1291" s="17">
        <f t="shared" ca="1" si="20"/>
        <v>72.855239236108901</v>
      </c>
      <c r="BP1291" t="b">
        <v>0</v>
      </c>
      <c r="BQ1291">
        <v>1</v>
      </c>
      <c r="BR1291" t="s">
        <v>1686</v>
      </c>
      <c r="BS1291" t="s">
        <v>3731</v>
      </c>
      <c r="BT1291" t="b">
        <v>0</v>
      </c>
      <c r="BU1291" t="s">
        <v>2436</v>
      </c>
      <c r="BV1291" t="s">
        <v>1668</v>
      </c>
      <c r="BW1291">
        <v>1931</v>
      </c>
      <c r="BY1291">
        <v>138555</v>
      </c>
      <c r="BZ1291" t="s">
        <v>1672</v>
      </c>
      <c r="CA1291">
        <v>1</v>
      </c>
      <c r="CB1291" t="b">
        <v>1</v>
      </c>
      <c r="CC1291">
        <v>0</v>
      </c>
      <c r="CD1291" t="b">
        <v>0</v>
      </c>
      <c r="CE1291" t="b">
        <v>0</v>
      </c>
      <c r="CF1291" t="b">
        <v>1</v>
      </c>
      <c r="CG1291">
        <v>2747965</v>
      </c>
      <c r="CH1291" t="s">
        <v>1681</v>
      </c>
      <c r="CI1291" s="10">
        <v>939000</v>
      </c>
      <c r="CJ1291" s="7">
        <v>36664</v>
      </c>
    </row>
    <row r="1292" spans="1:90">
      <c r="A1292">
        <v>28017253</v>
      </c>
      <c r="B1292" s="15" t="str">
        <f>HYPERLINK("http://www.redfin.com/stingray/do/printable-listing?listing-id=1437110","Subject To Inspection")</f>
        <v>Subject To Inspection</v>
      </c>
      <c r="D1292" t="s">
        <v>109</v>
      </c>
      <c r="E1292" t="s">
        <v>3308</v>
      </c>
      <c r="F1292">
        <v>579500</v>
      </c>
      <c r="G1292">
        <v>1927</v>
      </c>
      <c r="H1292">
        <v>2300</v>
      </c>
      <c r="I1292">
        <v>5400</v>
      </c>
      <c r="J1292">
        <v>4</v>
      </c>
      <c r="K1292">
        <v>1</v>
      </c>
      <c r="M1292" s="2" t="str">
        <f>HYPERLINK("http://maps.live.com/default.aspx?v=2&amp;lvl=15&amp;sp=Point.47.655789_-122.330703_2314 N 40th St&amp;cp=47.655789~-122.330703","Map")</f>
        <v>Map</v>
      </c>
      <c r="N1292" s="2" t="str">
        <f>HYPERLINK("http://i-0.rfimg.us/photo/1/bigphoto/253/28017253_1.jpg","Photo")</f>
        <v>Photo</v>
      </c>
      <c r="AG1292">
        <v>47.655788999999999</v>
      </c>
      <c r="AH1292">
        <v>-122.330703</v>
      </c>
      <c r="AI1292" t="s">
        <v>66</v>
      </c>
      <c r="AJ1292">
        <v>98103</v>
      </c>
      <c r="AN1292">
        <v>515000</v>
      </c>
      <c r="BC1292" s="22">
        <v>39476.465462962966</v>
      </c>
      <c r="BI1292" s="22">
        <v>39549.294907407406</v>
      </c>
      <c r="BL1292">
        <v>11590</v>
      </c>
      <c r="BM1292">
        <v>1437110</v>
      </c>
      <c r="BN1292" t="s">
        <v>1702</v>
      </c>
      <c r="BO1292" s="17">
        <f t="shared" ca="1" si="20"/>
        <v>72.843942939813132</v>
      </c>
      <c r="BP1292" t="b">
        <v>0</v>
      </c>
      <c r="BQ1292">
        <v>1</v>
      </c>
      <c r="BR1292" t="s">
        <v>1686</v>
      </c>
      <c r="BS1292" t="s">
        <v>2832</v>
      </c>
      <c r="BT1292" t="b">
        <v>0</v>
      </c>
      <c r="BU1292" t="s">
        <v>1712</v>
      </c>
      <c r="BV1292" t="s">
        <v>1668</v>
      </c>
      <c r="BW1292">
        <v>2314</v>
      </c>
      <c r="BY1292">
        <v>117478</v>
      </c>
      <c r="BZ1292" t="s">
        <v>3309</v>
      </c>
      <c r="CA1292">
        <v>1</v>
      </c>
      <c r="CB1292" t="b">
        <v>1</v>
      </c>
      <c r="CC1292">
        <v>0</v>
      </c>
      <c r="CD1292" t="b">
        <v>0</v>
      </c>
      <c r="CE1292" t="b">
        <v>0</v>
      </c>
      <c r="CF1292" t="b">
        <v>1</v>
      </c>
      <c r="CG1292">
        <v>2776216</v>
      </c>
      <c r="CH1292" t="s">
        <v>1681</v>
      </c>
      <c r="CI1292" s="10">
        <v>579500</v>
      </c>
      <c r="CJ1292" s="7">
        <v>38527</v>
      </c>
      <c r="CL1292" t="s">
        <v>2325</v>
      </c>
    </row>
    <row r="1293" spans="1:90">
      <c r="A1293">
        <v>28017365</v>
      </c>
      <c r="B1293" s="2" t="str">
        <f>HYPERLINK("http://www.redfin.com/stingray/do/printable-listing?listing-id=1437606","Active")</f>
        <v>Active</v>
      </c>
      <c r="D1293" t="s">
        <v>5198</v>
      </c>
      <c r="E1293" t="s">
        <v>5491</v>
      </c>
      <c r="F1293">
        <v>1249950</v>
      </c>
      <c r="G1293">
        <v>1992</v>
      </c>
      <c r="H1293">
        <v>4620</v>
      </c>
      <c r="I1293">
        <v>31407</v>
      </c>
      <c r="J1293">
        <v>4</v>
      </c>
      <c r="K1293">
        <v>4.75</v>
      </c>
      <c r="M1293" s="2" t="str">
        <f>HYPERLINK("http://maps.live.com/default.aspx?v=2&amp;lvl=15&amp;sp=Point.47.56882_-122.114366_16902 SE 43 St&amp;cp=47.56882~-122.114366","Map")</f>
        <v>Map</v>
      </c>
      <c r="N1293" s="2" t="str">
        <f>HYPERLINK("http://i-0.rfimg.us/photo/1/bigphoto/365/28017365_0.jpg","Photo")</f>
        <v>Photo</v>
      </c>
      <c r="AG1293">
        <v>47.568820000000002</v>
      </c>
      <c r="AH1293">
        <v>-122.114366</v>
      </c>
      <c r="AI1293" t="s">
        <v>5280</v>
      </c>
      <c r="AJ1293">
        <v>98027</v>
      </c>
      <c r="AN1293">
        <v>860000</v>
      </c>
      <c r="BC1293" s="22">
        <v>39476.579756944448</v>
      </c>
      <c r="BI1293" s="7">
        <v>39532</v>
      </c>
      <c r="BL1293">
        <v>24999</v>
      </c>
      <c r="BM1293">
        <v>1437606</v>
      </c>
      <c r="BN1293" t="s">
        <v>4760</v>
      </c>
      <c r="BO1293" s="17">
        <f t="shared" ca="1" si="20"/>
        <v>72.729648958331381</v>
      </c>
      <c r="BP1293" t="b">
        <v>0</v>
      </c>
      <c r="BQ1293">
        <v>1</v>
      </c>
      <c r="BR1293" t="s">
        <v>1686</v>
      </c>
      <c r="BS1293">
        <v>43</v>
      </c>
      <c r="BT1293" t="b">
        <v>0</v>
      </c>
      <c r="BU1293" t="s">
        <v>3856</v>
      </c>
      <c r="BV1293" t="s">
        <v>1668</v>
      </c>
      <c r="BW1293">
        <v>16902</v>
      </c>
      <c r="BY1293">
        <v>236755</v>
      </c>
      <c r="BZ1293" t="s">
        <v>1670</v>
      </c>
      <c r="CA1293">
        <v>1</v>
      </c>
      <c r="CB1293" t="b">
        <v>1</v>
      </c>
      <c r="CC1293">
        <v>0</v>
      </c>
      <c r="CD1293" t="b">
        <v>0</v>
      </c>
      <c r="CE1293" t="b">
        <v>0</v>
      </c>
      <c r="CF1293" t="b">
        <v>1</v>
      </c>
      <c r="CG1293">
        <v>2398732</v>
      </c>
      <c r="CH1293" t="s">
        <v>1681</v>
      </c>
      <c r="CI1293" s="10">
        <v>1249950</v>
      </c>
      <c r="CJ1293" s="7">
        <v>38499</v>
      </c>
    </row>
    <row r="1294" spans="1:90">
      <c r="A1294">
        <v>28017367</v>
      </c>
      <c r="B1294" s="2" t="str">
        <f>HYPERLINK("http://www.redfin.com/stingray/do/printable-listing?listing-id=1437539","Active")</f>
        <v>Active</v>
      </c>
      <c r="D1294" t="s">
        <v>5201</v>
      </c>
      <c r="E1294" t="s">
        <v>5440</v>
      </c>
      <c r="F1294">
        <v>534995</v>
      </c>
      <c r="G1294">
        <v>1963</v>
      </c>
      <c r="H1294">
        <v>2180</v>
      </c>
      <c r="I1294">
        <v>7405</v>
      </c>
      <c r="J1294">
        <v>4</v>
      </c>
      <c r="K1294">
        <v>2</v>
      </c>
      <c r="M1294" s="2" t="str">
        <f>HYPERLINK("http://maps.live.com/default.aspx?v=2&amp;lvl=15&amp;sp=Point.47.58921_-122.130416_15638 SE 24th St&amp;cp=47.58921~-122.130416","Map")</f>
        <v>Map</v>
      </c>
      <c r="N1294" s="2" t="str">
        <f>HYPERLINK("http://i-0.rfimg.us/photo/1/bigphoto/367/28017367_2.jpg","Photo")</f>
        <v>Photo</v>
      </c>
      <c r="AG1294">
        <v>47.589210000000001</v>
      </c>
      <c r="AH1294">
        <v>-122.130416</v>
      </c>
      <c r="AI1294" t="s">
        <v>369</v>
      </c>
      <c r="AJ1294">
        <v>98008</v>
      </c>
      <c r="AN1294">
        <v>87500</v>
      </c>
      <c r="BC1294" s="22">
        <v>39476.565266203703</v>
      </c>
      <c r="BI1294" s="22">
        <v>39549.294907407406</v>
      </c>
      <c r="BL1294">
        <v>10700</v>
      </c>
      <c r="BM1294">
        <v>1437539</v>
      </c>
      <c r="BN1294" t="s">
        <v>5439</v>
      </c>
      <c r="BO1294" s="17">
        <f t="shared" ca="1" si="20"/>
        <v>72.744139699076186</v>
      </c>
      <c r="BP1294" t="b">
        <v>0</v>
      </c>
      <c r="BQ1294">
        <v>1</v>
      </c>
      <c r="BR1294" t="s">
        <v>1686</v>
      </c>
      <c r="BS1294" t="s">
        <v>1740</v>
      </c>
      <c r="BT1294" t="b">
        <v>0</v>
      </c>
      <c r="BU1294" t="s">
        <v>3856</v>
      </c>
      <c r="BV1294" t="s">
        <v>1668</v>
      </c>
      <c r="BW1294">
        <v>15638</v>
      </c>
      <c r="BY1294">
        <v>428921</v>
      </c>
      <c r="BZ1294" t="s">
        <v>1730</v>
      </c>
      <c r="CA1294">
        <v>1</v>
      </c>
      <c r="CB1294" t="b">
        <v>1</v>
      </c>
      <c r="CC1294">
        <v>0</v>
      </c>
      <c r="CD1294" t="b">
        <v>0</v>
      </c>
      <c r="CE1294" t="b">
        <v>0</v>
      </c>
      <c r="CF1294" t="b">
        <v>1</v>
      </c>
      <c r="CG1294">
        <v>2795730</v>
      </c>
      <c r="CH1294" t="s">
        <v>1681</v>
      </c>
      <c r="CI1294" s="10">
        <v>534995</v>
      </c>
      <c r="CJ1294" s="7">
        <v>32199</v>
      </c>
    </row>
    <row r="1295" spans="1:90">
      <c r="A1295">
        <v>28017383</v>
      </c>
      <c r="B1295" s="2" t="str">
        <f>HYPERLINK("http://www.redfin.com/stingray/do/printable-listing?listing-id=1437807","Active")</f>
        <v>Active</v>
      </c>
      <c r="D1295" t="s">
        <v>2848</v>
      </c>
      <c r="E1295" t="s">
        <v>2946</v>
      </c>
      <c r="F1295">
        <v>1399000</v>
      </c>
      <c r="G1295">
        <v>2008</v>
      </c>
      <c r="H1295">
        <v>4006</v>
      </c>
      <c r="I1295">
        <v>12450</v>
      </c>
      <c r="J1295">
        <v>3</v>
      </c>
      <c r="K1295">
        <v>2.5</v>
      </c>
      <c r="M1295" s="2" t="str">
        <f>HYPERLINK("http://maps.live.com/default.aspx?v=2&amp;lvl=15&amp;sp=Point.47.712512_-122.251042_12411 68th Ave NE&amp;cp=47.712512~-122.251042","Map")</f>
        <v>Map</v>
      </c>
      <c r="N1295" s="2" t="str">
        <f>HYPERLINK("http://i-0.rfimg.us/photo/1/bigphoto/383/28017383_8.jpg","Photo")</f>
        <v>Photo</v>
      </c>
      <c r="AG1295">
        <v>47.712511999999997</v>
      </c>
      <c r="AH1295">
        <v>-122.251042</v>
      </c>
      <c r="AI1295" t="s">
        <v>1058</v>
      </c>
      <c r="AJ1295">
        <v>98034</v>
      </c>
      <c r="AN1295">
        <v>340000</v>
      </c>
      <c r="BC1295" s="22">
        <v>39476.648946759262</v>
      </c>
      <c r="BI1295" s="22">
        <v>39549.294907407406</v>
      </c>
      <c r="BL1295">
        <v>27980</v>
      </c>
      <c r="BM1295">
        <v>1437807</v>
      </c>
      <c r="BN1295" t="s">
        <v>2945</v>
      </c>
      <c r="BO1295" s="17">
        <f t="shared" ca="1" si="20"/>
        <v>72.660459143517073</v>
      </c>
      <c r="BP1295" t="b">
        <v>0</v>
      </c>
      <c r="BQ1295">
        <v>1</v>
      </c>
      <c r="BR1295" t="s">
        <v>1667</v>
      </c>
      <c r="BS1295" t="s">
        <v>1863</v>
      </c>
      <c r="BT1295" t="b">
        <v>0</v>
      </c>
      <c r="BV1295" t="s">
        <v>1668</v>
      </c>
      <c r="BW1295">
        <v>12411</v>
      </c>
      <c r="BX1295" t="s">
        <v>1738</v>
      </c>
      <c r="BY1295">
        <v>282069</v>
      </c>
      <c r="BZ1295" t="s">
        <v>2947</v>
      </c>
      <c r="CA1295">
        <v>1</v>
      </c>
      <c r="CB1295" t="b">
        <v>1</v>
      </c>
      <c r="CC1295">
        <v>0</v>
      </c>
      <c r="CD1295" t="b">
        <v>0</v>
      </c>
      <c r="CE1295" t="b">
        <v>0</v>
      </c>
      <c r="CF1295" t="b">
        <v>1</v>
      </c>
      <c r="CG1295">
        <v>2380519</v>
      </c>
      <c r="CH1295" t="s">
        <v>1681</v>
      </c>
      <c r="CI1295" s="10">
        <v>1399000</v>
      </c>
      <c r="CJ1295" s="7">
        <v>39213</v>
      </c>
    </row>
    <row r="1296" spans="1:90">
      <c r="A1296">
        <v>28017425</v>
      </c>
      <c r="B1296" s="2" t="str">
        <f>HYPERLINK("http://www.redfin.com/stingray/do/printable-listing?listing-id=1437652","Active")</f>
        <v>Active</v>
      </c>
      <c r="D1296" t="s">
        <v>4809</v>
      </c>
      <c r="E1296" t="s">
        <v>4807</v>
      </c>
      <c r="F1296">
        <v>575000</v>
      </c>
      <c r="G1296">
        <v>1979</v>
      </c>
      <c r="H1296">
        <v>1651</v>
      </c>
      <c r="I1296">
        <v>14450</v>
      </c>
      <c r="J1296">
        <v>3</v>
      </c>
      <c r="K1296">
        <v>2.5</v>
      </c>
      <c r="M1296" s="2" t="str">
        <f>HYPERLINK("http://maps.live.com/default.aspx?v=2&amp;lvl=15&amp;sp=Point.47.670549_-122.139532_7331 151st Ave NE&amp;cp=47.670549~-122.139532","Map")</f>
        <v>Map</v>
      </c>
      <c r="N1296" s="2" t="str">
        <f>HYPERLINK("http://i-0.rfimg.us/photo/1/bigphoto/425/28017425_0.jpg","Photo")</f>
        <v>Photo</v>
      </c>
      <c r="AG1296">
        <v>47.670549000000001</v>
      </c>
      <c r="AH1296">
        <v>-122.139532</v>
      </c>
      <c r="AI1296" t="s">
        <v>4363</v>
      </c>
      <c r="AJ1296">
        <v>98052</v>
      </c>
      <c r="AN1296">
        <v>465000</v>
      </c>
      <c r="BC1296" s="22">
        <v>39476.603206018517</v>
      </c>
      <c r="BI1296" s="22">
        <v>39549.294907407406</v>
      </c>
      <c r="BL1296">
        <v>11500</v>
      </c>
      <c r="BM1296">
        <v>1437652</v>
      </c>
      <c r="BN1296" t="s">
        <v>4806</v>
      </c>
      <c r="BO1296" s="17">
        <f t="shared" ca="1" si="20"/>
        <v>72.706199884261878</v>
      </c>
      <c r="BP1296" t="b">
        <v>0</v>
      </c>
      <c r="BQ1296">
        <v>1</v>
      </c>
      <c r="BR1296" t="s">
        <v>1667</v>
      </c>
      <c r="BS1296" t="s">
        <v>4808</v>
      </c>
      <c r="BT1296" t="b">
        <v>0</v>
      </c>
      <c r="BV1296" t="s">
        <v>1668</v>
      </c>
      <c r="BW1296">
        <v>7331</v>
      </c>
      <c r="BX1296" t="s">
        <v>1738</v>
      </c>
      <c r="BY1296">
        <v>515776</v>
      </c>
      <c r="BZ1296" s="21">
        <v>0</v>
      </c>
      <c r="CA1296">
        <v>1</v>
      </c>
      <c r="CB1296" t="b">
        <v>1</v>
      </c>
      <c r="CC1296">
        <v>0</v>
      </c>
      <c r="CD1296" t="b">
        <v>0</v>
      </c>
      <c r="CE1296" t="b">
        <v>0</v>
      </c>
      <c r="CF1296" t="b">
        <v>1</v>
      </c>
      <c r="CG1296">
        <v>2898279</v>
      </c>
      <c r="CH1296" t="s">
        <v>1681</v>
      </c>
      <c r="CI1296" s="10">
        <v>575000</v>
      </c>
      <c r="CJ1296" s="7">
        <v>38457</v>
      </c>
    </row>
    <row r="1297" spans="1:88">
      <c r="A1297">
        <v>28017437</v>
      </c>
      <c r="B1297" s="2" t="str">
        <f>HYPERLINK("http://www.redfin.com/stingray/do/printable-listing?listing-id=1437650","Active")</f>
        <v>Active</v>
      </c>
      <c r="D1297" t="s">
        <v>3885</v>
      </c>
      <c r="E1297" t="s">
        <v>6044</v>
      </c>
      <c r="F1297">
        <v>562875</v>
      </c>
      <c r="G1297">
        <v>1997</v>
      </c>
      <c r="H1297">
        <v>2515</v>
      </c>
      <c r="I1297">
        <v>0</v>
      </c>
      <c r="J1297">
        <v>4</v>
      </c>
      <c r="K1297">
        <v>2.5</v>
      </c>
      <c r="M1297" s="2" t="str">
        <f>HYPERLINK("http://maps.live.com/default.aspx?v=2&amp;lvl=15&amp;sp=Point.47.512721_-122.17417_2336 Olympia Ave NE&amp;cp=47.512721~-122.17417","Map")</f>
        <v>Map</v>
      </c>
      <c r="N1297" s="2" t="str">
        <f>HYPERLINK("http://i-0.rfimg.us/photo/1/bigphoto/437/28017437_0.jpg","Photo")</f>
        <v>Photo</v>
      </c>
      <c r="AG1297">
        <v>47.512720999999999</v>
      </c>
      <c r="AH1297">
        <v>-122.17417</v>
      </c>
      <c r="AI1297" t="s">
        <v>1077</v>
      </c>
      <c r="AJ1297">
        <v>98056</v>
      </c>
      <c r="AN1297">
        <v>494500</v>
      </c>
      <c r="BC1297" s="22">
        <v>39476.603113425925</v>
      </c>
      <c r="BI1297" s="22">
        <v>39549.294907407406</v>
      </c>
      <c r="BL1297">
        <v>11258</v>
      </c>
      <c r="BM1297">
        <v>1437650</v>
      </c>
      <c r="BN1297" t="s">
        <v>6043</v>
      </c>
      <c r="BO1297" s="17">
        <f t="shared" ca="1" si="20"/>
        <v>72.706292476854287</v>
      </c>
      <c r="BP1297" t="b">
        <v>0</v>
      </c>
      <c r="BQ1297">
        <v>1</v>
      </c>
      <c r="BR1297" t="s">
        <v>1667</v>
      </c>
      <c r="BS1297" t="s">
        <v>6045</v>
      </c>
      <c r="BT1297" t="b">
        <v>0</v>
      </c>
      <c r="BV1297" t="s">
        <v>1668</v>
      </c>
      <c r="BW1297">
        <v>2336</v>
      </c>
      <c r="BX1297" t="s">
        <v>1738</v>
      </c>
      <c r="BY1297">
        <v>411629</v>
      </c>
      <c r="BZ1297" t="s">
        <v>1747</v>
      </c>
      <c r="CA1297">
        <v>1</v>
      </c>
      <c r="CB1297" t="b">
        <v>1</v>
      </c>
      <c r="CC1297">
        <v>0</v>
      </c>
      <c r="CD1297" t="b">
        <v>0</v>
      </c>
      <c r="CE1297" t="b">
        <v>0</v>
      </c>
      <c r="CF1297" t="b">
        <v>1</v>
      </c>
      <c r="CG1297">
        <v>2381930</v>
      </c>
      <c r="CH1297" t="s">
        <v>1681</v>
      </c>
      <c r="CI1297" s="10">
        <v>562875</v>
      </c>
      <c r="CJ1297" s="7">
        <v>38631</v>
      </c>
    </row>
    <row r="1298" spans="1:88">
      <c r="A1298">
        <v>28017471</v>
      </c>
      <c r="B1298" s="2" t="str">
        <f>HYPERLINK("http://www.redfin.com/stingray/do/printable-listing?listing-id=1452572","Active")</f>
        <v>Active</v>
      </c>
      <c r="D1298" t="s">
        <v>63</v>
      </c>
      <c r="E1298" t="s">
        <v>2501</v>
      </c>
      <c r="F1298">
        <v>439000</v>
      </c>
      <c r="G1298">
        <v>2007</v>
      </c>
      <c r="H1298">
        <v>1459</v>
      </c>
      <c r="I1298">
        <v>0</v>
      </c>
      <c r="J1298">
        <v>2</v>
      </c>
      <c r="K1298">
        <v>1.5</v>
      </c>
      <c r="M1298" s="2" t="str">
        <f>HYPERLINK("http://maps.live.com/default.aspx?v=2&amp;lvl=15&amp;sp=Point.47.675504_-122.374714_1422 NW 64th St nC&amp;cp=47.675504~-122.374714","Map")</f>
        <v>Map</v>
      </c>
      <c r="N1298" s="2" t="str">
        <f>HYPERLINK("http://i-0.rfimg.us/photo/1/bigphoto/471/28017471_0.jpg","Photo")</f>
        <v>Photo</v>
      </c>
      <c r="AG1298">
        <v>47.675503999999997</v>
      </c>
      <c r="AH1298">
        <v>-122.374714</v>
      </c>
      <c r="AI1298" t="s">
        <v>66</v>
      </c>
      <c r="AJ1298">
        <v>98107</v>
      </c>
      <c r="AM1298" t="s">
        <v>2341</v>
      </c>
      <c r="BC1298" s="22">
        <v>39482.661666666667</v>
      </c>
      <c r="BI1298" s="22">
        <v>39549.294907407406</v>
      </c>
      <c r="BL1298">
        <v>8780</v>
      </c>
      <c r="BM1298">
        <v>1452572</v>
      </c>
      <c r="BN1298" t="s">
        <v>1674</v>
      </c>
      <c r="BO1298" s="17">
        <f t="shared" ca="1" si="20"/>
        <v>66.64773935185076</v>
      </c>
      <c r="BP1298" t="b">
        <v>0</v>
      </c>
      <c r="BQ1298">
        <v>1</v>
      </c>
      <c r="BR1298" t="s">
        <v>1686</v>
      </c>
      <c r="BS1298" t="s">
        <v>2405</v>
      </c>
      <c r="BT1298" t="b">
        <v>0</v>
      </c>
      <c r="BU1298" t="s">
        <v>1669</v>
      </c>
      <c r="BV1298" t="s">
        <v>1668</v>
      </c>
      <c r="BW1298">
        <v>1422</v>
      </c>
      <c r="BY1298">
        <v>12385970</v>
      </c>
      <c r="BZ1298" t="s">
        <v>1741</v>
      </c>
      <c r="CA1298">
        <v>1</v>
      </c>
      <c r="CB1298" t="b">
        <v>1</v>
      </c>
      <c r="CC1298">
        <v>0</v>
      </c>
      <c r="CD1298" t="b">
        <v>0</v>
      </c>
      <c r="CE1298" t="b">
        <v>0</v>
      </c>
      <c r="CF1298" t="b">
        <v>1</v>
      </c>
      <c r="CG1298">
        <v>15589718</v>
      </c>
      <c r="CH1298" t="s">
        <v>1681</v>
      </c>
      <c r="CI1298" s="10">
        <v>439000</v>
      </c>
    </row>
    <row r="1299" spans="1:88">
      <c r="A1299">
        <v>28017478</v>
      </c>
      <c r="B1299" s="2" t="str">
        <f>HYPERLINK("http://www.redfin.com/stingray/do/printable-listing?listing-id=1437783","Active")</f>
        <v>Active</v>
      </c>
      <c r="D1299" t="s">
        <v>70</v>
      </c>
      <c r="E1299" t="s">
        <v>2788</v>
      </c>
      <c r="F1299" s="19">
        <v>650000</v>
      </c>
      <c r="G1299">
        <v>1947</v>
      </c>
      <c r="H1299">
        <v>2790</v>
      </c>
      <c r="I1299">
        <v>8412</v>
      </c>
      <c r="J1299">
        <v>3</v>
      </c>
      <c r="K1299">
        <v>2.5</v>
      </c>
      <c r="M1299" s="2" t="str">
        <f>HYPERLINK("http://maps.live.com/default.aspx?v=2&amp;lvl=15&amp;sp=Point.47.713176_-122.35913_11608 2nd Ave NW&amp;cp=47.713176~-122.35913","Map")</f>
        <v>Map</v>
      </c>
      <c r="N1299" s="2" t="str">
        <f>HYPERLINK("http://i-0.rfimg.us/photo/1/bigphoto/478/28017478_1.jpg","Photo")</f>
        <v>Photo</v>
      </c>
      <c r="AG1299">
        <v>47.713175999999997</v>
      </c>
      <c r="AH1299">
        <v>-122.35912999999999</v>
      </c>
      <c r="AI1299" t="s">
        <v>66</v>
      </c>
      <c r="AJ1299">
        <v>98177</v>
      </c>
      <c r="AN1299">
        <v>415000</v>
      </c>
      <c r="BC1299" s="22">
        <v>39476.644375000003</v>
      </c>
      <c r="BI1299" s="22">
        <v>39549.294907407406</v>
      </c>
      <c r="BL1299">
        <v>13500</v>
      </c>
      <c r="BM1299">
        <v>1437783</v>
      </c>
      <c r="BN1299" t="s">
        <v>1688</v>
      </c>
      <c r="BO1299" s="17">
        <f t="shared" ca="1" si="20"/>
        <v>72.665031018514128</v>
      </c>
      <c r="BP1299" t="b">
        <v>0</v>
      </c>
      <c r="BQ1299">
        <v>1</v>
      </c>
      <c r="BR1299" t="s">
        <v>1667</v>
      </c>
      <c r="BS1299" t="s">
        <v>1958</v>
      </c>
      <c r="BT1299" t="b">
        <v>0</v>
      </c>
      <c r="BV1299" t="s">
        <v>1668</v>
      </c>
      <c r="BW1299">
        <v>11608</v>
      </c>
      <c r="BX1299" t="s">
        <v>1669</v>
      </c>
      <c r="BY1299">
        <v>96957</v>
      </c>
      <c r="BZ1299" t="s">
        <v>2646</v>
      </c>
      <c r="CA1299">
        <v>1</v>
      </c>
      <c r="CB1299" t="b">
        <v>1</v>
      </c>
      <c r="CC1299">
        <v>0</v>
      </c>
      <c r="CD1299" t="b">
        <v>0</v>
      </c>
      <c r="CE1299" t="b">
        <v>0</v>
      </c>
      <c r="CF1299" t="b">
        <v>1</v>
      </c>
      <c r="CG1299">
        <v>2617898</v>
      </c>
      <c r="CH1299" t="s">
        <v>1681</v>
      </c>
      <c r="CI1299" s="10">
        <v>675000</v>
      </c>
      <c r="CJ1299" s="7">
        <v>39021</v>
      </c>
    </row>
    <row r="1300" spans="1:88">
      <c r="A1300">
        <v>28017512</v>
      </c>
      <c r="B1300" s="2" t="str">
        <f>HYPERLINK("http://www.redfin.com/stingray/do/printable-listing?listing-id=1442795","Active")</f>
        <v>Active</v>
      </c>
      <c r="D1300" t="s">
        <v>5161</v>
      </c>
      <c r="E1300" t="s">
        <v>5485</v>
      </c>
      <c r="F1300">
        <v>749950</v>
      </c>
      <c r="G1300">
        <v>1947</v>
      </c>
      <c r="H1300">
        <v>2040</v>
      </c>
      <c r="I1300">
        <v>10800</v>
      </c>
      <c r="J1300">
        <v>3</v>
      </c>
      <c r="K1300">
        <v>2</v>
      </c>
      <c r="M1300" s="2" t="str">
        <f>HYPERLINK("http://maps.live.com/default.aspx?v=2&amp;lvl=15&amp;sp=Point.47.576426_-122.222546_3719 88th Ave SE&amp;cp=47.576426~-122.222546","Map")</f>
        <v>Map</v>
      </c>
      <c r="N1300" s="2" t="str">
        <f>HYPERLINK("http://i-0.rfimg.us/photo/1/bigphoto/512/28017512_H.jpg","Photo")</f>
        <v>Photo</v>
      </c>
      <c r="AG1300">
        <v>47.576425999999998</v>
      </c>
      <c r="AH1300">
        <v>-122.22254599999999</v>
      </c>
      <c r="AI1300" t="s">
        <v>5139</v>
      </c>
      <c r="AJ1300">
        <v>98040</v>
      </c>
      <c r="AN1300">
        <v>640000</v>
      </c>
      <c r="BC1300" s="22">
        <v>39478.463530092595</v>
      </c>
      <c r="BI1300" s="22">
        <v>39549.294907407406</v>
      </c>
      <c r="BL1300">
        <v>14999</v>
      </c>
      <c r="BM1300">
        <v>1442795</v>
      </c>
      <c r="BN1300" t="s">
        <v>1737</v>
      </c>
      <c r="BO1300" s="17">
        <f t="shared" ca="1" si="20"/>
        <v>70.845875810184225</v>
      </c>
      <c r="BP1300" t="b">
        <v>0</v>
      </c>
      <c r="BQ1300">
        <v>1</v>
      </c>
      <c r="BR1300" t="s">
        <v>1667</v>
      </c>
      <c r="BS1300" t="s">
        <v>1719</v>
      </c>
      <c r="BT1300" t="b">
        <v>0</v>
      </c>
      <c r="BV1300" t="s">
        <v>1668</v>
      </c>
      <c r="BW1300">
        <v>3719</v>
      </c>
      <c r="BX1300" t="s">
        <v>3856</v>
      </c>
      <c r="BY1300">
        <v>254616</v>
      </c>
      <c r="BZ1300" t="s">
        <v>5486</v>
      </c>
      <c r="CA1300">
        <v>1</v>
      </c>
      <c r="CB1300" t="b">
        <v>1</v>
      </c>
      <c r="CC1300">
        <v>0</v>
      </c>
      <c r="CD1300" t="b">
        <v>0</v>
      </c>
      <c r="CE1300" t="b">
        <v>0</v>
      </c>
      <c r="CF1300" t="b">
        <v>1</v>
      </c>
      <c r="CG1300">
        <v>2982722</v>
      </c>
      <c r="CH1300" t="s">
        <v>1681</v>
      </c>
      <c r="CI1300" s="10">
        <v>749950</v>
      </c>
      <c r="CJ1300" s="7">
        <v>39205</v>
      </c>
    </row>
    <row r="1301" spans="1:88">
      <c r="A1301">
        <v>28017530</v>
      </c>
      <c r="B1301" s="2" t="str">
        <f>HYPERLINK("http://www.redfin.com/stingray/do/printable-listing?listing-id=1447015","Active")</f>
        <v>Active</v>
      </c>
      <c r="D1301" t="s">
        <v>1115</v>
      </c>
      <c r="E1301" t="s">
        <v>3226</v>
      </c>
      <c r="F1301">
        <v>970000</v>
      </c>
      <c r="G1301">
        <v>2008</v>
      </c>
      <c r="H1301">
        <v>3226</v>
      </c>
      <c r="I1301">
        <v>4181</v>
      </c>
      <c r="J1301">
        <v>5</v>
      </c>
      <c r="K1301">
        <v>3.5</v>
      </c>
      <c r="M1301" s="2" t="str">
        <f>HYPERLINK("http://maps.live.com/default.aspx?v=2&amp;lvl=15&amp;sp=Point.47.679537_-122.287869_3718 NE 70 St&amp;cp=47.679537~-122.287869","Map")</f>
        <v>Map</v>
      </c>
      <c r="N1301" s="2" t="str">
        <f>HYPERLINK("http://i-0.rfimg.us/photo/1/bigphoto/530/28017530_8.jpg","Photo")</f>
        <v>Photo</v>
      </c>
      <c r="AG1301">
        <v>47.679537000000003</v>
      </c>
      <c r="AH1301">
        <v>-122.287869</v>
      </c>
      <c r="AI1301" t="s">
        <v>66</v>
      </c>
      <c r="AJ1301">
        <v>98115</v>
      </c>
      <c r="BC1301" s="22">
        <v>39479.631805555553</v>
      </c>
      <c r="BI1301" s="22">
        <v>39549.294907407406</v>
      </c>
      <c r="BL1301">
        <v>19400</v>
      </c>
      <c r="BM1301">
        <v>1447015</v>
      </c>
      <c r="BN1301" t="s">
        <v>1817</v>
      </c>
      <c r="BO1301" s="17">
        <f t="shared" ca="1" si="20"/>
        <v>69.677600347225962</v>
      </c>
      <c r="BP1301" t="b">
        <v>0</v>
      </c>
      <c r="BQ1301">
        <v>1</v>
      </c>
      <c r="BR1301" t="s">
        <v>1686</v>
      </c>
      <c r="BS1301">
        <v>70</v>
      </c>
      <c r="BT1301" t="b">
        <v>0</v>
      </c>
      <c r="BU1301" t="s">
        <v>1738</v>
      </c>
      <c r="BV1301" t="s">
        <v>1668</v>
      </c>
      <c r="BW1301">
        <v>3718</v>
      </c>
      <c r="BY1301">
        <v>12385330</v>
      </c>
      <c r="BZ1301" t="s">
        <v>3227</v>
      </c>
      <c r="CA1301">
        <v>1</v>
      </c>
      <c r="CB1301" t="b">
        <v>1</v>
      </c>
      <c r="CC1301">
        <v>0</v>
      </c>
      <c r="CD1301" t="b">
        <v>0</v>
      </c>
      <c r="CE1301" t="b">
        <v>0</v>
      </c>
      <c r="CF1301" t="b">
        <v>1</v>
      </c>
      <c r="CG1301">
        <v>15589078</v>
      </c>
      <c r="CH1301" t="s">
        <v>1681</v>
      </c>
      <c r="CI1301" s="10">
        <v>970000</v>
      </c>
    </row>
    <row r="1302" spans="1:88">
      <c r="A1302">
        <v>28017596</v>
      </c>
      <c r="B1302" s="15" t="str">
        <f>HYPERLINK("http://www.redfin.com/stingray/do/printable-listing?listing-id=1445917","Subject To Inspection")</f>
        <v>Subject To Inspection</v>
      </c>
      <c r="D1302" t="s">
        <v>63</v>
      </c>
      <c r="E1302" t="s">
        <v>2498</v>
      </c>
      <c r="F1302" s="19">
        <v>439950</v>
      </c>
      <c r="G1302">
        <v>2008</v>
      </c>
      <c r="H1302">
        <v>1530</v>
      </c>
      <c r="I1302">
        <v>0</v>
      </c>
      <c r="J1302">
        <v>3</v>
      </c>
      <c r="K1302">
        <v>2.25</v>
      </c>
      <c r="M1302" s="2" t="str">
        <f>HYPERLINK("http://maps.live.com/default.aspx?v=2&amp;lvl=15&amp;sp=Point.47.66892_-122.393103_5515 28th Ave NW nB&amp;cp=47.66892~-122.393103","Map")</f>
        <v>Map</v>
      </c>
      <c r="N1302" s="2" t="str">
        <f>HYPERLINK("http://i-0.rfimg.us/photo/1/bigphoto/596/28017596_1.jpg","Photo")</f>
        <v>Photo</v>
      </c>
      <c r="AG1302">
        <v>47.66892</v>
      </c>
      <c r="AH1302">
        <v>-122.393103</v>
      </c>
      <c r="AI1302" t="s">
        <v>66</v>
      </c>
      <c r="AJ1302">
        <v>98107</v>
      </c>
      <c r="AM1302" t="s">
        <v>1699</v>
      </c>
      <c r="BC1302" s="22">
        <v>39479.431851851848</v>
      </c>
      <c r="BI1302" s="22">
        <v>39545.917314814818</v>
      </c>
      <c r="BL1302">
        <v>9099</v>
      </c>
      <c r="BM1302">
        <v>1445917</v>
      </c>
      <c r="BN1302" t="s">
        <v>1700</v>
      </c>
      <c r="BO1302" s="17">
        <f t="shared" ca="1" si="20"/>
        <v>69.877554166669142</v>
      </c>
      <c r="BP1302" t="b">
        <v>0</v>
      </c>
      <c r="BQ1302">
        <v>1</v>
      </c>
      <c r="BR1302" t="s">
        <v>1667</v>
      </c>
      <c r="BS1302" t="s">
        <v>1760</v>
      </c>
      <c r="BT1302" t="b">
        <v>0</v>
      </c>
      <c r="BV1302" t="s">
        <v>1668</v>
      </c>
      <c r="BW1302">
        <v>5515</v>
      </c>
      <c r="BX1302" t="s">
        <v>1669</v>
      </c>
      <c r="BY1302">
        <v>12385189</v>
      </c>
      <c r="BZ1302" s="21">
        <v>1.3888888888888889E-3</v>
      </c>
      <c r="CA1302">
        <v>1</v>
      </c>
      <c r="CB1302" t="b">
        <v>1</v>
      </c>
      <c r="CC1302">
        <v>0</v>
      </c>
      <c r="CD1302" t="b">
        <v>0</v>
      </c>
      <c r="CE1302" t="b">
        <v>0</v>
      </c>
      <c r="CF1302" t="b">
        <v>1</v>
      </c>
      <c r="CG1302">
        <v>15588937</v>
      </c>
      <c r="CH1302" t="s">
        <v>1681</v>
      </c>
      <c r="CI1302" s="10">
        <v>454950</v>
      </c>
    </row>
    <row r="1303" spans="1:88">
      <c r="A1303">
        <v>28017697</v>
      </c>
      <c r="B1303" s="2" t="str">
        <f>HYPERLINK("http://www.redfin.com/stingray/do/printable-listing?listing-id=1438736","Subject To Inspection")</f>
        <v>Subject To Inspection</v>
      </c>
      <c r="D1303" t="s">
        <v>60</v>
      </c>
      <c r="E1303" t="s">
        <v>788</v>
      </c>
      <c r="F1303">
        <v>459950</v>
      </c>
      <c r="G1303">
        <v>1962</v>
      </c>
      <c r="H1303">
        <v>1900</v>
      </c>
      <c r="I1303">
        <v>5164</v>
      </c>
      <c r="J1303">
        <v>4</v>
      </c>
      <c r="K1303">
        <v>2</v>
      </c>
      <c r="M1303" s="2" t="str">
        <f>HYPERLINK("http://maps.live.com/default.aspx?v=2&amp;lvl=15&amp;sp=Point.47.691357_-122.336052_8530 Wallingford Ave N&amp;cp=47.691357~-122.336052","Map")</f>
        <v>Map</v>
      </c>
      <c r="N1303" s="2" t="str">
        <f>HYPERLINK("http://i-0.rfimg.us/photo/1/bigphoto/697/28017697_0.jpg","Photo")</f>
        <v>Photo</v>
      </c>
      <c r="AG1303">
        <v>47.691357000000004</v>
      </c>
      <c r="AH1303">
        <v>-122.336052</v>
      </c>
      <c r="AI1303" t="s">
        <v>66</v>
      </c>
      <c r="AJ1303">
        <v>98103</v>
      </c>
      <c r="AN1303">
        <v>107810</v>
      </c>
      <c r="BC1303" s="22">
        <v>39476.924826388888</v>
      </c>
      <c r="BI1303" s="7">
        <v>39534</v>
      </c>
      <c r="BL1303">
        <v>9199</v>
      </c>
      <c r="BM1303">
        <v>1438736</v>
      </c>
      <c r="BN1303" t="s">
        <v>1675</v>
      </c>
      <c r="BO1303" s="17">
        <f t="shared" ca="1" si="20"/>
        <v>72.384579629630025</v>
      </c>
      <c r="BP1303" t="b">
        <v>0</v>
      </c>
      <c r="BQ1303">
        <v>2</v>
      </c>
      <c r="BR1303" t="s">
        <v>1667</v>
      </c>
      <c r="BS1303" t="s">
        <v>109</v>
      </c>
      <c r="BT1303" t="b">
        <v>0</v>
      </c>
      <c r="BV1303" t="s">
        <v>1668</v>
      </c>
      <c r="BW1303">
        <v>8530</v>
      </c>
      <c r="BX1303" t="s">
        <v>1712</v>
      </c>
      <c r="BY1303">
        <v>105174</v>
      </c>
      <c r="BZ1303" t="s">
        <v>1670</v>
      </c>
      <c r="CA1303">
        <v>1</v>
      </c>
      <c r="CB1303" t="b">
        <v>1</v>
      </c>
      <c r="CC1303">
        <v>0</v>
      </c>
      <c r="CD1303" t="b">
        <v>0</v>
      </c>
      <c r="CE1303" t="b">
        <v>0</v>
      </c>
      <c r="CF1303" t="b">
        <v>1</v>
      </c>
      <c r="CG1303">
        <v>2456352</v>
      </c>
      <c r="CH1303" t="s">
        <v>1681</v>
      </c>
      <c r="CI1303" s="10">
        <v>459950</v>
      </c>
      <c r="CJ1303" s="7">
        <v>32290</v>
      </c>
    </row>
    <row r="1304" spans="1:88">
      <c r="A1304">
        <v>28017708</v>
      </c>
      <c r="B1304" s="2" t="str">
        <f>HYPERLINK("http://www.redfin.com/stingray/do/printable-listing?listing-id=1438761","Active")</f>
        <v>Active</v>
      </c>
      <c r="D1304" t="s">
        <v>101</v>
      </c>
      <c r="E1304" t="s">
        <v>163</v>
      </c>
      <c r="F1304" s="19">
        <v>424950</v>
      </c>
      <c r="G1304">
        <v>1938</v>
      </c>
      <c r="H1304">
        <v>1160</v>
      </c>
      <c r="I1304">
        <v>7590</v>
      </c>
      <c r="J1304">
        <v>2</v>
      </c>
      <c r="K1304">
        <v>1</v>
      </c>
      <c r="M1304" s="2" t="str">
        <f>HYPERLINK("http://maps.live.com/default.aspx?v=2&amp;lvl=15&amp;sp=Point.47.693852_-122.397246_8907 31st Ave NW&amp;cp=47.693852~-122.397246","Map")</f>
        <v>Map</v>
      </c>
      <c r="N1304" s="2" t="str">
        <f>HYPERLINK("http://i-0.rfimg.us/photo/1/bigphoto/708/28017708_0.jpg","Photo")</f>
        <v>Photo</v>
      </c>
      <c r="AG1304">
        <v>47.693852</v>
      </c>
      <c r="AH1304">
        <v>-122.397246</v>
      </c>
      <c r="AI1304" t="s">
        <v>66</v>
      </c>
      <c r="AJ1304">
        <v>98117</v>
      </c>
      <c r="AN1304">
        <v>400000</v>
      </c>
      <c r="BC1304" s="22">
        <v>39476.944444444445</v>
      </c>
      <c r="BI1304" s="22">
        <v>39549.294907407406</v>
      </c>
      <c r="BL1304">
        <v>8999</v>
      </c>
      <c r="BM1304">
        <v>1438761</v>
      </c>
      <c r="BN1304" t="s">
        <v>1731</v>
      </c>
      <c r="BO1304" s="17">
        <f t="shared" ca="1" si="20"/>
        <v>72.364961574072368</v>
      </c>
      <c r="BP1304" t="b">
        <v>0</v>
      </c>
      <c r="BQ1304">
        <v>1</v>
      </c>
      <c r="BR1304" t="s">
        <v>1667</v>
      </c>
      <c r="BS1304" t="s">
        <v>1732</v>
      </c>
      <c r="BT1304" t="b">
        <v>0</v>
      </c>
      <c r="BV1304" t="s">
        <v>1668</v>
      </c>
      <c r="BW1304">
        <v>8907</v>
      </c>
      <c r="BX1304" t="s">
        <v>1669</v>
      </c>
      <c r="BY1304">
        <v>165751</v>
      </c>
      <c r="BZ1304" t="s">
        <v>1672</v>
      </c>
      <c r="CA1304">
        <v>1</v>
      </c>
      <c r="CB1304" t="b">
        <v>1</v>
      </c>
      <c r="CC1304">
        <v>0</v>
      </c>
      <c r="CD1304" t="b">
        <v>0</v>
      </c>
      <c r="CE1304" t="b">
        <v>0</v>
      </c>
      <c r="CF1304" t="b">
        <v>0</v>
      </c>
      <c r="CG1304">
        <v>2534783</v>
      </c>
      <c r="CH1304" t="s">
        <v>1681</v>
      </c>
      <c r="CI1304" s="10">
        <v>449950</v>
      </c>
      <c r="CJ1304" s="7">
        <v>39308</v>
      </c>
    </row>
    <row r="1305" spans="1:88">
      <c r="A1305">
        <v>28017714</v>
      </c>
      <c r="B1305" s="2" t="str">
        <f>HYPERLINK("http://www.redfin.com/stingray/do/printable-listing?listing-id=1454657","Active")</f>
        <v>Active</v>
      </c>
      <c r="D1305" t="s">
        <v>4542</v>
      </c>
      <c r="E1305" t="s">
        <v>4827</v>
      </c>
      <c r="F1305">
        <v>1050000</v>
      </c>
      <c r="G1305">
        <v>1990</v>
      </c>
      <c r="H1305">
        <v>2620</v>
      </c>
      <c r="I1305">
        <v>7200</v>
      </c>
      <c r="J1305">
        <v>3</v>
      </c>
      <c r="K1305">
        <v>3</v>
      </c>
      <c r="M1305" s="2" t="str">
        <f>HYPERLINK("http://maps.live.com/default.aspx?v=2&amp;lvl=15&amp;sp=Point.47.686761_-122.207733_128 14th Ave&amp;cp=47.686761~-122.207733","Map")</f>
        <v>Map</v>
      </c>
      <c r="N1305" s="2" t="str">
        <f>HYPERLINK("http://i-0.rfimg.us/photo/1/bigphoto/714/28017714_2.jpg","Photo")</f>
        <v>Photo</v>
      </c>
      <c r="AG1305">
        <v>47.686760999999997</v>
      </c>
      <c r="AH1305">
        <v>-122.207733</v>
      </c>
      <c r="AI1305" t="s">
        <v>1058</v>
      </c>
      <c r="AJ1305">
        <v>98033</v>
      </c>
      <c r="AN1305">
        <v>875000</v>
      </c>
      <c r="BC1305" s="22">
        <v>39483.088067129633</v>
      </c>
      <c r="BI1305" s="22">
        <v>39549.294907407406</v>
      </c>
      <c r="BL1305">
        <v>21000</v>
      </c>
      <c r="BM1305">
        <v>1454657</v>
      </c>
      <c r="BN1305" t="s">
        <v>1674</v>
      </c>
      <c r="BO1305" s="17">
        <f t="shared" ca="1" si="20"/>
        <v>66.221338773146272</v>
      </c>
      <c r="BP1305" t="b">
        <v>0</v>
      </c>
      <c r="BQ1305">
        <v>1</v>
      </c>
      <c r="BR1305" t="s">
        <v>1667</v>
      </c>
      <c r="BS1305" t="s">
        <v>1900</v>
      </c>
      <c r="BT1305" t="b">
        <v>0</v>
      </c>
      <c r="BV1305" t="s">
        <v>1668</v>
      </c>
      <c r="BW1305">
        <v>128</v>
      </c>
      <c r="BY1305">
        <v>460790</v>
      </c>
      <c r="BZ1305" t="s">
        <v>4828</v>
      </c>
      <c r="CA1305">
        <v>1</v>
      </c>
      <c r="CB1305" t="b">
        <v>1</v>
      </c>
      <c r="CC1305">
        <v>0</v>
      </c>
      <c r="CD1305" t="b">
        <v>0</v>
      </c>
      <c r="CE1305" t="b">
        <v>0</v>
      </c>
      <c r="CF1305" t="b">
        <v>1</v>
      </c>
      <c r="CG1305">
        <v>2524955</v>
      </c>
      <c r="CH1305" t="s">
        <v>1681</v>
      </c>
      <c r="CI1305" s="10">
        <v>1050000</v>
      </c>
      <c r="CJ1305" s="7">
        <v>38832</v>
      </c>
    </row>
    <row r="1306" spans="1:88">
      <c r="A1306">
        <v>28017768</v>
      </c>
      <c r="B1306" s="15" t="str">
        <f>HYPERLINK("http://www.redfin.com/stingray/do/printable-listing?listing-id=1438964","Subject To Inspection")</f>
        <v>Subject To Inspection</v>
      </c>
      <c r="D1306" t="s">
        <v>3885</v>
      </c>
      <c r="E1306" t="s">
        <v>5809</v>
      </c>
      <c r="F1306">
        <v>524000</v>
      </c>
      <c r="G1306">
        <v>1978</v>
      </c>
      <c r="H1306">
        <v>2310</v>
      </c>
      <c r="I1306">
        <v>14706</v>
      </c>
      <c r="J1306">
        <v>4</v>
      </c>
      <c r="K1306">
        <v>2.5</v>
      </c>
      <c r="M1306" s="2" t="str">
        <f>HYPERLINK("http://maps.live.com/default.aspx?v=2&amp;lvl=15&amp;sp=Point.47.524713_-122.181432_11831 SE 87th St&amp;cp=47.524713~-122.181432","Map")</f>
        <v>Map</v>
      </c>
      <c r="N1306" s="2" t="str">
        <f>HYPERLINK("http://i-0.rfimg.us/photo/1/bigphoto/768/28017768_0.jpg","Photo")</f>
        <v>Photo</v>
      </c>
      <c r="AG1306">
        <v>47.524712999999998</v>
      </c>
      <c r="AH1306">
        <v>-122.181432</v>
      </c>
      <c r="AI1306" t="s">
        <v>3885</v>
      </c>
      <c r="AJ1306">
        <v>98056</v>
      </c>
      <c r="AN1306">
        <v>108500</v>
      </c>
      <c r="BC1306" s="22">
        <v>39477.879710648151</v>
      </c>
      <c r="BI1306" s="22">
        <v>39549.294907407406</v>
      </c>
      <c r="BL1306">
        <v>10480</v>
      </c>
      <c r="BM1306">
        <v>1438964</v>
      </c>
      <c r="BN1306" t="s">
        <v>5307</v>
      </c>
      <c r="BO1306" s="17">
        <f t="shared" ca="1" si="20"/>
        <v>71.429695254628314</v>
      </c>
      <c r="BP1306" t="b">
        <v>0</v>
      </c>
      <c r="BQ1306">
        <v>1</v>
      </c>
      <c r="BR1306" t="s">
        <v>1686</v>
      </c>
      <c r="BS1306" t="s">
        <v>1856</v>
      </c>
      <c r="BT1306" t="b">
        <v>0</v>
      </c>
      <c r="BU1306" t="s">
        <v>3856</v>
      </c>
      <c r="BV1306" t="s">
        <v>1668</v>
      </c>
      <c r="BW1306">
        <v>11831</v>
      </c>
      <c r="BY1306">
        <v>414454</v>
      </c>
      <c r="BZ1306" t="s">
        <v>1672</v>
      </c>
      <c r="CA1306">
        <v>1</v>
      </c>
      <c r="CB1306" t="b">
        <v>1</v>
      </c>
      <c r="CC1306">
        <v>0</v>
      </c>
      <c r="CD1306" t="b">
        <v>0</v>
      </c>
      <c r="CE1306" t="b">
        <v>0</v>
      </c>
      <c r="CF1306" t="b">
        <v>1</v>
      </c>
      <c r="CG1306">
        <v>2417757</v>
      </c>
      <c r="CH1306" t="s">
        <v>1681</v>
      </c>
      <c r="CI1306" s="10">
        <v>524000</v>
      </c>
      <c r="CJ1306" s="7">
        <v>31267</v>
      </c>
    </row>
    <row r="1307" spans="1:88">
      <c r="A1307">
        <v>28017793</v>
      </c>
      <c r="B1307" s="2" t="str">
        <f>HYPERLINK("http://www.redfin.com/stingray/do/printable-listing?listing-id=1438945","Active")</f>
        <v>Active</v>
      </c>
      <c r="D1307" t="s">
        <v>3739</v>
      </c>
      <c r="E1307" t="s">
        <v>3754</v>
      </c>
      <c r="F1307" s="19">
        <v>689000</v>
      </c>
      <c r="G1307">
        <v>1921</v>
      </c>
      <c r="H1307">
        <v>2990</v>
      </c>
      <c r="I1307">
        <v>5500</v>
      </c>
      <c r="J1307">
        <v>5</v>
      </c>
      <c r="K1307">
        <v>2</v>
      </c>
      <c r="M1307" s="2" t="str">
        <f>HYPERLINK("http://maps.live.com/default.aspx?v=2&amp;lvl=15&amp;sp=Point.47.645072_-122.321732_2716 Harvard Ave E&amp;cp=47.645072~-122.321732","Map")</f>
        <v>Map</v>
      </c>
      <c r="N1307" s="2" t="str">
        <f>HYPERLINK("http://i-0.rfimg.us/photo/1/bigphoto/793/28017793_3.jpg","Photo")</f>
        <v>Photo</v>
      </c>
      <c r="AG1307">
        <v>47.645071999999999</v>
      </c>
      <c r="AH1307">
        <v>-122.321732</v>
      </c>
      <c r="AI1307" t="s">
        <v>66</v>
      </c>
      <c r="AJ1307">
        <v>98102</v>
      </c>
      <c r="AN1307">
        <v>390000</v>
      </c>
      <c r="BC1307" s="22">
        <v>39477.879317129627</v>
      </c>
      <c r="BI1307" s="22">
        <v>39549.294907407406</v>
      </c>
      <c r="BL1307">
        <v>14598</v>
      </c>
      <c r="BM1307">
        <v>1438945</v>
      </c>
      <c r="BN1307" t="s">
        <v>3329</v>
      </c>
      <c r="BO1307" s="17">
        <f t="shared" ca="1" si="20"/>
        <v>71.43008877315151</v>
      </c>
      <c r="BP1307" t="b">
        <v>0</v>
      </c>
      <c r="BQ1307">
        <v>1</v>
      </c>
      <c r="BR1307" t="s">
        <v>1667</v>
      </c>
      <c r="BS1307" t="s">
        <v>3737</v>
      </c>
      <c r="BT1307" t="b">
        <v>0</v>
      </c>
      <c r="BV1307" t="s">
        <v>1668</v>
      </c>
      <c r="BW1307">
        <v>2716</v>
      </c>
      <c r="BX1307" t="s">
        <v>2436</v>
      </c>
      <c r="BY1307">
        <v>135482</v>
      </c>
      <c r="BZ1307" t="s">
        <v>3755</v>
      </c>
      <c r="CA1307">
        <v>1</v>
      </c>
      <c r="CB1307" t="b">
        <v>1</v>
      </c>
      <c r="CC1307">
        <v>0</v>
      </c>
      <c r="CD1307" t="b">
        <v>0</v>
      </c>
      <c r="CE1307" t="b">
        <v>0</v>
      </c>
      <c r="CF1307" t="b">
        <v>1</v>
      </c>
      <c r="CG1307">
        <v>2540277</v>
      </c>
      <c r="CH1307" t="s">
        <v>1681</v>
      </c>
      <c r="CI1307" s="10">
        <v>729900</v>
      </c>
      <c r="CJ1307" s="7">
        <v>38231</v>
      </c>
    </row>
    <row r="1308" spans="1:88">
      <c r="A1308">
        <v>28017801</v>
      </c>
      <c r="B1308" s="2" t="str">
        <f>HYPERLINK("http://www.redfin.com/stingray/do/printable-listing?listing-id=1439020","Active")</f>
        <v>Active</v>
      </c>
      <c r="D1308" t="s">
        <v>3249</v>
      </c>
      <c r="E1308" t="s">
        <v>3511</v>
      </c>
      <c r="F1308">
        <v>695000</v>
      </c>
      <c r="G1308">
        <v>2008</v>
      </c>
      <c r="H1308">
        <v>0</v>
      </c>
      <c r="I1308">
        <v>0</v>
      </c>
      <c r="J1308">
        <v>3</v>
      </c>
      <c r="K1308">
        <v>3.5</v>
      </c>
      <c r="M1308" s="2" t="str">
        <f>HYPERLINK("http://maps.live.com/default.aspx?v=2&amp;lvl=15&amp;sp=Point.47.646106_-122.374695_2850 14th Ave W&amp;cp=47.646106~-122.374695","Map")</f>
        <v>Map</v>
      </c>
      <c r="N1308" s="2" t="str">
        <f>HYPERLINK("http://i-0.rfimg.us/photo/1/bigphoto/801/28017801_0.jpg","Photo")</f>
        <v>Photo</v>
      </c>
      <c r="AG1308">
        <v>47.646106000000003</v>
      </c>
      <c r="AH1308">
        <v>-122.374695</v>
      </c>
      <c r="AI1308" t="s">
        <v>66</v>
      </c>
      <c r="AJ1308">
        <v>98119</v>
      </c>
      <c r="BC1308" s="22">
        <v>39477.88040509259</v>
      </c>
      <c r="BI1308" s="22">
        <v>39549.294907407406</v>
      </c>
      <c r="BL1308">
        <v>13900</v>
      </c>
      <c r="BM1308">
        <v>1439020</v>
      </c>
      <c r="BN1308" t="s">
        <v>1846</v>
      </c>
      <c r="BO1308" s="17">
        <f t="shared" ca="1" si="20"/>
        <v>71.429000810188882</v>
      </c>
      <c r="BP1308" t="b">
        <v>0</v>
      </c>
      <c r="BQ1308">
        <v>1</v>
      </c>
      <c r="BR1308" t="s">
        <v>1667</v>
      </c>
      <c r="BS1308" t="s">
        <v>1900</v>
      </c>
      <c r="BT1308" t="b">
        <v>0</v>
      </c>
      <c r="BV1308" t="s">
        <v>1668</v>
      </c>
      <c r="BW1308">
        <v>2850</v>
      </c>
      <c r="BX1308" t="s">
        <v>2423</v>
      </c>
      <c r="BY1308">
        <v>12384226</v>
      </c>
      <c r="BZ1308" t="s">
        <v>1747</v>
      </c>
      <c r="CA1308">
        <v>1</v>
      </c>
      <c r="CB1308" t="b">
        <v>1</v>
      </c>
      <c r="CC1308">
        <v>0</v>
      </c>
      <c r="CD1308" t="b">
        <v>0</v>
      </c>
      <c r="CE1308" t="b">
        <v>0</v>
      </c>
      <c r="CF1308" t="b">
        <v>1</v>
      </c>
      <c r="CG1308">
        <v>15587974</v>
      </c>
      <c r="CH1308" t="s">
        <v>1681</v>
      </c>
      <c r="CI1308" s="10">
        <v>695000</v>
      </c>
    </row>
    <row r="1309" spans="1:88">
      <c r="A1309">
        <v>28017814</v>
      </c>
      <c r="B1309" s="2" t="str">
        <f>HYPERLINK("http://www.redfin.com/stingray/do/printable-listing?listing-id=1439006","Active")</f>
        <v>Active</v>
      </c>
      <c r="D1309" t="s">
        <v>3885</v>
      </c>
      <c r="E1309" t="s">
        <v>5962</v>
      </c>
      <c r="F1309">
        <v>769950</v>
      </c>
      <c r="G1309">
        <v>2002</v>
      </c>
      <c r="H1309">
        <v>3262</v>
      </c>
      <c r="I1309">
        <v>5974</v>
      </c>
      <c r="J1309">
        <v>4</v>
      </c>
      <c r="K1309">
        <v>2.5</v>
      </c>
      <c r="M1309" s="2" t="str">
        <f>HYPERLINK("http://maps.live.com/default.aspx?v=2&amp;lvl=15&amp;sp=Point.47.534786_-122.15556_7601 138th Ave SE&amp;cp=47.534786~-122.15556","Map")</f>
        <v>Map</v>
      </c>
      <c r="N1309" s="2" t="str">
        <f>HYPERLINK("http://i-0.rfimg.us/photo/1/bigphoto/814/28017814_1.jpg","Photo")</f>
        <v>Photo</v>
      </c>
      <c r="AG1309">
        <v>47.534785999999997</v>
      </c>
      <c r="AH1309">
        <v>-122.15555999999999</v>
      </c>
      <c r="AI1309" t="s">
        <v>3885</v>
      </c>
      <c r="AJ1309">
        <v>98059</v>
      </c>
      <c r="AN1309">
        <v>479000</v>
      </c>
      <c r="BC1309" s="22">
        <v>39477.879976851851</v>
      </c>
      <c r="BI1309" s="7">
        <v>39539</v>
      </c>
      <c r="BL1309">
        <v>15399</v>
      </c>
      <c r="BM1309">
        <v>1439006</v>
      </c>
      <c r="BN1309" t="s">
        <v>3171</v>
      </c>
      <c r="BO1309" s="17">
        <f t="shared" ca="1" si="20"/>
        <v>71.429429050927865</v>
      </c>
      <c r="BP1309" t="b">
        <v>0</v>
      </c>
      <c r="BQ1309">
        <v>1</v>
      </c>
      <c r="BR1309" t="s">
        <v>1667</v>
      </c>
      <c r="BS1309" t="s">
        <v>4421</v>
      </c>
      <c r="BT1309" t="b">
        <v>0</v>
      </c>
      <c r="BV1309" t="s">
        <v>1668</v>
      </c>
      <c r="BW1309">
        <v>7601</v>
      </c>
      <c r="BX1309" t="s">
        <v>3856</v>
      </c>
      <c r="BY1309">
        <v>413404</v>
      </c>
      <c r="BZ1309" t="s">
        <v>1704</v>
      </c>
      <c r="CA1309">
        <v>1</v>
      </c>
      <c r="CB1309" t="b">
        <v>1</v>
      </c>
      <c r="CC1309">
        <v>0</v>
      </c>
      <c r="CD1309" t="b">
        <v>0</v>
      </c>
      <c r="CE1309" t="b">
        <v>0</v>
      </c>
      <c r="CF1309" t="b">
        <v>1</v>
      </c>
      <c r="CG1309">
        <v>426148</v>
      </c>
      <c r="CH1309" t="s">
        <v>1681</v>
      </c>
      <c r="CI1309" s="10">
        <v>769950</v>
      </c>
      <c r="CJ1309" s="7">
        <v>37526</v>
      </c>
    </row>
    <row r="1310" spans="1:88">
      <c r="A1310">
        <v>28017860</v>
      </c>
      <c r="B1310" s="2" t="str">
        <f>HYPERLINK("http://www.redfin.com/stingray/do/printable-listing?listing-id=1442685","Active")</f>
        <v>Active</v>
      </c>
      <c r="D1310" t="s">
        <v>369</v>
      </c>
      <c r="E1310" t="s">
        <v>5217</v>
      </c>
      <c r="F1310">
        <v>539950</v>
      </c>
      <c r="G1310">
        <v>1957</v>
      </c>
      <c r="H1310">
        <v>2460</v>
      </c>
      <c r="I1310">
        <v>10000</v>
      </c>
      <c r="J1310">
        <v>4</v>
      </c>
      <c r="K1310">
        <v>2.5</v>
      </c>
      <c r="M1310" s="2" t="str">
        <f>HYPERLINK("http://maps.live.com/default.aspx?v=2&amp;lvl=15&amp;sp=Point.47.587855_-122.130565_15714 SE 26th St&amp;cp=47.587855~-122.130565","Map")</f>
        <v>Map</v>
      </c>
      <c r="N1310" s="2" t="str">
        <f>HYPERLINK("http://i-0.rfimg.us/photo/1/bigphoto/860/28017860_1.jpg","Photo")</f>
        <v>Photo</v>
      </c>
      <c r="AG1310">
        <v>47.587854999999998</v>
      </c>
      <c r="AH1310">
        <v>-122.130565</v>
      </c>
      <c r="AI1310" t="s">
        <v>369</v>
      </c>
      <c r="AJ1310">
        <v>98008</v>
      </c>
      <c r="AN1310">
        <v>87500</v>
      </c>
      <c r="BC1310" s="22">
        <v>39478.431574074071</v>
      </c>
      <c r="BI1310" s="22">
        <v>39549.294907407406</v>
      </c>
      <c r="BL1310">
        <v>10799</v>
      </c>
      <c r="BM1310">
        <v>1442685</v>
      </c>
      <c r="BN1310" t="s">
        <v>1688</v>
      </c>
      <c r="BO1310" s="17">
        <f t="shared" ca="1" si="20"/>
        <v>70.877831828707713</v>
      </c>
      <c r="BP1310" t="b">
        <v>0</v>
      </c>
      <c r="BQ1310">
        <v>1</v>
      </c>
      <c r="BR1310" t="s">
        <v>1686</v>
      </c>
      <c r="BS1310" t="s">
        <v>1769</v>
      </c>
      <c r="BT1310" t="b">
        <v>0</v>
      </c>
      <c r="BU1310" t="s">
        <v>3856</v>
      </c>
      <c r="BV1310" t="s">
        <v>1668</v>
      </c>
      <c r="BW1310">
        <v>15714</v>
      </c>
      <c r="BY1310">
        <v>428364</v>
      </c>
      <c r="BZ1310" t="s">
        <v>2689</v>
      </c>
      <c r="CA1310">
        <v>1</v>
      </c>
      <c r="CB1310" t="b">
        <v>1</v>
      </c>
      <c r="CC1310">
        <v>0</v>
      </c>
      <c r="CD1310" t="b">
        <v>0</v>
      </c>
      <c r="CE1310" t="b">
        <v>0</v>
      </c>
      <c r="CF1310" t="b">
        <v>1</v>
      </c>
      <c r="CG1310">
        <v>2844862</v>
      </c>
      <c r="CH1310" t="s">
        <v>1681</v>
      </c>
      <c r="CI1310" s="10">
        <v>539950</v>
      </c>
      <c r="CJ1310" s="7">
        <v>31639</v>
      </c>
    </row>
    <row r="1311" spans="1:88">
      <c r="A1311">
        <v>28017877</v>
      </c>
      <c r="B1311" s="15" t="str">
        <f>HYPERLINK("http://www.redfin.com/stingray/do/printable-listing?listing-id=1439024","Subject To Inspection")</f>
        <v>Subject To Inspection</v>
      </c>
      <c r="D1311" t="s">
        <v>3924</v>
      </c>
      <c r="E1311" t="s">
        <v>4034</v>
      </c>
      <c r="F1311">
        <v>412000</v>
      </c>
      <c r="G1311">
        <v>1910</v>
      </c>
      <c r="H1311">
        <v>1420</v>
      </c>
      <c r="I1311">
        <v>4182</v>
      </c>
      <c r="J1311">
        <v>3</v>
      </c>
      <c r="K1311">
        <v>1</v>
      </c>
      <c r="M1311" s="2" t="str">
        <f>HYPERLINK("http://maps.live.com/default.aspx?v=2&amp;lvl=15&amp;sp=Point.47.615742_-122.296541_1613 Martin Luther King Jr. Way&amp;cp=47.615742~-122.296541","Map")</f>
        <v>Map</v>
      </c>
      <c r="N1311" s="2" t="str">
        <f>HYPERLINK("http://i-0.rfimg.us/photo/1/bigphoto/877/28017877_0.jpg","Photo")</f>
        <v>Photo</v>
      </c>
      <c r="AG1311">
        <v>47.615741999999997</v>
      </c>
      <c r="AH1311">
        <v>-122.296541</v>
      </c>
      <c r="AI1311" t="s">
        <v>66</v>
      </c>
      <c r="AJ1311">
        <v>98122</v>
      </c>
      <c r="BC1311" s="22">
        <v>39477.88045138889</v>
      </c>
      <c r="BI1311" s="22">
        <v>39549.294907407406</v>
      </c>
      <c r="BL1311">
        <v>8240</v>
      </c>
      <c r="BM1311">
        <v>1439024</v>
      </c>
      <c r="BN1311" t="s">
        <v>4033</v>
      </c>
      <c r="BO1311" s="17">
        <f t="shared" ca="1" si="20"/>
        <v>71.428954513889039</v>
      </c>
      <c r="BP1311" t="b">
        <v>0</v>
      </c>
      <c r="BQ1311">
        <v>1</v>
      </c>
      <c r="BR1311" t="s">
        <v>2463</v>
      </c>
      <c r="BS1311" t="s">
        <v>4035</v>
      </c>
      <c r="BT1311" t="b">
        <v>0</v>
      </c>
      <c r="BV1311" t="s">
        <v>1668</v>
      </c>
      <c r="BW1311">
        <v>1613</v>
      </c>
      <c r="BY1311">
        <v>146285</v>
      </c>
      <c r="BZ1311" t="s">
        <v>1801</v>
      </c>
      <c r="CA1311">
        <v>1</v>
      </c>
      <c r="CB1311" t="b">
        <v>1</v>
      </c>
      <c r="CC1311">
        <v>0</v>
      </c>
      <c r="CD1311" t="b">
        <v>1</v>
      </c>
      <c r="CE1311" t="b">
        <v>0</v>
      </c>
      <c r="CF1311" t="b">
        <v>1</v>
      </c>
      <c r="CG1311">
        <v>2851814</v>
      </c>
      <c r="CH1311" t="s">
        <v>1681</v>
      </c>
      <c r="CI1311" s="10">
        <v>412000</v>
      </c>
    </row>
    <row r="1312" spans="1:88">
      <c r="A1312">
        <v>28017883</v>
      </c>
      <c r="B1312" s="2" t="str">
        <f>HYPERLINK("http://www.redfin.com/stingray/do/printable-listing?listing-id=1455787","Active")</f>
        <v>Active</v>
      </c>
      <c r="D1312" t="s">
        <v>4777</v>
      </c>
      <c r="E1312" t="s">
        <v>5018</v>
      </c>
      <c r="F1312">
        <v>1099950</v>
      </c>
      <c r="G1312">
        <v>2005</v>
      </c>
      <c r="H1312">
        <v>3070</v>
      </c>
      <c r="I1312">
        <v>6209</v>
      </c>
      <c r="J1312">
        <v>4</v>
      </c>
      <c r="K1312">
        <v>2.75</v>
      </c>
      <c r="M1312" s="2" t="str">
        <f>HYPERLINK("http://maps.live.com/default.aspx?v=2&amp;lvl=15&amp;sp=Point.47.66585_-122.200372_6712 104th Ave NE&amp;cp=47.66585~-122.200372","Map")</f>
        <v>Map</v>
      </c>
      <c r="N1312" s="2" t="str">
        <f>HYPERLINK("http://i-0.rfimg.us/photo/1/bigphoto/883/28017883_1.jpg","Photo")</f>
        <v>Photo</v>
      </c>
      <c r="AG1312">
        <v>47.665849999999999</v>
      </c>
      <c r="AH1312">
        <v>-122.200372</v>
      </c>
      <c r="AI1312" t="s">
        <v>1058</v>
      </c>
      <c r="AJ1312">
        <v>98033</v>
      </c>
      <c r="AN1312">
        <v>887000</v>
      </c>
      <c r="BC1312" s="22">
        <v>39483.537152777775</v>
      </c>
      <c r="BI1312" s="22">
        <v>39549.294907407406</v>
      </c>
      <c r="BL1312">
        <v>21999</v>
      </c>
      <c r="BM1312">
        <v>1455787</v>
      </c>
      <c r="BN1312" t="s">
        <v>1768</v>
      </c>
      <c r="BO1312" s="17">
        <f t="shared" ca="1" si="20"/>
        <v>65.772253125003772</v>
      </c>
      <c r="BP1312" t="b">
        <v>0</v>
      </c>
      <c r="BQ1312">
        <v>1</v>
      </c>
      <c r="BR1312" t="s">
        <v>1667</v>
      </c>
      <c r="BS1312" t="s">
        <v>2910</v>
      </c>
      <c r="BT1312" t="b">
        <v>0</v>
      </c>
      <c r="BV1312" t="s">
        <v>1668</v>
      </c>
      <c r="BW1312">
        <v>6712</v>
      </c>
      <c r="BX1312" t="s">
        <v>1738</v>
      </c>
      <c r="BY1312">
        <v>459629</v>
      </c>
      <c r="BZ1312" t="s">
        <v>1704</v>
      </c>
      <c r="CA1312">
        <v>1</v>
      </c>
      <c r="CB1312" t="b">
        <v>1</v>
      </c>
      <c r="CC1312">
        <v>0</v>
      </c>
      <c r="CD1312" t="b">
        <v>0</v>
      </c>
      <c r="CE1312" t="b">
        <v>0</v>
      </c>
      <c r="CF1312" t="b">
        <v>1</v>
      </c>
      <c r="CG1312">
        <v>2958575</v>
      </c>
      <c r="CH1312" t="s">
        <v>1681</v>
      </c>
      <c r="CI1312" s="10">
        <v>1099950</v>
      </c>
      <c r="CJ1312" s="7">
        <v>38441</v>
      </c>
    </row>
    <row r="1313" spans="1:88">
      <c r="A1313">
        <v>28017927</v>
      </c>
      <c r="B1313" s="2" t="str">
        <f>HYPERLINK("http://www.redfin.com/stingray/do/printable-listing?listing-id=1442923","Contingent")</f>
        <v>Contingent</v>
      </c>
      <c r="D1313" t="s">
        <v>3924</v>
      </c>
      <c r="E1313" t="s">
        <v>4007</v>
      </c>
      <c r="F1313">
        <v>514950</v>
      </c>
      <c r="G1313">
        <v>2007</v>
      </c>
      <c r="H1313">
        <v>1770</v>
      </c>
      <c r="I1313">
        <v>0</v>
      </c>
      <c r="J1313">
        <v>3</v>
      </c>
      <c r="K1313">
        <v>3.5</v>
      </c>
      <c r="M1313" s="2" t="str">
        <f>HYPERLINK("http://maps.live.com/default.aspx?v=2&amp;lvl=15&amp;sp=Point.47.612465_-122.299003_1141 26th Ave&amp;cp=47.612465~-122.299003","Map")</f>
        <v>Map</v>
      </c>
      <c r="N1313" s="2" t="str">
        <f>HYPERLINK("http://i-0.rfimg.us/photo/1/bigphoto/927/28017927_1.jpg","Photo")</f>
        <v>Photo</v>
      </c>
      <c r="AG1313">
        <v>47.612465</v>
      </c>
      <c r="AH1313">
        <v>-122.299003</v>
      </c>
      <c r="AI1313" t="s">
        <v>66</v>
      </c>
      <c r="AJ1313">
        <v>98122</v>
      </c>
      <c r="BC1313" s="22">
        <v>39478.494745370372</v>
      </c>
      <c r="BI1313" s="22">
        <v>39549.294907407406</v>
      </c>
      <c r="BL1313">
        <v>10299</v>
      </c>
      <c r="BM1313">
        <v>1442923</v>
      </c>
      <c r="BN1313" t="s">
        <v>1725</v>
      </c>
      <c r="BO1313" s="17">
        <f t="shared" ca="1" si="20"/>
        <v>70.814660532407288</v>
      </c>
      <c r="BP1313" t="b">
        <v>0</v>
      </c>
      <c r="BQ1313">
        <v>2</v>
      </c>
      <c r="BR1313" t="s">
        <v>1667</v>
      </c>
      <c r="BS1313" t="s">
        <v>1769</v>
      </c>
      <c r="BT1313" t="b">
        <v>0</v>
      </c>
      <c r="BV1313" t="s">
        <v>1668</v>
      </c>
      <c r="BW1313">
        <v>1141</v>
      </c>
      <c r="BY1313">
        <v>12384664</v>
      </c>
      <c r="BZ1313" t="s">
        <v>1756</v>
      </c>
      <c r="CA1313">
        <v>1</v>
      </c>
      <c r="CB1313" t="b">
        <v>1</v>
      </c>
      <c r="CC1313">
        <v>0</v>
      </c>
      <c r="CD1313" t="b">
        <v>0</v>
      </c>
      <c r="CE1313" t="b">
        <v>0</v>
      </c>
      <c r="CF1313" t="b">
        <v>1</v>
      </c>
      <c r="CG1313">
        <v>15588412</v>
      </c>
      <c r="CH1313" t="s">
        <v>1681</v>
      </c>
      <c r="CI1313" s="10">
        <v>514950</v>
      </c>
    </row>
    <row r="1314" spans="1:88">
      <c r="A1314">
        <v>28017941</v>
      </c>
      <c r="B1314" s="2" t="str">
        <f>HYPERLINK("http://www.redfin.com/stingray/do/printable-listing?listing-id=1446149","Active")</f>
        <v>Active</v>
      </c>
      <c r="D1314" t="s">
        <v>192</v>
      </c>
      <c r="E1314" t="s">
        <v>7014</v>
      </c>
      <c r="F1314">
        <v>575000</v>
      </c>
      <c r="G1314">
        <v>1970</v>
      </c>
      <c r="H1314">
        <v>2620</v>
      </c>
      <c r="I1314">
        <v>6380</v>
      </c>
      <c r="J1314">
        <v>3</v>
      </c>
      <c r="K1314">
        <v>2.5</v>
      </c>
      <c r="M1314" s="2" t="str">
        <f>HYPERLINK("http://maps.live.com/default.aspx?v=2&amp;lvl=15&amp;sp=Point.47.693376_-122.320946_546 NE 89th St&amp;cp=47.693376~-122.320946","Map")</f>
        <v>Map</v>
      </c>
      <c r="N1314" s="2" t="str">
        <f>HYPERLINK("http://i-0.rfimg.us/photo/1/bigphoto/941/28017941_4.jpg","Photo")</f>
        <v>Photo</v>
      </c>
      <c r="AG1314">
        <v>47.693376000000001</v>
      </c>
      <c r="AH1314">
        <v>-122.32094600000001</v>
      </c>
      <c r="AI1314" t="s">
        <v>66</v>
      </c>
      <c r="AJ1314">
        <v>98115</v>
      </c>
      <c r="BC1314" s="22">
        <v>39479.484548611108</v>
      </c>
      <c r="BI1314" s="22">
        <v>39549.294907407406</v>
      </c>
      <c r="BL1314">
        <v>11500</v>
      </c>
      <c r="BM1314">
        <v>1446149</v>
      </c>
      <c r="BN1314" t="s">
        <v>1688</v>
      </c>
      <c r="BO1314" s="17">
        <f t="shared" ca="1" si="20"/>
        <v>69.824857291670924</v>
      </c>
      <c r="BP1314" t="b">
        <v>0</v>
      </c>
      <c r="BQ1314">
        <v>1</v>
      </c>
      <c r="BR1314" t="s">
        <v>1686</v>
      </c>
      <c r="BS1314" t="s">
        <v>2741</v>
      </c>
      <c r="BT1314" t="b">
        <v>0</v>
      </c>
      <c r="BU1314" t="s">
        <v>1738</v>
      </c>
      <c r="BV1314" t="s">
        <v>1668</v>
      </c>
      <c r="BW1314">
        <v>546</v>
      </c>
      <c r="BY1314">
        <v>110134</v>
      </c>
      <c r="BZ1314" t="s">
        <v>7015</v>
      </c>
      <c r="CA1314">
        <v>1</v>
      </c>
      <c r="CB1314" t="b">
        <v>1</v>
      </c>
      <c r="CC1314">
        <v>0</v>
      </c>
      <c r="CD1314" t="b">
        <v>0</v>
      </c>
      <c r="CE1314" t="b">
        <v>0</v>
      </c>
      <c r="CF1314" t="b">
        <v>1</v>
      </c>
      <c r="CG1314">
        <v>2823817</v>
      </c>
      <c r="CH1314" t="s">
        <v>1681</v>
      </c>
      <c r="CI1314" s="10">
        <v>575000</v>
      </c>
    </row>
    <row r="1315" spans="1:88">
      <c r="A1315">
        <v>28017942</v>
      </c>
      <c r="B1315" s="2" t="str">
        <f>HYPERLINK("http://www.redfin.com/stingray/do/printable-listing?listing-id=1442774","Active")</f>
        <v>Active</v>
      </c>
      <c r="D1315" t="s">
        <v>3924</v>
      </c>
      <c r="E1315" t="s">
        <v>4010</v>
      </c>
      <c r="F1315">
        <v>489950</v>
      </c>
      <c r="G1315">
        <v>2007</v>
      </c>
      <c r="H1315">
        <v>1770</v>
      </c>
      <c r="I1315">
        <v>0</v>
      </c>
      <c r="J1315">
        <v>3</v>
      </c>
      <c r="K1315">
        <v>3.5</v>
      </c>
      <c r="M1315" s="2" t="str">
        <f>HYPERLINK("http://maps.live.com/default.aspx?v=2&amp;lvl=15&amp;sp=Point.47.612434_-122.299003_1135 26th Ave&amp;cp=47.612434~-122.299003","Map")</f>
        <v>Map</v>
      </c>
      <c r="N1315" s="2" t="str">
        <f>HYPERLINK("http://i-0.rfimg.us/photo/1/bigphoto/942/28017942_1.jpg","Photo")</f>
        <v>Photo</v>
      </c>
      <c r="AG1315">
        <v>47.612434</v>
      </c>
      <c r="AH1315">
        <v>-122.299003</v>
      </c>
      <c r="AI1315" t="s">
        <v>66</v>
      </c>
      <c r="AJ1315">
        <v>98122</v>
      </c>
      <c r="BC1315" s="22">
        <v>39478.452881944446</v>
      </c>
      <c r="BI1315" s="22">
        <v>39549.294907407406</v>
      </c>
      <c r="BL1315">
        <v>9799</v>
      </c>
      <c r="BM1315">
        <v>1442774</v>
      </c>
      <c r="BN1315" t="s">
        <v>1725</v>
      </c>
      <c r="BO1315" s="17">
        <f t="shared" ca="1" si="20"/>
        <v>70.856523958333128</v>
      </c>
      <c r="BP1315" t="b">
        <v>0</v>
      </c>
      <c r="BQ1315">
        <v>1</v>
      </c>
      <c r="BR1315" t="s">
        <v>1667</v>
      </c>
      <c r="BS1315" t="s">
        <v>1769</v>
      </c>
      <c r="BT1315" t="b">
        <v>0</v>
      </c>
      <c r="BV1315" t="s">
        <v>1668</v>
      </c>
      <c r="BW1315">
        <v>1135</v>
      </c>
      <c r="BY1315">
        <v>12384647</v>
      </c>
      <c r="BZ1315" t="s">
        <v>1756</v>
      </c>
      <c r="CA1315">
        <v>1</v>
      </c>
      <c r="CB1315" t="b">
        <v>1</v>
      </c>
      <c r="CC1315">
        <v>0</v>
      </c>
      <c r="CD1315" t="b">
        <v>0</v>
      </c>
      <c r="CE1315" t="b">
        <v>0</v>
      </c>
      <c r="CF1315" t="b">
        <v>1</v>
      </c>
      <c r="CG1315">
        <v>15588395</v>
      </c>
      <c r="CH1315" t="s">
        <v>1681</v>
      </c>
      <c r="CI1315" s="10">
        <v>489950</v>
      </c>
    </row>
    <row r="1316" spans="1:88">
      <c r="A1316">
        <v>28017948</v>
      </c>
      <c r="B1316" s="2" t="str">
        <f>HYPERLINK("http://www.redfin.com/stingray/do/printable-listing?listing-id=1442719","Active")</f>
        <v>Active</v>
      </c>
      <c r="D1316" t="s">
        <v>4009</v>
      </c>
      <c r="E1316" t="s">
        <v>4008</v>
      </c>
      <c r="F1316">
        <v>489950</v>
      </c>
      <c r="G1316">
        <v>2007</v>
      </c>
      <c r="H1316">
        <v>1770</v>
      </c>
      <c r="I1316">
        <v>0</v>
      </c>
      <c r="J1316">
        <v>3</v>
      </c>
      <c r="K1316">
        <v>3.5</v>
      </c>
      <c r="M1316" s="2" t="str">
        <f>HYPERLINK("http://maps.live.com/default.aspx?v=2&amp;lvl=15&amp;sp=Point.47.612423_-122.299003_1133 26th Ave&amp;cp=47.612423~-122.299003","Map")</f>
        <v>Map</v>
      </c>
      <c r="N1316" s="2" t="str">
        <f>HYPERLINK("http://i-0.rfimg.us/photo/1/bigphoto/948/28017948_1.jpg","Photo")</f>
        <v>Photo</v>
      </c>
      <c r="AG1316">
        <v>47.612423</v>
      </c>
      <c r="AH1316">
        <v>-122.299003</v>
      </c>
      <c r="AI1316" t="s">
        <v>66</v>
      </c>
      <c r="AJ1316">
        <v>98122</v>
      </c>
      <c r="BC1316" s="22">
        <v>39478.442604166667</v>
      </c>
      <c r="BI1316" s="22">
        <v>39549.294907407406</v>
      </c>
      <c r="BL1316">
        <v>9799</v>
      </c>
      <c r="BM1316">
        <v>1442719</v>
      </c>
      <c r="BN1316" t="s">
        <v>1725</v>
      </c>
      <c r="BO1316" s="17">
        <f t="shared" ca="1" si="20"/>
        <v>70.866801736112393</v>
      </c>
      <c r="BP1316" t="b">
        <v>0</v>
      </c>
      <c r="BQ1316">
        <v>1</v>
      </c>
      <c r="BR1316" t="s">
        <v>1667</v>
      </c>
      <c r="BS1316" t="s">
        <v>1769</v>
      </c>
      <c r="BT1316" t="b">
        <v>0</v>
      </c>
      <c r="BV1316" t="s">
        <v>1668</v>
      </c>
      <c r="BW1316">
        <v>1133</v>
      </c>
      <c r="BY1316">
        <v>12384637</v>
      </c>
      <c r="BZ1316" t="s">
        <v>1756</v>
      </c>
      <c r="CA1316">
        <v>1</v>
      </c>
      <c r="CB1316" t="b">
        <v>1</v>
      </c>
      <c r="CC1316">
        <v>0</v>
      </c>
      <c r="CD1316" t="b">
        <v>0</v>
      </c>
      <c r="CE1316" t="b">
        <v>0</v>
      </c>
      <c r="CF1316" t="b">
        <v>1</v>
      </c>
      <c r="CG1316">
        <v>15588385</v>
      </c>
      <c r="CH1316" t="s">
        <v>1681</v>
      </c>
      <c r="CI1316" s="10">
        <v>489950</v>
      </c>
    </row>
    <row r="1317" spans="1:88">
      <c r="A1317">
        <v>28017961</v>
      </c>
      <c r="B1317" s="15" t="str">
        <f>HYPERLINK("http://www.redfin.com/stingray/do/printable-listing?listing-id=1443904","Subject To Inspection")</f>
        <v>Subject To Inspection</v>
      </c>
      <c r="D1317" t="s">
        <v>5565</v>
      </c>
      <c r="E1317" t="s">
        <v>5811</v>
      </c>
      <c r="F1317">
        <v>585000</v>
      </c>
      <c r="G1317">
        <v>1955</v>
      </c>
      <c r="H1317">
        <v>2715</v>
      </c>
      <c r="I1317">
        <v>14600</v>
      </c>
      <c r="J1317">
        <v>4</v>
      </c>
      <c r="K1317">
        <v>1.75</v>
      </c>
      <c r="M1317" s="2" t="str">
        <f>HYPERLINK("http://maps.live.com/default.aspx?v=2&amp;lvl=15&amp;sp=Point.47.564316_-122.183878_11628 SE 46 St&amp;cp=47.564316~-122.183878","Map")</f>
        <v>Map</v>
      </c>
      <c r="N1317" s="2" t="str">
        <f>HYPERLINK("http://i-0.rfimg.us/photo/1/bigphoto/961/28017961_1.jpg","Photo")</f>
        <v>Photo</v>
      </c>
      <c r="AG1317">
        <v>47.564315999999998</v>
      </c>
      <c r="AH1317">
        <v>-122.18387800000001</v>
      </c>
      <c r="AI1317" t="s">
        <v>369</v>
      </c>
      <c r="AJ1317">
        <v>98006</v>
      </c>
      <c r="AN1317">
        <v>431000</v>
      </c>
      <c r="BC1317" s="22">
        <v>39478.714525462965</v>
      </c>
      <c r="BI1317" s="22">
        <v>39549.294907407406</v>
      </c>
      <c r="BL1317">
        <v>11700</v>
      </c>
      <c r="BM1317">
        <v>1443904</v>
      </c>
      <c r="BN1317" t="s">
        <v>1821</v>
      </c>
      <c r="BO1317" s="17">
        <f t="shared" ca="1" si="20"/>
        <v>70.594880439814006</v>
      </c>
      <c r="BP1317" t="b">
        <v>0</v>
      </c>
      <c r="BQ1317">
        <v>1</v>
      </c>
      <c r="BR1317" t="s">
        <v>1686</v>
      </c>
      <c r="BS1317">
        <v>46</v>
      </c>
      <c r="BT1317" t="b">
        <v>0</v>
      </c>
      <c r="BU1317" t="s">
        <v>3856</v>
      </c>
      <c r="BV1317" t="s">
        <v>1668</v>
      </c>
      <c r="BW1317">
        <v>11628</v>
      </c>
      <c r="BY1317">
        <v>416704</v>
      </c>
      <c r="BZ1317" t="s">
        <v>3309</v>
      </c>
      <c r="CA1317">
        <v>1</v>
      </c>
      <c r="CB1317" t="b">
        <v>1</v>
      </c>
      <c r="CC1317">
        <v>0</v>
      </c>
      <c r="CD1317" t="b">
        <v>0</v>
      </c>
      <c r="CE1317" t="b">
        <v>0</v>
      </c>
      <c r="CF1317" t="b">
        <v>1</v>
      </c>
      <c r="CG1317">
        <v>2556600</v>
      </c>
      <c r="CH1317" t="s">
        <v>1681</v>
      </c>
      <c r="CI1317" s="10">
        <v>585000</v>
      </c>
      <c r="CJ1317" s="7">
        <v>39386</v>
      </c>
    </row>
    <row r="1318" spans="1:88">
      <c r="A1318">
        <v>28018009</v>
      </c>
      <c r="B1318" s="2" t="str">
        <f>HYPERLINK("http://www.redfin.com/stingray/do/printable-listing?listing-id=1439136","Subject To Inspection")</f>
        <v>Subject To Inspection</v>
      </c>
      <c r="D1318" t="s">
        <v>3704</v>
      </c>
      <c r="E1318" t="s">
        <v>3710</v>
      </c>
      <c r="F1318">
        <v>995000</v>
      </c>
      <c r="G1318">
        <v>1906</v>
      </c>
      <c r="H1318">
        <v>0</v>
      </c>
      <c r="I1318">
        <v>0</v>
      </c>
      <c r="J1318">
        <v>4</v>
      </c>
      <c r="K1318">
        <v>2.5</v>
      </c>
      <c r="M1318" s="2" t="str">
        <f>HYPERLINK("http://maps.live.com/default.aspx?v=2&amp;lvl=15&amp;sp=Point.47.630377_-122.308917_1161 18th Ave E&amp;cp=47.630377~-122.308917","Map")</f>
        <v>Map</v>
      </c>
      <c r="N1318" s="2" t="str">
        <f>HYPERLINK("http://i-0.rfimg.us/photo/1/bigphoto/009/28018009_0.jpg","Photo")</f>
        <v>Photo</v>
      </c>
      <c r="AG1318">
        <v>47.630377000000003</v>
      </c>
      <c r="AH1318">
        <v>-122.30891699999999</v>
      </c>
      <c r="AI1318" t="s">
        <v>66</v>
      </c>
      <c r="AJ1318">
        <v>98112</v>
      </c>
      <c r="AN1318">
        <v>628000</v>
      </c>
      <c r="BC1318" s="22">
        <v>39477.881354166668</v>
      </c>
      <c r="BI1318" s="7">
        <v>39535</v>
      </c>
      <c r="BL1318">
        <v>19900</v>
      </c>
      <c r="BM1318">
        <v>1439136</v>
      </c>
      <c r="BN1318" t="s">
        <v>3701</v>
      </c>
      <c r="BO1318" s="17">
        <f t="shared" ca="1" si="20"/>
        <v>71.428051736111229</v>
      </c>
      <c r="BP1318" t="b">
        <v>0</v>
      </c>
      <c r="BQ1318">
        <v>2</v>
      </c>
      <c r="BR1318" t="s">
        <v>1667</v>
      </c>
      <c r="BS1318" t="s">
        <v>1909</v>
      </c>
      <c r="BT1318" t="b">
        <v>0</v>
      </c>
      <c r="BV1318" t="s">
        <v>1668</v>
      </c>
      <c r="BW1318">
        <v>1161</v>
      </c>
      <c r="BX1318" t="s">
        <v>2436</v>
      </c>
      <c r="BY1318">
        <v>135910</v>
      </c>
      <c r="BZ1318" t="s">
        <v>1745</v>
      </c>
      <c r="CA1318">
        <v>1</v>
      </c>
      <c r="CB1318" t="b">
        <v>1</v>
      </c>
      <c r="CC1318">
        <v>0</v>
      </c>
      <c r="CD1318" t="b">
        <v>0</v>
      </c>
      <c r="CE1318" t="b">
        <v>0</v>
      </c>
      <c r="CF1318" t="b">
        <v>1</v>
      </c>
      <c r="CG1318">
        <v>2471346</v>
      </c>
      <c r="CH1318" t="s">
        <v>1681</v>
      </c>
      <c r="CI1318" s="10">
        <v>995000</v>
      </c>
      <c r="CJ1318" s="7">
        <v>39133</v>
      </c>
    </row>
    <row r="1319" spans="1:88">
      <c r="A1319">
        <v>28018187</v>
      </c>
      <c r="B1319" s="2" t="str">
        <f>HYPERLINK("http://www.redfin.com/stingray/do/printable-listing?listing-id=1445489","Active")</f>
        <v>Active</v>
      </c>
      <c r="D1319" t="s">
        <v>3266</v>
      </c>
      <c r="E1319" t="s">
        <v>3263</v>
      </c>
      <c r="F1319">
        <v>699000</v>
      </c>
      <c r="G1319">
        <v>1975</v>
      </c>
      <c r="H1319">
        <v>0</v>
      </c>
      <c r="I1319">
        <v>0</v>
      </c>
      <c r="J1319">
        <v>1</v>
      </c>
      <c r="K1319">
        <v>1</v>
      </c>
      <c r="M1319" s="2" t="str">
        <f>HYPERLINK("http://maps.live.com/default.aspx?v=2&amp;lvl=15&amp;sp=Point.47.640914_-122.342323_2420 Westlake Ave N&amp;cp=47.640914~-122.342323","Map")</f>
        <v>Map</v>
      </c>
      <c r="N1319" s="2" t="str">
        <f>HYPERLINK("http://i-0.rfimg.us/photo/1/bigphoto/187/28018187_1.jpg","Photo")</f>
        <v>Photo</v>
      </c>
      <c r="AG1319">
        <v>47.640914000000002</v>
      </c>
      <c r="AH1319">
        <v>-122.34232299999999</v>
      </c>
      <c r="AI1319" t="s">
        <v>66</v>
      </c>
      <c r="AJ1319">
        <v>98109</v>
      </c>
      <c r="BC1319" s="22">
        <v>39479.337627314817</v>
      </c>
      <c r="BI1319" s="22">
        <v>39549.294907407406</v>
      </c>
      <c r="BL1319">
        <v>13980</v>
      </c>
      <c r="BM1319">
        <v>1445489</v>
      </c>
      <c r="BN1319" t="s">
        <v>1702</v>
      </c>
      <c r="BO1319" s="17">
        <f t="shared" ca="1" si="20"/>
        <v>69.971778587962035</v>
      </c>
      <c r="BP1319" t="b">
        <v>0</v>
      </c>
      <c r="BQ1319">
        <v>1</v>
      </c>
      <c r="BR1319" t="s">
        <v>1667</v>
      </c>
      <c r="BS1319" t="s">
        <v>3264</v>
      </c>
      <c r="BT1319" t="b">
        <v>0</v>
      </c>
      <c r="BV1319" t="s">
        <v>1668</v>
      </c>
      <c r="BW1319">
        <v>2420</v>
      </c>
      <c r="BX1319" t="s">
        <v>1712</v>
      </c>
      <c r="BY1319">
        <v>2093950</v>
      </c>
      <c r="BZ1319" t="s">
        <v>3265</v>
      </c>
      <c r="CA1319">
        <v>1</v>
      </c>
      <c r="CB1319" t="b">
        <v>1</v>
      </c>
      <c r="CC1319">
        <v>0</v>
      </c>
      <c r="CD1319" t="b">
        <v>0</v>
      </c>
      <c r="CE1319" t="b">
        <v>0</v>
      </c>
      <c r="CF1319" t="b">
        <v>1</v>
      </c>
      <c r="CG1319">
        <v>2947836</v>
      </c>
      <c r="CH1319" t="s">
        <v>1681</v>
      </c>
      <c r="CI1319" s="10">
        <v>699000</v>
      </c>
    </row>
    <row r="1320" spans="1:88">
      <c r="A1320">
        <v>28018212</v>
      </c>
      <c r="B1320" s="2" t="str">
        <f>HYPERLINK("http://www.redfin.com/stingray/do/printable-listing?listing-id=1439007","Active")</f>
        <v>Active</v>
      </c>
      <c r="D1320" t="s">
        <v>194</v>
      </c>
      <c r="E1320" t="s">
        <v>3162</v>
      </c>
      <c r="F1320" s="19">
        <v>569000</v>
      </c>
      <c r="G1320">
        <v>1595</v>
      </c>
      <c r="H1320">
        <v>1520</v>
      </c>
      <c r="I1320">
        <v>6000</v>
      </c>
      <c r="J1320">
        <v>3</v>
      </c>
      <c r="K1320">
        <v>2</v>
      </c>
      <c r="M1320" s="2" t="str">
        <f>HYPERLINK("http://maps.live.com/default.aspx?v=2&amp;lvl=15&amp;sp=Point.47.679751_-122.299907_7009 26th Ave NE&amp;cp=47.679751~-122.299907","Map")</f>
        <v>Map</v>
      </c>
      <c r="N1320" s="2" t="str">
        <f>HYPERLINK("http://i-0.rfimg.us/photo/1/bigphoto/212/28018212_0.jpg","Photo")</f>
        <v>Photo</v>
      </c>
      <c r="AG1320">
        <v>47.679751000000003</v>
      </c>
      <c r="AH1320">
        <v>-122.299907</v>
      </c>
      <c r="AI1320" t="s">
        <v>66</v>
      </c>
      <c r="AJ1320">
        <v>98115</v>
      </c>
      <c r="AN1320">
        <v>453501</v>
      </c>
      <c r="BC1320" s="22">
        <v>39477.879988425928</v>
      </c>
      <c r="BI1320" s="22">
        <v>39549.294907407406</v>
      </c>
      <c r="BL1320">
        <v>11399</v>
      </c>
      <c r="BM1320">
        <v>1439007</v>
      </c>
      <c r="BN1320" t="s">
        <v>1968</v>
      </c>
      <c r="BO1320" s="17">
        <f t="shared" ca="1" si="20"/>
        <v>71.429417476851086</v>
      </c>
      <c r="BP1320" t="b">
        <v>0</v>
      </c>
      <c r="BQ1320">
        <v>1</v>
      </c>
      <c r="BR1320" t="s">
        <v>1667</v>
      </c>
      <c r="BS1320" t="s">
        <v>1769</v>
      </c>
      <c r="BT1320" t="b">
        <v>0</v>
      </c>
      <c r="BV1320" t="s">
        <v>1668</v>
      </c>
      <c r="BW1320">
        <v>7009</v>
      </c>
      <c r="BX1320" t="s">
        <v>1738</v>
      </c>
      <c r="BY1320">
        <v>317581</v>
      </c>
      <c r="BZ1320" t="s">
        <v>1670</v>
      </c>
      <c r="CA1320">
        <v>1</v>
      </c>
      <c r="CB1320" t="b">
        <v>1</v>
      </c>
      <c r="CC1320">
        <v>0</v>
      </c>
      <c r="CD1320" t="b">
        <v>0</v>
      </c>
      <c r="CE1320" t="b">
        <v>0</v>
      </c>
      <c r="CF1320" t="b">
        <v>1</v>
      </c>
      <c r="CG1320">
        <v>2916957</v>
      </c>
      <c r="CH1320" t="s">
        <v>1681</v>
      </c>
      <c r="CI1320" s="10">
        <v>569950</v>
      </c>
      <c r="CJ1320" s="7">
        <v>38981</v>
      </c>
    </row>
    <row r="1321" spans="1:88">
      <c r="A1321">
        <v>28018232</v>
      </c>
      <c r="B1321" s="2" t="str">
        <f>HYPERLINK("http://www.redfin.com/stingray/do/printable-listing?listing-id=1438982","Active")</f>
        <v>Active</v>
      </c>
      <c r="D1321" t="s">
        <v>5204</v>
      </c>
      <c r="E1321" t="s">
        <v>5388</v>
      </c>
      <c r="F1321">
        <v>549000</v>
      </c>
      <c r="G1321">
        <v>1965</v>
      </c>
      <c r="H1321">
        <v>2710</v>
      </c>
      <c r="I1321">
        <v>6380</v>
      </c>
      <c r="J1321">
        <v>5</v>
      </c>
      <c r="K1321">
        <v>2.75</v>
      </c>
      <c r="M1321" s="2" t="str">
        <f>HYPERLINK("http://maps.live.com/default.aspx?v=2&amp;lvl=15&amp;sp=Point.47.600183_-122.145466_1026 145th Pl SE&amp;cp=47.600183~-122.145466","Map")</f>
        <v>Map</v>
      </c>
      <c r="N1321" s="2" t="str">
        <f>HYPERLINK("http://i-0.rfimg.us/photo/1/bigphoto/232/28018232_1.jpg","Photo")</f>
        <v>Photo</v>
      </c>
      <c r="AG1321">
        <v>47.600183000000001</v>
      </c>
      <c r="AH1321">
        <v>-122.145466</v>
      </c>
      <c r="AI1321" t="s">
        <v>369</v>
      </c>
      <c r="AJ1321">
        <v>98007</v>
      </c>
      <c r="BC1321" s="22">
        <v>39477.879814814813</v>
      </c>
      <c r="BI1321" s="7">
        <v>39541</v>
      </c>
      <c r="BL1321">
        <v>10980</v>
      </c>
      <c r="BM1321">
        <v>1438982</v>
      </c>
      <c r="BN1321" t="s">
        <v>1710</v>
      </c>
      <c r="BO1321" s="17">
        <f t="shared" ca="1" si="20"/>
        <v>71.429591087966401</v>
      </c>
      <c r="BP1321" t="b">
        <v>0</v>
      </c>
      <c r="BQ1321">
        <v>1</v>
      </c>
      <c r="BR1321" t="s">
        <v>1842</v>
      </c>
      <c r="BS1321" t="s">
        <v>4646</v>
      </c>
      <c r="BT1321" t="b">
        <v>0</v>
      </c>
      <c r="BV1321" t="s">
        <v>1668</v>
      </c>
      <c r="BW1321">
        <v>1026</v>
      </c>
      <c r="BX1321" t="s">
        <v>3856</v>
      </c>
      <c r="BY1321">
        <v>427844</v>
      </c>
      <c r="BZ1321" t="s">
        <v>1704</v>
      </c>
      <c r="CA1321">
        <v>1</v>
      </c>
      <c r="CB1321" t="b">
        <v>1</v>
      </c>
      <c r="CC1321">
        <v>0</v>
      </c>
      <c r="CD1321" t="b">
        <v>0</v>
      </c>
      <c r="CE1321" t="b">
        <v>0</v>
      </c>
      <c r="CF1321" t="b">
        <v>1</v>
      </c>
      <c r="CG1321">
        <v>2801565</v>
      </c>
      <c r="CH1321" t="s">
        <v>1681</v>
      </c>
      <c r="CI1321" s="10">
        <v>549000</v>
      </c>
    </row>
    <row r="1322" spans="1:88">
      <c r="A1322">
        <v>28018301</v>
      </c>
      <c r="B1322" s="2" t="str">
        <f>HYPERLINK("http://www.redfin.com/stingray/do/printable-listing?listing-id=1438974","Active")</f>
        <v>Active</v>
      </c>
      <c r="D1322" t="s">
        <v>3959</v>
      </c>
      <c r="E1322" t="s">
        <v>4148</v>
      </c>
      <c r="F1322">
        <v>395000</v>
      </c>
      <c r="G1322">
        <v>1900</v>
      </c>
      <c r="H1322">
        <v>0</v>
      </c>
      <c r="I1322">
        <v>0</v>
      </c>
      <c r="J1322">
        <v>4</v>
      </c>
      <c r="K1322">
        <v>2</v>
      </c>
      <c r="M1322" s="2" t="str">
        <f>HYPERLINK("http://maps.live.com/default.aspx?v=2&amp;lvl=15&amp;sp=Point.47.609234_-122.303422_802 22nd Ave&amp;cp=47.609234~-122.303422","Map")</f>
        <v>Map</v>
      </c>
      <c r="N1322" s="2" t="str">
        <f>HYPERLINK("http://i-0.rfimg.us/photo/1/bigphoto/301/28018301_.jpg","Photo")</f>
        <v>Photo</v>
      </c>
      <c r="AG1322">
        <v>47.609234000000001</v>
      </c>
      <c r="AH1322">
        <v>-122.303422</v>
      </c>
      <c r="AI1322" t="s">
        <v>66</v>
      </c>
      <c r="AJ1322">
        <v>98122</v>
      </c>
      <c r="AN1322">
        <v>370500</v>
      </c>
      <c r="BC1322" s="22">
        <v>39477.87976851852</v>
      </c>
      <c r="BI1322" s="22">
        <v>39549.294907407406</v>
      </c>
      <c r="BL1322">
        <v>7900</v>
      </c>
      <c r="BM1322">
        <v>1438974</v>
      </c>
      <c r="BN1322" t="s">
        <v>2636</v>
      </c>
      <c r="BO1322" s="17">
        <f t="shared" ca="1" si="20"/>
        <v>71.429637384258967</v>
      </c>
      <c r="BP1322" t="b">
        <v>0</v>
      </c>
      <c r="BQ1322">
        <v>1</v>
      </c>
      <c r="BR1322" t="s">
        <v>1667</v>
      </c>
      <c r="BS1322" t="s">
        <v>1692</v>
      </c>
      <c r="BT1322" t="b">
        <v>0</v>
      </c>
      <c r="BV1322" t="s">
        <v>1668</v>
      </c>
      <c r="BW1322">
        <v>802</v>
      </c>
      <c r="BY1322">
        <v>145482</v>
      </c>
      <c r="CA1322">
        <v>1</v>
      </c>
      <c r="CB1322" t="b">
        <v>1</v>
      </c>
      <c r="CC1322">
        <v>0</v>
      </c>
      <c r="CD1322" t="b">
        <v>0</v>
      </c>
      <c r="CE1322" t="b">
        <v>0</v>
      </c>
      <c r="CF1322" t="b">
        <v>1</v>
      </c>
      <c r="CG1322">
        <v>2942750</v>
      </c>
      <c r="CH1322" t="s">
        <v>1681</v>
      </c>
      <c r="CI1322" s="10">
        <v>395000</v>
      </c>
      <c r="CJ1322" s="7">
        <v>38758</v>
      </c>
    </row>
    <row r="1323" spans="1:88">
      <c r="A1323">
        <v>28018343</v>
      </c>
      <c r="B1323" s="2" t="str">
        <f>HYPERLINK("http://www.redfin.com/stingray/do/printable-listing?listing-id=1440044","Active")</f>
        <v>Active</v>
      </c>
      <c r="D1323" t="s">
        <v>5363</v>
      </c>
      <c r="E1323" t="s">
        <v>5362</v>
      </c>
      <c r="F1323">
        <v>1052000</v>
      </c>
      <c r="G1323">
        <v>1997</v>
      </c>
      <c r="H1323">
        <v>2300</v>
      </c>
      <c r="I1323">
        <v>6000</v>
      </c>
      <c r="J1323">
        <v>4</v>
      </c>
      <c r="K1323">
        <v>3</v>
      </c>
      <c r="M1323" s="2" t="str">
        <f>HYPERLINK("http://maps.live.com/default.aspx?v=2&amp;lvl=15&amp;sp=Point.47.584769_-122.243398_2817 72nd Ave SE&amp;cp=47.584769~-122.243398","Map")</f>
        <v>Map</v>
      </c>
      <c r="N1323" s="2" t="str">
        <f>HYPERLINK("http://i-0.rfimg.us/photo/1/bigphoto/343/28018343_1.jpg","Photo")</f>
        <v>Photo</v>
      </c>
      <c r="AG1323">
        <v>47.584769000000001</v>
      </c>
      <c r="AH1323">
        <v>-122.243398</v>
      </c>
      <c r="AI1323" t="s">
        <v>5139</v>
      </c>
      <c r="AJ1323">
        <v>98040</v>
      </c>
      <c r="AN1323">
        <v>177000</v>
      </c>
      <c r="BC1323" s="22">
        <v>39477.891250000001</v>
      </c>
      <c r="BI1323" s="22">
        <v>39549.294907407406</v>
      </c>
      <c r="BL1323">
        <v>21040</v>
      </c>
      <c r="BM1323">
        <v>1440044</v>
      </c>
      <c r="BN1323" t="s">
        <v>5361</v>
      </c>
      <c r="BO1323" s="17">
        <f t="shared" ca="1" si="20"/>
        <v>71.418155902778381</v>
      </c>
      <c r="BP1323" t="b">
        <v>0</v>
      </c>
      <c r="BQ1323">
        <v>1</v>
      </c>
      <c r="BR1323" t="s">
        <v>1667</v>
      </c>
      <c r="BS1323" t="s">
        <v>2632</v>
      </c>
      <c r="BT1323" t="b">
        <v>0</v>
      </c>
      <c r="BV1323" t="s">
        <v>1668</v>
      </c>
      <c r="BW1323">
        <v>2817</v>
      </c>
      <c r="BX1323" t="s">
        <v>3856</v>
      </c>
      <c r="BY1323">
        <v>257744</v>
      </c>
      <c r="BZ1323" t="s">
        <v>2750</v>
      </c>
      <c r="CA1323">
        <v>1</v>
      </c>
      <c r="CB1323" t="b">
        <v>1</v>
      </c>
      <c r="CC1323">
        <v>0</v>
      </c>
      <c r="CD1323" t="b">
        <v>0</v>
      </c>
      <c r="CE1323" t="b">
        <v>0</v>
      </c>
      <c r="CF1323" t="b">
        <v>1</v>
      </c>
      <c r="CG1323">
        <v>2642484</v>
      </c>
      <c r="CH1323" t="s">
        <v>1681</v>
      </c>
      <c r="CI1323" s="10">
        <v>1052000</v>
      </c>
      <c r="CJ1323" s="7">
        <v>35324</v>
      </c>
    </row>
    <row r="1324" spans="1:88">
      <c r="A1324">
        <v>28018389</v>
      </c>
      <c r="B1324" s="2" t="str">
        <f>HYPERLINK("http://www.redfin.com/stingray/do/printable-listing?listing-id=1442316","Active")</f>
        <v>Active</v>
      </c>
      <c r="D1324" t="s">
        <v>3885</v>
      </c>
      <c r="E1324" t="s">
        <v>5843</v>
      </c>
      <c r="F1324" s="19">
        <v>659999</v>
      </c>
      <c r="G1324">
        <v>1996</v>
      </c>
      <c r="H1324">
        <v>2500</v>
      </c>
      <c r="I1324">
        <v>14652</v>
      </c>
      <c r="J1324">
        <v>4</v>
      </c>
      <c r="K1324">
        <v>2.5</v>
      </c>
      <c r="M1324" s="2" t="str">
        <f>HYPERLINK("http://maps.live.com/default.aspx?v=2&amp;lvl=15&amp;sp=Point.47.528502_-122.145351_14625 SE 82nd Ct&amp;cp=47.528502~-122.145351","Map")</f>
        <v>Map</v>
      </c>
      <c r="N1324" s="2" t="str">
        <f>HYPERLINK("http://i-0.rfimg.us/photo/1/bigphoto/389/28018389_2.jpg","Photo")</f>
        <v>Photo</v>
      </c>
      <c r="AG1324">
        <v>47.528502000000003</v>
      </c>
      <c r="AH1324">
        <v>-122.14535100000001</v>
      </c>
      <c r="AI1324" t="s">
        <v>3885</v>
      </c>
      <c r="AJ1324">
        <v>98059</v>
      </c>
      <c r="AN1324">
        <v>265000</v>
      </c>
      <c r="BC1324" s="22">
        <v>39478.337673611109</v>
      </c>
      <c r="BI1324" s="22">
        <v>39549.294907407406</v>
      </c>
      <c r="BL1324">
        <v>13500</v>
      </c>
      <c r="BM1324">
        <v>1442316</v>
      </c>
      <c r="BN1324" t="s">
        <v>1674</v>
      </c>
      <c r="BO1324" s="17">
        <f t="shared" ca="1" si="20"/>
        <v>70.971732291669468</v>
      </c>
      <c r="BP1324" t="b">
        <v>0</v>
      </c>
      <c r="BQ1324">
        <v>1</v>
      </c>
      <c r="BR1324" t="s">
        <v>3768</v>
      </c>
      <c r="BS1324" t="s">
        <v>2359</v>
      </c>
      <c r="BT1324" t="b">
        <v>0</v>
      </c>
      <c r="BU1324" t="s">
        <v>3856</v>
      </c>
      <c r="BV1324" t="s">
        <v>1668</v>
      </c>
      <c r="BW1324">
        <v>14625</v>
      </c>
      <c r="BY1324">
        <v>416426</v>
      </c>
      <c r="BZ1324" t="s">
        <v>3497</v>
      </c>
      <c r="CA1324">
        <v>1</v>
      </c>
      <c r="CB1324" t="b">
        <v>1</v>
      </c>
      <c r="CC1324">
        <v>0</v>
      </c>
      <c r="CD1324" t="b">
        <v>0</v>
      </c>
      <c r="CE1324" t="b">
        <v>0</v>
      </c>
      <c r="CF1324" t="b">
        <v>1</v>
      </c>
      <c r="CG1324">
        <v>2483410</v>
      </c>
      <c r="CH1324" t="s">
        <v>1681</v>
      </c>
      <c r="CI1324" s="10">
        <v>675000</v>
      </c>
      <c r="CJ1324" s="7">
        <v>35018</v>
      </c>
    </row>
    <row r="1325" spans="1:88">
      <c r="A1325">
        <v>28018410</v>
      </c>
      <c r="B1325" s="2" t="str">
        <f>HYPERLINK("http://www.redfin.com/stingray/do/printable-listing?listing-id=1442469","Active")</f>
        <v>Active</v>
      </c>
      <c r="D1325" t="s">
        <v>3249</v>
      </c>
      <c r="E1325" t="s">
        <v>3560</v>
      </c>
      <c r="F1325">
        <v>849950</v>
      </c>
      <c r="G1325">
        <v>1952</v>
      </c>
      <c r="H1325">
        <v>2410</v>
      </c>
      <c r="I1325">
        <v>4505</v>
      </c>
      <c r="J1325">
        <v>6</v>
      </c>
      <c r="K1325">
        <v>3.5</v>
      </c>
      <c r="M1325" s="2" t="str">
        <f>HYPERLINK("http://maps.live.com/default.aspx?v=2&amp;lvl=15&amp;sp=Point.47.651381_-122.36857_3432 9th Ave W&amp;cp=47.651381~-122.36857","Map")</f>
        <v>Map</v>
      </c>
      <c r="N1325" s="2" t="str">
        <f>HYPERLINK("http://i-0.rfimg.us/photo/1/bigphoto/410/28018410_0.jpg","Photo")</f>
        <v>Photo</v>
      </c>
      <c r="AG1325">
        <v>47.651381000000001</v>
      </c>
      <c r="AH1325">
        <v>-122.36857000000001</v>
      </c>
      <c r="AI1325" t="s">
        <v>66</v>
      </c>
      <c r="AJ1325">
        <v>98119</v>
      </c>
      <c r="AN1325">
        <v>688900</v>
      </c>
      <c r="BC1325" s="22">
        <v>39478.389837962961</v>
      </c>
      <c r="BI1325" s="22">
        <v>39546.925937499997</v>
      </c>
      <c r="BL1325">
        <v>16999</v>
      </c>
      <c r="BM1325">
        <v>1442469</v>
      </c>
      <c r="BN1325" t="s">
        <v>1737</v>
      </c>
      <c r="BO1325" s="17">
        <f t="shared" ca="1" si="20"/>
        <v>70.91956793981808</v>
      </c>
      <c r="BP1325" t="b">
        <v>0</v>
      </c>
      <c r="BQ1325">
        <v>1</v>
      </c>
      <c r="BR1325" t="s">
        <v>1667</v>
      </c>
      <c r="BS1325" t="s">
        <v>1785</v>
      </c>
      <c r="BT1325" t="b">
        <v>0</v>
      </c>
      <c r="BV1325" t="s">
        <v>1668</v>
      </c>
      <c r="BW1325">
        <v>3432</v>
      </c>
      <c r="BX1325" t="s">
        <v>2423</v>
      </c>
      <c r="BY1325">
        <v>129844</v>
      </c>
      <c r="BZ1325" t="s">
        <v>1672</v>
      </c>
      <c r="CA1325">
        <v>1</v>
      </c>
      <c r="CB1325" t="b">
        <v>1</v>
      </c>
      <c r="CC1325">
        <v>0</v>
      </c>
      <c r="CD1325" t="b">
        <v>0</v>
      </c>
      <c r="CE1325" t="b">
        <v>0</v>
      </c>
      <c r="CF1325" t="b">
        <v>1</v>
      </c>
      <c r="CG1325">
        <v>2932070</v>
      </c>
      <c r="CH1325" t="s">
        <v>1681</v>
      </c>
      <c r="CI1325" s="10">
        <v>849950</v>
      </c>
      <c r="CJ1325" s="7">
        <v>38629</v>
      </c>
    </row>
    <row r="1326" spans="1:88">
      <c r="A1326">
        <v>28018469</v>
      </c>
      <c r="B1326" s="2" t="str">
        <f>HYPERLINK("http://www.redfin.com/stingray/do/printable-listing?listing-id=1442610","Active")</f>
        <v>Active</v>
      </c>
      <c r="D1326" t="s">
        <v>3929</v>
      </c>
      <c r="E1326" t="s">
        <v>6084</v>
      </c>
      <c r="F1326">
        <v>558888</v>
      </c>
      <c r="G1326">
        <v>1997</v>
      </c>
      <c r="H1326">
        <v>3670</v>
      </c>
      <c r="I1326">
        <v>7200</v>
      </c>
      <c r="J1326">
        <v>5</v>
      </c>
      <c r="K1326">
        <v>3.5</v>
      </c>
      <c r="M1326" s="2" t="str">
        <f>HYPERLINK("http://maps.live.com/default.aspx?v=2&amp;lvl=15&amp;sp=Point.47.495482_-122.158474_4530 NE 7th Pl&amp;cp=47.495482~-122.158474","Map")</f>
        <v>Map</v>
      </c>
      <c r="N1326" s="2" t="str">
        <f>HYPERLINK("http://i-0.rfimg.us/photo/1/bigphoto/469/28018469_0.jpg","Photo")</f>
        <v>Photo</v>
      </c>
      <c r="AG1326">
        <v>47.495482000000003</v>
      </c>
      <c r="AH1326">
        <v>-122.158474</v>
      </c>
      <c r="AI1326" t="s">
        <v>1077</v>
      </c>
      <c r="AJ1326">
        <v>98059</v>
      </c>
      <c r="AN1326">
        <v>340000</v>
      </c>
      <c r="BC1326" s="22">
        <v>39478.421516203707</v>
      </c>
      <c r="BI1326" s="22">
        <v>39549.294907407406</v>
      </c>
      <c r="BL1326">
        <v>11178</v>
      </c>
      <c r="BM1326">
        <v>1442610</v>
      </c>
      <c r="BN1326" t="s">
        <v>3236</v>
      </c>
      <c r="BO1326" s="17">
        <f t="shared" ca="1" si="20"/>
        <v>70.88788969907182</v>
      </c>
      <c r="BP1326" t="b">
        <v>0</v>
      </c>
      <c r="BQ1326">
        <v>1</v>
      </c>
      <c r="BR1326" t="s">
        <v>1842</v>
      </c>
      <c r="BS1326" t="s">
        <v>1859</v>
      </c>
      <c r="BT1326" t="b">
        <v>0</v>
      </c>
      <c r="BU1326" t="s">
        <v>1738</v>
      </c>
      <c r="BV1326" t="s">
        <v>1668</v>
      </c>
      <c r="BW1326">
        <v>4530</v>
      </c>
      <c r="BY1326">
        <v>244061</v>
      </c>
      <c r="BZ1326" t="s">
        <v>6085</v>
      </c>
      <c r="CA1326">
        <v>1</v>
      </c>
      <c r="CB1326" t="b">
        <v>1</v>
      </c>
      <c r="CC1326">
        <v>0</v>
      </c>
      <c r="CD1326" t="b">
        <v>0</v>
      </c>
      <c r="CE1326" t="b">
        <v>0</v>
      </c>
      <c r="CF1326" t="b">
        <v>1</v>
      </c>
      <c r="CG1326">
        <v>2917542</v>
      </c>
      <c r="CH1326" t="s">
        <v>1681</v>
      </c>
      <c r="CI1326" s="10">
        <v>558888</v>
      </c>
      <c r="CJ1326" s="7">
        <v>37804</v>
      </c>
    </row>
    <row r="1327" spans="1:88">
      <c r="A1327">
        <v>28018504</v>
      </c>
      <c r="B1327" s="2" t="str">
        <f>HYPERLINK("http://www.redfin.com/stingray/do/printable-listing?listing-id=1442686","Active")</f>
        <v>Active</v>
      </c>
      <c r="D1327" t="s">
        <v>2552</v>
      </c>
      <c r="E1327" t="s">
        <v>3494</v>
      </c>
      <c r="F1327">
        <v>399500</v>
      </c>
      <c r="G1327">
        <v>2004</v>
      </c>
      <c r="H1327">
        <v>1220</v>
      </c>
      <c r="I1327">
        <v>0</v>
      </c>
      <c r="J1327">
        <v>2</v>
      </c>
      <c r="K1327">
        <v>1.5</v>
      </c>
      <c r="M1327" s="2" t="str">
        <f>HYPERLINK("http://maps.live.com/default.aspx?v=2&amp;lvl=15&amp;sp=Point.47.658949_-122.403252_4316 36th Ave W&amp;cp=47.658949~-122.403252","Map")</f>
        <v>Map</v>
      </c>
      <c r="N1327" s="2" t="str">
        <f>HYPERLINK("http://i-0.rfimg.us/photo/1/bigphoto/504/28018504_1.jpg","Photo")</f>
        <v>Photo</v>
      </c>
      <c r="AG1327">
        <v>47.658949</v>
      </c>
      <c r="AH1327">
        <v>-122.40325199999999</v>
      </c>
      <c r="AI1327" t="s">
        <v>66</v>
      </c>
      <c r="AJ1327">
        <v>98199</v>
      </c>
      <c r="BC1327" s="22">
        <v>39478.431574074071</v>
      </c>
      <c r="BI1327" s="22">
        <v>39545.917314814818</v>
      </c>
      <c r="BL1327">
        <v>7990</v>
      </c>
      <c r="BM1327">
        <v>1442686</v>
      </c>
      <c r="BN1327" t="s">
        <v>1939</v>
      </c>
      <c r="BO1327" s="17">
        <f t="shared" ca="1" si="20"/>
        <v>70.877831828707713</v>
      </c>
      <c r="BP1327" t="b">
        <v>0</v>
      </c>
      <c r="BQ1327">
        <v>1</v>
      </c>
      <c r="BR1327" t="s">
        <v>1667</v>
      </c>
      <c r="BS1327" t="s">
        <v>2911</v>
      </c>
      <c r="BT1327" t="b">
        <v>0</v>
      </c>
      <c r="BV1327" t="s">
        <v>1668</v>
      </c>
      <c r="BW1327">
        <v>4316</v>
      </c>
      <c r="BX1327" t="s">
        <v>2423</v>
      </c>
      <c r="BY1327">
        <v>12384749</v>
      </c>
      <c r="BZ1327" t="s">
        <v>1679</v>
      </c>
      <c r="CA1327">
        <v>1</v>
      </c>
      <c r="CB1327" t="b">
        <v>1</v>
      </c>
      <c r="CC1327">
        <v>0</v>
      </c>
      <c r="CD1327" t="b">
        <v>0</v>
      </c>
      <c r="CE1327" t="b">
        <v>0</v>
      </c>
      <c r="CF1327" t="b">
        <v>1</v>
      </c>
      <c r="CG1327">
        <v>15588497</v>
      </c>
      <c r="CH1327" t="s">
        <v>1681</v>
      </c>
      <c r="CI1327" s="10">
        <v>399500</v>
      </c>
    </row>
    <row r="1328" spans="1:88">
      <c r="A1328">
        <v>28018523</v>
      </c>
      <c r="B1328" s="2" t="str">
        <f>HYPERLINK("http://www.redfin.com/stingray/do/printable-listing?listing-id=1443100","Subject To Inspection")</f>
        <v>Subject To Inspection</v>
      </c>
      <c r="D1328" t="s">
        <v>919</v>
      </c>
      <c r="E1328" t="s">
        <v>664</v>
      </c>
      <c r="F1328">
        <v>350000</v>
      </c>
      <c r="G1328">
        <v>1961</v>
      </c>
      <c r="H1328">
        <v>2440</v>
      </c>
      <c r="I1328">
        <v>7395</v>
      </c>
      <c r="J1328">
        <v>4</v>
      </c>
      <c r="K1328">
        <v>2.25</v>
      </c>
      <c r="M1328" s="2" t="str">
        <f>HYPERLINK("http://maps.live.com/default.aspx?v=2&amp;lvl=15&amp;sp=Point.47.704841_-122.337219_10354 Densmore Ave N&amp;cp=47.704841~-122.337219","Map")</f>
        <v>Map</v>
      </c>
      <c r="N1328" s="2" t="str">
        <f>HYPERLINK("http://i-0.rfimg.us/photo/1/bigphoto/523/28018523_0.jpg","Photo")</f>
        <v>Photo</v>
      </c>
      <c r="AG1328">
        <v>47.704841000000002</v>
      </c>
      <c r="AH1328">
        <v>-122.337219</v>
      </c>
      <c r="AI1328" t="s">
        <v>66</v>
      </c>
      <c r="AJ1328">
        <v>98133</v>
      </c>
      <c r="AN1328">
        <v>415000</v>
      </c>
      <c r="BC1328" s="22">
        <v>39478.536516203705</v>
      </c>
      <c r="BI1328" s="22">
        <v>39549.294907407406</v>
      </c>
      <c r="BL1328">
        <v>7000</v>
      </c>
      <c r="BM1328">
        <v>1443100</v>
      </c>
      <c r="BN1328" t="s">
        <v>2006</v>
      </c>
      <c r="BO1328" s="17">
        <f t="shared" ca="1" si="20"/>
        <v>70.772889814812515</v>
      </c>
      <c r="BP1328" t="b">
        <v>0</v>
      </c>
      <c r="BQ1328">
        <v>2</v>
      </c>
      <c r="BR1328" t="s">
        <v>1667</v>
      </c>
      <c r="BS1328" t="s">
        <v>2349</v>
      </c>
      <c r="BT1328" t="b">
        <v>0</v>
      </c>
      <c r="BV1328" t="s">
        <v>1668</v>
      </c>
      <c r="BW1328">
        <v>10354</v>
      </c>
      <c r="BX1328" t="s">
        <v>1712</v>
      </c>
      <c r="BY1328">
        <v>104242</v>
      </c>
      <c r="BZ1328" t="s">
        <v>1684</v>
      </c>
      <c r="CA1328">
        <v>1</v>
      </c>
      <c r="CB1328" t="b">
        <v>1</v>
      </c>
      <c r="CC1328">
        <v>0</v>
      </c>
      <c r="CD1328" t="b">
        <v>0</v>
      </c>
      <c r="CE1328" t="b">
        <v>0</v>
      </c>
      <c r="CF1328" t="b">
        <v>1</v>
      </c>
      <c r="CG1328">
        <v>2738059</v>
      </c>
      <c r="CH1328" t="s">
        <v>1681</v>
      </c>
      <c r="CI1328" s="10">
        <v>350000</v>
      </c>
      <c r="CJ1328" s="7">
        <v>38379</v>
      </c>
    </row>
    <row r="1329" spans="1:90">
      <c r="A1329">
        <v>28018530</v>
      </c>
      <c r="B1329" s="2" t="str">
        <f>HYPERLINK("http://www.redfin.com/stingray/do/printable-listing?listing-id=1443582","Active")</f>
        <v>Active</v>
      </c>
      <c r="D1329" t="s">
        <v>3885</v>
      </c>
      <c r="E1329" t="s">
        <v>5963</v>
      </c>
      <c r="F1329" s="19">
        <v>849950</v>
      </c>
      <c r="G1329">
        <v>2001</v>
      </c>
      <c r="H1329">
        <v>3349</v>
      </c>
      <c r="I1329">
        <v>7182</v>
      </c>
      <c r="J1329">
        <v>4</v>
      </c>
      <c r="K1329">
        <v>2.5</v>
      </c>
      <c r="M1329" s="2" t="str">
        <f>HYPERLINK("http://maps.live.com/default.aspx?v=2&amp;lvl=15&amp;sp=Point.47.535874_-122.155531_7509 138th Pl SE&amp;cp=47.535874~-122.155531","Map")</f>
        <v>Map</v>
      </c>
      <c r="N1329" s="2" t="str">
        <f>HYPERLINK("http://i-0.rfimg.us/photo/1/bigphoto/530/28018530_0.jpg","Photo")</f>
        <v>Photo</v>
      </c>
      <c r="AG1329">
        <v>47.535874</v>
      </c>
      <c r="AH1329">
        <v>-122.155531</v>
      </c>
      <c r="AI1329" t="s">
        <v>3885</v>
      </c>
      <c r="AJ1329">
        <v>98059</v>
      </c>
      <c r="BC1329" s="22">
        <v>39478.641875000001</v>
      </c>
      <c r="BI1329" s="22">
        <v>39549.294907407406</v>
      </c>
      <c r="BL1329">
        <v>17599</v>
      </c>
      <c r="BM1329">
        <v>1443582</v>
      </c>
      <c r="BN1329" t="s">
        <v>1688</v>
      </c>
      <c r="BO1329" s="17">
        <f t="shared" ca="1" si="20"/>
        <v>70.667530902777798</v>
      </c>
      <c r="BP1329" t="b">
        <v>0</v>
      </c>
      <c r="BQ1329">
        <v>1</v>
      </c>
      <c r="BR1329" t="s">
        <v>1842</v>
      </c>
      <c r="BS1329" t="s">
        <v>4421</v>
      </c>
      <c r="BT1329" t="b">
        <v>0</v>
      </c>
      <c r="BV1329" t="s">
        <v>1668</v>
      </c>
      <c r="BW1329">
        <v>7509</v>
      </c>
      <c r="BX1329" t="s">
        <v>3856</v>
      </c>
      <c r="BY1329">
        <v>12384757</v>
      </c>
      <c r="BZ1329" t="s">
        <v>1741</v>
      </c>
      <c r="CA1329">
        <v>1</v>
      </c>
      <c r="CB1329" t="b">
        <v>1</v>
      </c>
      <c r="CC1329">
        <v>0</v>
      </c>
      <c r="CD1329" t="b">
        <v>0</v>
      </c>
      <c r="CE1329" t="b">
        <v>0</v>
      </c>
      <c r="CF1329" t="b">
        <v>1</v>
      </c>
      <c r="CG1329">
        <v>15588505</v>
      </c>
      <c r="CH1329" t="s">
        <v>1681</v>
      </c>
      <c r="CI1329" s="10">
        <v>879950</v>
      </c>
    </row>
    <row r="1330" spans="1:90">
      <c r="A1330">
        <v>28018531</v>
      </c>
      <c r="B1330" s="2" t="str">
        <f>HYPERLINK("http://www.redfin.com/stingray/do/printable-listing?listing-id=1460031","Active")</f>
        <v>Active</v>
      </c>
      <c r="D1330" t="s">
        <v>3704</v>
      </c>
      <c r="E1330" t="s">
        <v>4189</v>
      </c>
      <c r="F1330">
        <v>619000</v>
      </c>
      <c r="G1330">
        <v>2006</v>
      </c>
      <c r="H1330">
        <v>1420</v>
      </c>
      <c r="I1330">
        <v>0</v>
      </c>
      <c r="J1330">
        <v>2</v>
      </c>
      <c r="K1330">
        <v>2.5</v>
      </c>
      <c r="M1330" s="2" t="str">
        <f>HYPERLINK("http://maps.live.com/default.aspx?v=2&amp;lvl=15&amp;sp=Point.47.622413_-122.319103_433 Federal Ave E&amp;cp=47.622413~-122.319103","Map")</f>
        <v>Map</v>
      </c>
      <c r="N1330" s="2" t="str">
        <f>HYPERLINK("http://i-0.rfimg.us/photo/1/bigphoto/531/28018531_0.jpg","Photo")</f>
        <v>Photo</v>
      </c>
      <c r="AG1330">
        <v>47.622413000000002</v>
      </c>
      <c r="AH1330">
        <v>-122.319103</v>
      </c>
      <c r="AI1330" t="s">
        <v>66</v>
      </c>
      <c r="AJ1330">
        <v>98102</v>
      </c>
      <c r="AN1330">
        <v>589950</v>
      </c>
      <c r="BC1330" s="22">
        <v>39484.788136574076</v>
      </c>
      <c r="BI1330" s="7">
        <v>39532</v>
      </c>
      <c r="BL1330">
        <v>12380</v>
      </c>
      <c r="BM1330">
        <v>1460031</v>
      </c>
      <c r="BN1330" t="s">
        <v>1749</v>
      </c>
      <c r="BO1330" s="17">
        <f t="shared" ca="1" si="20"/>
        <v>64.521269328703056</v>
      </c>
      <c r="BP1330" t="b">
        <v>0</v>
      </c>
      <c r="BQ1330">
        <v>1</v>
      </c>
      <c r="BR1330" t="s">
        <v>1667</v>
      </c>
      <c r="BS1330" t="s">
        <v>3724</v>
      </c>
      <c r="BT1330" t="b">
        <v>0</v>
      </c>
      <c r="BV1330" t="s">
        <v>1668</v>
      </c>
      <c r="BW1330">
        <v>433</v>
      </c>
      <c r="BX1330" t="s">
        <v>2436</v>
      </c>
      <c r="BY1330">
        <v>8189245</v>
      </c>
      <c r="BZ1330" t="s">
        <v>1672</v>
      </c>
      <c r="CA1330">
        <v>1</v>
      </c>
      <c r="CB1330" t="b">
        <v>1</v>
      </c>
      <c r="CC1330">
        <v>0</v>
      </c>
      <c r="CD1330" t="b">
        <v>0</v>
      </c>
      <c r="CE1330" t="b">
        <v>0</v>
      </c>
      <c r="CF1330" t="b">
        <v>0</v>
      </c>
      <c r="CG1330">
        <v>3025918</v>
      </c>
      <c r="CH1330" t="s">
        <v>1681</v>
      </c>
      <c r="CI1330" s="10">
        <v>619000</v>
      </c>
      <c r="CJ1330" s="7">
        <v>39094</v>
      </c>
    </row>
    <row r="1331" spans="1:90">
      <c r="A1331">
        <v>28018532</v>
      </c>
      <c r="B1331" s="2" t="str">
        <f>HYPERLINK("http://www.redfin.com/stingray/do/printable-listing?listing-id=1442721","Active")</f>
        <v>Active</v>
      </c>
      <c r="D1331" t="s">
        <v>109</v>
      </c>
      <c r="E1331" t="s">
        <v>855</v>
      </c>
      <c r="F1331">
        <v>469950</v>
      </c>
      <c r="G1331">
        <v>1909</v>
      </c>
      <c r="H1331">
        <v>1150</v>
      </c>
      <c r="I1331">
        <v>2940</v>
      </c>
      <c r="J1331">
        <v>2</v>
      </c>
      <c r="K1331">
        <v>1</v>
      </c>
      <c r="M1331" s="2" t="str">
        <f>HYPERLINK("http://maps.live.com/default.aspx?v=2&amp;lvl=15&amp;sp=Point.47.664674_-122.328486_4673 1st Ave NE&amp;cp=47.664674~-122.328486","Map")</f>
        <v>Map</v>
      </c>
      <c r="N1331" s="2" t="str">
        <f>HYPERLINK("http://i-0.rfimg.us/photo/1/bigphoto/532/28018532_0.jpg","Photo")</f>
        <v>Photo</v>
      </c>
      <c r="AG1331">
        <v>47.664673999999998</v>
      </c>
      <c r="AH1331">
        <v>-122.328486</v>
      </c>
      <c r="AI1331" t="s">
        <v>66</v>
      </c>
      <c r="AJ1331">
        <v>98105</v>
      </c>
      <c r="AN1331">
        <v>285500</v>
      </c>
      <c r="BC1331" s="22">
        <v>39478.442615740743</v>
      </c>
      <c r="BI1331" s="7">
        <v>39531</v>
      </c>
      <c r="BL1331">
        <v>9399</v>
      </c>
      <c r="BM1331">
        <v>1442721</v>
      </c>
      <c r="BN1331" t="s">
        <v>2444</v>
      </c>
      <c r="BO1331" s="17">
        <f t="shared" ca="1" si="20"/>
        <v>70.866790277774271</v>
      </c>
      <c r="BP1331" t="b">
        <v>0</v>
      </c>
      <c r="BQ1331">
        <v>1</v>
      </c>
      <c r="BR1331" t="s">
        <v>1667</v>
      </c>
      <c r="BS1331" t="s">
        <v>1822</v>
      </c>
      <c r="BT1331" t="b">
        <v>0</v>
      </c>
      <c r="BV1331" t="s">
        <v>1668</v>
      </c>
      <c r="BW1331">
        <v>4673</v>
      </c>
      <c r="BX1331" t="s">
        <v>1738</v>
      </c>
      <c r="BY1331">
        <v>117833</v>
      </c>
      <c r="BZ1331" t="s">
        <v>1676</v>
      </c>
      <c r="CA1331">
        <v>1</v>
      </c>
      <c r="CB1331" t="b">
        <v>1</v>
      </c>
      <c r="CC1331">
        <v>0</v>
      </c>
      <c r="CD1331" t="b">
        <v>0</v>
      </c>
      <c r="CE1331" t="b">
        <v>0</v>
      </c>
      <c r="CF1331" t="b">
        <v>1</v>
      </c>
      <c r="CG1331">
        <v>2600503</v>
      </c>
      <c r="CH1331" t="s">
        <v>1681</v>
      </c>
      <c r="CI1331" s="10">
        <v>469950</v>
      </c>
      <c r="CJ1331" s="7">
        <v>37532</v>
      </c>
    </row>
    <row r="1332" spans="1:90">
      <c r="A1332">
        <v>28018565</v>
      </c>
      <c r="B1332" s="2" t="str">
        <f>HYPERLINK("http://www.redfin.com/stingray/do/printable-listing?listing-id=1447682","Active")</f>
        <v>Active</v>
      </c>
      <c r="D1332" t="s">
        <v>4663</v>
      </c>
      <c r="E1332" t="s">
        <v>5016</v>
      </c>
      <c r="F1332" s="19">
        <v>779000</v>
      </c>
      <c r="G1332">
        <v>1971</v>
      </c>
      <c r="H1332">
        <v>1990</v>
      </c>
      <c r="I1332">
        <v>17328</v>
      </c>
      <c r="J1332">
        <v>3</v>
      </c>
      <c r="K1332">
        <v>1.75</v>
      </c>
      <c r="M1332" s="2" t="str">
        <f>HYPERLINK("http://maps.live.com/default.aspx?v=2&amp;lvl=15&amp;sp=Point.47.640323_-122.166336_3301 131st Ave NE&amp;cp=47.640323~-122.166336","Map")</f>
        <v>Map</v>
      </c>
      <c r="N1332" s="2" t="str">
        <f>HYPERLINK("http://i-0.rfimg.us/photo/1/bigphoto/565/28018565_2.jpg","Photo")</f>
        <v>Photo</v>
      </c>
      <c r="AG1332">
        <v>47.640323000000002</v>
      </c>
      <c r="AH1332">
        <v>-122.166336</v>
      </c>
      <c r="AI1332" t="s">
        <v>369</v>
      </c>
      <c r="AJ1332">
        <v>98005</v>
      </c>
      <c r="BC1332" s="22">
        <v>39479.724664351852</v>
      </c>
      <c r="BI1332" s="22">
        <v>39549.294907407406</v>
      </c>
      <c r="BL1332">
        <v>15780</v>
      </c>
      <c r="BM1332">
        <v>1447682</v>
      </c>
      <c r="BN1332" t="s">
        <v>1680</v>
      </c>
      <c r="BO1332" s="17">
        <f t="shared" ca="1" si="20"/>
        <v>69.584741550926992</v>
      </c>
      <c r="BP1332" t="b">
        <v>0</v>
      </c>
      <c r="BQ1332">
        <v>1</v>
      </c>
      <c r="BR1332" t="s">
        <v>1667</v>
      </c>
      <c r="BS1332" t="s">
        <v>4521</v>
      </c>
      <c r="BT1332" t="b">
        <v>0</v>
      </c>
      <c r="BV1332" t="s">
        <v>1668</v>
      </c>
      <c r="BW1332">
        <v>3301</v>
      </c>
      <c r="BX1332" t="s">
        <v>1738</v>
      </c>
      <c r="BY1332">
        <v>430507</v>
      </c>
      <c r="BZ1332" t="s">
        <v>1985</v>
      </c>
      <c r="CA1332">
        <v>1</v>
      </c>
      <c r="CB1332" t="b">
        <v>1</v>
      </c>
      <c r="CC1332">
        <v>0</v>
      </c>
      <c r="CD1332" t="b">
        <v>0</v>
      </c>
      <c r="CE1332" t="b">
        <v>0</v>
      </c>
      <c r="CF1332" t="b">
        <v>1</v>
      </c>
      <c r="CG1332">
        <v>2394307</v>
      </c>
      <c r="CH1332" t="s">
        <v>1681</v>
      </c>
      <c r="CI1332" s="10">
        <v>789000</v>
      </c>
      <c r="CL1332" s="19" t="s">
        <v>5283</v>
      </c>
    </row>
    <row r="1333" spans="1:90">
      <c r="A1333">
        <v>28018602</v>
      </c>
      <c r="B1333" s="2" t="str">
        <f>HYPERLINK("http://www.redfin.com/stingray/do/printable-listing?listing-id=1442922","Active")</f>
        <v>Active</v>
      </c>
      <c r="D1333" t="s">
        <v>5926</v>
      </c>
      <c r="E1333" t="s">
        <v>6137</v>
      </c>
      <c r="F1333">
        <v>599950</v>
      </c>
      <c r="G1333">
        <v>2005</v>
      </c>
      <c r="H1333">
        <v>2405</v>
      </c>
      <c r="I1333">
        <v>0</v>
      </c>
      <c r="J1333">
        <v>3</v>
      </c>
      <c r="K1333">
        <v>2.5</v>
      </c>
      <c r="M1333" s="2" t="str">
        <f>HYPERLINK("http://maps.live.com/default.aspx?v=2&amp;lvl=15&amp;sp=Point.47.510378730878_-122.19289258705_2022 Lincoln Pl NE&amp;cp=47.510378730878~-122.19289258705","Map")</f>
        <v>Map</v>
      </c>
      <c r="N1333" s="2" t="str">
        <f>HYPERLINK("http://i-0.rfimg.us/photo/1/bigphoto/602/28018602_0.jpg","Photo")</f>
        <v>Photo</v>
      </c>
      <c r="AG1333">
        <v>47.510378730878003</v>
      </c>
      <c r="AH1333">
        <v>-122.19289258705</v>
      </c>
      <c r="AI1333" t="s">
        <v>1077</v>
      </c>
      <c r="AJ1333">
        <v>98056</v>
      </c>
      <c r="AN1333">
        <v>515057</v>
      </c>
      <c r="BC1333" s="22">
        <v>39478.494733796295</v>
      </c>
      <c r="BI1333" s="22">
        <v>39549.294907407406</v>
      </c>
      <c r="BL1333">
        <v>11999</v>
      </c>
      <c r="BM1333">
        <v>1442922</v>
      </c>
      <c r="BN1333" t="s">
        <v>1737</v>
      </c>
      <c r="BO1333" s="17">
        <f t="shared" ca="1" si="20"/>
        <v>70.814672106484068</v>
      </c>
      <c r="BP1333" t="b">
        <v>0</v>
      </c>
      <c r="BQ1333">
        <v>1</v>
      </c>
      <c r="BR1333" t="s">
        <v>1842</v>
      </c>
      <c r="BS1333" t="s">
        <v>5939</v>
      </c>
      <c r="BT1333" t="b">
        <v>0</v>
      </c>
      <c r="BV1333" t="s">
        <v>1668</v>
      </c>
      <c r="BW1333">
        <v>2022</v>
      </c>
      <c r="BX1333" t="s">
        <v>1738</v>
      </c>
      <c r="BY1333">
        <v>2078282</v>
      </c>
      <c r="BZ1333" s="21">
        <v>0</v>
      </c>
      <c r="CA1333">
        <v>1</v>
      </c>
      <c r="CB1333" t="b">
        <v>1</v>
      </c>
      <c r="CC1333">
        <v>0</v>
      </c>
      <c r="CD1333" t="b">
        <v>0</v>
      </c>
      <c r="CE1333" t="b">
        <v>0</v>
      </c>
      <c r="CF1333" t="b">
        <v>1</v>
      </c>
      <c r="CG1333">
        <v>2677507</v>
      </c>
      <c r="CH1333" t="s">
        <v>1681</v>
      </c>
      <c r="CI1333" s="10">
        <v>599950</v>
      </c>
      <c r="CJ1333" s="7">
        <v>38659</v>
      </c>
    </row>
    <row r="1334" spans="1:90">
      <c r="A1334">
        <v>28018621</v>
      </c>
      <c r="B1334" s="2" t="str">
        <f>HYPERLINK("http://www.redfin.com/stingray/do/printable-listing?listing-id=1443021","Active")</f>
        <v>Active</v>
      </c>
      <c r="D1334" t="s">
        <v>1238</v>
      </c>
      <c r="E1334" t="s">
        <v>3825</v>
      </c>
      <c r="F1334" s="19">
        <v>699000</v>
      </c>
      <c r="G1334">
        <v>1925</v>
      </c>
      <c r="H1334">
        <v>1770</v>
      </c>
      <c r="I1334">
        <v>3000</v>
      </c>
      <c r="J1334">
        <v>3</v>
      </c>
      <c r="K1334">
        <v>1.5</v>
      </c>
      <c r="M1334" s="2" t="str">
        <f>HYPERLINK("http://maps.live.com/default.aspx?v=2&amp;lvl=15&amp;sp=Point.47.633361_-122.303957_2110 E Crescent Dr&amp;cp=47.633361~-122.303957","Map")</f>
        <v>Map</v>
      </c>
      <c r="N1334" s="2" t="str">
        <f>HYPERLINK("http://i-0.rfimg.us/photo/1/bigphoto/621/28018621_0.jpg","Photo")</f>
        <v>Photo</v>
      </c>
      <c r="AG1334">
        <v>47.633361000000001</v>
      </c>
      <c r="AH1334">
        <v>-122.303957</v>
      </c>
      <c r="AI1334" t="s">
        <v>66</v>
      </c>
      <c r="AJ1334">
        <v>98112</v>
      </c>
      <c r="BC1334" s="22">
        <v>39478.515763888892</v>
      </c>
      <c r="BI1334" s="22">
        <v>39549.294907407406</v>
      </c>
      <c r="BL1334">
        <v>14790</v>
      </c>
      <c r="BM1334">
        <v>1443021</v>
      </c>
      <c r="BN1334" t="s">
        <v>2733</v>
      </c>
      <c r="BO1334" s="17">
        <f t="shared" ca="1" si="20"/>
        <v>70.793642013886711</v>
      </c>
      <c r="BP1334" t="b">
        <v>0</v>
      </c>
      <c r="BQ1334">
        <v>1</v>
      </c>
      <c r="BR1334" t="s">
        <v>1816</v>
      </c>
      <c r="BS1334" t="s">
        <v>3826</v>
      </c>
      <c r="BT1334" t="b">
        <v>0</v>
      </c>
      <c r="BU1334" t="s">
        <v>2436</v>
      </c>
      <c r="BV1334" t="s">
        <v>1668</v>
      </c>
      <c r="BW1334">
        <v>2110</v>
      </c>
      <c r="BY1334">
        <v>137090</v>
      </c>
      <c r="BZ1334" t="s">
        <v>1741</v>
      </c>
      <c r="CA1334">
        <v>1</v>
      </c>
      <c r="CB1334" t="b">
        <v>1</v>
      </c>
      <c r="CC1334">
        <v>0</v>
      </c>
      <c r="CD1334" t="b">
        <v>1</v>
      </c>
      <c r="CE1334" t="b">
        <v>0</v>
      </c>
      <c r="CF1334" t="b">
        <v>1</v>
      </c>
      <c r="CG1334">
        <v>2555901</v>
      </c>
      <c r="CH1334" t="s">
        <v>1681</v>
      </c>
      <c r="CI1334" s="10">
        <v>739500</v>
      </c>
    </row>
    <row r="1335" spans="1:90">
      <c r="A1335">
        <v>28018622</v>
      </c>
      <c r="B1335" s="2" t="str">
        <f>HYPERLINK("http://www.redfin.com/stingray/do/printable-listing?listing-id=1443020","Active")</f>
        <v>Active</v>
      </c>
      <c r="D1335" t="s">
        <v>4777</v>
      </c>
      <c r="E1335" t="s">
        <v>4979</v>
      </c>
      <c r="F1335" s="19">
        <v>839900</v>
      </c>
      <c r="G1335">
        <v>1967</v>
      </c>
      <c r="H1335">
        <v>2710</v>
      </c>
      <c r="I1335">
        <v>10395</v>
      </c>
      <c r="J1335">
        <v>4</v>
      </c>
      <c r="K1335">
        <v>2.75</v>
      </c>
      <c r="M1335" s="2" t="str">
        <f>HYPERLINK("http://maps.live.com/default.aspx?v=2&amp;lvl=15&amp;sp=Point.47.651399_-122.193994_4647 110th Ave NE&amp;cp=47.651399~-122.193994","Map")</f>
        <v>Map</v>
      </c>
      <c r="N1335" s="2" t="str">
        <f>HYPERLINK("http://i-0.rfimg.us/photo/1/bigphoto/622/28018622_0.jpg","Photo")</f>
        <v>Photo</v>
      </c>
      <c r="AG1335">
        <v>47.651398999999998</v>
      </c>
      <c r="AH1335">
        <v>-122.193994</v>
      </c>
      <c r="AI1335" t="s">
        <v>1058</v>
      </c>
      <c r="AJ1335">
        <v>98033</v>
      </c>
      <c r="AN1335">
        <v>460000</v>
      </c>
      <c r="BC1335" s="22">
        <v>39478.515763888892</v>
      </c>
      <c r="BI1335" s="22">
        <v>39549.294907407406</v>
      </c>
      <c r="BL1335">
        <v>17540</v>
      </c>
      <c r="BM1335">
        <v>1443020</v>
      </c>
      <c r="BN1335" t="s">
        <v>2372</v>
      </c>
      <c r="BO1335" s="17">
        <f t="shared" ca="1" si="20"/>
        <v>70.793642013886711</v>
      </c>
      <c r="BP1335" t="b">
        <v>0</v>
      </c>
      <c r="BQ1335">
        <v>1</v>
      </c>
      <c r="BR1335" t="s">
        <v>1667</v>
      </c>
      <c r="BS1335" t="s">
        <v>4369</v>
      </c>
      <c r="BT1335" t="b">
        <v>0</v>
      </c>
      <c r="BV1335" t="s">
        <v>1668</v>
      </c>
      <c r="BW1335">
        <v>4647</v>
      </c>
      <c r="BX1335" t="s">
        <v>1738</v>
      </c>
      <c r="BY1335">
        <v>460593</v>
      </c>
      <c r="BZ1335" t="s">
        <v>1672</v>
      </c>
      <c r="CA1335">
        <v>1</v>
      </c>
      <c r="CB1335" t="b">
        <v>1</v>
      </c>
      <c r="CC1335">
        <v>0</v>
      </c>
      <c r="CD1335" t="b">
        <v>0</v>
      </c>
      <c r="CE1335" t="b">
        <v>0</v>
      </c>
      <c r="CF1335" t="b">
        <v>1</v>
      </c>
      <c r="CG1335">
        <v>2576007</v>
      </c>
      <c r="CH1335" t="s">
        <v>1681</v>
      </c>
      <c r="CI1335" s="10">
        <v>877000</v>
      </c>
      <c r="CJ1335" s="7">
        <v>38552</v>
      </c>
    </row>
    <row r="1336" spans="1:90">
      <c r="A1336">
        <v>28018667</v>
      </c>
      <c r="B1336" s="2" t="str">
        <f>HYPERLINK("http://www.redfin.com/stingray/do/printable-listing?listing-id=1447496","Active")</f>
        <v>Active</v>
      </c>
      <c r="D1336" t="s">
        <v>60</v>
      </c>
      <c r="E1336" t="s">
        <v>2519</v>
      </c>
      <c r="F1336">
        <v>895000</v>
      </c>
      <c r="G1336">
        <v>1904</v>
      </c>
      <c r="H1336">
        <v>2750</v>
      </c>
      <c r="I1336">
        <v>6000</v>
      </c>
      <c r="J1336">
        <v>4</v>
      </c>
      <c r="K1336">
        <v>3</v>
      </c>
      <c r="M1336" s="2" t="str">
        <f>HYPERLINK("http://maps.live.com/default.aspx?v=2&amp;lvl=15&amp;sp=Point.47.672932_-122.334226_6019 McKinley Pl N&amp;cp=47.672932~-122.334226","Map")</f>
        <v>Map</v>
      </c>
      <c r="N1336" s="2" t="str">
        <f>HYPERLINK("http://i-0.rfimg.us/photo/1/bigphoto/667/28018667_0.jpg","Photo")</f>
        <v>Photo</v>
      </c>
      <c r="AG1336">
        <v>47.672932000000003</v>
      </c>
      <c r="AH1336">
        <v>-122.334226</v>
      </c>
      <c r="AI1336" t="s">
        <v>66</v>
      </c>
      <c r="AJ1336">
        <v>98103</v>
      </c>
      <c r="AN1336">
        <v>789000</v>
      </c>
      <c r="BC1336" s="22">
        <v>39479.694155092591</v>
      </c>
      <c r="BI1336" s="22">
        <v>39549.294907407406</v>
      </c>
      <c r="BL1336">
        <v>17900</v>
      </c>
      <c r="BM1336">
        <v>1447496</v>
      </c>
      <c r="BN1336" t="s">
        <v>1702</v>
      </c>
      <c r="BO1336" s="17">
        <f t="shared" ca="1" si="20"/>
        <v>69.615250925926375</v>
      </c>
      <c r="BP1336" t="b">
        <v>0</v>
      </c>
      <c r="BQ1336">
        <v>1</v>
      </c>
      <c r="BR1336" t="s">
        <v>1842</v>
      </c>
      <c r="BS1336" t="s">
        <v>2520</v>
      </c>
      <c r="BT1336" t="b">
        <v>0</v>
      </c>
      <c r="BV1336" t="s">
        <v>1668</v>
      </c>
      <c r="BW1336">
        <v>6019</v>
      </c>
      <c r="BX1336" t="s">
        <v>1712</v>
      </c>
      <c r="BY1336">
        <v>305804</v>
      </c>
      <c r="BZ1336" t="s">
        <v>1713</v>
      </c>
      <c r="CA1336">
        <v>1</v>
      </c>
      <c r="CB1336" t="b">
        <v>1</v>
      </c>
      <c r="CC1336">
        <v>0</v>
      </c>
      <c r="CD1336" t="b">
        <v>0</v>
      </c>
      <c r="CE1336" t="b">
        <v>0</v>
      </c>
      <c r="CF1336" t="b">
        <v>1</v>
      </c>
      <c r="CG1336">
        <v>2729498</v>
      </c>
      <c r="CH1336" t="s">
        <v>1681</v>
      </c>
      <c r="CI1336" s="10">
        <v>895000</v>
      </c>
      <c r="CJ1336" s="7">
        <v>38308</v>
      </c>
    </row>
    <row r="1337" spans="1:90">
      <c r="A1337">
        <v>28018747</v>
      </c>
      <c r="B1337" s="2" t="str">
        <f>HYPERLINK("http://www.redfin.com/stingray/do/printable-listing?listing-id=1443719","Active")</f>
        <v>Active</v>
      </c>
      <c r="D1337" t="s">
        <v>3066</v>
      </c>
      <c r="E1337" t="s">
        <v>4887</v>
      </c>
      <c r="F1337">
        <v>739000</v>
      </c>
      <c r="G1337">
        <v>1963</v>
      </c>
      <c r="H1337">
        <v>1470</v>
      </c>
      <c r="I1337">
        <v>16858</v>
      </c>
      <c r="J1337">
        <v>4</v>
      </c>
      <c r="K1337">
        <v>2</v>
      </c>
      <c r="M1337" s="2" t="str">
        <f>HYPERLINK("http://maps.live.com/default.aspx?v=2&amp;lvl=15&amp;sp=Point.47.675612_-122.164779_13116 NE 80th St&amp;cp=47.675612~-122.164779","Map")</f>
        <v>Map</v>
      </c>
      <c r="N1337" s="2" t="str">
        <f>HYPERLINK("http://i-0.rfimg.us/photo/1/bigphoto/747/28018747_3.jpg","Photo")</f>
        <v>Photo</v>
      </c>
      <c r="AG1337">
        <v>47.675612000000001</v>
      </c>
      <c r="AH1337">
        <v>-122.164779</v>
      </c>
      <c r="AI1337" t="s">
        <v>1058</v>
      </c>
      <c r="AJ1337">
        <v>98033</v>
      </c>
      <c r="AN1337">
        <v>645000</v>
      </c>
      <c r="BC1337" s="22">
        <v>39478.672546296293</v>
      </c>
      <c r="BI1337" s="22">
        <v>39549.294907407406</v>
      </c>
      <c r="BL1337">
        <v>14780</v>
      </c>
      <c r="BM1337">
        <v>1443719</v>
      </c>
      <c r="BN1337" t="s">
        <v>1674</v>
      </c>
      <c r="BO1337" s="17">
        <f t="shared" ca="1" si="20"/>
        <v>70.636859606485814</v>
      </c>
      <c r="BP1337" t="b">
        <v>0</v>
      </c>
      <c r="BQ1337">
        <v>1</v>
      </c>
      <c r="BR1337" t="s">
        <v>1686</v>
      </c>
      <c r="BS1337" t="s">
        <v>1711</v>
      </c>
      <c r="BT1337" t="b">
        <v>0</v>
      </c>
      <c r="BU1337" t="s">
        <v>1738</v>
      </c>
      <c r="BV1337" t="s">
        <v>1668</v>
      </c>
      <c r="BW1337">
        <v>13116</v>
      </c>
      <c r="BY1337">
        <v>516415</v>
      </c>
      <c r="BZ1337" t="s">
        <v>4888</v>
      </c>
      <c r="CA1337">
        <v>1</v>
      </c>
      <c r="CB1337" t="b">
        <v>1</v>
      </c>
      <c r="CC1337">
        <v>0</v>
      </c>
      <c r="CD1337" t="b">
        <v>0</v>
      </c>
      <c r="CE1337" t="b">
        <v>0</v>
      </c>
      <c r="CF1337" t="b">
        <v>1</v>
      </c>
      <c r="CG1337">
        <v>2607959</v>
      </c>
      <c r="CH1337" t="s">
        <v>1681</v>
      </c>
      <c r="CI1337" s="10">
        <v>739000</v>
      </c>
      <c r="CJ1337" s="7">
        <v>39244</v>
      </c>
    </row>
    <row r="1338" spans="1:90">
      <c r="A1338">
        <v>28018754</v>
      </c>
      <c r="B1338" s="2" t="str">
        <f>HYPERLINK("http://www.redfin.com/stingray/do/printable-listing?listing-id=1445485","Active")</f>
        <v>Active</v>
      </c>
      <c r="D1338" t="s">
        <v>5125</v>
      </c>
      <c r="E1338" t="s">
        <v>5516</v>
      </c>
      <c r="F1338">
        <v>688000</v>
      </c>
      <c r="G1338">
        <v>1959</v>
      </c>
      <c r="H1338">
        <v>1160</v>
      </c>
      <c r="I1338">
        <v>7673</v>
      </c>
      <c r="J1338">
        <v>3</v>
      </c>
      <c r="K1338">
        <v>1.5</v>
      </c>
      <c r="M1338" s="2" t="str">
        <f>HYPERLINK("http://maps.live.com/default.aspx?v=2&amp;lvl=15&amp;sp=Point.47.60668_-122.192643_310 110 Pl SE&amp;cp=47.60668~-122.192643","Map")</f>
        <v>Map</v>
      </c>
      <c r="N1338" s="2" t="str">
        <f>HYPERLINK("http://i-0.rfimg.us/photo/1/bigphoto/754/28018754_0.jpg","Photo")</f>
        <v>Photo</v>
      </c>
      <c r="AG1338">
        <v>47.606679999999997</v>
      </c>
      <c r="AH1338">
        <v>-122.192643</v>
      </c>
      <c r="AI1338" t="s">
        <v>369</v>
      </c>
      <c r="AJ1338">
        <v>98004</v>
      </c>
      <c r="AN1338">
        <v>253000</v>
      </c>
      <c r="BC1338" s="22">
        <v>39479.337581018517</v>
      </c>
      <c r="BI1338" s="22">
        <v>39549.294907407406</v>
      </c>
      <c r="BL1338">
        <v>13760</v>
      </c>
      <c r="BM1338">
        <v>1445485</v>
      </c>
      <c r="BN1338" t="s">
        <v>1674</v>
      </c>
      <c r="BO1338" s="17">
        <f t="shared" ca="1" si="20"/>
        <v>69.971824884261878</v>
      </c>
      <c r="BP1338" t="b">
        <v>0</v>
      </c>
      <c r="BQ1338">
        <v>1</v>
      </c>
      <c r="BR1338" t="s">
        <v>1842</v>
      </c>
      <c r="BS1338">
        <v>110</v>
      </c>
      <c r="BT1338" t="b">
        <v>0</v>
      </c>
      <c r="BV1338" t="s">
        <v>1668</v>
      </c>
      <c r="BW1338">
        <v>310</v>
      </c>
      <c r="BX1338" t="s">
        <v>3856</v>
      </c>
      <c r="BY1338">
        <v>510076</v>
      </c>
      <c r="BZ1338" t="s">
        <v>1672</v>
      </c>
      <c r="CA1338">
        <v>1</v>
      </c>
      <c r="CB1338" t="b">
        <v>1</v>
      </c>
      <c r="CC1338">
        <v>0</v>
      </c>
      <c r="CD1338" t="b">
        <v>0</v>
      </c>
      <c r="CE1338" t="b">
        <v>0</v>
      </c>
      <c r="CF1338" t="b">
        <v>1</v>
      </c>
      <c r="CG1338">
        <v>2960406</v>
      </c>
      <c r="CH1338" t="s">
        <v>1681</v>
      </c>
      <c r="CI1338" s="10">
        <v>688000</v>
      </c>
      <c r="CJ1338" s="7">
        <v>36446</v>
      </c>
    </row>
    <row r="1339" spans="1:90">
      <c r="A1339">
        <v>28018770</v>
      </c>
      <c r="B1339" s="2" t="str">
        <f>HYPERLINK("http://www.redfin.com/stingray/do/printable-listing?listing-id=1443720","Active")</f>
        <v>Active</v>
      </c>
      <c r="D1339" t="s">
        <v>4663</v>
      </c>
      <c r="E1339" t="s">
        <v>4983</v>
      </c>
      <c r="F1339" s="19">
        <v>1099900</v>
      </c>
      <c r="G1339">
        <v>1997</v>
      </c>
      <c r="H1339">
        <v>3410</v>
      </c>
      <c r="I1339">
        <v>50094</v>
      </c>
      <c r="J1339">
        <v>4</v>
      </c>
      <c r="K1339">
        <v>2.75</v>
      </c>
      <c r="M1339" s="2" t="str">
        <f>HYPERLINK("http://maps.live.com/default.aspx?v=2&amp;lvl=15&amp;sp=Point.47.643544_-122.184742_3630 116th Ave NE&amp;cp=47.643544~-122.184742","Map")</f>
        <v>Map</v>
      </c>
      <c r="N1339" s="2" t="str">
        <f>HYPERLINK("http://i-0.rfimg.us/photo/1/bigphoto/770/28018770_3.jpg","Photo")</f>
        <v>Photo</v>
      </c>
      <c r="AG1339">
        <v>47.643543999999999</v>
      </c>
      <c r="AH1339">
        <v>-122.184742</v>
      </c>
      <c r="AI1339" t="s">
        <v>369</v>
      </c>
      <c r="AJ1339">
        <v>98004</v>
      </c>
      <c r="AN1339">
        <v>749000</v>
      </c>
      <c r="BC1339" s="22">
        <v>39478.672546296293</v>
      </c>
      <c r="BI1339" s="22">
        <v>39549.294907407406</v>
      </c>
      <c r="BL1339">
        <v>22998</v>
      </c>
      <c r="BM1339">
        <v>1443720</v>
      </c>
      <c r="BN1339" t="s">
        <v>1768</v>
      </c>
      <c r="BO1339" s="17">
        <f t="shared" ca="1" si="20"/>
        <v>70.636859606485814</v>
      </c>
      <c r="BP1339" t="b">
        <v>0</v>
      </c>
      <c r="BQ1339">
        <v>1</v>
      </c>
      <c r="BR1339" t="s">
        <v>1667</v>
      </c>
      <c r="BS1339" t="s">
        <v>4441</v>
      </c>
      <c r="BT1339" t="b">
        <v>0</v>
      </c>
      <c r="BV1339" t="s">
        <v>1668</v>
      </c>
      <c r="BW1339">
        <v>3630</v>
      </c>
      <c r="BX1339" t="s">
        <v>1738</v>
      </c>
      <c r="BY1339">
        <v>430859</v>
      </c>
      <c r="BZ1339" t="s">
        <v>4984</v>
      </c>
      <c r="CA1339">
        <v>1</v>
      </c>
      <c r="CB1339" t="b">
        <v>1</v>
      </c>
      <c r="CC1339">
        <v>0</v>
      </c>
      <c r="CD1339" t="b">
        <v>0</v>
      </c>
      <c r="CE1339" t="b">
        <v>0</v>
      </c>
      <c r="CF1339" t="b">
        <v>1</v>
      </c>
      <c r="CG1339">
        <v>2471990</v>
      </c>
      <c r="CH1339" t="s">
        <v>1681</v>
      </c>
      <c r="CI1339" s="10">
        <v>1149900</v>
      </c>
      <c r="CJ1339" s="7">
        <v>37630</v>
      </c>
    </row>
    <row r="1340" spans="1:90">
      <c r="A1340">
        <v>28018804</v>
      </c>
      <c r="B1340" s="2" t="str">
        <f>HYPERLINK("http://www.redfin.com/stingray/do/printable-listing?listing-id=1449636","Active")</f>
        <v>Active</v>
      </c>
      <c r="D1340" t="s">
        <v>4378</v>
      </c>
      <c r="E1340" t="s">
        <v>4564</v>
      </c>
      <c r="F1340">
        <v>639000</v>
      </c>
      <c r="G1340">
        <v>1977</v>
      </c>
      <c r="H1340">
        <v>2544</v>
      </c>
      <c r="I1340">
        <v>8400</v>
      </c>
      <c r="J1340">
        <v>5</v>
      </c>
      <c r="K1340">
        <v>2.75</v>
      </c>
      <c r="M1340" s="2" t="str">
        <f>HYPERLINK("http://maps.live.com/default.aspx?v=2&amp;lvl=15&amp;sp=Point.47.718456_-122.232494_13111 82nd Ave NE&amp;cp=47.718456~-122.232494","Map")</f>
        <v>Map</v>
      </c>
      <c r="N1340" s="2" t="str">
        <f>HYPERLINK("http://i-0.rfimg.us/photo/1/bigphoto/804/28018804_1.jpg","Photo")</f>
        <v>Photo</v>
      </c>
      <c r="AG1340">
        <v>47.718456000000003</v>
      </c>
      <c r="AH1340">
        <v>-122.232494</v>
      </c>
      <c r="AI1340" t="s">
        <v>1058</v>
      </c>
      <c r="AJ1340">
        <v>98034</v>
      </c>
      <c r="AN1340">
        <v>430000</v>
      </c>
      <c r="BC1340" s="22">
        <v>39480.577916666669</v>
      </c>
      <c r="BI1340" s="22">
        <v>39549.294907407406</v>
      </c>
      <c r="BL1340">
        <v>12780</v>
      </c>
      <c r="BM1340">
        <v>1449636</v>
      </c>
      <c r="BN1340" t="s">
        <v>4563</v>
      </c>
      <c r="BO1340" s="17">
        <f t="shared" ca="1" si="20"/>
        <v>68.731489236110065</v>
      </c>
      <c r="BP1340" t="b">
        <v>0</v>
      </c>
      <c r="BQ1340">
        <v>1</v>
      </c>
      <c r="BR1340" t="s">
        <v>1667</v>
      </c>
      <c r="BS1340" t="s">
        <v>2359</v>
      </c>
      <c r="BT1340" t="b">
        <v>0</v>
      </c>
      <c r="BV1340" t="s">
        <v>1668</v>
      </c>
      <c r="BW1340">
        <v>13111</v>
      </c>
      <c r="BX1340" t="s">
        <v>1738</v>
      </c>
      <c r="BY1340">
        <v>276324</v>
      </c>
      <c r="BZ1340" t="s">
        <v>1704</v>
      </c>
      <c r="CA1340">
        <v>1</v>
      </c>
      <c r="CB1340" t="b">
        <v>1</v>
      </c>
      <c r="CC1340">
        <v>0</v>
      </c>
      <c r="CD1340" t="b">
        <v>0</v>
      </c>
      <c r="CE1340" t="b">
        <v>0</v>
      </c>
      <c r="CF1340" t="b">
        <v>1</v>
      </c>
      <c r="CG1340">
        <v>2646349</v>
      </c>
      <c r="CH1340" t="s">
        <v>1681</v>
      </c>
      <c r="CI1340" s="10">
        <v>639000</v>
      </c>
      <c r="CJ1340" s="7">
        <v>39325</v>
      </c>
    </row>
    <row r="1341" spans="1:90">
      <c r="A1341">
        <v>28018831</v>
      </c>
      <c r="B1341" s="2" t="str">
        <f>HYPERLINK("http://www.redfin.com/stingray/do/printable-listing?listing-id=1451470","Active")</f>
        <v>Active</v>
      </c>
      <c r="D1341" t="s">
        <v>55</v>
      </c>
      <c r="E1341" t="s">
        <v>2724</v>
      </c>
      <c r="F1341">
        <v>419500</v>
      </c>
      <c r="G1341">
        <v>1926</v>
      </c>
      <c r="H1341">
        <v>2300</v>
      </c>
      <c r="I1341">
        <v>5060</v>
      </c>
      <c r="J1341">
        <v>5</v>
      </c>
      <c r="K1341">
        <v>1.75</v>
      </c>
      <c r="M1341" s="2" t="str">
        <f>HYPERLINK("http://maps.live.com/default.aspx?v=2&amp;lvl=15&amp;sp=Point.47.695863_-122.34629_920 92nd St n918&amp;cp=47.695863~-122.34629","Map")</f>
        <v>Map</v>
      </c>
      <c r="N1341" s="2" t="str">
        <f>HYPERLINK("http://i-0.rfimg.us/photo/1/bigphoto/831/28018831_2.jpg","Photo")</f>
        <v>Photo</v>
      </c>
      <c r="AG1341">
        <v>47.695863000000003</v>
      </c>
      <c r="AH1341">
        <v>-122.34629</v>
      </c>
      <c r="AI1341" t="s">
        <v>66</v>
      </c>
      <c r="AJ1341">
        <v>98103</v>
      </c>
      <c r="AM1341" t="s">
        <v>2725</v>
      </c>
      <c r="BC1341" s="22">
        <v>39482.400451388887</v>
      </c>
      <c r="BI1341" s="22">
        <v>39549.294907407406</v>
      </c>
      <c r="BL1341">
        <v>8390</v>
      </c>
      <c r="BM1341">
        <v>1451470</v>
      </c>
      <c r="BN1341" t="s">
        <v>1671</v>
      </c>
      <c r="BO1341" s="17">
        <f t="shared" ca="1" si="20"/>
        <v>66.908954629630898</v>
      </c>
      <c r="BP1341" t="b">
        <v>0</v>
      </c>
      <c r="BQ1341">
        <v>1</v>
      </c>
      <c r="BR1341" t="s">
        <v>1686</v>
      </c>
      <c r="BS1341" t="s">
        <v>2726</v>
      </c>
      <c r="BT1341" t="b">
        <v>0</v>
      </c>
      <c r="BV1341" t="s">
        <v>1668</v>
      </c>
      <c r="BW1341">
        <v>920</v>
      </c>
      <c r="BY1341">
        <v>12385825</v>
      </c>
      <c r="BZ1341" t="s">
        <v>2727</v>
      </c>
      <c r="CA1341">
        <v>1</v>
      </c>
      <c r="CB1341" t="b">
        <v>1</v>
      </c>
      <c r="CC1341">
        <v>0</v>
      </c>
      <c r="CD1341" t="b">
        <v>0</v>
      </c>
      <c r="CE1341" t="b">
        <v>0</v>
      </c>
      <c r="CF1341" t="b">
        <v>1</v>
      </c>
      <c r="CG1341">
        <v>15589573</v>
      </c>
      <c r="CH1341" t="s">
        <v>1681</v>
      </c>
      <c r="CI1341" s="10">
        <v>419500</v>
      </c>
    </row>
    <row r="1342" spans="1:90">
      <c r="A1342">
        <v>28018855</v>
      </c>
      <c r="B1342" s="15" t="str">
        <f>HYPERLINK("http://www.redfin.com/stingray/do/printable-listing?listing-id=1443723","Subject To Inspection")</f>
        <v>Subject To Inspection</v>
      </c>
      <c r="D1342" t="s">
        <v>55</v>
      </c>
      <c r="E1342" t="s">
        <v>2699</v>
      </c>
      <c r="F1342">
        <v>329000</v>
      </c>
      <c r="G1342">
        <v>2008</v>
      </c>
      <c r="H1342">
        <v>1320</v>
      </c>
      <c r="I1342">
        <v>0</v>
      </c>
      <c r="J1342">
        <v>2</v>
      </c>
      <c r="K1342">
        <v>2.5</v>
      </c>
      <c r="M1342" s="2" t="str">
        <f>HYPERLINK("http://maps.live.com/default.aspx?v=2&amp;lvl=15&amp;sp=Point.47.709206_-122.355058_11014 Greenwood Ave N nA&amp;cp=47.709206~-122.355058","Map")</f>
        <v>Map</v>
      </c>
      <c r="N1342" s="2" t="str">
        <f>HYPERLINK("http://i-0.rfimg.us/photo/1/bigphoto/855/28018855_2.jpg","Photo")</f>
        <v>Photo</v>
      </c>
      <c r="AG1342">
        <v>47.709206000000002</v>
      </c>
      <c r="AH1342">
        <v>-122.355058</v>
      </c>
      <c r="AI1342" t="s">
        <v>66</v>
      </c>
      <c r="AJ1342">
        <v>98133</v>
      </c>
      <c r="AM1342" t="s">
        <v>1722</v>
      </c>
      <c r="BC1342" s="22">
        <v>39478.672569444447</v>
      </c>
      <c r="BI1342" s="22">
        <v>39549.294907407406</v>
      </c>
      <c r="BL1342">
        <v>6580</v>
      </c>
      <c r="BM1342">
        <v>1443723</v>
      </c>
      <c r="BN1342" t="s">
        <v>1718</v>
      </c>
      <c r="BO1342" s="17">
        <f t="shared" ca="1" si="20"/>
        <v>70.636836458332255</v>
      </c>
      <c r="BP1342" t="b">
        <v>0</v>
      </c>
      <c r="BQ1342">
        <v>1</v>
      </c>
      <c r="BR1342" t="s">
        <v>1667</v>
      </c>
      <c r="BS1342" t="s">
        <v>55</v>
      </c>
      <c r="BT1342" t="b">
        <v>0</v>
      </c>
      <c r="BV1342" t="s">
        <v>1668</v>
      </c>
      <c r="BW1342">
        <v>11014</v>
      </c>
      <c r="BX1342" t="s">
        <v>1712</v>
      </c>
      <c r="BY1342">
        <v>12385205</v>
      </c>
      <c r="BZ1342" t="s">
        <v>2700</v>
      </c>
      <c r="CA1342">
        <v>1</v>
      </c>
      <c r="CB1342" t="b">
        <v>1</v>
      </c>
      <c r="CC1342">
        <v>0</v>
      </c>
      <c r="CD1342" t="b">
        <v>0</v>
      </c>
      <c r="CE1342" t="b">
        <v>0</v>
      </c>
      <c r="CF1342" t="b">
        <v>1</v>
      </c>
      <c r="CG1342">
        <v>15620836</v>
      </c>
      <c r="CH1342" t="s">
        <v>1681</v>
      </c>
      <c r="CI1342" s="10">
        <v>329000</v>
      </c>
    </row>
    <row r="1343" spans="1:90">
      <c r="A1343">
        <v>28018884</v>
      </c>
      <c r="B1343" s="15" t="str">
        <f>HYPERLINK("http://www.redfin.com/stingray/do/printable-listing?listing-id=1443766","Subject To Inspection")</f>
        <v>Subject To Inspection</v>
      </c>
      <c r="D1343" t="s">
        <v>55</v>
      </c>
      <c r="E1343" t="s">
        <v>2702</v>
      </c>
      <c r="F1343" s="19">
        <v>349000</v>
      </c>
      <c r="G1343">
        <v>2008</v>
      </c>
      <c r="H1343">
        <v>1409</v>
      </c>
      <c r="I1343">
        <v>0</v>
      </c>
      <c r="J1343">
        <v>3</v>
      </c>
      <c r="K1343">
        <v>3.25</v>
      </c>
      <c r="M1343" s="2" t="str">
        <f>HYPERLINK("http://maps.live.com/default.aspx?v=2&amp;lvl=15&amp;sp=Point.47.709919_-122.355295_11012 Greenwood Ave N nA&amp;cp=47.709919~-122.355295","Map")</f>
        <v>Map</v>
      </c>
      <c r="N1343" s="2" t="str">
        <f>HYPERLINK("http://i-0.rfimg.us/photo/1/bigphoto/884/28018884_2.jpg","Photo")</f>
        <v>Photo</v>
      </c>
      <c r="AG1343">
        <v>47.709918999999999</v>
      </c>
      <c r="AH1343">
        <v>-122.355295</v>
      </c>
      <c r="AI1343" t="s">
        <v>66</v>
      </c>
      <c r="AJ1343">
        <v>98133</v>
      </c>
      <c r="AM1343" t="s">
        <v>1722</v>
      </c>
      <c r="BC1343" s="22">
        <v>39478.682881944442</v>
      </c>
      <c r="BI1343" s="22">
        <v>39549.294907407406</v>
      </c>
      <c r="BL1343">
        <v>7180</v>
      </c>
      <c r="BM1343">
        <v>1443766</v>
      </c>
      <c r="BN1343" t="s">
        <v>1718</v>
      </c>
      <c r="BO1343" s="17">
        <f t="shared" ca="1" si="20"/>
        <v>70.62652407407586</v>
      </c>
      <c r="BP1343" t="b">
        <v>0</v>
      </c>
      <c r="BQ1343">
        <v>1</v>
      </c>
      <c r="BR1343" t="s">
        <v>1667</v>
      </c>
      <c r="BS1343" t="s">
        <v>55</v>
      </c>
      <c r="BT1343" t="b">
        <v>0</v>
      </c>
      <c r="BV1343" t="s">
        <v>1668</v>
      </c>
      <c r="BW1343">
        <v>11012</v>
      </c>
      <c r="BX1343" t="s">
        <v>1712</v>
      </c>
      <c r="BY1343">
        <v>12385204</v>
      </c>
      <c r="BZ1343" t="s">
        <v>2700</v>
      </c>
      <c r="CA1343">
        <v>1</v>
      </c>
      <c r="CB1343" t="b">
        <v>1</v>
      </c>
      <c r="CC1343">
        <v>0</v>
      </c>
      <c r="CD1343" t="b">
        <v>0</v>
      </c>
      <c r="CE1343" t="b">
        <v>0</v>
      </c>
      <c r="CF1343" t="b">
        <v>1</v>
      </c>
      <c r="CG1343">
        <v>15588952</v>
      </c>
      <c r="CH1343" t="s">
        <v>1681</v>
      </c>
      <c r="CI1343" s="10">
        <v>359000</v>
      </c>
    </row>
    <row r="1344" spans="1:90">
      <c r="A1344">
        <v>28018908</v>
      </c>
      <c r="B1344" s="2" t="str">
        <f>HYPERLINK("http://www.redfin.com/stingray/do/printable-listing?listing-id=1443816","Contingent")</f>
        <v>Contingent</v>
      </c>
      <c r="D1344" t="s">
        <v>5490</v>
      </c>
      <c r="E1344" t="s">
        <v>5898</v>
      </c>
      <c r="F1344" s="19">
        <v>779500</v>
      </c>
      <c r="G1344">
        <v>1994</v>
      </c>
      <c r="H1344">
        <v>2817</v>
      </c>
      <c r="I1344">
        <v>10443</v>
      </c>
      <c r="J1344">
        <v>4</v>
      </c>
      <c r="K1344">
        <v>3</v>
      </c>
      <c r="M1344" s="2" t="str">
        <f>HYPERLINK("http://maps.live.com/default.aspx?v=2&amp;lvl=15&amp;sp=Point.47.55998_-122.116341_16762 SE 48th Pl&amp;cp=47.55998~-122.116341","Map")</f>
        <v>Map</v>
      </c>
      <c r="N1344" s="2" t="str">
        <f>HYPERLINK("http://i-0.rfimg.us/photo/1/bigphoto/908/28018908_L.jpg","Photo")</f>
        <v>Photo</v>
      </c>
      <c r="AG1344">
        <v>47.559980000000003</v>
      </c>
      <c r="AH1344">
        <v>-122.11634100000001</v>
      </c>
      <c r="AI1344" t="s">
        <v>369</v>
      </c>
      <c r="AJ1344">
        <v>98006</v>
      </c>
      <c r="AN1344">
        <v>295000</v>
      </c>
      <c r="BC1344" s="22">
        <v>39478.694062499999</v>
      </c>
      <c r="BI1344" s="22">
        <v>39549.294907407406</v>
      </c>
      <c r="BL1344">
        <v>15900</v>
      </c>
      <c r="BM1344">
        <v>1443816</v>
      </c>
      <c r="BN1344" t="s">
        <v>1688</v>
      </c>
      <c r="BO1344" s="17">
        <f t="shared" ca="1" si="20"/>
        <v>70.615343402780127</v>
      </c>
      <c r="BP1344" t="b">
        <v>0</v>
      </c>
      <c r="BQ1344">
        <v>2</v>
      </c>
      <c r="BR1344" t="s">
        <v>1842</v>
      </c>
      <c r="BS1344" t="s">
        <v>2443</v>
      </c>
      <c r="BT1344" t="b">
        <v>0</v>
      </c>
      <c r="BU1344" t="s">
        <v>3856</v>
      </c>
      <c r="BV1344" t="s">
        <v>1668</v>
      </c>
      <c r="BW1344">
        <v>16762</v>
      </c>
      <c r="BY1344">
        <v>238827</v>
      </c>
      <c r="BZ1344" t="s">
        <v>5899</v>
      </c>
      <c r="CA1344">
        <v>1</v>
      </c>
      <c r="CB1344" t="b">
        <v>1</v>
      </c>
      <c r="CC1344">
        <v>0</v>
      </c>
      <c r="CD1344" t="b">
        <v>0</v>
      </c>
      <c r="CE1344" t="b">
        <v>0</v>
      </c>
      <c r="CF1344" t="b">
        <v>1</v>
      </c>
      <c r="CG1344">
        <v>2423802</v>
      </c>
      <c r="CH1344" t="s">
        <v>1681</v>
      </c>
      <c r="CI1344" s="10">
        <v>795000</v>
      </c>
      <c r="CJ1344" s="7">
        <v>34626</v>
      </c>
    </row>
    <row r="1345" spans="1:88">
      <c r="A1345">
        <v>28018912</v>
      </c>
      <c r="B1345" s="2" t="str">
        <f>HYPERLINK("http://www.redfin.com/stingray/do/printable-listing?listing-id=1443820","Active")</f>
        <v>Active</v>
      </c>
      <c r="D1345" t="s">
        <v>3704</v>
      </c>
      <c r="E1345" t="s">
        <v>4043</v>
      </c>
      <c r="F1345" s="19">
        <v>529000</v>
      </c>
      <c r="G1345">
        <v>1896</v>
      </c>
      <c r="H1345">
        <v>1630</v>
      </c>
      <c r="I1345">
        <v>4096</v>
      </c>
      <c r="J1345">
        <v>3</v>
      </c>
      <c r="K1345">
        <v>2</v>
      </c>
      <c r="M1345" s="2" t="str">
        <f>HYPERLINK("http://maps.live.com/default.aspx?v=2&amp;lvl=15&amp;sp=Point.47.604039_-122.305953_216 20th Ave&amp;cp=47.604039~-122.305953","Map")</f>
        <v>Map</v>
      </c>
      <c r="N1345" s="2" t="str">
        <f>HYPERLINK("http://i-0.rfimg.us/photo/1/bigphoto/912/28018912_1.jpg","Photo")</f>
        <v>Photo</v>
      </c>
      <c r="AG1345">
        <v>47.604039</v>
      </c>
      <c r="AH1345">
        <v>-122.305953</v>
      </c>
      <c r="AI1345" t="s">
        <v>66</v>
      </c>
      <c r="AJ1345">
        <v>98122</v>
      </c>
      <c r="AN1345">
        <v>200000</v>
      </c>
      <c r="BC1345" s="22">
        <v>39478.694525462961</v>
      </c>
      <c r="BI1345" s="22">
        <v>39549.294907407406</v>
      </c>
      <c r="BL1345">
        <v>10780</v>
      </c>
      <c r="BM1345">
        <v>1443820</v>
      </c>
      <c r="BN1345" t="s">
        <v>3742</v>
      </c>
      <c r="BO1345" s="17">
        <f t="shared" ca="1" si="20"/>
        <v>70.61488043981808</v>
      </c>
      <c r="BP1345" t="b">
        <v>0</v>
      </c>
      <c r="BQ1345">
        <v>1</v>
      </c>
      <c r="BR1345" t="s">
        <v>1667</v>
      </c>
      <c r="BS1345" t="s">
        <v>1844</v>
      </c>
      <c r="BT1345" t="b">
        <v>0</v>
      </c>
      <c r="BV1345" t="s">
        <v>1668</v>
      </c>
      <c r="BW1345">
        <v>216</v>
      </c>
      <c r="BY1345">
        <v>142156</v>
      </c>
      <c r="BZ1345" t="s">
        <v>4044</v>
      </c>
      <c r="CA1345">
        <v>1</v>
      </c>
      <c r="CB1345" t="b">
        <v>1</v>
      </c>
      <c r="CC1345">
        <v>0</v>
      </c>
      <c r="CD1345" t="b">
        <v>0</v>
      </c>
      <c r="CE1345" t="b">
        <v>0</v>
      </c>
      <c r="CF1345" t="b">
        <v>1</v>
      </c>
      <c r="CG1345">
        <v>2607479</v>
      </c>
      <c r="CH1345" t="s">
        <v>1681</v>
      </c>
      <c r="CI1345" s="10">
        <v>539000</v>
      </c>
      <c r="CJ1345" s="7">
        <v>36539</v>
      </c>
    </row>
    <row r="1346" spans="1:88">
      <c r="A1346">
        <v>28018931</v>
      </c>
      <c r="B1346" s="2" t="str">
        <f>HYPERLINK("http://www.redfin.com/stingray/do/printable-listing?listing-id=1443905","Active")</f>
        <v>Active</v>
      </c>
      <c r="D1346" t="s">
        <v>3066</v>
      </c>
      <c r="E1346" t="s">
        <v>4786</v>
      </c>
      <c r="F1346">
        <v>795000</v>
      </c>
      <c r="G1346">
        <v>2008</v>
      </c>
      <c r="H1346">
        <v>2930</v>
      </c>
      <c r="I1346">
        <v>6840</v>
      </c>
      <c r="J1346">
        <v>4</v>
      </c>
      <c r="K1346">
        <v>2.5</v>
      </c>
      <c r="M1346" s="2" t="str">
        <f>HYPERLINK("http://maps.live.com/default.aspx?v=2&amp;lvl=15&amp;sp=Point.47.676_-122.1702_12403 NE 80th Ln&amp;cp=47.676~-122.1702","Map")</f>
        <v>Map</v>
      </c>
      <c r="N1346" s="2" t="str">
        <f>HYPERLINK("http://i-0.rfimg.us/photo/1/bigphoto/931/28018931_0.jpg","Photo")</f>
        <v>Photo</v>
      </c>
      <c r="AG1346">
        <v>47.676000000000002</v>
      </c>
      <c r="AH1346">
        <v>-122.17019999999999</v>
      </c>
      <c r="AI1346" t="s">
        <v>1058</v>
      </c>
      <c r="AJ1346">
        <v>98033</v>
      </c>
      <c r="BC1346" s="22">
        <v>39478.714548611111</v>
      </c>
      <c r="BI1346" s="22">
        <v>39549.294907407406</v>
      </c>
      <c r="BL1346">
        <v>15900</v>
      </c>
      <c r="BM1346">
        <v>1443905</v>
      </c>
      <c r="BN1346" t="s">
        <v>4766</v>
      </c>
      <c r="BO1346" s="17">
        <f t="shared" ref="BO1346:BO1409" ca="1" si="21">NOW()-BC1346</f>
        <v>70.594857291667722</v>
      </c>
      <c r="BP1346" t="b">
        <v>0</v>
      </c>
      <c r="BQ1346">
        <v>1</v>
      </c>
      <c r="BR1346" t="s">
        <v>2963</v>
      </c>
      <c r="BS1346" t="s">
        <v>1711</v>
      </c>
      <c r="BT1346" t="b">
        <v>0</v>
      </c>
      <c r="BU1346" t="s">
        <v>1738</v>
      </c>
      <c r="BV1346" t="s">
        <v>1668</v>
      </c>
      <c r="BW1346">
        <v>12403</v>
      </c>
      <c r="BY1346">
        <v>12384797</v>
      </c>
      <c r="BZ1346" t="s">
        <v>1672</v>
      </c>
      <c r="CA1346">
        <v>1</v>
      </c>
      <c r="CB1346" t="b">
        <v>1</v>
      </c>
      <c r="CC1346">
        <v>0</v>
      </c>
      <c r="CD1346" t="b">
        <v>0</v>
      </c>
      <c r="CE1346" t="b">
        <v>0</v>
      </c>
      <c r="CF1346" t="b">
        <v>1</v>
      </c>
      <c r="CG1346">
        <v>15347825</v>
      </c>
      <c r="CH1346" t="s">
        <v>1681</v>
      </c>
      <c r="CI1346" s="10">
        <v>795000</v>
      </c>
    </row>
    <row r="1347" spans="1:88">
      <c r="A1347">
        <v>28018958</v>
      </c>
      <c r="B1347" s="2" t="str">
        <f>HYPERLINK("http://www.redfin.com/stingray/do/printable-listing?listing-id=1444093","Active")</f>
        <v>Active</v>
      </c>
      <c r="D1347" t="s">
        <v>3961</v>
      </c>
      <c r="E1347" t="s">
        <v>4206</v>
      </c>
      <c r="F1347">
        <v>895000</v>
      </c>
      <c r="G1347">
        <v>2007</v>
      </c>
      <c r="H1347">
        <v>1933</v>
      </c>
      <c r="I1347">
        <v>0</v>
      </c>
      <c r="J1347">
        <v>2</v>
      </c>
      <c r="K1347">
        <v>2.5</v>
      </c>
      <c r="M1347" s="2" t="str">
        <f>HYPERLINK("http://maps.live.com/default.aspx?v=2&amp;lvl=15&amp;sp=Point.47.599986_-122.286414_305 Lakeside Ave S nA&amp;cp=47.599986~-122.286414","Map")</f>
        <v>Map</v>
      </c>
      <c r="N1347" s="2" t="str">
        <f>HYPERLINK("http://i-0.rfimg.us/photo/1/bigphoto/958/28018958_1.jpg","Photo")</f>
        <v>Photo</v>
      </c>
      <c r="AG1347">
        <v>47.599986000000001</v>
      </c>
      <c r="AH1347">
        <v>-122.28641399999999</v>
      </c>
      <c r="AI1347" t="s">
        <v>66</v>
      </c>
      <c r="AJ1347">
        <v>98144</v>
      </c>
      <c r="AM1347" t="s">
        <v>1722</v>
      </c>
      <c r="BC1347" s="22">
        <v>39478.744803240741</v>
      </c>
      <c r="BI1347" s="22">
        <v>39549.294907407406</v>
      </c>
      <c r="BL1347">
        <v>17900</v>
      </c>
      <c r="BM1347">
        <v>1444093</v>
      </c>
      <c r="BN1347" t="s">
        <v>1768</v>
      </c>
      <c r="BO1347" s="17">
        <f t="shared" ca="1" si="21"/>
        <v>70.564602662037942</v>
      </c>
      <c r="BP1347" t="b">
        <v>0</v>
      </c>
      <c r="BQ1347">
        <v>1</v>
      </c>
      <c r="BR1347" t="s">
        <v>1667</v>
      </c>
      <c r="BS1347" t="s">
        <v>2838</v>
      </c>
      <c r="BT1347" t="b">
        <v>0</v>
      </c>
      <c r="BV1347" t="s">
        <v>1668</v>
      </c>
      <c r="BW1347">
        <v>305</v>
      </c>
      <c r="BX1347" t="s">
        <v>1881</v>
      </c>
      <c r="BY1347">
        <v>12175138</v>
      </c>
      <c r="BZ1347" t="s">
        <v>3215</v>
      </c>
      <c r="CA1347">
        <v>1</v>
      </c>
      <c r="CB1347" t="b">
        <v>1</v>
      </c>
      <c r="CC1347">
        <v>0</v>
      </c>
      <c r="CD1347" t="b">
        <v>0</v>
      </c>
      <c r="CE1347" t="b">
        <v>0</v>
      </c>
      <c r="CF1347" t="b">
        <v>1</v>
      </c>
      <c r="CG1347">
        <v>15405743</v>
      </c>
      <c r="CH1347" t="s">
        <v>1681</v>
      </c>
      <c r="CI1347" s="10">
        <v>895000</v>
      </c>
    </row>
    <row r="1348" spans="1:88">
      <c r="A1348">
        <v>28018960</v>
      </c>
      <c r="B1348" s="2" t="str">
        <f>HYPERLINK("http://www.redfin.com/stingray/do/printable-listing?listing-id=1444094","Active")</f>
        <v>Active</v>
      </c>
      <c r="D1348" t="s">
        <v>3961</v>
      </c>
      <c r="E1348" t="s">
        <v>4207</v>
      </c>
      <c r="F1348">
        <v>1195000</v>
      </c>
      <c r="G1348">
        <v>2007</v>
      </c>
      <c r="H1348">
        <v>2198</v>
      </c>
      <c r="I1348">
        <v>0</v>
      </c>
      <c r="J1348">
        <v>2</v>
      </c>
      <c r="K1348">
        <v>2.25</v>
      </c>
      <c r="M1348" s="2" t="str">
        <f>HYPERLINK("http://maps.live.com/default.aspx?v=2&amp;lvl=15&amp;sp=Point.47.600261_-122.286001_309 Lakeside Ave S nB&amp;cp=47.600261~-122.286001","Map")</f>
        <v>Map</v>
      </c>
      <c r="N1348" s="2" t="str">
        <f>HYPERLINK("http://i-0.rfimg.us/photo/1/bigphoto/960/28018960_2.jpg","Photo")</f>
        <v>Photo</v>
      </c>
      <c r="AG1348">
        <v>47.600261000000003</v>
      </c>
      <c r="AH1348">
        <v>-122.286001</v>
      </c>
      <c r="AI1348" t="s">
        <v>66</v>
      </c>
      <c r="AJ1348">
        <v>98144</v>
      </c>
      <c r="AM1348" t="s">
        <v>1699</v>
      </c>
      <c r="BC1348" s="22">
        <v>39478.744803240741</v>
      </c>
      <c r="BI1348" s="22">
        <v>39549.294907407406</v>
      </c>
      <c r="BL1348">
        <v>23900</v>
      </c>
      <c r="BM1348">
        <v>1444094</v>
      </c>
      <c r="BN1348" t="s">
        <v>1768</v>
      </c>
      <c r="BO1348" s="17">
        <f t="shared" ca="1" si="21"/>
        <v>70.564602662037942</v>
      </c>
      <c r="BP1348" t="b">
        <v>0</v>
      </c>
      <c r="BQ1348">
        <v>1</v>
      </c>
      <c r="BR1348" t="s">
        <v>1667</v>
      </c>
      <c r="BS1348" t="s">
        <v>2838</v>
      </c>
      <c r="BT1348" t="b">
        <v>0</v>
      </c>
      <c r="BV1348" t="s">
        <v>1668</v>
      </c>
      <c r="BW1348">
        <v>309</v>
      </c>
      <c r="BX1348" t="s">
        <v>1881</v>
      </c>
      <c r="BY1348">
        <v>12175137</v>
      </c>
      <c r="BZ1348" t="s">
        <v>4208</v>
      </c>
      <c r="CA1348">
        <v>1</v>
      </c>
      <c r="CB1348" t="b">
        <v>1</v>
      </c>
      <c r="CC1348">
        <v>0</v>
      </c>
      <c r="CD1348" t="b">
        <v>0</v>
      </c>
      <c r="CE1348" t="b">
        <v>0</v>
      </c>
      <c r="CF1348" t="b">
        <v>1</v>
      </c>
      <c r="CG1348">
        <v>15405744</v>
      </c>
      <c r="CH1348" t="s">
        <v>1681</v>
      </c>
      <c r="CI1348" s="10">
        <v>1195000</v>
      </c>
    </row>
    <row r="1349" spans="1:88">
      <c r="A1349">
        <v>28018962</v>
      </c>
      <c r="B1349" s="2" t="str">
        <f>HYPERLINK("http://www.redfin.com/stingray/do/printable-listing?listing-id=1444097","Active")</f>
        <v>Active</v>
      </c>
      <c r="D1349" t="s">
        <v>5281</v>
      </c>
      <c r="E1349" t="s">
        <v>5320</v>
      </c>
      <c r="F1349">
        <v>549950</v>
      </c>
      <c r="G1349">
        <v>1973</v>
      </c>
      <c r="H1349">
        <v>2420</v>
      </c>
      <c r="I1349">
        <v>8424</v>
      </c>
      <c r="J1349">
        <v>4</v>
      </c>
      <c r="K1349">
        <v>2.5</v>
      </c>
      <c r="M1349" s="2" t="str">
        <f>HYPERLINK("http://maps.live.com/default.aspx?v=2&amp;lvl=15&amp;sp=Point.47.567887_-122.086615_4252 190th Ave SE&amp;cp=47.567887~-122.086615","Map")</f>
        <v>Map</v>
      </c>
      <c r="N1349" s="2" t="str">
        <f>HYPERLINK("http://i-0.rfimg.us/photo/1/bigphoto/962/28018962_2.jpg","Photo")</f>
        <v>Photo</v>
      </c>
      <c r="AG1349">
        <v>47.567886999999999</v>
      </c>
      <c r="AH1349">
        <v>-122.08661499999999</v>
      </c>
      <c r="AI1349" t="s">
        <v>5280</v>
      </c>
      <c r="AJ1349">
        <v>98027</v>
      </c>
      <c r="BC1349" s="22">
        <v>39478.744814814818</v>
      </c>
      <c r="BI1349" s="22">
        <v>39549.294907407406</v>
      </c>
      <c r="BL1349">
        <v>10999</v>
      </c>
      <c r="BM1349">
        <v>1444097</v>
      </c>
      <c r="BN1349" t="s">
        <v>5319</v>
      </c>
      <c r="BO1349" s="17">
        <f t="shared" ca="1" si="21"/>
        <v>70.564591087961162</v>
      </c>
      <c r="BP1349" t="b">
        <v>0</v>
      </c>
      <c r="BQ1349">
        <v>1</v>
      </c>
      <c r="BR1349" t="s">
        <v>1667</v>
      </c>
      <c r="BS1349" t="s">
        <v>5272</v>
      </c>
      <c r="BT1349" t="b">
        <v>0</v>
      </c>
      <c r="BV1349" t="s">
        <v>1668</v>
      </c>
      <c r="BW1349">
        <v>4252</v>
      </c>
      <c r="BX1349" t="s">
        <v>3856</v>
      </c>
      <c r="BY1349">
        <v>327254</v>
      </c>
      <c r="BZ1349" t="s">
        <v>5321</v>
      </c>
      <c r="CA1349">
        <v>1</v>
      </c>
      <c r="CB1349" t="b">
        <v>1</v>
      </c>
      <c r="CC1349">
        <v>0</v>
      </c>
      <c r="CD1349" t="b">
        <v>0</v>
      </c>
      <c r="CE1349" t="b">
        <v>0</v>
      </c>
      <c r="CF1349" t="b">
        <v>1</v>
      </c>
      <c r="CG1349">
        <v>2390016</v>
      </c>
      <c r="CH1349" t="s">
        <v>1681</v>
      </c>
      <c r="CI1349" s="10">
        <v>549950</v>
      </c>
    </row>
    <row r="1350" spans="1:88">
      <c r="A1350">
        <v>28018965</v>
      </c>
      <c r="B1350" s="2" t="str">
        <f>HYPERLINK("http://www.redfin.com/stingray/do/printable-listing?listing-id=1444095","Active")</f>
        <v>Active</v>
      </c>
      <c r="D1350" t="s">
        <v>3961</v>
      </c>
      <c r="E1350" t="s">
        <v>4207</v>
      </c>
      <c r="F1350">
        <v>1195000</v>
      </c>
      <c r="G1350">
        <v>2007</v>
      </c>
      <c r="H1350">
        <v>2198</v>
      </c>
      <c r="I1350">
        <v>0</v>
      </c>
      <c r="J1350">
        <v>2</v>
      </c>
      <c r="K1350">
        <v>2.25</v>
      </c>
      <c r="M1350" s="2" t="str">
        <f>HYPERLINK("http://maps.live.com/default.aspx?v=2&amp;lvl=15&amp;sp=Point.47.600261_-122.286001_309 Lakeside Ave S nB&amp;cp=47.600261~-122.286001","Map")</f>
        <v>Map</v>
      </c>
      <c r="N1350" s="2" t="str">
        <f>HYPERLINK("http://i-0.rfimg.us/photo/1/bigphoto/965/28018965_1.jpg","Photo")</f>
        <v>Photo</v>
      </c>
      <c r="AG1350">
        <v>47.600261000000003</v>
      </c>
      <c r="AH1350">
        <v>-122.286001</v>
      </c>
      <c r="AI1350" t="s">
        <v>66</v>
      </c>
      <c r="AJ1350">
        <v>98144</v>
      </c>
      <c r="AM1350" t="s">
        <v>1699</v>
      </c>
      <c r="BC1350" s="22">
        <v>39478.744803240741</v>
      </c>
      <c r="BI1350" s="22">
        <v>39549.294907407406</v>
      </c>
      <c r="BL1350">
        <v>23900</v>
      </c>
      <c r="BM1350">
        <v>1444095</v>
      </c>
      <c r="BN1350" t="s">
        <v>1768</v>
      </c>
      <c r="BO1350" s="17">
        <f t="shared" ca="1" si="21"/>
        <v>70.564602662037942</v>
      </c>
      <c r="BP1350" t="b">
        <v>0</v>
      </c>
      <c r="BQ1350">
        <v>1</v>
      </c>
      <c r="BR1350" t="s">
        <v>1667</v>
      </c>
      <c r="BS1350" t="s">
        <v>2838</v>
      </c>
      <c r="BT1350" t="b">
        <v>0</v>
      </c>
      <c r="BV1350" t="s">
        <v>1668</v>
      </c>
      <c r="BW1350">
        <v>309</v>
      </c>
      <c r="BX1350" t="s">
        <v>1881</v>
      </c>
      <c r="BY1350">
        <v>12175137</v>
      </c>
      <c r="BZ1350" t="s">
        <v>2865</v>
      </c>
      <c r="CA1350">
        <v>1</v>
      </c>
      <c r="CB1350" t="b">
        <v>1</v>
      </c>
      <c r="CC1350">
        <v>0</v>
      </c>
      <c r="CD1350" t="b">
        <v>0</v>
      </c>
      <c r="CE1350" t="b">
        <v>0</v>
      </c>
      <c r="CF1350" t="b">
        <v>1</v>
      </c>
      <c r="CG1350">
        <v>15405744</v>
      </c>
      <c r="CH1350" t="s">
        <v>1681</v>
      </c>
      <c r="CI1350" s="10">
        <v>1195000</v>
      </c>
    </row>
    <row r="1351" spans="1:88">
      <c r="A1351">
        <v>28018992</v>
      </c>
      <c r="B1351" s="2" t="str">
        <f>HYPERLINK("http://www.redfin.com/stingray/do/printable-listing?listing-id=1444195","Active")</f>
        <v>Active</v>
      </c>
      <c r="D1351" t="s">
        <v>1115</v>
      </c>
      <c r="E1351" t="s">
        <v>3080</v>
      </c>
      <c r="F1351" s="19">
        <v>644950</v>
      </c>
      <c r="G1351">
        <v>1954</v>
      </c>
      <c r="H1351">
        <v>2640</v>
      </c>
      <c r="I1351">
        <v>5723</v>
      </c>
      <c r="J1351">
        <v>5</v>
      </c>
      <c r="K1351">
        <v>2.25</v>
      </c>
      <c r="M1351" s="2" t="str">
        <f>HYPERLINK("http://maps.live.com/default.aspx?v=2&amp;lvl=15&amp;sp=Point.47.679195_-122.283289_4209 NE 70th St&amp;cp=47.679195~-122.283289","Map")</f>
        <v>Map</v>
      </c>
      <c r="N1351" s="2" t="str">
        <f>HYPERLINK("http://i-0.rfimg.us/photo/1/bigphoto/992/28018992_0.jpg","Photo")</f>
        <v>Photo</v>
      </c>
      <c r="AG1351">
        <v>47.679195</v>
      </c>
      <c r="AH1351">
        <v>-122.283289</v>
      </c>
      <c r="AI1351" t="s">
        <v>66</v>
      </c>
      <c r="AJ1351">
        <v>98115</v>
      </c>
      <c r="AN1351">
        <v>176000</v>
      </c>
      <c r="BC1351" s="22">
        <v>39478.797800925924</v>
      </c>
      <c r="BI1351" s="22">
        <v>39549.294907407406</v>
      </c>
      <c r="BL1351">
        <v>12999</v>
      </c>
      <c r="BM1351">
        <v>1444195</v>
      </c>
      <c r="BN1351" t="s">
        <v>1798</v>
      </c>
      <c r="BO1351" s="17">
        <f t="shared" ca="1" si="21"/>
        <v>70.511604976854869</v>
      </c>
      <c r="BP1351" t="b">
        <v>0</v>
      </c>
      <c r="BQ1351">
        <v>1</v>
      </c>
      <c r="BR1351" t="s">
        <v>1686</v>
      </c>
      <c r="BS1351" t="s">
        <v>1703</v>
      </c>
      <c r="BT1351" t="b">
        <v>0</v>
      </c>
      <c r="BU1351" t="s">
        <v>1738</v>
      </c>
      <c r="BV1351" t="s">
        <v>1668</v>
      </c>
      <c r="BW1351">
        <v>4209</v>
      </c>
      <c r="BY1351">
        <v>317795</v>
      </c>
      <c r="BZ1351" t="s">
        <v>1745</v>
      </c>
      <c r="CA1351">
        <v>1</v>
      </c>
      <c r="CB1351" t="b">
        <v>1</v>
      </c>
      <c r="CC1351">
        <v>0</v>
      </c>
      <c r="CD1351" t="b">
        <v>0</v>
      </c>
      <c r="CE1351" t="b">
        <v>0</v>
      </c>
      <c r="CF1351" t="b">
        <v>1</v>
      </c>
      <c r="CG1351">
        <v>2691844</v>
      </c>
      <c r="CH1351" t="s">
        <v>1681</v>
      </c>
      <c r="CI1351" s="10">
        <v>649950</v>
      </c>
      <c r="CJ1351" s="7">
        <v>34738</v>
      </c>
    </row>
    <row r="1352" spans="1:88">
      <c r="A1352">
        <v>28019011</v>
      </c>
      <c r="B1352" s="2" t="str">
        <f>HYPERLINK("http://www.redfin.com/stingray/do/printable-listing?listing-id=1444495","Active")</f>
        <v>Active</v>
      </c>
      <c r="D1352" t="s">
        <v>5287</v>
      </c>
      <c r="E1352" t="s">
        <v>1657</v>
      </c>
      <c r="F1352" s="19">
        <v>810000</v>
      </c>
      <c r="G1352">
        <v>1983</v>
      </c>
      <c r="H1352">
        <v>2310</v>
      </c>
      <c r="I1352">
        <v>12985</v>
      </c>
      <c r="J1352">
        <v>3</v>
      </c>
      <c r="K1352">
        <v>2.5</v>
      </c>
      <c r="M1352" s="2" t="str">
        <f>HYPERLINK("http://maps.live.com/default.aspx?v=2&amp;lvl=15&amp;sp=adr.Undisclosed,98006","Map")</f>
        <v>Map</v>
      </c>
      <c r="N1352" s="2" t="str">
        <f>HYPERLINK("http://i-0.rfimg.us/photo/1/bigphoto/011/28019011_1.jpg","Photo")</f>
        <v>Photo</v>
      </c>
      <c r="AI1352" t="s">
        <v>369</v>
      </c>
      <c r="AJ1352">
        <v>98006</v>
      </c>
      <c r="BC1352" s="22">
        <v>39478.891018518516</v>
      </c>
      <c r="BI1352" s="22">
        <v>39549.294907407406</v>
      </c>
      <c r="BL1352">
        <v>16700</v>
      </c>
      <c r="BM1352">
        <v>1444495</v>
      </c>
      <c r="BN1352" t="s">
        <v>5574</v>
      </c>
      <c r="BO1352" s="17">
        <f t="shared" ca="1" si="21"/>
        <v>70.418387384263042</v>
      </c>
      <c r="BP1352" t="b">
        <v>0</v>
      </c>
      <c r="BQ1352">
        <v>1</v>
      </c>
      <c r="BT1352" t="b">
        <v>1</v>
      </c>
      <c r="BV1352" t="s">
        <v>1668</v>
      </c>
      <c r="BY1352">
        <v>0</v>
      </c>
      <c r="BZ1352" t="s">
        <v>5575</v>
      </c>
      <c r="CA1352">
        <v>1</v>
      </c>
      <c r="CB1352" t="b">
        <v>1</v>
      </c>
      <c r="CC1352">
        <v>0</v>
      </c>
      <c r="CD1352" t="b">
        <v>0</v>
      </c>
      <c r="CE1352" t="b">
        <v>0</v>
      </c>
      <c r="CF1352" t="b">
        <v>1</v>
      </c>
      <c r="CG1352" t="s">
        <v>1870</v>
      </c>
      <c r="CH1352" t="s">
        <v>1681</v>
      </c>
      <c r="CI1352" s="10">
        <v>835000</v>
      </c>
    </row>
    <row r="1353" spans="1:88">
      <c r="A1353">
        <v>28019020</v>
      </c>
      <c r="B1353" s="15" t="str">
        <f>HYPERLINK("http://www.redfin.com/stingray/do/printable-listing?listing-id=1444546","Subject To Inspection")</f>
        <v>Subject To Inspection</v>
      </c>
      <c r="D1353" t="s">
        <v>5201</v>
      </c>
      <c r="E1353" t="s">
        <v>5432</v>
      </c>
      <c r="F1353">
        <v>386950</v>
      </c>
      <c r="G1353">
        <v>1956</v>
      </c>
      <c r="H1353">
        <v>1420</v>
      </c>
      <c r="I1353">
        <v>8799</v>
      </c>
      <c r="J1353">
        <v>3</v>
      </c>
      <c r="K1353">
        <v>1.75</v>
      </c>
      <c r="M1353" s="2" t="str">
        <f>HYPERLINK("http://maps.live.com/default.aspx?v=2&amp;lvl=15&amp;sp=Point.47.599371_-122.126681_1115 160th Ave SE&amp;cp=47.599371~-122.126681","Map")</f>
        <v>Map</v>
      </c>
      <c r="N1353" s="2" t="str">
        <f>HYPERLINK("http://i-0.rfimg.us/photo/1/bigphoto/020/28019020_2.jpg","Photo")</f>
        <v>Photo</v>
      </c>
      <c r="AG1353">
        <v>47.599370999999998</v>
      </c>
      <c r="AH1353">
        <v>-122.126681</v>
      </c>
      <c r="AI1353" t="s">
        <v>369</v>
      </c>
      <c r="AJ1353">
        <v>98008</v>
      </c>
      <c r="AN1353">
        <v>239950</v>
      </c>
      <c r="BC1353" s="22">
        <v>39478.931932870371</v>
      </c>
      <c r="BI1353" s="22">
        <v>39549.294907407406</v>
      </c>
      <c r="BL1353">
        <v>7739</v>
      </c>
      <c r="BM1353">
        <v>1444546</v>
      </c>
      <c r="BN1353" t="s">
        <v>1688</v>
      </c>
      <c r="BO1353" s="17">
        <f t="shared" ca="1" si="21"/>
        <v>70.377473032407579</v>
      </c>
      <c r="BP1353" t="b">
        <v>0</v>
      </c>
      <c r="BQ1353">
        <v>1</v>
      </c>
      <c r="BR1353" t="s">
        <v>1667</v>
      </c>
      <c r="BS1353" t="s">
        <v>5230</v>
      </c>
      <c r="BT1353" t="b">
        <v>0</v>
      </c>
      <c r="BV1353" t="s">
        <v>1668</v>
      </c>
      <c r="BW1353">
        <v>1115</v>
      </c>
      <c r="BX1353" t="s">
        <v>3856</v>
      </c>
      <c r="BY1353">
        <v>427720</v>
      </c>
      <c r="BZ1353" t="s">
        <v>5433</v>
      </c>
      <c r="CA1353">
        <v>1</v>
      </c>
      <c r="CB1353" t="b">
        <v>1</v>
      </c>
      <c r="CC1353">
        <v>0</v>
      </c>
      <c r="CD1353" t="b">
        <v>0</v>
      </c>
      <c r="CE1353" t="b">
        <v>0</v>
      </c>
      <c r="CF1353" t="b">
        <v>1</v>
      </c>
      <c r="CG1353">
        <v>2578938</v>
      </c>
      <c r="CH1353" t="s">
        <v>1681</v>
      </c>
      <c r="CI1353" s="10">
        <v>386950</v>
      </c>
      <c r="CJ1353" s="7">
        <v>37972</v>
      </c>
    </row>
    <row r="1354" spans="1:88">
      <c r="A1354">
        <v>28019070</v>
      </c>
      <c r="B1354" s="2" t="str">
        <f>HYPERLINK("http://www.redfin.com/stingray/do/printable-listing?listing-id=1445079","Active")</f>
        <v>Active</v>
      </c>
      <c r="D1354" t="s">
        <v>194</v>
      </c>
      <c r="E1354" t="s">
        <v>2822</v>
      </c>
      <c r="F1354" s="19">
        <v>725000</v>
      </c>
      <c r="G1354">
        <v>1999</v>
      </c>
      <c r="H1354">
        <v>2280</v>
      </c>
      <c r="I1354">
        <v>6142</v>
      </c>
      <c r="J1354">
        <v>4</v>
      </c>
      <c r="K1354">
        <v>3</v>
      </c>
      <c r="M1354" s="2" t="str">
        <f>HYPERLINK("http://maps.live.com/default.aspx?v=2&amp;lvl=15&amp;sp=Point.47.694064_-122.299015_9001 27th Ave NE&amp;cp=47.694064~-122.299015","Map")</f>
        <v>Map</v>
      </c>
      <c r="N1354" s="2" t="str">
        <f>HYPERLINK("http://i-0.rfimg.us/photo/1/bigphoto/070/28019070_0.jpg","Photo")</f>
        <v>Photo</v>
      </c>
      <c r="AG1354">
        <v>47.694063999999997</v>
      </c>
      <c r="AH1354">
        <v>-122.299015</v>
      </c>
      <c r="AI1354" t="s">
        <v>66</v>
      </c>
      <c r="AJ1354">
        <v>98115</v>
      </c>
      <c r="AN1354">
        <v>434500</v>
      </c>
      <c r="BC1354" s="22">
        <v>39479.088506944441</v>
      </c>
      <c r="BI1354" s="22">
        <v>39549.294907407406</v>
      </c>
      <c r="BL1354">
        <v>14700</v>
      </c>
      <c r="BM1354">
        <v>1445079</v>
      </c>
      <c r="BN1354" t="s">
        <v>1817</v>
      </c>
      <c r="BO1354" s="17">
        <f t="shared" ca="1" si="21"/>
        <v>70.220898958337784</v>
      </c>
      <c r="BP1354" t="b">
        <v>0</v>
      </c>
      <c r="BQ1354">
        <v>1</v>
      </c>
      <c r="BR1354" t="s">
        <v>1667</v>
      </c>
      <c r="BS1354" t="s">
        <v>1751</v>
      </c>
      <c r="BT1354" t="b">
        <v>0</v>
      </c>
      <c r="BV1354" t="s">
        <v>1668</v>
      </c>
      <c r="BW1354">
        <v>9001</v>
      </c>
      <c r="BX1354" t="s">
        <v>1738</v>
      </c>
      <c r="BY1354">
        <v>317070</v>
      </c>
      <c r="BZ1354" t="s">
        <v>1713</v>
      </c>
      <c r="CA1354">
        <v>1</v>
      </c>
      <c r="CB1354" t="b">
        <v>1</v>
      </c>
      <c r="CC1354">
        <v>0</v>
      </c>
      <c r="CD1354" t="b">
        <v>0</v>
      </c>
      <c r="CE1354" t="b">
        <v>0</v>
      </c>
      <c r="CF1354" t="b">
        <v>1</v>
      </c>
      <c r="CG1354">
        <v>2398599</v>
      </c>
      <c r="CH1354" t="s">
        <v>1681</v>
      </c>
      <c r="CI1354" s="10">
        <v>735000</v>
      </c>
      <c r="CJ1354" s="7">
        <v>36488</v>
      </c>
    </row>
    <row r="1355" spans="1:88">
      <c r="A1355">
        <v>28019123</v>
      </c>
      <c r="B1355" s="2" t="str">
        <f>HYPERLINK("http://www.redfin.com/stingray/do/printable-listing?listing-id=1445486","Active")</f>
        <v>Active</v>
      </c>
      <c r="D1355" t="s">
        <v>2850</v>
      </c>
      <c r="E1355" t="s">
        <v>4522</v>
      </c>
      <c r="F1355">
        <v>514950</v>
      </c>
      <c r="G1355">
        <v>1980</v>
      </c>
      <c r="H1355">
        <v>2250</v>
      </c>
      <c r="I1355">
        <v>7416</v>
      </c>
      <c r="J1355">
        <v>5</v>
      </c>
      <c r="K1355">
        <v>2.75</v>
      </c>
      <c r="M1355" s="2" t="str">
        <f>HYPERLINK("http://maps.live.com/default.aspx?v=2&amp;lvl=15&amp;sp=Point.47.7168_-122.21145_9703 NE 130TH Pl&amp;cp=47.7168~-122.21145","Map")</f>
        <v>Map</v>
      </c>
      <c r="N1355" s="2" t="str">
        <f>HYPERLINK("http://i-0.rfimg.us/photo/1/bigphoto/123/28019123_0.jpg","Photo")</f>
        <v>Photo</v>
      </c>
      <c r="AG1355">
        <v>47.716799999999999</v>
      </c>
      <c r="AH1355">
        <v>-122.21145</v>
      </c>
      <c r="AI1355" t="s">
        <v>1058</v>
      </c>
      <c r="AJ1355">
        <v>98034</v>
      </c>
      <c r="AN1355">
        <v>96925</v>
      </c>
      <c r="BC1355" s="22">
        <v>39479.337592592594</v>
      </c>
      <c r="BI1355" s="22">
        <v>39549.294907407406</v>
      </c>
      <c r="BL1355">
        <v>10299</v>
      </c>
      <c r="BM1355">
        <v>1445486</v>
      </c>
      <c r="BN1355" t="s">
        <v>1688</v>
      </c>
      <c r="BO1355" s="17">
        <f t="shared" ca="1" si="21"/>
        <v>69.971813310185098</v>
      </c>
      <c r="BP1355" t="b">
        <v>0</v>
      </c>
      <c r="BQ1355">
        <v>1</v>
      </c>
      <c r="BR1355" t="s">
        <v>1842</v>
      </c>
      <c r="BS1355" t="s">
        <v>4523</v>
      </c>
      <c r="BT1355" t="b">
        <v>0</v>
      </c>
      <c r="BU1355" t="s">
        <v>1738</v>
      </c>
      <c r="BV1355" t="s">
        <v>1668</v>
      </c>
      <c r="BW1355">
        <v>9703</v>
      </c>
      <c r="BY1355">
        <v>277858</v>
      </c>
      <c r="BZ1355" t="s">
        <v>1747</v>
      </c>
      <c r="CA1355">
        <v>1</v>
      </c>
      <c r="CB1355" t="b">
        <v>1</v>
      </c>
      <c r="CC1355">
        <v>0</v>
      </c>
      <c r="CD1355" t="b">
        <v>0</v>
      </c>
      <c r="CE1355" t="b">
        <v>0</v>
      </c>
      <c r="CF1355" t="b">
        <v>1</v>
      </c>
      <c r="CG1355">
        <v>2584929</v>
      </c>
      <c r="CH1355" t="s">
        <v>1681</v>
      </c>
      <c r="CI1355" s="10">
        <v>514950</v>
      </c>
      <c r="CJ1355" s="7">
        <v>32395</v>
      </c>
    </row>
    <row r="1356" spans="1:88">
      <c r="A1356">
        <v>28019149</v>
      </c>
      <c r="B1356" s="2" t="str">
        <f>HYPERLINK("http://www.redfin.com/stingray/do/printable-listing?listing-id=1445596","Active")</f>
        <v>Active</v>
      </c>
      <c r="D1356" t="s">
        <v>99</v>
      </c>
      <c r="E1356" t="s">
        <v>1160</v>
      </c>
      <c r="F1356">
        <v>269950</v>
      </c>
      <c r="G1356">
        <v>1940</v>
      </c>
      <c r="H1356">
        <v>540</v>
      </c>
      <c r="I1356">
        <v>0</v>
      </c>
      <c r="J1356">
        <v>1</v>
      </c>
      <c r="K1356">
        <v>1</v>
      </c>
      <c r="M1356" s="2" t="str">
        <f>HYPERLINK("http://maps.live.com/default.aspx?v=2&amp;lvl=15&amp;sp=Point.47.691792_-122.371119_8538 12th Ave NW&amp;cp=47.691792~-122.371119","Map")</f>
        <v>Map</v>
      </c>
      <c r="N1356" s="2" t="str">
        <f>HYPERLINK("http://i-0.rfimg.us/photo/1/bigphoto/149/28019149_0.jpg","Photo")</f>
        <v>Photo</v>
      </c>
      <c r="AG1356">
        <v>47.691792</v>
      </c>
      <c r="AH1356">
        <v>-122.37111899999999</v>
      </c>
      <c r="AI1356" t="s">
        <v>66</v>
      </c>
      <c r="AJ1356">
        <v>98117</v>
      </c>
      <c r="BC1356" s="22">
        <v>39479.369085648148</v>
      </c>
      <c r="BI1356" s="22">
        <v>39549.294907407406</v>
      </c>
      <c r="BL1356">
        <v>5099</v>
      </c>
      <c r="BM1356">
        <v>1445596</v>
      </c>
      <c r="BN1356" t="s">
        <v>1710</v>
      </c>
      <c r="BO1356" s="17">
        <f t="shared" ca="1" si="21"/>
        <v>69.940320370369591</v>
      </c>
      <c r="BP1356" t="b">
        <v>0</v>
      </c>
      <c r="BQ1356">
        <v>1</v>
      </c>
      <c r="BR1356" t="s">
        <v>1667</v>
      </c>
      <c r="BS1356" t="s">
        <v>1803</v>
      </c>
      <c r="BT1356" t="b">
        <v>0</v>
      </c>
      <c r="BV1356" t="s">
        <v>1668</v>
      </c>
      <c r="BW1356">
        <v>8538</v>
      </c>
      <c r="BX1356" t="s">
        <v>1669</v>
      </c>
      <c r="BY1356">
        <v>100139</v>
      </c>
      <c r="BZ1356" t="s">
        <v>1670</v>
      </c>
      <c r="CA1356">
        <v>1</v>
      </c>
      <c r="CB1356" t="b">
        <v>1</v>
      </c>
      <c r="CC1356">
        <v>0</v>
      </c>
      <c r="CD1356" t="b">
        <v>0</v>
      </c>
      <c r="CE1356" t="b">
        <v>0</v>
      </c>
      <c r="CF1356" t="b">
        <v>0</v>
      </c>
      <c r="CG1356">
        <v>2844804</v>
      </c>
      <c r="CH1356" t="s">
        <v>1681</v>
      </c>
      <c r="CI1356" s="10">
        <v>269950</v>
      </c>
    </row>
    <row r="1357" spans="1:88">
      <c r="A1357">
        <v>28019183</v>
      </c>
      <c r="B1357" s="2" t="str">
        <f>HYPERLINK("http://www.redfin.com/stingray/do/printable-listing?listing-id=1445821","Active")</f>
        <v>Active</v>
      </c>
      <c r="D1357" t="s">
        <v>101</v>
      </c>
      <c r="E1357" t="s">
        <v>1288</v>
      </c>
      <c r="F1357" s="19">
        <v>1049000</v>
      </c>
      <c r="G1357">
        <v>2007</v>
      </c>
      <c r="H1357">
        <v>2978</v>
      </c>
      <c r="I1357">
        <v>5000</v>
      </c>
      <c r="J1357">
        <v>3</v>
      </c>
      <c r="K1357">
        <v>2.5</v>
      </c>
      <c r="M1357" s="2" t="str">
        <f>HYPERLINK("http://maps.live.com/default.aspx?v=2&amp;lvl=15&amp;sp=Point.47.699218_-122.388428_9648 26th Ave NW&amp;cp=47.699218~-122.388428","Map")</f>
        <v>Map</v>
      </c>
      <c r="N1357" s="2" t="str">
        <f>HYPERLINK("http://i-0.rfimg.us/photo/1/bigphoto/183/28019183_0.jpg","Photo")</f>
        <v>Photo</v>
      </c>
      <c r="AG1357">
        <v>47.699218000000002</v>
      </c>
      <c r="AH1357">
        <v>-122.388428</v>
      </c>
      <c r="AI1357" t="s">
        <v>66</v>
      </c>
      <c r="AJ1357">
        <v>98117</v>
      </c>
      <c r="BC1357" s="22">
        <v>39479.410613425927</v>
      </c>
      <c r="BI1357" s="22">
        <v>39549.294907407406</v>
      </c>
      <c r="BL1357">
        <v>21780</v>
      </c>
      <c r="BM1357">
        <v>1445821</v>
      </c>
      <c r="BN1357" t="s">
        <v>1700</v>
      </c>
      <c r="BO1357" s="17">
        <f t="shared" ca="1" si="21"/>
        <v>69.898792592590326</v>
      </c>
      <c r="BP1357" t="b">
        <v>0</v>
      </c>
      <c r="BQ1357">
        <v>1</v>
      </c>
      <c r="BR1357" t="s">
        <v>1667</v>
      </c>
      <c r="BS1357" t="s">
        <v>1769</v>
      </c>
      <c r="BT1357" t="b">
        <v>0</v>
      </c>
      <c r="BV1357" t="s">
        <v>1668</v>
      </c>
      <c r="BW1357">
        <v>9648</v>
      </c>
      <c r="BX1357" t="s">
        <v>1669</v>
      </c>
      <c r="BY1357">
        <v>12228528</v>
      </c>
      <c r="BZ1357" t="s">
        <v>1672</v>
      </c>
      <c r="CA1357">
        <v>1</v>
      </c>
      <c r="CB1357" t="b">
        <v>1</v>
      </c>
      <c r="CC1357">
        <v>0</v>
      </c>
      <c r="CD1357" t="b">
        <v>0</v>
      </c>
      <c r="CE1357" t="b">
        <v>0</v>
      </c>
      <c r="CF1357" t="b">
        <v>0</v>
      </c>
      <c r="CG1357">
        <v>15456172</v>
      </c>
      <c r="CH1357" t="s">
        <v>1681</v>
      </c>
      <c r="CI1357" s="10">
        <v>1089000</v>
      </c>
    </row>
    <row r="1358" spans="1:88">
      <c r="A1358">
        <v>28019193</v>
      </c>
      <c r="B1358" s="2" t="str">
        <f>HYPERLINK("http://www.redfin.com/stingray/do/printable-listing?listing-id=1445823","Active")</f>
        <v>Active</v>
      </c>
      <c r="D1358" t="s">
        <v>207</v>
      </c>
      <c r="E1358" t="s">
        <v>3152</v>
      </c>
      <c r="F1358" s="19">
        <v>599000</v>
      </c>
      <c r="G1358">
        <v>1936</v>
      </c>
      <c r="H1358">
        <v>2110</v>
      </c>
      <c r="I1358">
        <v>5100</v>
      </c>
      <c r="J1358">
        <v>3</v>
      </c>
      <c r="K1358">
        <v>1.75</v>
      </c>
      <c r="M1358" s="2" t="str">
        <f>HYPERLINK("http://maps.live.com/default.aspx?v=2&amp;lvl=15&amp;sp=Point.47.678432_-122.299897_6823 26th Ave NE&amp;cp=47.678432~-122.299897","Map")</f>
        <v>Map</v>
      </c>
      <c r="N1358" s="2" t="str">
        <f>HYPERLINK("http://i-0.rfimg.us/photo/1/bigphoto/193/28019193_3.jpg","Photo")</f>
        <v>Photo</v>
      </c>
      <c r="AG1358">
        <v>47.678432000000001</v>
      </c>
      <c r="AH1358">
        <v>-122.299897</v>
      </c>
      <c r="AI1358" t="s">
        <v>66</v>
      </c>
      <c r="AJ1358">
        <v>98115</v>
      </c>
      <c r="AN1358">
        <v>230000</v>
      </c>
      <c r="BC1358" s="22">
        <v>39479.410636574074</v>
      </c>
      <c r="BI1358" s="22">
        <v>39549.294907407406</v>
      </c>
      <c r="BL1358">
        <v>12500</v>
      </c>
      <c r="BM1358">
        <v>1445823</v>
      </c>
      <c r="BN1358" t="s">
        <v>1710</v>
      </c>
      <c r="BO1358" s="17">
        <f t="shared" ca="1" si="21"/>
        <v>69.898769328705384</v>
      </c>
      <c r="BP1358" t="b">
        <v>0</v>
      </c>
      <c r="BQ1358">
        <v>1</v>
      </c>
      <c r="BR1358" t="s">
        <v>1667</v>
      </c>
      <c r="BS1358" t="s">
        <v>1769</v>
      </c>
      <c r="BT1358" t="b">
        <v>0</v>
      </c>
      <c r="BV1358" t="s">
        <v>1668</v>
      </c>
      <c r="BW1358">
        <v>6823</v>
      </c>
      <c r="BX1358" t="s">
        <v>1738</v>
      </c>
      <c r="BY1358">
        <v>316157</v>
      </c>
      <c r="BZ1358" t="s">
        <v>3153</v>
      </c>
      <c r="CA1358">
        <v>1</v>
      </c>
      <c r="CB1358" t="b">
        <v>1</v>
      </c>
      <c r="CC1358">
        <v>0</v>
      </c>
      <c r="CD1358" t="b">
        <v>0</v>
      </c>
      <c r="CE1358" t="b">
        <v>0</v>
      </c>
      <c r="CF1358" t="b">
        <v>1</v>
      </c>
      <c r="CG1358">
        <v>2513759</v>
      </c>
      <c r="CH1358" t="s">
        <v>1681</v>
      </c>
      <c r="CI1358" s="10">
        <v>625000</v>
      </c>
      <c r="CJ1358" s="7">
        <v>36908</v>
      </c>
    </row>
    <row r="1359" spans="1:88">
      <c r="A1359">
        <v>28019203</v>
      </c>
      <c r="B1359" s="2" t="str">
        <f>HYPERLINK("http://www.redfin.com/stingray/do/printable-listing?listing-id=1445827","Active")</f>
        <v>Active</v>
      </c>
      <c r="D1359" t="s">
        <v>3249</v>
      </c>
      <c r="E1359" t="s">
        <v>3578</v>
      </c>
      <c r="F1359">
        <v>720000</v>
      </c>
      <c r="G1359">
        <v>2001</v>
      </c>
      <c r="H1359">
        <v>0</v>
      </c>
      <c r="I1359">
        <v>0</v>
      </c>
      <c r="J1359">
        <v>3</v>
      </c>
      <c r="K1359">
        <v>2.5</v>
      </c>
      <c r="M1359" s="2" t="str">
        <f>HYPERLINK("http://maps.live.com/default.aspx?v=2&amp;lvl=15&amp;sp=Point.47.639372_-122.368716_2156 9th Ave W&amp;cp=47.639372~-122.368716","Map")</f>
        <v>Map</v>
      </c>
      <c r="N1359" s="2" t="str">
        <f>HYPERLINK("http://i-0.rfimg.us/photo/1/bigphoto/203/28019203_1.jpg","Photo")</f>
        <v>Photo</v>
      </c>
      <c r="AG1359">
        <v>47.639372000000002</v>
      </c>
      <c r="AH1359">
        <v>-122.36871600000001</v>
      </c>
      <c r="AI1359" t="s">
        <v>66</v>
      </c>
      <c r="AJ1359">
        <v>98119</v>
      </c>
      <c r="AN1359">
        <v>686000</v>
      </c>
      <c r="BC1359" s="22">
        <v>39479.410671296297</v>
      </c>
      <c r="BI1359" s="22">
        <v>39549.294907407406</v>
      </c>
      <c r="BL1359">
        <v>14400</v>
      </c>
      <c r="BM1359">
        <v>1445827</v>
      </c>
      <c r="BN1359" t="s">
        <v>3286</v>
      </c>
      <c r="BO1359" s="17">
        <f t="shared" ca="1" si="21"/>
        <v>69.898734606482321</v>
      </c>
      <c r="BP1359" t="b">
        <v>0</v>
      </c>
      <c r="BQ1359">
        <v>1</v>
      </c>
      <c r="BR1359" t="s">
        <v>1667</v>
      </c>
      <c r="BS1359" t="s">
        <v>1785</v>
      </c>
      <c r="BT1359" t="b">
        <v>0</v>
      </c>
      <c r="BV1359" t="s">
        <v>1668</v>
      </c>
      <c r="BW1359">
        <v>2156</v>
      </c>
      <c r="BX1359" t="s">
        <v>2423</v>
      </c>
      <c r="BY1359">
        <v>133566</v>
      </c>
      <c r="BZ1359" t="s">
        <v>2689</v>
      </c>
      <c r="CA1359">
        <v>1</v>
      </c>
      <c r="CB1359" t="b">
        <v>1</v>
      </c>
      <c r="CC1359">
        <v>0</v>
      </c>
      <c r="CD1359" t="b">
        <v>0</v>
      </c>
      <c r="CE1359" t="b">
        <v>0</v>
      </c>
      <c r="CF1359" t="b">
        <v>1</v>
      </c>
      <c r="CG1359">
        <v>2638491</v>
      </c>
      <c r="CH1359" t="s">
        <v>1681</v>
      </c>
      <c r="CI1359" s="10">
        <v>720000</v>
      </c>
      <c r="CJ1359" s="7">
        <v>37628</v>
      </c>
    </row>
    <row r="1360" spans="1:88">
      <c r="A1360">
        <v>28019222</v>
      </c>
      <c r="B1360" s="2" t="str">
        <f>HYPERLINK("http://www.redfin.com/stingray/do/printable-listing?listing-id=1447445","Active")</f>
        <v>Active</v>
      </c>
      <c r="D1360" t="s">
        <v>5565</v>
      </c>
      <c r="E1360" t="s">
        <v>5856</v>
      </c>
      <c r="F1360">
        <v>419000</v>
      </c>
      <c r="G1360">
        <v>1967</v>
      </c>
      <c r="H1360">
        <v>1340</v>
      </c>
      <c r="I1360">
        <v>8400</v>
      </c>
      <c r="J1360">
        <v>3</v>
      </c>
      <c r="K1360">
        <v>2</v>
      </c>
      <c r="M1360" s="2" t="str">
        <f>HYPERLINK("http://maps.live.com/default.aspx?v=2&amp;lvl=15&amp;sp=Point.47.538171_-122.173364_12520 SE 73 St&amp;cp=47.538171~-122.173364","Map")</f>
        <v>Map</v>
      </c>
      <c r="N1360" s="2" t="str">
        <f>HYPERLINK("http://i-0.rfimg.us/photo/1/bigphoto/222/28019222_1.jpg","Photo")</f>
        <v>Photo</v>
      </c>
      <c r="AG1360">
        <v>47.538170999999998</v>
      </c>
      <c r="AH1360">
        <v>-122.17336400000001</v>
      </c>
      <c r="AI1360" t="s">
        <v>3885</v>
      </c>
      <c r="AJ1360">
        <v>98056</v>
      </c>
      <c r="BC1360" s="22">
        <v>39479.682870370372</v>
      </c>
      <c r="BI1360" s="7">
        <v>39539</v>
      </c>
      <c r="BL1360">
        <v>8380</v>
      </c>
      <c r="BM1360">
        <v>1447445</v>
      </c>
      <c r="BN1360" t="s">
        <v>2556</v>
      </c>
      <c r="BO1360" s="17">
        <f t="shared" ca="1" si="21"/>
        <v>69.626535532406706</v>
      </c>
      <c r="BP1360" t="b">
        <v>0</v>
      </c>
      <c r="BQ1360">
        <v>1</v>
      </c>
      <c r="BR1360" t="s">
        <v>1686</v>
      </c>
      <c r="BS1360">
        <v>73</v>
      </c>
      <c r="BT1360" t="b">
        <v>0</v>
      </c>
      <c r="BU1360" t="s">
        <v>3856</v>
      </c>
      <c r="BV1360" t="s">
        <v>1668</v>
      </c>
      <c r="BW1360">
        <v>12520</v>
      </c>
      <c r="BY1360">
        <v>12315534</v>
      </c>
      <c r="BZ1360" t="s">
        <v>5857</v>
      </c>
      <c r="CA1360">
        <v>1</v>
      </c>
      <c r="CB1360" t="b">
        <v>1</v>
      </c>
      <c r="CC1360">
        <v>0</v>
      </c>
      <c r="CD1360" t="b">
        <v>0</v>
      </c>
      <c r="CE1360" t="b">
        <v>0</v>
      </c>
      <c r="CF1360" t="b">
        <v>1</v>
      </c>
      <c r="CG1360">
        <v>15522003</v>
      </c>
      <c r="CH1360" t="s">
        <v>1681</v>
      </c>
      <c r="CI1360" s="10">
        <v>419000</v>
      </c>
    </row>
    <row r="1361" spans="1:88">
      <c r="A1361">
        <v>28019235</v>
      </c>
      <c r="B1361" s="2" t="str">
        <f>HYPERLINK("http://www.redfin.com/stingray/do/printable-listing?listing-id=1451520","Active")</f>
        <v>Active</v>
      </c>
      <c r="D1361" t="s">
        <v>4663</v>
      </c>
      <c r="E1361" t="s">
        <v>4960</v>
      </c>
      <c r="F1361">
        <v>1245000</v>
      </c>
      <c r="G1361">
        <v>1978</v>
      </c>
      <c r="H1361">
        <v>4554</v>
      </c>
      <c r="I1361">
        <v>43560</v>
      </c>
      <c r="J1361">
        <v>4</v>
      </c>
      <c r="K1361">
        <v>4.5</v>
      </c>
      <c r="M1361" s="2" t="str">
        <f>HYPERLINK("http://maps.live.com/default.aspx?v=2&amp;lvl=15&amp;sp=Point.47.654244_-122.161568_5009 134th Pl NE&amp;cp=47.654244~-122.161568","Map")</f>
        <v>Map</v>
      </c>
      <c r="N1361" s="2" t="str">
        <f>HYPERLINK("http://i-0.rfimg.us/photo/1/bigphoto/235/28019235_3.jpg","Photo")</f>
        <v>Photo</v>
      </c>
      <c r="AG1361">
        <v>47.654243999999998</v>
      </c>
      <c r="AH1361">
        <v>-122.161568</v>
      </c>
      <c r="AI1361" t="s">
        <v>369</v>
      </c>
      <c r="AJ1361">
        <v>98005</v>
      </c>
      <c r="AN1361">
        <v>1090000</v>
      </c>
      <c r="BC1361" s="22">
        <v>39482.443055555559</v>
      </c>
      <c r="BI1361" s="22">
        <v>39549.294907407406</v>
      </c>
      <c r="BL1361">
        <v>24900</v>
      </c>
      <c r="BM1361">
        <v>1451520</v>
      </c>
      <c r="BN1361" t="s">
        <v>1674</v>
      </c>
      <c r="BO1361" s="17">
        <f t="shared" ca="1" si="21"/>
        <v>66.86635034721985</v>
      </c>
      <c r="BP1361" t="b">
        <v>0</v>
      </c>
      <c r="BQ1361">
        <v>1</v>
      </c>
      <c r="BR1361" t="s">
        <v>1842</v>
      </c>
      <c r="BS1361" t="s">
        <v>2855</v>
      </c>
      <c r="BT1361" t="b">
        <v>0</v>
      </c>
      <c r="BV1361" t="s">
        <v>1668</v>
      </c>
      <c r="BW1361">
        <v>5009</v>
      </c>
      <c r="BX1361" t="s">
        <v>1738</v>
      </c>
      <c r="BY1361">
        <v>429994</v>
      </c>
      <c r="BZ1361" t="s">
        <v>3020</v>
      </c>
      <c r="CA1361">
        <v>1</v>
      </c>
      <c r="CB1361" t="b">
        <v>1</v>
      </c>
      <c r="CC1361">
        <v>0</v>
      </c>
      <c r="CD1361" t="b">
        <v>0</v>
      </c>
      <c r="CE1361" t="b">
        <v>0</v>
      </c>
      <c r="CF1361" t="b">
        <v>1</v>
      </c>
      <c r="CG1361">
        <v>2520684</v>
      </c>
      <c r="CH1361" t="s">
        <v>1681</v>
      </c>
      <c r="CI1361" s="10">
        <v>1245000</v>
      </c>
      <c r="CJ1361" s="7">
        <v>38821</v>
      </c>
    </row>
    <row r="1362" spans="1:88">
      <c r="A1362">
        <v>28019270</v>
      </c>
      <c r="B1362" s="2" t="str">
        <f>HYPERLINK("http://www.redfin.com/stingray/do/printable-listing?listing-id=1446111","Active")</f>
        <v>Active</v>
      </c>
      <c r="D1362" t="s">
        <v>5236</v>
      </c>
      <c r="E1362" t="s">
        <v>5427</v>
      </c>
      <c r="F1362">
        <v>475000</v>
      </c>
      <c r="G1362">
        <v>1956</v>
      </c>
      <c r="H1362">
        <v>0</v>
      </c>
      <c r="I1362">
        <v>9030</v>
      </c>
      <c r="J1362">
        <v>3</v>
      </c>
      <c r="K1362">
        <v>1.5</v>
      </c>
      <c r="M1362" s="2" t="str">
        <f>HYPERLINK("http://maps.live.com/default.aspx?v=2&amp;lvl=15&amp;sp=Point.47.587721_-122.134304_2514 155th Ave SE&amp;cp=47.587721~-122.134304","Map")</f>
        <v>Map</v>
      </c>
      <c r="N1362" s="2" t="str">
        <f>HYPERLINK("http://i-0.rfimg.us/photo/1/bigphoto/270/28019270_1.jpg","Photo")</f>
        <v>Photo</v>
      </c>
      <c r="AG1362">
        <v>47.587721000000002</v>
      </c>
      <c r="AH1362">
        <v>-122.134304</v>
      </c>
      <c r="AI1362" t="s">
        <v>369</v>
      </c>
      <c r="AJ1362">
        <v>98007</v>
      </c>
      <c r="AN1362">
        <v>435000</v>
      </c>
      <c r="BC1362" s="22">
        <v>39479.47415509259</v>
      </c>
      <c r="BI1362" s="22">
        <v>39549.294907407406</v>
      </c>
      <c r="BL1362">
        <v>9500</v>
      </c>
      <c r="BM1362">
        <v>1446111</v>
      </c>
      <c r="BN1362" t="s">
        <v>1674</v>
      </c>
      <c r="BO1362" s="17">
        <f t="shared" ca="1" si="21"/>
        <v>69.835250810188882</v>
      </c>
      <c r="BP1362" t="b">
        <v>0</v>
      </c>
      <c r="BQ1362">
        <v>1</v>
      </c>
      <c r="BR1362" t="s">
        <v>1667</v>
      </c>
      <c r="BS1362" t="s">
        <v>5428</v>
      </c>
      <c r="BT1362" t="b">
        <v>0</v>
      </c>
      <c r="BV1362" t="s">
        <v>1668</v>
      </c>
      <c r="BW1362">
        <v>2514</v>
      </c>
      <c r="BX1362" t="s">
        <v>3856</v>
      </c>
      <c r="BY1362">
        <v>427139</v>
      </c>
      <c r="BZ1362" t="s">
        <v>2366</v>
      </c>
      <c r="CA1362">
        <v>1</v>
      </c>
      <c r="CB1362" t="b">
        <v>1</v>
      </c>
      <c r="CC1362">
        <v>0</v>
      </c>
      <c r="CD1362" t="b">
        <v>0</v>
      </c>
      <c r="CE1362" t="b">
        <v>0</v>
      </c>
      <c r="CF1362" t="b">
        <v>1</v>
      </c>
      <c r="CG1362">
        <v>2987407</v>
      </c>
      <c r="CH1362" t="s">
        <v>1681</v>
      </c>
      <c r="CI1362" s="10">
        <v>475000</v>
      </c>
      <c r="CJ1362" s="7">
        <v>38988</v>
      </c>
    </row>
    <row r="1363" spans="1:88">
      <c r="A1363">
        <v>28019314</v>
      </c>
      <c r="B1363" s="2" t="str">
        <f>HYPERLINK("http://www.redfin.com/stingray/do/printable-listing?listing-id=1446152","Active")</f>
        <v>Active</v>
      </c>
      <c r="D1363" t="s">
        <v>5058</v>
      </c>
      <c r="E1363" t="s">
        <v>5106</v>
      </c>
      <c r="F1363">
        <v>1100000</v>
      </c>
      <c r="G1363">
        <v>1951</v>
      </c>
      <c r="H1363">
        <v>1880</v>
      </c>
      <c r="I1363">
        <v>8712</v>
      </c>
      <c r="J1363">
        <v>3</v>
      </c>
      <c r="K1363">
        <v>1.75</v>
      </c>
      <c r="M1363" s="2" t="str">
        <f>HYPERLINK("http://maps.live.com/default.aspx?v=2&amp;lvl=15&amp;sp=Point.47.623145_-122.234013_7852 NE 14th St&amp;cp=47.623145~-122.234013","Map")</f>
        <v>Map</v>
      </c>
      <c r="N1363" s="2" t="str">
        <f>HYPERLINK("http://i-0.rfimg.us/photo/1/bigphoto/314/28019314_1.jpg","Photo")</f>
        <v>Photo</v>
      </c>
      <c r="AG1363">
        <v>47.623145000000001</v>
      </c>
      <c r="AH1363">
        <v>-122.234013</v>
      </c>
      <c r="AI1363" t="s">
        <v>5058</v>
      </c>
      <c r="AJ1363">
        <v>98039</v>
      </c>
      <c r="AN1363">
        <v>1250000</v>
      </c>
      <c r="BC1363" s="22">
        <v>39479.484583333331</v>
      </c>
      <c r="BI1363" s="22">
        <v>39549.294907407406</v>
      </c>
      <c r="BL1363">
        <v>22000</v>
      </c>
      <c r="BM1363">
        <v>1446152</v>
      </c>
      <c r="BN1363" t="s">
        <v>5105</v>
      </c>
      <c r="BO1363" s="17">
        <f t="shared" ca="1" si="21"/>
        <v>69.824822569447861</v>
      </c>
      <c r="BP1363" t="b">
        <v>0</v>
      </c>
      <c r="BQ1363">
        <v>1</v>
      </c>
      <c r="BR1363" t="s">
        <v>1686</v>
      </c>
      <c r="BS1363" t="s">
        <v>1900</v>
      </c>
      <c r="BT1363" t="b">
        <v>0</v>
      </c>
      <c r="BU1363" t="s">
        <v>1738</v>
      </c>
      <c r="BV1363" t="s">
        <v>1668</v>
      </c>
      <c r="BW1363">
        <v>7852</v>
      </c>
      <c r="BY1363">
        <v>252736</v>
      </c>
      <c r="BZ1363" t="s">
        <v>4349</v>
      </c>
      <c r="CA1363">
        <v>1</v>
      </c>
      <c r="CB1363" t="b">
        <v>1</v>
      </c>
      <c r="CC1363">
        <v>0</v>
      </c>
      <c r="CD1363" t="b">
        <v>0</v>
      </c>
      <c r="CE1363" t="b">
        <v>0</v>
      </c>
      <c r="CF1363" t="b">
        <v>1</v>
      </c>
      <c r="CG1363">
        <v>2376190</v>
      </c>
      <c r="CH1363" t="s">
        <v>1681</v>
      </c>
      <c r="CI1363" s="10">
        <v>1100000</v>
      </c>
      <c r="CJ1363" s="7">
        <v>39294</v>
      </c>
    </row>
    <row r="1364" spans="1:88">
      <c r="A1364">
        <v>28019399</v>
      </c>
      <c r="B1364" s="2" t="str">
        <f>HYPERLINK("http://www.redfin.com/stingray/do/printable-listing?listing-id=1446254","Active")</f>
        <v>Active</v>
      </c>
      <c r="D1364" t="s">
        <v>3721</v>
      </c>
      <c r="E1364" t="s">
        <v>3793</v>
      </c>
      <c r="F1364">
        <v>2790000</v>
      </c>
      <c r="G1364">
        <v>2007</v>
      </c>
      <c r="H1364">
        <v>3720</v>
      </c>
      <c r="I1364">
        <v>3600</v>
      </c>
      <c r="J1364">
        <v>4</v>
      </c>
      <c r="K1364">
        <v>4</v>
      </c>
      <c r="M1364" s="2" t="str">
        <f>HYPERLINK("http://maps.live.com/default.aspx?v=2&amp;lvl=15&amp;sp=Point.47.63071_-122.27898_1231 42nd Ave E&amp;cp=47.63071~-122.27898","Map")</f>
        <v>Map</v>
      </c>
      <c r="N1364" s="2" t="str">
        <f>HYPERLINK("http://i-0.rfimg.us/photo/1/bigphoto/399/28019399_0.jpg","Photo")</f>
        <v>Photo</v>
      </c>
      <c r="AG1364">
        <v>47.630710000000001</v>
      </c>
      <c r="AH1364">
        <v>-122.27898</v>
      </c>
      <c r="AI1364" t="s">
        <v>66</v>
      </c>
      <c r="AJ1364">
        <v>98112</v>
      </c>
      <c r="AN1364">
        <v>730000</v>
      </c>
      <c r="BC1364" s="22">
        <v>39479.505289351851</v>
      </c>
      <c r="BI1364" s="22">
        <v>39549.294907407406</v>
      </c>
      <c r="BL1364">
        <v>55800</v>
      </c>
      <c r="BM1364">
        <v>1446254</v>
      </c>
      <c r="BN1364" t="s">
        <v>1829</v>
      </c>
      <c r="BO1364" s="17">
        <f t="shared" ca="1" si="21"/>
        <v>69.804116550927574</v>
      </c>
      <c r="BP1364" t="b">
        <v>0</v>
      </c>
      <c r="BQ1364">
        <v>1</v>
      </c>
      <c r="BR1364" t="s">
        <v>1667</v>
      </c>
      <c r="BS1364" t="s">
        <v>3371</v>
      </c>
      <c r="BT1364" t="b">
        <v>0</v>
      </c>
      <c r="BV1364" t="s">
        <v>1668</v>
      </c>
      <c r="BW1364">
        <v>1231</v>
      </c>
      <c r="BX1364" t="s">
        <v>2436</v>
      </c>
      <c r="BY1364">
        <v>139728</v>
      </c>
      <c r="BZ1364" t="s">
        <v>1672</v>
      </c>
      <c r="CA1364">
        <v>1</v>
      </c>
      <c r="CB1364" t="b">
        <v>1</v>
      </c>
      <c r="CC1364">
        <v>0</v>
      </c>
      <c r="CD1364" t="b">
        <v>0</v>
      </c>
      <c r="CE1364" t="b">
        <v>0</v>
      </c>
      <c r="CF1364" t="b">
        <v>1</v>
      </c>
      <c r="CG1364">
        <v>2543621</v>
      </c>
      <c r="CH1364" t="s">
        <v>1681</v>
      </c>
      <c r="CI1364" s="10">
        <v>2790000</v>
      </c>
      <c r="CJ1364" s="7">
        <v>38912</v>
      </c>
    </row>
    <row r="1365" spans="1:88">
      <c r="A1365">
        <v>28019438</v>
      </c>
      <c r="B1365" s="2" t="str">
        <f>HYPERLINK("http://www.redfin.com/stingray/do/printable-listing?listing-id=1446432","Active")</f>
        <v>Active</v>
      </c>
      <c r="D1365" t="s">
        <v>3079</v>
      </c>
      <c r="E1365" t="s">
        <v>4858</v>
      </c>
      <c r="F1365">
        <v>859000</v>
      </c>
      <c r="G1365">
        <v>1942</v>
      </c>
      <c r="H1365">
        <v>1260</v>
      </c>
      <c r="I1365">
        <v>4800</v>
      </c>
      <c r="J1365">
        <v>2</v>
      </c>
      <c r="K1365">
        <v>1.75</v>
      </c>
      <c r="M1365" s="2" t="str">
        <f>HYPERLINK("http://maps.live.com/default.aspx?v=2&amp;lvl=15&amp;sp=Point.47.683802_-122.211091_346 10th Ave W&amp;cp=47.683802~-122.211091","Map")</f>
        <v>Map</v>
      </c>
      <c r="N1365" s="2" t="str">
        <f>HYPERLINK("http://i-0.rfimg.us/photo/1/bigphoto/438/28019438_0.jpg","Photo")</f>
        <v>Photo</v>
      </c>
      <c r="AG1365">
        <v>47.683802</v>
      </c>
      <c r="AH1365">
        <v>-122.211091</v>
      </c>
      <c r="AI1365" t="s">
        <v>1058</v>
      </c>
      <c r="AJ1365">
        <v>98033</v>
      </c>
      <c r="BC1365" s="22">
        <v>39479.536805555559</v>
      </c>
      <c r="BI1365" s="22">
        <v>39549.294907407406</v>
      </c>
      <c r="BL1365">
        <v>17180</v>
      </c>
      <c r="BM1365">
        <v>1446432</v>
      </c>
      <c r="BN1365" t="s">
        <v>1735</v>
      </c>
      <c r="BO1365" s="17">
        <f t="shared" ca="1" si="21"/>
        <v>69.77260034721985</v>
      </c>
      <c r="BP1365" t="b">
        <v>0</v>
      </c>
      <c r="BQ1365">
        <v>1</v>
      </c>
      <c r="BR1365" t="s">
        <v>1667</v>
      </c>
      <c r="BS1365" t="s">
        <v>1788</v>
      </c>
      <c r="BT1365" t="b">
        <v>0</v>
      </c>
      <c r="BV1365" t="s">
        <v>1668</v>
      </c>
      <c r="BW1365">
        <v>346</v>
      </c>
      <c r="BX1365" t="s">
        <v>2423</v>
      </c>
      <c r="BY1365">
        <v>12166560</v>
      </c>
      <c r="BZ1365" t="s">
        <v>1762</v>
      </c>
      <c r="CA1365">
        <v>1</v>
      </c>
      <c r="CB1365" t="b">
        <v>1</v>
      </c>
      <c r="CC1365">
        <v>0</v>
      </c>
      <c r="CD1365" t="b">
        <v>0</v>
      </c>
      <c r="CE1365" t="b">
        <v>0</v>
      </c>
      <c r="CF1365" t="b">
        <v>1</v>
      </c>
      <c r="CG1365">
        <v>15397236</v>
      </c>
      <c r="CH1365" t="s">
        <v>1681</v>
      </c>
      <c r="CI1365" s="10">
        <v>859000</v>
      </c>
    </row>
    <row r="1366" spans="1:88">
      <c r="A1366">
        <v>28019470</v>
      </c>
      <c r="B1366" s="2" t="str">
        <f>HYPERLINK("http://www.redfin.com/stingray/do/printable-listing?listing-id=1446473","Active")</f>
        <v>Active</v>
      </c>
      <c r="D1366" t="s">
        <v>3079</v>
      </c>
      <c r="E1366" t="s">
        <v>4829</v>
      </c>
      <c r="F1366" s="19">
        <v>749000</v>
      </c>
      <c r="G1366">
        <v>1938</v>
      </c>
      <c r="H1366">
        <v>1182</v>
      </c>
      <c r="I1366">
        <v>7200</v>
      </c>
      <c r="J1366">
        <v>2</v>
      </c>
      <c r="K1366">
        <v>2</v>
      </c>
      <c r="M1366" s="2" t="str">
        <f>HYPERLINK("http://maps.live.com/default.aspx?v=2&amp;lvl=15&amp;sp=Point.47.690557_-122.214644_727 16th Ave W&amp;cp=47.690557~-122.214644","Map")</f>
        <v>Map</v>
      </c>
      <c r="N1366" s="2" t="str">
        <f>HYPERLINK("http://i-0.rfimg.us/photo/1/bigphoto/470/28019470_0.jpg","Photo")</f>
        <v>Photo</v>
      </c>
      <c r="AG1366">
        <v>47.690556999999998</v>
      </c>
      <c r="AH1366">
        <v>-122.21464400000001</v>
      </c>
      <c r="AI1366" t="s">
        <v>1058</v>
      </c>
      <c r="AJ1366">
        <v>98033</v>
      </c>
      <c r="AN1366">
        <v>650000</v>
      </c>
      <c r="BC1366" s="22">
        <v>39479.547627314816</v>
      </c>
      <c r="BI1366" s="22">
        <v>39549.294907407406</v>
      </c>
      <c r="BL1366">
        <v>15980</v>
      </c>
      <c r="BM1366">
        <v>1446473</v>
      </c>
      <c r="BN1366" t="s">
        <v>1735</v>
      </c>
      <c r="BO1366" s="17">
        <f t="shared" ca="1" si="21"/>
        <v>69.761778587962908</v>
      </c>
      <c r="BP1366" t="b">
        <v>0</v>
      </c>
      <c r="BQ1366">
        <v>1</v>
      </c>
      <c r="BR1366" t="s">
        <v>1667</v>
      </c>
      <c r="BS1366" t="s">
        <v>1695</v>
      </c>
      <c r="BT1366" t="b">
        <v>0</v>
      </c>
      <c r="BV1366" t="s">
        <v>1668</v>
      </c>
      <c r="BW1366">
        <v>727</v>
      </c>
      <c r="BX1366" t="s">
        <v>2423</v>
      </c>
      <c r="BY1366">
        <v>460798</v>
      </c>
      <c r="BZ1366" s="21">
        <v>0</v>
      </c>
      <c r="CA1366">
        <v>1</v>
      </c>
      <c r="CB1366" t="b">
        <v>1</v>
      </c>
      <c r="CC1366">
        <v>0</v>
      </c>
      <c r="CD1366" t="b">
        <v>0</v>
      </c>
      <c r="CE1366" t="b">
        <v>0</v>
      </c>
      <c r="CF1366" t="b">
        <v>1</v>
      </c>
      <c r="CG1366">
        <v>2961503</v>
      </c>
      <c r="CH1366" t="s">
        <v>1681</v>
      </c>
      <c r="CI1366" s="10">
        <v>799000</v>
      </c>
      <c r="CJ1366" s="7">
        <v>38806</v>
      </c>
    </row>
    <row r="1367" spans="1:88">
      <c r="A1367">
        <v>28019513</v>
      </c>
      <c r="B1367" s="2" t="str">
        <f>HYPERLINK("http://www.redfin.com/stingray/do/printable-listing?listing-id=1446667","Active")</f>
        <v>Active</v>
      </c>
      <c r="D1367" t="s">
        <v>1077</v>
      </c>
      <c r="E1367" t="s">
        <v>3849</v>
      </c>
      <c r="F1367">
        <v>575888</v>
      </c>
      <c r="G1367">
        <v>2008</v>
      </c>
      <c r="H1367">
        <v>2689</v>
      </c>
      <c r="I1367">
        <v>6755</v>
      </c>
      <c r="J1367">
        <v>4</v>
      </c>
      <c r="K1367">
        <v>2.5</v>
      </c>
      <c r="M1367" s="2" t="str">
        <f>HYPERLINK("http://maps.live.com/default.aspx?v=2&amp;lvl=15&amp;sp=adr.5024 NE 8th Pl (Unable to map),98059","Map")</f>
        <v>Map</v>
      </c>
      <c r="N1367" s="2" t="str">
        <f>HYPERLINK("http://i-0.rfimg.us/photo/1/bigphoto/513/28019513_0.jpg","Photo")</f>
        <v>Photo</v>
      </c>
      <c r="AI1367" t="s">
        <v>1077</v>
      </c>
      <c r="AJ1367">
        <v>98059</v>
      </c>
      <c r="BC1367" s="22">
        <v>39479.567777777775</v>
      </c>
      <c r="BI1367" s="22">
        <v>39549.294907407406</v>
      </c>
      <c r="BL1367">
        <v>11518</v>
      </c>
      <c r="BM1367">
        <v>1446667</v>
      </c>
      <c r="BN1367" t="s">
        <v>3236</v>
      </c>
      <c r="BO1367" s="17">
        <f t="shared" ca="1" si="21"/>
        <v>69.741628125004354</v>
      </c>
      <c r="BP1367" t="b">
        <v>0</v>
      </c>
      <c r="BQ1367">
        <v>1</v>
      </c>
      <c r="BR1367" t="s">
        <v>1842</v>
      </c>
      <c r="BS1367" t="s">
        <v>1723</v>
      </c>
      <c r="BT1367" t="b">
        <v>0</v>
      </c>
      <c r="BU1367" t="s">
        <v>1738</v>
      </c>
      <c r="BV1367" t="s">
        <v>1668</v>
      </c>
      <c r="BW1367">
        <v>5024</v>
      </c>
      <c r="BY1367">
        <v>0</v>
      </c>
      <c r="BZ1367" t="s">
        <v>1813</v>
      </c>
      <c r="CA1367">
        <v>1</v>
      </c>
      <c r="CB1367" t="b">
        <v>1</v>
      </c>
      <c r="CC1367">
        <v>0</v>
      </c>
      <c r="CD1367" t="b">
        <v>0</v>
      </c>
      <c r="CE1367" t="b">
        <v>0</v>
      </c>
      <c r="CF1367" t="b">
        <v>1</v>
      </c>
      <c r="CG1367" t="s">
        <v>1870</v>
      </c>
      <c r="CH1367" t="s">
        <v>1681</v>
      </c>
      <c r="CI1367" s="10">
        <v>575888</v>
      </c>
    </row>
    <row r="1368" spans="1:88">
      <c r="A1368">
        <v>28019517</v>
      </c>
      <c r="B1368" s="2" t="str">
        <f>HYPERLINK("http://www.redfin.com/stingray/do/printable-listing?listing-id=1446672","Active")</f>
        <v>Active</v>
      </c>
      <c r="D1368" t="s">
        <v>1058</v>
      </c>
      <c r="E1368" t="s">
        <v>4494</v>
      </c>
      <c r="F1368">
        <v>399990</v>
      </c>
      <c r="G1368">
        <v>1965</v>
      </c>
      <c r="H1368">
        <v>1350</v>
      </c>
      <c r="I1368">
        <v>11964</v>
      </c>
      <c r="J1368">
        <v>3</v>
      </c>
      <c r="K1368">
        <v>1</v>
      </c>
      <c r="M1368" s="2" t="str">
        <f>HYPERLINK("http://maps.live.com/default.aspx?v=2&amp;lvl=15&amp;sp=Point.47.712711_-122.2161_12449 94th Ave NE&amp;cp=47.712711~-122.2161","Map")</f>
        <v>Map</v>
      </c>
      <c r="N1368" s="2" t="str">
        <f>HYPERLINK("http://i-0.rfimg.us/photo/1/bigphoto/517/28019517_1.jpg","Photo")</f>
        <v>Photo</v>
      </c>
      <c r="AG1368">
        <v>47.712710999999999</v>
      </c>
      <c r="AH1368">
        <v>-122.2161</v>
      </c>
      <c r="AI1368" t="s">
        <v>1058</v>
      </c>
      <c r="AJ1368">
        <v>98034</v>
      </c>
      <c r="AN1368">
        <v>179950</v>
      </c>
      <c r="BC1368" s="22">
        <v>39479.567847222221</v>
      </c>
      <c r="BI1368" s="22">
        <v>39549.294907407406</v>
      </c>
      <c r="BL1368">
        <v>8000</v>
      </c>
      <c r="BM1368">
        <v>1446672</v>
      </c>
      <c r="BN1368" t="s">
        <v>3329</v>
      </c>
      <c r="BO1368" s="17">
        <f t="shared" ca="1" si="21"/>
        <v>69.741558680558228</v>
      </c>
      <c r="BP1368" t="b">
        <v>0</v>
      </c>
      <c r="BQ1368">
        <v>1</v>
      </c>
      <c r="BR1368" t="s">
        <v>1667</v>
      </c>
      <c r="BS1368" t="s">
        <v>2716</v>
      </c>
      <c r="BT1368" t="b">
        <v>0</v>
      </c>
      <c r="BV1368" t="s">
        <v>1668</v>
      </c>
      <c r="BW1368">
        <v>12449</v>
      </c>
      <c r="BX1368" t="s">
        <v>1738</v>
      </c>
      <c r="BY1368">
        <v>279466</v>
      </c>
      <c r="BZ1368" t="s">
        <v>1836</v>
      </c>
      <c r="CA1368">
        <v>1</v>
      </c>
      <c r="CB1368" t="b">
        <v>1</v>
      </c>
      <c r="CC1368">
        <v>0</v>
      </c>
      <c r="CD1368" t="b">
        <v>0</v>
      </c>
      <c r="CE1368" t="b">
        <v>0</v>
      </c>
      <c r="CF1368" t="b">
        <v>1</v>
      </c>
      <c r="CG1368">
        <v>2379651</v>
      </c>
      <c r="CH1368" t="s">
        <v>1681</v>
      </c>
      <c r="CI1368" s="10">
        <v>399990</v>
      </c>
      <c r="CJ1368" s="7">
        <v>36306</v>
      </c>
    </row>
    <row r="1369" spans="1:88">
      <c r="A1369">
        <v>28019520</v>
      </c>
      <c r="B1369" s="2" t="str">
        <f>HYPERLINK("http://www.redfin.com/stingray/do/printable-listing?listing-id=1446905","Active")</f>
        <v>Active</v>
      </c>
      <c r="D1369" t="s">
        <v>3066</v>
      </c>
      <c r="E1369" t="s">
        <v>4819</v>
      </c>
      <c r="F1369">
        <v>699000</v>
      </c>
      <c r="G1369">
        <v>2007</v>
      </c>
      <c r="H1369">
        <v>2750</v>
      </c>
      <c r="I1369">
        <v>10019</v>
      </c>
      <c r="J1369">
        <v>3</v>
      </c>
      <c r="K1369">
        <v>2.75</v>
      </c>
      <c r="M1369" s="2" t="str">
        <f>HYPERLINK("http://maps.live.com/default.aspx?v=2&amp;lvl=15&amp;sp=Point.47.673031_-122.175092_7547 124th Ave NE&amp;cp=47.673031~-122.175092","Map")</f>
        <v>Map</v>
      </c>
      <c r="N1369" s="2" t="str">
        <f>HYPERLINK("http://i-0.rfimg.us/photo/1/bigphoto/520/28019520_3.jpg","Photo")</f>
        <v>Photo</v>
      </c>
      <c r="AG1369">
        <v>47.673031000000002</v>
      </c>
      <c r="AH1369">
        <v>-122.17509200000001</v>
      </c>
      <c r="AI1369" t="s">
        <v>1058</v>
      </c>
      <c r="AJ1369">
        <v>98033</v>
      </c>
      <c r="AN1369">
        <v>437000</v>
      </c>
      <c r="BC1369" s="22">
        <v>39479.610277777778</v>
      </c>
      <c r="BI1369" s="22">
        <v>39549.294907407406</v>
      </c>
      <c r="BL1369">
        <v>13980</v>
      </c>
      <c r="BM1369">
        <v>1446905</v>
      </c>
      <c r="BN1369" t="s">
        <v>2203</v>
      </c>
      <c r="BO1369" s="17">
        <f t="shared" ca="1" si="21"/>
        <v>69.699128125001153</v>
      </c>
      <c r="BP1369" t="b">
        <v>0</v>
      </c>
      <c r="BQ1369">
        <v>1</v>
      </c>
      <c r="BR1369" t="s">
        <v>1667</v>
      </c>
      <c r="BS1369" t="s">
        <v>4507</v>
      </c>
      <c r="BT1369" t="b">
        <v>0</v>
      </c>
      <c r="BV1369" t="s">
        <v>1668</v>
      </c>
      <c r="BW1369">
        <v>7547</v>
      </c>
      <c r="BX1369" t="s">
        <v>1738</v>
      </c>
      <c r="BY1369">
        <v>515747</v>
      </c>
      <c r="BZ1369" t="s">
        <v>4820</v>
      </c>
      <c r="CA1369">
        <v>1</v>
      </c>
      <c r="CB1369" t="b">
        <v>1</v>
      </c>
      <c r="CC1369">
        <v>0</v>
      </c>
      <c r="CD1369" t="b">
        <v>0</v>
      </c>
      <c r="CE1369" t="b">
        <v>0</v>
      </c>
      <c r="CF1369" t="b">
        <v>1</v>
      </c>
      <c r="CG1369">
        <v>2716160</v>
      </c>
      <c r="CH1369" t="s">
        <v>1681</v>
      </c>
      <c r="CI1369" s="10">
        <v>699000</v>
      </c>
      <c r="CJ1369" s="7">
        <v>39162</v>
      </c>
    </row>
    <row r="1370" spans="1:88">
      <c r="A1370">
        <v>28019551</v>
      </c>
      <c r="B1370" s="2" t="str">
        <f>HYPERLINK("http://www.redfin.com/stingray/do/printable-listing?listing-id=1446742","Active")</f>
        <v>Active</v>
      </c>
      <c r="D1370" t="s">
        <v>2552</v>
      </c>
      <c r="E1370" t="s">
        <v>3396</v>
      </c>
      <c r="F1370" s="19">
        <v>449000</v>
      </c>
      <c r="G1370">
        <v>2000</v>
      </c>
      <c r="H1370">
        <v>1790</v>
      </c>
      <c r="I1370">
        <v>0</v>
      </c>
      <c r="J1370">
        <v>3</v>
      </c>
      <c r="K1370">
        <v>3.5</v>
      </c>
      <c r="M1370" s="2" t="str">
        <f>HYPERLINK("http://maps.live.com/default.aspx?v=2&amp;lvl=15&amp;sp=Point.47.651396_-122.383603_3425 21st Ave W&amp;cp=47.651396~-122.383603","Map")</f>
        <v>Map</v>
      </c>
      <c r="N1370" s="2" t="str">
        <f>HYPERLINK("http://i-0.rfimg.us/photo/1/bigphoto/551/28019551_0.jpg","Photo")</f>
        <v>Photo</v>
      </c>
      <c r="AG1370">
        <v>47.651395999999998</v>
      </c>
      <c r="AH1370">
        <v>-122.38360299999999</v>
      </c>
      <c r="AI1370" t="s">
        <v>66</v>
      </c>
      <c r="AJ1370">
        <v>98199</v>
      </c>
      <c r="BC1370" s="22">
        <v>39479.577962962961</v>
      </c>
      <c r="BI1370" s="22">
        <v>39549.294907407406</v>
      </c>
      <c r="BL1370">
        <v>9380</v>
      </c>
      <c r="BM1370">
        <v>1446742</v>
      </c>
      <c r="BN1370" t="s">
        <v>1680</v>
      </c>
      <c r="BO1370" s="17">
        <f t="shared" ca="1" si="21"/>
        <v>69.731442939817498</v>
      </c>
      <c r="BP1370" t="b">
        <v>0</v>
      </c>
      <c r="BQ1370">
        <v>1</v>
      </c>
      <c r="BR1370" t="s">
        <v>1667</v>
      </c>
      <c r="BS1370" t="s">
        <v>1903</v>
      </c>
      <c r="BT1370" t="b">
        <v>0</v>
      </c>
      <c r="BV1370" t="s">
        <v>1668</v>
      </c>
      <c r="BW1370">
        <v>3425</v>
      </c>
      <c r="BX1370" t="s">
        <v>2423</v>
      </c>
      <c r="BY1370">
        <v>12167293</v>
      </c>
      <c r="BZ1370" t="s">
        <v>1672</v>
      </c>
      <c r="CA1370">
        <v>1</v>
      </c>
      <c r="CB1370" t="b">
        <v>1</v>
      </c>
      <c r="CC1370">
        <v>0</v>
      </c>
      <c r="CD1370" t="b">
        <v>0</v>
      </c>
      <c r="CE1370" t="b">
        <v>0</v>
      </c>
      <c r="CF1370" t="b">
        <v>1</v>
      </c>
      <c r="CG1370">
        <v>15397957</v>
      </c>
      <c r="CH1370" t="s">
        <v>1681</v>
      </c>
      <c r="CI1370" s="10">
        <v>469000</v>
      </c>
    </row>
    <row r="1371" spans="1:88">
      <c r="A1371">
        <v>28019567</v>
      </c>
      <c r="B1371" s="2" t="str">
        <f>HYPERLINK("http://www.redfin.com/stingray/do/printable-listing?listing-id=1470261","Active")</f>
        <v>Active</v>
      </c>
      <c r="D1371" t="s">
        <v>100</v>
      </c>
      <c r="E1371" t="s">
        <v>3273</v>
      </c>
      <c r="F1371">
        <v>599000</v>
      </c>
      <c r="G1371">
        <v>2006</v>
      </c>
      <c r="H1371">
        <v>2167</v>
      </c>
      <c r="I1371">
        <v>1363</v>
      </c>
      <c r="J1371">
        <v>3</v>
      </c>
      <c r="K1371">
        <v>2.5</v>
      </c>
      <c r="M1371" s="2" t="str">
        <f>HYPERLINK("http://maps.live.com/default.aspx?v=2&amp;lvl=15&amp;sp=Point.47.653963_-122.352044_519 N 39&amp;cp=47.653963~-122.352044","Map")</f>
        <v>Map</v>
      </c>
      <c r="N1371" s="2" t="str">
        <f>HYPERLINK("http://i-0.rfimg.us/photo/1/bigphoto/567/28019567_5.jpg","Photo")</f>
        <v>Photo</v>
      </c>
      <c r="AG1371">
        <v>47.653962999999997</v>
      </c>
      <c r="AH1371">
        <v>-122.35204400000001</v>
      </c>
      <c r="AI1371" t="s">
        <v>66</v>
      </c>
      <c r="AJ1371">
        <v>98103</v>
      </c>
      <c r="BC1371" s="22">
        <v>39488.598217592589</v>
      </c>
      <c r="BI1371" s="22">
        <v>39549.294907407406</v>
      </c>
      <c r="BL1371">
        <v>11980</v>
      </c>
      <c r="BM1371">
        <v>1470261</v>
      </c>
      <c r="BN1371" t="s">
        <v>3272</v>
      </c>
      <c r="BO1371" s="17">
        <f t="shared" ca="1" si="21"/>
        <v>60.711188310189755</v>
      </c>
      <c r="BP1371" t="b">
        <v>0</v>
      </c>
      <c r="BQ1371">
        <v>1</v>
      </c>
      <c r="BS1371">
        <v>39</v>
      </c>
      <c r="BT1371" t="b">
        <v>0</v>
      </c>
      <c r="BU1371" t="s">
        <v>1712</v>
      </c>
      <c r="BV1371" t="s">
        <v>1668</v>
      </c>
      <c r="BW1371">
        <v>519</v>
      </c>
      <c r="BY1371">
        <v>12387953</v>
      </c>
      <c r="BZ1371" t="s">
        <v>3274</v>
      </c>
      <c r="CA1371">
        <v>1</v>
      </c>
      <c r="CB1371" t="b">
        <v>1</v>
      </c>
      <c r="CC1371">
        <v>0</v>
      </c>
      <c r="CD1371" t="b">
        <v>0</v>
      </c>
      <c r="CE1371" t="b">
        <v>0</v>
      </c>
      <c r="CF1371" t="b">
        <v>0</v>
      </c>
      <c r="CG1371">
        <v>15591701</v>
      </c>
      <c r="CH1371" t="s">
        <v>1681</v>
      </c>
      <c r="CI1371" s="10">
        <v>599000</v>
      </c>
    </row>
    <row r="1372" spans="1:88">
      <c r="A1372">
        <v>28019568</v>
      </c>
      <c r="B1372" s="2" t="str">
        <f>HYPERLINK("http://www.redfin.com/stingray/do/printable-listing?listing-id=1446781","Subject To Inspection")</f>
        <v>Subject To Inspection</v>
      </c>
      <c r="D1372" t="s">
        <v>3924</v>
      </c>
      <c r="E1372" t="s">
        <v>3995</v>
      </c>
      <c r="F1372">
        <v>359000</v>
      </c>
      <c r="G1372">
        <v>2005</v>
      </c>
      <c r="H1372">
        <v>1290</v>
      </c>
      <c r="I1372">
        <v>0</v>
      </c>
      <c r="J1372">
        <v>2</v>
      </c>
      <c r="K1372">
        <v>2.5</v>
      </c>
      <c r="M1372" s="2" t="str">
        <f>HYPERLINK("http://maps.live.com/default.aspx?v=2&amp;lvl=15&amp;sp=Point.47.601956_-122.306095_108 20th Ave&amp;cp=47.601956~-122.306095","Map")</f>
        <v>Map</v>
      </c>
      <c r="N1372" s="2" t="str">
        <f>HYPERLINK("http://i-0.rfimg.us/photo/1/bigphoto/568/28019568_0.jpg","Photo")</f>
        <v>Photo</v>
      </c>
      <c r="AG1372">
        <v>47.601956000000001</v>
      </c>
      <c r="AH1372">
        <v>-122.306095</v>
      </c>
      <c r="AI1372" t="s">
        <v>66</v>
      </c>
      <c r="AJ1372">
        <v>98122</v>
      </c>
      <c r="BC1372" s="22">
        <v>39479.588726851849</v>
      </c>
      <c r="BI1372" s="7">
        <v>39533</v>
      </c>
      <c r="BL1372">
        <v>7180</v>
      </c>
      <c r="BM1372">
        <v>1446781</v>
      </c>
      <c r="BN1372" t="s">
        <v>1693</v>
      </c>
      <c r="BO1372" s="17">
        <f t="shared" ca="1" si="21"/>
        <v>69.720679050929903</v>
      </c>
      <c r="BP1372" t="b">
        <v>0</v>
      </c>
      <c r="BQ1372">
        <v>2</v>
      </c>
      <c r="BR1372" t="s">
        <v>1667</v>
      </c>
      <c r="BS1372" t="s">
        <v>1844</v>
      </c>
      <c r="BT1372" t="b">
        <v>0</v>
      </c>
      <c r="BV1372" t="s">
        <v>1668</v>
      </c>
      <c r="BW1372">
        <v>108</v>
      </c>
      <c r="BY1372">
        <v>12385294</v>
      </c>
      <c r="BZ1372" t="s">
        <v>1670</v>
      </c>
      <c r="CA1372">
        <v>1</v>
      </c>
      <c r="CB1372" t="b">
        <v>1</v>
      </c>
      <c r="CC1372">
        <v>0</v>
      </c>
      <c r="CD1372" t="b">
        <v>0</v>
      </c>
      <c r="CE1372" t="b">
        <v>0</v>
      </c>
      <c r="CF1372" t="b">
        <v>1</v>
      </c>
      <c r="CG1372">
        <v>15589042</v>
      </c>
      <c r="CH1372" t="s">
        <v>1681</v>
      </c>
      <c r="CI1372" s="10">
        <v>359000</v>
      </c>
    </row>
    <row r="1373" spans="1:88">
      <c r="A1373">
        <v>28019570</v>
      </c>
      <c r="B1373" s="2" t="str">
        <f>HYPERLINK("http://www.redfin.com/stingray/do/printable-listing?listing-id=1446855","Active")</f>
        <v>Active</v>
      </c>
      <c r="D1373" t="s">
        <v>66</v>
      </c>
      <c r="E1373" t="s">
        <v>3969</v>
      </c>
      <c r="F1373" s="19">
        <v>464999</v>
      </c>
      <c r="G1373">
        <v>2007</v>
      </c>
      <c r="H1373">
        <v>1995</v>
      </c>
      <c r="I1373">
        <v>0</v>
      </c>
      <c r="J1373">
        <v>3</v>
      </c>
      <c r="K1373">
        <v>2.5</v>
      </c>
      <c r="M1373" s="2" t="str">
        <f>HYPERLINK("http://maps.live.com/default.aspx?v=2&amp;lvl=15&amp;sp=Point.47.603689_-122.302603_209 23rd Ave nA&amp;cp=47.603689~-122.302603","Map")</f>
        <v>Map</v>
      </c>
      <c r="N1373" s="2" t="str">
        <f>HYPERLINK("http://i-0.rfimg.us/photo/1/bigphoto/570/28019570_0.jpg","Photo")</f>
        <v>Photo</v>
      </c>
      <c r="AG1373">
        <v>47.603689000000003</v>
      </c>
      <c r="AH1373">
        <v>-122.302603</v>
      </c>
      <c r="AI1373" t="s">
        <v>66</v>
      </c>
      <c r="AJ1373">
        <v>98122</v>
      </c>
      <c r="AM1373" t="s">
        <v>1722</v>
      </c>
      <c r="BC1373" s="22">
        <v>39479.599143518521</v>
      </c>
      <c r="BI1373" s="22">
        <v>39549.294907407406</v>
      </c>
      <c r="BL1373">
        <v>9798</v>
      </c>
      <c r="BM1373">
        <v>1446855</v>
      </c>
      <c r="BN1373" t="s">
        <v>1725</v>
      </c>
      <c r="BO1373" s="17">
        <f t="shared" ca="1" si="21"/>
        <v>69.710262384258385</v>
      </c>
      <c r="BP1373" t="b">
        <v>0</v>
      </c>
      <c r="BQ1373">
        <v>1</v>
      </c>
      <c r="BR1373" t="s">
        <v>1667</v>
      </c>
      <c r="BS1373" t="s">
        <v>1839</v>
      </c>
      <c r="BT1373" t="b">
        <v>0</v>
      </c>
      <c r="BV1373" t="s">
        <v>1668</v>
      </c>
      <c r="BW1373">
        <v>209</v>
      </c>
      <c r="BY1373">
        <v>12280194</v>
      </c>
      <c r="BZ1373" t="s">
        <v>1672</v>
      </c>
      <c r="CA1373">
        <v>1</v>
      </c>
      <c r="CB1373" t="b">
        <v>1</v>
      </c>
      <c r="CC1373">
        <v>0</v>
      </c>
      <c r="CD1373" t="b">
        <v>0</v>
      </c>
      <c r="CE1373" t="b">
        <v>0</v>
      </c>
      <c r="CF1373" t="b">
        <v>1</v>
      </c>
      <c r="CG1373">
        <v>15493017</v>
      </c>
      <c r="CH1373" t="s">
        <v>1681</v>
      </c>
      <c r="CI1373" s="10">
        <v>489888</v>
      </c>
    </row>
    <row r="1374" spans="1:88">
      <c r="A1374">
        <v>28019593</v>
      </c>
      <c r="B1374" s="2" t="str">
        <f>HYPERLINK("http://www.redfin.com/stingray/do/printable-listing?listing-id=1446857","Subject To Inspection")</f>
        <v>Subject To Inspection</v>
      </c>
      <c r="D1374" t="s">
        <v>60</v>
      </c>
      <c r="E1374" t="s">
        <v>2803</v>
      </c>
      <c r="F1374">
        <v>379950</v>
      </c>
      <c r="G1374">
        <v>2008</v>
      </c>
      <c r="H1374">
        <v>1470</v>
      </c>
      <c r="I1374">
        <v>0</v>
      </c>
      <c r="J1374">
        <v>3</v>
      </c>
      <c r="K1374">
        <v>2.75</v>
      </c>
      <c r="M1374" s="2" t="str">
        <f>HYPERLINK("http://maps.live.com/default.aspx?v=2&amp;lvl=15&amp;sp=Point.47.696981_-122.339903_9249 Ashworth Ave N&amp;cp=47.696981~-122.339903","Map")</f>
        <v>Map</v>
      </c>
      <c r="N1374" s="2" t="str">
        <f>HYPERLINK("http://i-0.rfimg.us/photo/1/bigphoto/593/28019593_0.jpg","Photo")</f>
        <v>Photo</v>
      </c>
      <c r="AG1374">
        <v>47.696981000000001</v>
      </c>
      <c r="AH1374">
        <v>-122.33990300000001</v>
      </c>
      <c r="AI1374" t="s">
        <v>66</v>
      </c>
      <c r="AJ1374">
        <v>98103</v>
      </c>
      <c r="BC1374" s="22">
        <v>39479.599143518521</v>
      </c>
      <c r="BI1374" s="22">
        <v>39549.294907407406</v>
      </c>
      <c r="BL1374">
        <v>7599</v>
      </c>
      <c r="BM1374">
        <v>1446857</v>
      </c>
      <c r="BN1374" t="s">
        <v>1725</v>
      </c>
      <c r="BO1374" s="17">
        <f t="shared" ca="1" si="21"/>
        <v>69.710262499997043</v>
      </c>
      <c r="BP1374" t="b">
        <v>0</v>
      </c>
      <c r="BQ1374">
        <v>2</v>
      </c>
      <c r="BR1374" t="s">
        <v>1667</v>
      </c>
      <c r="BS1374" t="s">
        <v>1825</v>
      </c>
      <c r="BT1374" t="b">
        <v>0</v>
      </c>
      <c r="BV1374" t="s">
        <v>1668</v>
      </c>
      <c r="BW1374">
        <v>9249</v>
      </c>
      <c r="BX1374" t="s">
        <v>1712</v>
      </c>
      <c r="BY1374">
        <v>12385307</v>
      </c>
      <c r="BZ1374" s="21">
        <v>0</v>
      </c>
      <c r="CA1374">
        <v>1</v>
      </c>
      <c r="CB1374" t="b">
        <v>1</v>
      </c>
      <c r="CC1374">
        <v>0</v>
      </c>
      <c r="CD1374" t="b">
        <v>0</v>
      </c>
      <c r="CE1374" t="b">
        <v>0</v>
      </c>
      <c r="CF1374" t="b">
        <v>1</v>
      </c>
      <c r="CG1374">
        <v>15589055</v>
      </c>
      <c r="CH1374" t="s">
        <v>1681</v>
      </c>
      <c r="CI1374" s="10">
        <v>379950</v>
      </c>
    </row>
    <row r="1375" spans="1:88">
      <c r="A1375">
        <v>28019614</v>
      </c>
      <c r="B1375" s="2" t="str">
        <f>HYPERLINK("http://www.redfin.com/stingray/do/printable-listing?listing-id=1446906","Active")</f>
        <v>Active</v>
      </c>
      <c r="D1375" t="s">
        <v>5119</v>
      </c>
      <c r="E1375" t="s">
        <v>5366</v>
      </c>
      <c r="F1375">
        <v>574950</v>
      </c>
      <c r="G1375">
        <v>1958</v>
      </c>
      <c r="H1375">
        <v>1490</v>
      </c>
      <c r="I1375">
        <v>16200</v>
      </c>
      <c r="J1375">
        <v>3</v>
      </c>
      <c r="K1375">
        <v>1.75</v>
      </c>
      <c r="M1375" s="2" t="str">
        <f>HYPERLINK("http://maps.live.com/default.aspx?v=2&amp;lvl=15&amp;sp=Point.47.591876_-122.174839_2042 123rd Ave SE&amp;cp=47.591876~-122.174839","Map")</f>
        <v>Map</v>
      </c>
      <c r="N1375" s="2" t="str">
        <f>HYPERLINK("http://i-0.rfimg.us/photo/1/bigphoto/614/28019614_0.jpg","Photo")</f>
        <v>Photo</v>
      </c>
      <c r="AG1375">
        <v>47.591875999999999</v>
      </c>
      <c r="AH1375">
        <v>-122.17483900000001</v>
      </c>
      <c r="AI1375" t="s">
        <v>369</v>
      </c>
      <c r="AJ1375">
        <v>98005</v>
      </c>
      <c r="BC1375" s="22">
        <v>39479.610289351855</v>
      </c>
      <c r="BI1375" s="22">
        <v>39549.294907407406</v>
      </c>
      <c r="BL1375">
        <v>11499</v>
      </c>
      <c r="BM1375">
        <v>1446906</v>
      </c>
      <c r="BN1375" t="s">
        <v>1768</v>
      </c>
      <c r="BO1375" s="17">
        <f t="shared" ca="1" si="21"/>
        <v>69.699116550924373</v>
      </c>
      <c r="BP1375" t="b">
        <v>0</v>
      </c>
      <c r="BQ1375">
        <v>1</v>
      </c>
      <c r="BR1375" t="s">
        <v>1667</v>
      </c>
      <c r="BS1375" t="s">
        <v>2882</v>
      </c>
      <c r="BT1375" t="b">
        <v>0</v>
      </c>
      <c r="BV1375" t="s">
        <v>1668</v>
      </c>
      <c r="BW1375">
        <v>2042</v>
      </c>
      <c r="BX1375" t="s">
        <v>3856</v>
      </c>
      <c r="BY1375">
        <v>509051</v>
      </c>
      <c r="BZ1375" t="s">
        <v>1672</v>
      </c>
      <c r="CA1375">
        <v>1</v>
      </c>
      <c r="CB1375" t="b">
        <v>1</v>
      </c>
      <c r="CC1375">
        <v>0</v>
      </c>
      <c r="CD1375" t="b">
        <v>0</v>
      </c>
      <c r="CE1375" t="b">
        <v>0</v>
      </c>
      <c r="CF1375" t="b">
        <v>1</v>
      </c>
      <c r="CG1375">
        <v>2445637</v>
      </c>
      <c r="CH1375" t="s">
        <v>1681</v>
      </c>
      <c r="CI1375" s="10">
        <v>574950</v>
      </c>
    </row>
    <row r="1376" spans="1:88">
      <c r="A1376">
        <v>28019615</v>
      </c>
      <c r="B1376" s="2" t="str">
        <f>HYPERLINK("http://www.redfin.com/stingray/do/printable-listing?listing-id=1452840","Active")</f>
        <v>Active</v>
      </c>
      <c r="D1376" t="s">
        <v>192</v>
      </c>
      <c r="E1376" t="s">
        <v>3003</v>
      </c>
      <c r="F1376" s="19">
        <v>659900</v>
      </c>
      <c r="G1376">
        <v>1928</v>
      </c>
      <c r="H1376">
        <v>2400</v>
      </c>
      <c r="I1376">
        <v>5035</v>
      </c>
      <c r="J1376">
        <v>4</v>
      </c>
      <c r="K1376">
        <v>2.5</v>
      </c>
      <c r="M1376" s="2" t="str">
        <f>HYPERLINK("http://maps.live.com/default.aspx?v=2&amp;lvl=15&amp;sp=Point.47.690173_-122.310393_8257 17th Ave NE&amp;cp=47.690173~-122.310393","Map")</f>
        <v>Map</v>
      </c>
      <c r="N1376" s="2" t="str">
        <f>HYPERLINK("http://i-0.rfimg.us/photo/1/bigphoto/615/28019615_0.jpg","Photo")</f>
        <v>Photo</v>
      </c>
      <c r="AG1376">
        <v>47.690173000000001</v>
      </c>
      <c r="AH1376">
        <v>-122.310393</v>
      </c>
      <c r="AI1376" t="s">
        <v>66</v>
      </c>
      <c r="AJ1376">
        <v>98115</v>
      </c>
      <c r="AN1376">
        <v>570000</v>
      </c>
      <c r="BC1376" s="22">
        <v>39482.786956018521</v>
      </c>
      <c r="BI1376" s="22">
        <v>39549.294907407406</v>
      </c>
      <c r="BL1376">
        <v>13358</v>
      </c>
      <c r="BM1376">
        <v>1452840</v>
      </c>
      <c r="BN1376" t="s">
        <v>1710</v>
      </c>
      <c r="BO1376" s="17">
        <f t="shared" ca="1" si="21"/>
        <v>66.522449884258094</v>
      </c>
      <c r="BP1376" t="b">
        <v>0</v>
      </c>
      <c r="BQ1376">
        <v>1</v>
      </c>
      <c r="BR1376" t="s">
        <v>1667</v>
      </c>
      <c r="BS1376" t="s">
        <v>1683</v>
      </c>
      <c r="BT1376" t="b">
        <v>0</v>
      </c>
      <c r="BV1376" t="s">
        <v>1668</v>
      </c>
      <c r="BW1376">
        <v>8257</v>
      </c>
      <c r="BX1376" t="s">
        <v>1738</v>
      </c>
      <c r="BY1376">
        <v>107384</v>
      </c>
      <c r="BZ1376" t="s">
        <v>1676</v>
      </c>
      <c r="CA1376">
        <v>1</v>
      </c>
      <c r="CB1376" t="b">
        <v>1</v>
      </c>
      <c r="CC1376">
        <v>0</v>
      </c>
      <c r="CD1376" t="b">
        <v>0</v>
      </c>
      <c r="CE1376" t="b">
        <v>0</v>
      </c>
      <c r="CF1376" t="b">
        <v>1</v>
      </c>
      <c r="CG1376">
        <v>2857971</v>
      </c>
      <c r="CH1376" t="s">
        <v>1681</v>
      </c>
      <c r="CI1376" s="10">
        <v>667900</v>
      </c>
      <c r="CJ1376" s="7">
        <v>38652</v>
      </c>
    </row>
    <row r="1377" spans="1:90">
      <c r="A1377">
        <v>28019617</v>
      </c>
      <c r="B1377" s="2" t="str">
        <f>HYPERLINK("http://www.redfin.com/stingray/do/printable-listing?listing-id=1446908","Active")</f>
        <v>Active</v>
      </c>
      <c r="D1377" t="s">
        <v>3681</v>
      </c>
      <c r="E1377" t="s">
        <v>3817</v>
      </c>
      <c r="F1377">
        <v>699000</v>
      </c>
      <c r="G1377">
        <v>1926</v>
      </c>
      <c r="H1377">
        <v>2720</v>
      </c>
      <c r="I1377">
        <v>3408</v>
      </c>
      <c r="J1377">
        <v>3</v>
      </c>
      <c r="K1377">
        <v>2.5</v>
      </c>
      <c r="M1377" s="2" t="str">
        <f>HYPERLINK("http://maps.live.com/default.aspx?v=2&amp;lvl=15&amp;sp=Point.47.63812_-122.306434_1921 E Blaine St&amp;cp=47.63812~-122.306434","Map")</f>
        <v>Map</v>
      </c>
      <c r="N1377" s="2" t="str">
        <f>HYPERLINK("http://i-0.rfimg.us/photo/1/bigphoto/617/28019617_1.jpg","Photo")</f>
        <v>Photo</v>
      </c>
      <c r="AG1377">
        <v>47.638120000000001</v>
      </c>
      <c r="AH1377">
        <v>-122.306434</v>
      </c>
      <c r="AI1377" t="s">
        <v>66</v>
      </c>
      <c r="AJ1377">
        <v>98112</v>
      </c>
      <c r="AN1377">
        <v>335000</v>
      </c>
      <c r="BC1377" s="22">
        <v>39479.610289351855</v>
      </c>
      <c r="BI1377" s="7">
        <v>39539</v>
      </c>
      <c r="BL1377">
        <v>13980</v>
      </c>
      <c r="BM1377">
        <v>1446908</v>
      </c>
      <c r="BN1377" t="s">
        <v>1710</v>
      </c>
      <c r="BO1377" s="17">
        <f t="shared" ca="1" si="21"/>
        <v>69.699116550924373</v>
      </c>
      <c r="BP1377" t="b">
        <v>0</v>
      </c>
      <c r="BQ1377">
        <v>1</v>
      </c>
      <c r="BR1377" t="s">
        <v>1686</v>
      </c>
      <c r="BS1377" t="s">
        <v>3542</v>
      </c>
      <c r="BT1377" t="b">
        <v>0</v>
      </c>
      <c r="BU1377" t="s">
        <v>2436</v>
      </c>
      <c r="BV1377" t="s">
        <v>1668</v>
      </c>
      <c r="BW1377">
        <v>1921</v>
      </c>
      <c r="BY1377">
        <v>138323</v>
      </c>
      <c r="BZ1377" t="s">
        <v>3818</v>
      </c>
      <c r="CA1377">
        <v>1</v>
      </c>
      <c r="CB1377" t="b">
        <v>1</v>
      </c>
      <c r="CC1377">
        <v>0</v>
      </c>
      <c r="CD1377" t="b">
        <v>0</v>
      </c>
      <c r="CE1377" t="b">
        <v>0</v>
      </c>
      <c r="CF1377" t="b">
        <v>1</v>
      </c>
      <c r="CG1377">
        <v>2978562</v>
      </c>
      <c r="CH1377" t="s">
        <v>1681</v>
      </c>
      <c r="CI1377" s="10">
        <v>699000</v>
      </c>
      <c r="CJ1377" s="7">
        <v>35522</v>
      </c>
    </row>
    <row r="1378" spans="1:90">
      <c r="A1378">
        <v>28019643</v>
      </c>
      <c r="B1378" s="2" t="str">
        <f>HYPERLINK("http://www.redfin.com/stingray/do/printable-listing?listing-id=1446970","Active")</f>
        <v>Active</v>
      </c>
      <c r="D1378" t="s">
        <v>3924</v>
      </c>
      <c r="E1378" t="s">
        <v>4086</v>
      </c>
      <c r="F1378">
        <v>540000</v>
      </c>
      <c r="G1378">
        <v>2006</v>
      </c>
      <c r="H1378">
        <v>1360</v>
      </c>
      <c r="I1378">
        <v>0</v>
      </c>
      <c r="J1378">
        <v>3</v>
      </c>
      <c r="K1378">
        <v>2.5</v>
      </c>
      <c r="M1378" s="2" t="str">
        <f>HYPERLINK("http://maps.live.com/default.aspx?v=2&amp;lvl=15&amp;sp=Point.47.619939_-122.299497_132 25th Ave E nB&amp;cp=47.619939~-122.299497","Map")</f>
        <v>Map</v>
      </c>
      <c r="N1378" s="2" t="str">
        <f>HYPERLINK("http://i-0.rfimg.us/photo/1/bigphoto/643/28019643_3.jpg","Photo")</f>
        <v>Photo</v>
      </c>
      <c r="AG1378">
        <v>47.619939000000002</v>
      </c>
      <c r="AH1378">
        <v>-122.299497</v>
      </c>
      <c r="AI1378" t="s">
        <v>66</v>
      </c>
      <c r="AJ1378">
        <v>98112</v>
      </c>
      <c r="AM1378" t="s">
        <v>1699</v>
      </c>
      <c r="BC1378" s="22">
        <v>39479.620254629626</v>
      </c>
      <c r="BI1378" s="22">
        <v>39549.294907407406</v>
      </c>
      <c r="BL1378">
        <v>10800</v>
      </c>
      <c r="BM1378">
        <v>1446970</v>
      </c>
      <c r="BN1378" t="s">
        <v>1674</v>
      </c>
      <c r="BO1378" s="17">
        <f t="shared" ca="1" si="21"/>
        <v>69.689151273152675</v>
      </c>
      <c r="BP1378" t="b">
        <v>0</v>
      </c>
      <c r="BQ1378">
        <v>1</v>
      </c>
      <c r="BR1378" t="s">
        <v>1667</v>
      </c>
      <c r="BS1378" t="s">
        <v>1819</v>
      </c>
      <c r="BT1378" t="b">
        <v>0</v>
      </c>
      <c r="BV1378" t="s">
        <v>1668</v>
      </c>
      <c r="BW1378">
        <v>132</v>
      </c>
      <c r="BX1378" t="s">
        <v>2436</v>
      </c>
      <c r="BY1378">
        <v>12385321</v>
      </c>
      <c r="BZ1378" t="s">
        <v>4087</v>
      </c>
      <c r="CA1378">
        <v>1</v>
      </c>
      <c r="CB1378" t="b">
        <v>1</v>
      </c>
      <c r="CC1378">
        <v>0</v>
      </c>
      <c r="CD1378" t="b">
        <v>0</v>
      </c>
      <c r="CE1378" t="b">
        <v>0</v>
      </c>
      <c r="CF1378" t="b">
        <v>1</v>
      </c>
      <c r="CG1378">
        <v>15589069</v>
      </c>
      <c r="CH1378" t="s">
        <v>1681</v>
      </c>
      <c r="CI1378" s="10">
        <v>540000</v>
      </c>
    </row>
    <row r="1379" spans="1:90">
      <c r="A1379">
        <v>28019710</v>
      </c>
      <c r="B1379" s="15" t="str">
        <f>HYPERLINK("http://www.redfin.com/stingray/do/printable-listing?listing-id=1447297","Subject To Inspection")</f>
        <v>Subject To Inspection</v>
      </c>
      <c r="D1379" t="s">
        <v>194</v>
      </c>
      <c r="E1379" t="s">
        <v>197</v>
      </c>
      <c r="F1379">
        <v>399950</v>
      </c>
      <c r="G1379">
        <v>1950</v>
      </c>
      <c r="H1379">
        <v>930</v>
      </c>
      <c r="I1379">
        <v>8280</v>
      </c>
      <c r="J1379">
        <v>2</v>
      </c>
      <c r="K1379">
        <v>1</v>
      </c>
      <c r="M1379" s="2" t="str">
        <f>HYPERLINK("http://maps.live.com/default.aspx?v=2&amp;lvl=15&amp;sp=Point.47.704936_-122.282915_4110 NE 105th St&amp;cp=47.704936~-122.282915","Map")</f>
        <v>Map</v>
      </c>
      <c r="N1379" s="2" t="str">
        <f>HYPERLINK("http://i-0.rfimg.us/photo/1/bigphoto/710/28019710_0.jpg","Photo")</f>
        <v>Photo</v>
      </c>
      <c r="AG1379">
        <v>47.704935999999996</v>
      </c>
      <c r="AH1379">
        <v>-122.282915</v>
      </c>
      <c r="AI1379" t="s">
        <v>66</v>
      </c>
      <c r="AJ1379">
        <v>98125</v>
      </c>
      <c r="AN1379">
        <v>155000</v>
      </c>
      <c r="BC1379" s="22">
        <v>39479.652326388888</v>
      </c>
      <c r="BI1379" s="7">
        <v>39539</v>
      </c>
      <c r="BL1379">
        <v>7999</v>
      </c>
      <c r="BM1379">
        <v>1447297</v>
      </c>
      <c r="BN1379" t="s">
        <v>1768</v>
      </c>
      <c r="BO1379" s="17">
        <f t="shared" ca="1" si="21"/>
        <v>69.657079513890494</v>
      </c>
      <c r="BP1379" t="b">
        <v>0</v>
      </c>
      <c r="BQ1379">
        <v>1</v>
      </c>
      <c r="BR1379" t="s">
        <v>1686</v>
      </c>
      <c r="BS1379" t="s">
        <v>2705</v>
      </c>
      <c r="BT1379" t="b">
        <v>0</v>
      </c>
      <c r="BU1379" t="s">
        <v>1738</v>
      </c>
      <c r="BV1379" t="s">
        <v>1668</v>
      </c>
      <c r="BW1379">
        <v>4110</v>
      </c>
      <c r="BY1379">
        <v>113486</v>
      </c>
      <c r="BZ1379" t="s">
        <v>1676</v>
      </c>
      <c r="CA1379">
        <v>1</v>
      </c>
      <c r="CB1379" t="b">
        <v>1</v>
      </c>
      <c r="CC1379">
        <v>0</v>
      </c>
      <c r="CD1379" t="b">
        <v>0</v>
      </c>
      <c r="CE1379" t="b">
        <v>0</v>
      </c>
      <c r="CF1379" t="b">
        <v>1</v>
      </c>
      <c r="CG1379">
        <v>2537718</v>
      </c>
      <c r="CH1379" t="s">
        <v>1681</v>
      </c>
      <c r="CI1379" s="10">
        <v>399950</v>
      </c>
      <c r="CJ1379" s="7">
        <v>35863</v>
      </c>
    </row>
    <row r="1380" spans="1:90">
      <c r="A1380">
        <v>28019761</v>
      </c>
      <c r="B1380" s="2" t="str">
        <f>HYPERLINK("http://www.redfin.com/stingray/do/printable-listing?listing-id=1447450","Active")</f>
        <v>Active</v>
      </c>
      <c r="D1380" t="s">
        <v>88</v>
      </c>
      <c r="E1380" t="s">
        <v>1280</v>
      </c>
      <c r="F1380">
        <v>959000</v>
      </c>
      <c r="G1380">
        <v>2008</v>
      </c>
      <c r="H1380">
        <v>3200</v>
      </c>
      <c r="I1380">
        <v>3750</v>
      </c>
      <c r="J1380">
        <v>4</v>
      </c>
      <c r="K1380">
        <v>3.5</v>
      </c>
      <c r="M1380" s="2" t="str">
        <f>HYPERLINK("http://maps.live.com/default.aspx?v=2&amp;lvl=15&amp;sp=Point.47.678705_-122.364703_6707 7th Ave NW&amp;cp=47.678705~-122.364703","Map")</f>
        <v>Map</v>
      </c>
      <c r="N1380" s="2" t="str">
        <f>HYPERLINK("http://i-0.rfimg.us/photo/1/bigphoto/761/28019761_0.jpg","Photo")</f>
        <v>Photo</v>
      </c>
      <c r="AG1380">
        <v>47.678705000000001</v>
      </c>
      <c r="AH1380">
        <v>-122.36470300000001</v>
      </c>
      <c r="AI1380" t="s">
        <v>66</v>
      </c>
      <c r="AJ1380">
        <v>98117</v>
      </c>
      <c r="BC1380" s="22">
        <v>39479.682916666665</v>
      </c>
      <c r="BI1380" s="22">
        <v>39549.294907407406</v>
      </c>
      <c r="BL1380">
        <v>19180</v>
      </c>
      <c r="BM1380">
        <v>1447450</v>
      </c>
      <c r="BN1380" t="s">
        <v>1718</v>
      </c>
      <c r="BO1380" s="17">
        <f t="shared" ca="1" si="21"/>
        <v>69.626489351852797</v>
      </c>
      <c r="BP1380" t="b">
        <v>0</v>
      </c>
      <c r="BQ1380">
        <v>1</v>
      </c>
      <c r="BR1380" t="s">
        <v>1667</v>
      </c>
      <c r="BS1380" t="s">
        <v>1859</v>
      </c>
      <c r="BT1380" t="b">
        <v>0</v>
      </c>
      <c r="BV1380" t="s">
        <v>1668</v>
      </c>
      <c r="BW1380">
        <v>6707</v>
      </c>
      <c r="BX1380" t="s">
        <v>1669</v>
      </c>
      <c r="BY1380">
        <v>12385392</v>
      </c>
      <c r="BZ1380" t="s">
        <v>1813</v>
      </c>
      <c r="CA1380">
        <v>1</v>
      </c>
      <c r="CB1380" t="b">
        <v>1</v>
      </c>
      <c r="CC1380">
        <v>0</v>
      </c>
      <c r="CD1380" t="b">
        <v>0</v>
      </c>
      <c r="CE1380" t="b">
        <v>0</v>
      </c>
      <c r="CF1380" t="b">
        <v>0</v>
      </c>
      <c r="CG1380">
        <v>15589140</v>
      </c>
      <c r="CH1380" t="s">
        <v>1681</v>
      </c>
      <c r="CI1380" s="10">
        <v>959000</v>
      </c>
      <c r="CK1380" t="s">
        <v>1992</v>
      </c>
      <c r="CL1380" t="s">
        <v>2300</v>
      </c>
    </row>
    <row r="1381" spans="1:90">
      <c r="A1381">
        <v>28019765</v>
      </c>
      <c r="B1381" s="2" t="str">
        <f>HYPERLINK("http://www.redfin.com/stingray/do/printable-listing?listing-id=1447441","Active")</f>
        <v>Active</v>
      </c>
      <c r="D1381" t="s">
        <v>3966</v>
      </c>
      <c r="E1381" t="s">
        <v>4255</v>
      </c>
      <c r="F1381">
        <v>639000</v>
      </c>
      <c r="G1381">
        <v>1907</v>
      </c>
      <c r="H1381">
        <v>1840</v>
      </c>
      <c r="I1381">
        <v>3600</v>
      </c>
      <c r="J1381">
        <v>5</v>
      </c>
      <c r="K1381">
        <v>2</v>
      </c>
      <c r="M1381" s="2" t="str">
        <f>HYPERLINK("http://maps.live.com/default.aspx?v=2&amp;lvl=15&amp;sp=Point.47.609704_-122.291822_813 32nd Ave&amp;cp=47.609704~-122.291822","Map")</f>
        <v>Map</v>
      </c>
      <c r="N1381" s="2" t="str">
        <f>HYPERLINK("http://i-0.rfimg.us/photo/1/bigphoto/765/28019765_0.jpg","Photo")</f>
        <v>Photo</v>
      </c>
      <c r="AG1381">
        <v>47.609704000000001</v>
      </c>
      <c r="AH1381">
        <v>-122.291822</v>
      </c>
      <c r="AI1381" t="s">
        <v>66</v>
      </c>
      <c r="AJ1381">
        <v>98122</v>
      </c>
      <c r="BC1381" s="22">
        <v>39479.682858796295</v>
      </c>
      <c r="BI1381" s="22">
        <v>39549.294907407406</v>
      </c>
      <c r="BL1381">
        <v>12780</v>
      </c>
      <c r="BM1381">
        <v>1447441</v>
      </c>
      <c r="BN1381" t="s">
        <v>4254</v>
      </c>
      <c r="BO1381" s="17">
        <f t="shared" ca="1" si="21"/>
        <v>69.626547106483486</v>
      </c>
      <c r="BP1381" t="b">
        <v>0</v>
      </c>
      <c r="BQ1381">
        <v>1</v>
      </c>
      <c r="BR1381" t="s">
        <v>1667</v>
      </c>
      <c r="BS1381" t="s">
        <v>1733</v>
      </c>
      <c r="BT1381" t="b">
        <v>0</v>
      </c>
      <c r="BV1381" t="s">
        <v>1668</v>
      </c>
      <c r="BW1381">
        <v>813</v>
      </c>
      <c r="BY1381">
        <v>147991</v>
      </c>
      <c r="BZ1381" t="s">
        <v>1684</v>
      </c>
      <c r="CA1381">
        <v>1</v>
      </c>
      <c r="CB1381" t="b">
        <v>1</v>
      </c>
      <c r="CC1381">
        <v>0</v>
      </c>
      <c r="CD1381" t="b">
        <v>0</v>
      </c>
      <c r="CE1381" t="b">
        <v>0</v>
      </c>
      <c r="CF1381" t="b">
        <v>1</v>
      </c>
      <c r="CG1381">
        <v>2966575</v>
      </c>
      <c r="CH1381" t="s">
        <v>1681</v>
      </c>
      <c r="CI1381" s="10">
        <v>639000</v>
      </c>
    </row>
    <row r="1382" spans="1:90">
      <c r="A1382">
        <v>28019811</v>
      </c>
      <c r="B1382" s="2" t="str">
        <f>HYPERLINK("http://www.redfin.com/stingray/do/printable-listing?listing-id=1447500","Active")</f>
        <v>Active</v>
      </c>
      <c r="D1382" t="s">
        <v>3681</v>
      </c>
      <c r="E1382" t="s">
        <v>3814</v>
      </c>
      <c r="F1382" s="19">
        <v>1295000</v>
      </c>
      <c r="G1382">
        <v>1927</v>
      </c>
      <c r="H1382">
        <v>3066</v>
      </c>
      <c r="I1382">
        <v>7500</v>
      </c>
      <c r="J1382">
        <v>4</v>
      </c>
      <c r="K1382">
        <v>3.5</v>
      </c>
      <c r="M1382" s="2" t="str">
        <f>HYPERLINK("http://maps.live.com/default.aspx?v=2&amp;lvl=15&amp;sp=Point.47.641225_-122.304322_2026 E Calhoun St&amp;cp=47.641225~-122.304322","Map")</f>
        <v>Map</v>
      </c>
      <c r="N1382" s="2" t="str">
        <f>HYPERLINK("http://i-0.rfimg.us/photo/1/bigphoto/811/28019811_1.jpg","Photo")</f>
        <v>Photo</v>
      </c>
      <c r="AG1382">
        <v>47.641224999999999</v>
      </c>
      <c r="AH1382">
        <v>-122.304322</v>
      </c>
      <c r="AI1382" t="s">
        <v>66</v>
      </c>
      <c r="AJ1382">
        <v>98122</v>
      </c>
      <c r="AN1382">
        <v>687000</v>
      </c>
      <c r="BC1382" s="22">
        <v>39479.694189814814</v>
      </c>
      <c r="BI1382" s="22">
        <v>39549.294907407406</v>
      </c>
      <c r="BL1382">
        <v>27900</v>
      </c>
      <c r="BM1382">
        <v>1447500</v>
      </c>
      <c r="BN1382" t="s">
        <v>1693</v>
      </c>
      <c r="BO1382" s="17">
        <f t="shared" ca="1" si="21"/>
        <v>69.615216087964654</v>
      </c>
      <c r="BP1382" t="b">
        <v>0</v>
      </c>
      <c r="BQ1382">
        <v>1</v>
      </c>
      <c r="BR1382" t="s">
        <v>1686</v>
      </c>
      <c r="BS1382" t="s">
        <v>3815</v>
      </c>
      <c r="BT1382" t="b">
        <v>0</v>
      </c>
      <c r="BU1382" t="s">
        <v>2436</v>
      </c>
      <c r="BV1382" t="s">
        <v>1668</v>
      </c>
      <c r="BW1382">
        <v>2026</v>
      </c>
      <c r="BY1382">
        <v>138147</v>
      </c>
      <c r="BZ1382" t="s">
        <v>3816</v>
      </c>
      <c r="CA1382">
        <v>1</v>
      </c>
      <c r="CB1382" t="b">
        <v>1</v>
      </c>
      <c r="CC1382">
        <v>0</v>
      </c>
      <c r="CD1382" t="b">
        <v>0</v>
      </c>
      <c r="CE1382" t="b">
        <v>0</v>
      </c>
      <c r="CF1382" t="b">
        <v>1</v>
      </c>
      <c r="CG1382">
        <v>2404514</v>
      </c>
      <c r="CH1382" t="s">
        <v>1681</v>
      </c>
      <c r="CI1382" s="10">
        <v>1395000</v>
      </c>
      <c r="CJ1382" s="7">
        <v>37645</v>
      </c>
    </row>
    <row r="1383" spans="1:90">
      <c r="A1383">
        <v>28019910</v>
      </c>
      <c r="B1383" s="2" t="str">
        <f>HYPERLINK("http://www.redfin.com/stingray/do/printable-listing?listing-id=1451158","Active")</f>
        <v>Active</v>
      </c>
      <c r="D1383" t="s">
        <v>218</v>
      </c>
      <c r="E1383" t="s">
        <v>3203</v>
      </c>
      <c r="F1383">
        <v>699950</v>
      </c>
      <c r="G1383">
        <v>1928</v>
      </c>
      <c r="H1383">
        <v>2940</v>
      </c>
      <c r="I1383">
        <v>3760</v>
      </c>
      <c r="J1383">
        <v>3</v>
      </c>
      <c r="K1383">
        <v>2.5</v>
      </c>
      <c r="M1383" s="2" t="str">
        <f>HYPERLINK("http://maps.live.com/default.aspx?v=2&amp;lvl=15&amp;sp=Point.47.675174_-122.306207_6310 20th Ave NE&amp;cp=47.675174~-122.306207","Map")</f>
        <v>Map</v>
      </c>
      <c r="N1383" s="2" t="str">
        <f>HYPERLINK("http://i-0.rfimg.us/photo/1/bigphoto/910/28019910_3.jpg","Photo")</f>
        <v>Photo</v>
      </c>
      <c r="AG1383">
        <v>47.675173999999998</v>
      </c>
      <c r="AH1383">
        <v>-122.306207</v>
      </c>
      <c r="AI1383" t="s">
        <v>66</v>
      </c>
      <c r="AJ1383">
        <v>98115</v>
      </c>
      <c r="AN1383">
        <v>150000</v>
      </c>
      <c r="BC1383" s="22">
        <v>39481.910671296297</v>
      </c>
      <c r="BI1383" s="22">
        <v>39549.294907407406</v>
      </c>
      <c r="BL1383">
        <v>13999</v>
      </c>
      <c r="BM1383">
        <v>1451158</v>
      </c>
      <c r="BN1383" t="s">
        <v>1725</v>
      </c>
      <c r="BO1383" s="17">
        <f t="shared" ca="1" si="21"/>
        <v>67.398734606482321</v>
      </c>
      <c r="BP1383" t="b">
        <v>0</v>
      </c>
      <c r="BQ1383">
        <v>1</v>
      </c>
      <c r="BR1383" t="s">
        <v>1667</v>
      </c>
      <c r="BS1383" t="s">
        <v>1844</v>
      </c>
      <c r="BT1383" t="b">
        <v>0</v>
      </c>
      <c r="BV1383" t="s">
        <v>1668</v>
      </c>
      <c r="BW1383">
        <v>6310</v>
      </c>
      <c r="BX1383" t="s">
        <v>1738</v>
      </c>
      <c r="BY1383">
        <v>308083</v>
      </c>
      <c r="BZ1383" t="s">
        <v>3204</v>
      </c>
      <c r="CA1383">
        <v>1</v>
      </c>
      <c r="CB1383" t="b">
        <v>1</v>
      </c>
      <c r="CC1383">
        <v>0</v>
      </c>
      <c r="CD1383" t="b">
        <v>0</v>
      </c>
      <c r="CE1383" t="b">
        <v>0</v>
      </c>
      <c r="CF1383" t="b">
        <v>1</v>
      </c>
      <c r="CG1383">
        <v>2390000</v>
      </c>
      <c r="CH1383" t="s">
        <v>1681</v>
      </c>
      <c r="CI1383" s="10">
        <v>699950</v>
      </c>
      <c r="CJ1383" s="7">
        <v>32682</v>
      </c>
    </row>
    <row r="1384" spans="1:90">
      <c r="A1384">
        <v>28019928</v>
      </c>
      <c r="B1384" s="2" t="str">
        <f>HYPERLINK("http://www.redfin.com/stingray/do/printable-listing?listing-id=1447821","Active")</f>
        <v>Active</v>
      </c>
      <c r="D1384" t="s">
        <v>3961</v>
      </c>
      <c r="E1384" t="s">
        <v>4262</v>
      </c>
      <c r="F1384">
        <v>590000</v>
      </c>
      <c r="G1384">
        <v>1952</v>
      </c>
      <c r="H1384">
        <v>2230</v>
      </c>
      <c r="I1384">
        <v>6011</v>
      </c>
      <c r="J1384">
        <v>4</v>
      </c>
      <c r="K1384">
        <v>2.75</v>
      </c>
      <c r="M1384" s="2" t="str">
        <f>HYPERLINK("http://maps.live.com/default.aspx?v=2&amp;lvl=15&amp;sp=Point.47.607135_-122.291221_608 32nd Ave&amp;cp=47.607135~-122.291221","Map")</f>
        <v>Map</v>
      </c>
      <c r="N1384" s="2" t="str">
        <f>HYPERLINK("http://i-0.rfimg.us/photo/1/bigphoto/928/28019928_0.jpg","Photo")</f>
        <v>Photo</v>
      </c>
      <c r="AG1384">
        <v>47.607135</v>
      </c>
      <c r="AH1384">
        <v>-122.29122099999999</v>
      </c>
      <c r="AI1384" t="s">
        <v>66</v>
      </c>
      <c r="AJ1384">
        <v>98122</v>
      </c>
      <c r="AN1384">
        <v>660000</v>
      </c>
      <c r="BC1384" s="22">
        <v>39479.75644675926</v>
      </c>
      <c r="BI1384" s="22">
        <v>39549.294907407406</v>
      </c>
      <c r="BL1384">
        <v>11800</v>
      </c>
      <c r="BM1384">
        <v>1447821</v>
      </c>
      <c r="BN1384" t="s">
        <v>4261</v>
      </c>
      <c r="BO1384" s="17">
        <f t="shared" ca="1" si="21"/>
        <v>69.552959143518819</v>
      </c>
      <c r="BP1384" t="b">
        <v>0</v>
      </c>
      <c r="BQ1384">
        <v>1</v>
      </c>
      <c r="BR1384" t="s">
        <v>1667</v>
      </c>
      <c r="BS1384" t="s">
        <v>1733</v>
      </c>
      <c r="BT1384" t="b">
        <v>0</v>
      </c>
      <c r="BV1384" t="s">
        <v>1668</v>
      </c>
      <c r="BW1384">
        <v>608</v>
      </c>
      <c r="BY1384">
        <v>148530</v>
      </c>
      <c r="BZ1384" t="s">
        <v>4263</v>
      </c>
      <c r="CA1384">
        <v>1</v>
      </c>
      <c r="CB1384" t="b">
        <v>1</v>
      </c>
      <c r="CC1384">
        <v>0</v>
      </c>
      <c r="CD1384" t="b">
        <v>0</v>
      </c>
      <c r="CE1384" t="b">
        <v>0</v>
      </c>
      <c r="CF1384" t="b">
        <v>1</v>
      </c>
      <c r="CG1384">
        <v>2346328</v>
      </c>
      <c r="CH1384" t="s">
        <v>1681</v>
      </c>
      <c r="CI1384" s="10">
        <v>590000</v>
      </c>
      <c r="CJ1384" s="7">
        <v>38799</v>
      </c>
    </row>
    <row r="1385" spans="1:90">
      <c r="A1385">
        <v>28019939</v>
      </c>
      <c r="B1385" s="2" t="str">
        <f>HYPERLINK("http://www.redfin.com/stingray/do/printable-listing?listing-id=1449463","Active")</f>
        <v>Active</v>
      </c>
      <c r="D1385" t="s">
        <v>919</v>
      </c>
      <c r="E1385" t="s">
        <v>719</v>
      </c>
      <c r="F1385">
        <v>425000</v>
      </c>
      <c r="G1385">
        <v>1954</v>
      </c>
      <c r="H1385">
        <v>1640</v>
      </c>
      <c r="I1385">
        <v>6600</v>
      </c>
      <c r="J1385">
        <v>3</v>
      </c>
      <c r="K1385">
        <v>1.75</v>
      </c>
      <c r="M1385" s="2" t="str">
        <f>HYPERLINK("http://maps.live.com/default.aspx?v=2&amp;lvl=15&amp;sp=Point.47.713391_-122.324402_11536 4 Ave NE&amp;cp=47.713391~-122.324402","Map")</f>
        <v>Map</v>
      </c>
      <c r="N1385" s="2" t="str">
        <f>HYPERLINK("http://i-0.rfimg.us/photo/1/bigphoto/939/28019939_1.jpg","Photo")</f>
        <v>Photo</v>
      </c>
      <c r="AG1385">
        <v>47.713391000000001</v>
      </c>
      <c r="AH1385">
        <v>-122.32440200000001</v>
      </c>
      <c r="AI1385" t="s">
        <v>66</v>
      </c>
      <c r="AJ1385">
        <v>98125</v>
      </c>
      <c r="AN1385">
        <v>220000</v>
      </c>
      <c r="BC1385" s="22">
        <v>39480.504826388889</v>
      </c>
      <c r="BI1385" s="22">
        <v>39549.294907407406</v>
      </c>
      <c r="BL1385">
        <v>8500</v>
      </c>
      <c r="BM1385">
        <v>1449463</v>
      </c>
      <c r="BN1385" t="s">
        <v>1718</v>
      </c>
      <c r="BO1385" s="17">
        <f t="shared" ca="1" si="21"/>
        <v>68.804579629628279</v>
      </c>
      <c r="BP1385" t="b">
        <v>0</v>
      </c>
      <c r="BQ1385">
        <v>1</v>
      </c>
      <c r="BR1385" t="s">
        <v>1667</v>
      </c>
      <c r="BS1385">
        <v>4</v>
      </c>
      <c r="BT1385" t="b">
        <v>0</v>
      </c>
      <c r="BV1385" t="s">
        <v>1668</v>
      </c>
      <c r="BW1385">
        <v>11536</v>
      </c>
      <c r="BX1385" t="s">
        <v>1738</v>
      </c>
      <c r="BY1385">
        <v>106333</v>
      </c>
      <c r="BZ1385" t="s">
        <v>1704</v>
      </c>
      <c r="CA1385">
        <v>1</v>
      </c>
      <c r="CB1385" t="b">
        <v>1</v>
      </c>
      <c r="CC1385">
        <v>0</v>
      </c>
      <c r="CD1385" t="b">
        <v>0</v>
      </c>
      <c r="CE1385" t="b">
        <v>0</v>
      </c>
      <c r="CF1385" t="b">
        <v>1</v>
      </c>
      <c r="CG1385">
        <v>2842645</v>
      </c>
      <c r="CH1385" t="s">
        <v>1681</v>
      </c>
      <c r="CI1385" s="10">
        <v>425000</v>
      </c>
      <c r="CJ1385" s="7">
        <v>36784</v>
      </c>
    </row>
    <row r="1386" spans="1:90">
      <c r="A1386">
        <v>28019954</v>
      </c>
      <c r="B1386" s="2" t="str">
        <f>HYPERLINK("http://www.redfin.com/stingray/do/printable-listing?listing-id=1449380","Active")</f>
        <v>Active</v>
      </c>
      <c r="D1386" t="s">
        <v>101</v>
      </c>
      <c r="E1386" t="s">
        <v>1264</v>
      </c>
      <c r="F1386" s="19">
        <v>729980</v>
      </c>
      <c r="G1386">
        <v>1951</v>
      </c>
      <c r="H1386">
        <v>1940</v>
      </c>
      <c r="I1386">
        <v>8650</v>
      </c>
      <c r="J1386">
        <v>2</v>
      </c>
      <c r="K1386">
        <v>1.75</v>
      </c>
      <c r="M1386" s="2" t="str">
        <f>HYPERLINK("http://maps.live.com/default.aspx?v=2&amp;lvl=15&amp;sp=Point.47.698133_-122.399449_3251 NW Esplanade&amp;cp=47.698133~-122.399449","Map")</f>
        <v>Map</v>
      </c>
      <c r="N1386" s="2" t="str">
        <f>HYPERLINK("http://i-0.rfimg.us/photo/1/bigphoto/954/28019954_0.jpg","Photo")</f>
        <v>Photo</v>
      </c>
      <c r="AG1386">
        <v>47.698132999999999</v>
      </c>
      <c r="AH1386">
        <v>-122.399449</v>
      </c>
      <c r="AI1386" t="s">
        <v>66</v>
      </c>
      <c r="AJ1386">
        <v>98117</v>
      </c>
      <c r="AN1386">
        <v>260000</v>
      </c>
      <c r="BC1386" s="22">
        <v>39480.463067129633</v>
      </c>
      <c r="BI1386" s="22">
        <v>39549.294907407406</v>
      </c>
      <c r="BL1386">
        <v>15036</v>
      </c>
      <c r="BM1386">
        <v>1449380</v>
      </c>
      <c r="BN1386" t="s">
        <v>1710</v>
      </c>
      <c r="BO1386" s="17">
        <f t="shared" ca="1" si="21"/>
        <v>68.846338888884929</v>
      </c>
      <c r="BP1386" t="b">
        <v>0</v>
      </c>
      <c r="BQ1386">
        <v>1</v>
      </c>
      <c r="BS1386" t="s">
        <v>1924</v>
      </c>
      <c r="BT1386" t="b">
        <v>0</v>
      </c>
      <c r="BU1386" t="s">
        <v>1669</v>
      </c>
      <c r="BV1386" t="s">
        <v>1668</v>
      </c>
      <c r="BW1386">
        <v>3251</v>
      </c>
      <c r="BY1386">
        <v>289152</v>
      </c>
      <c r="BZ1386" t="s">
        <v>1925</v>
      </c>
      <c r="CA1386">
        <v>1</v>
      </c>
      <c r="CB1386" t="b">
        <v>1</v>
      </c>
      <c r="CC1386">
        <v>0</v>
      </c>
      <c r="CD1386" t="b">
        <v>0</v>
      </c>
      <c r="CE1386" t="b">
        <v>0</v>
      </c>
      <c r="CF1386" t="b">
        <v>0</v>
      </c>
      <c r="CG1386">
        <v>2629845</v>
      </c>
      <c r="CH1386" t="s">
        <v>1681</v>
      </c>
      <c r="CI1386" s="10">
        <v>751800</v>
      </c>
      <c r="CJ1386" s="7">
        <v>36098</v>
      </c>
    </row>
    <row r="1387" spans="1:90">
      <c r="A1387">
        <v>28019971</v>
      </c>
      <c r="B1387" s="2" t="str">
        <f>HYPERLINK("http://www.redfin.com/stingray/do/printable-listing?listing-id=1448014","Active")</f>
        <v>Active</v>
      </c>
      <c r="D1387" t="s">
        <v>5121</v>
      </c>
      <c r="E1387" t="s">
        <v>6433</v>
      </c>
      <c r="F1387">
        <v>1230000</v>
      </c>
      <c r="G1387">
        <v>2002</v>
      </c>
      <c r="H1387">
        <v>3080</v>
      </c>
      <c r="I1387">
        <v>12400</v>
      </c>
      <c r="J1387">
        <v>5</v>
      </c>
      <c r="K1387">
        <v>3.5</v>
      </c>
      <c r="M1387" s="2" t="str">
        <f>HYPERLINK("http://maps.live.com/default.aspx?v=2&amp;lvl=15&amp;sp=Point.47.58168_-122.193193_3222 110th Ave SE&amp;cp=47.58168~-122.193193","Map")</f>
        <v>Map</v>
      </c>
      <c r="N1387" s="2" t="str">
        <f>HYPERLINK("http://i-0.rfimg.us/photo/1/bigphoto/971/28019971_0.jpg","Photo")</f>
        <v>Photo</v>
      </c>
      <c r="AG1387">
        <v>47.581679999999999</v>
      </c>
      <c r="AH1387">
        <v>-122.19319299999999</v>
      </c>
      <c r="AI1387" t="s">
        <v>369</v>
      </c>
      <c r="AJ1387">
        <v>98004</v>
      </c>
      <c r="AN1387">
        <v>725000</v>
      </c>
      <c r="BC1387" s="22">
        <v>39479.818472222221</v>
      </c>
      <c r="BI1387" s="22">
        <v>39549.294907407406</v>
      </c>
      <c r="BL1387">
        <v>24600</v>
      </c>
      <c r="BM1387">
        <v>1448014</v>
      </c>
      <c r="BN1387" t="s">
        <v>1688</v>
      </c>
      <c r="BO1387" s="17">
        <f t="shared" ca="1" si="21"/>
        <v>69.490933680557646</v>
      </c>
      <c r="BP1387" t="b">
        <v>0</v>
      </c>
      <c r="BQ1387">
        <v>1</v>
      </c>
      <c r="BR1387" t="s">
        <v>1667</v>
      </c>
      <c r="BS1387" t="s">
        <v>4369</v>
      </c>
      <c r="BT1387" t="b">
        <v>0</v>
      </c>
      <c r="BV1387" t="s">
        <v>1668</v>
      </c>
      <c r="BW1387">
        <v>3222</v>
      </c>
      <c r="BX1387" t="s">
        <v>3856</v>
      </c>
      <c r="BY1387">
        <v>510568</v>
      </c>
      <c r="BZ1387" t="s">
        <v>1713</v>
      </c>
      <c r="CA1387">
        <v>1</v>
      </c>
      <c r="CB1387" t="b">
        <v>1</v>
      </c>
      <c r="CC1387">
        <v>0</v>
      </c>
      <c r="CD1387" t="b">
        <v>0</v>
      </c>
      <c r="CE1387" t="b">
        <v>0</v>
      </c>
      <c r="CF1387" t="b">
        <v>1</v>
      </c>
      <c r="CG1387">
        <v>2542469</v>
      </c>
      <c r="CH1387" t="s">
        <v>1681</v>
      </c>
      <c r="CI1387" s="10">
        <v>1230000</v>
      </c>
      <c r="CJ1387" s="7">
        <v>37895</v>
      </c>
    </row>
    <row r="1388" spans="1:90">
      <c r="A1388">
        <v>28019984</v>
      </c>
      <c r="B1388" s="2" t="str">
        <f>HYPERLINK("http://www.redfin.com/stingray/do/printable-listing?listing-id=1448115","Active")</f>
        <v>Active</v>
      </c>
      <c r="D1388" t="s">
        <v>70</v>
      </c>
      <c r="E1388" t="s">
        <v>2776</v>
      </c>
      <c r="F1388" s="19">
        <v>569000</v>
      </c>
      <c r="G1388">
        <v>1937</v>
      </c>
      <c r="H1388">
        <v>1870</v>
      </c>
      <c r="I1388">
        <v>7650</v>
      </c>
      <c r="J1388">
        <v>3</v>
      </c>
      <c r="K1388">
        <v>1.5</v>
      </c>
      <c r="M1388" s="2" t="str">
        <f>HYPERLINK("http://maps.live.com/default.aspx?v=2&amp;lvl=15&amp;sp=Point.47.720833_-122.354607_12545 Phinney Ave N&amp;cp=47.720833~-122.354607","Map")</f>
        <v>Map</v>
      </c>
      <c r="N1388" s="2" t="str">
        <f>HYPERLINK("http://i-0.rfimg.us/photo/1/bigphoto/984/28019984_0.jpg","Photo")</f>
        <v>Photo</v>
      </c>
      <c r="AG1388">
        <v>47.720832999999999</v>
      </c>
      <c r="AH1388">
        <v>-122.354607</v>
      </c>
      <c r="AI1388" t="s">
        <v>66</v>
      </c>
      <c r="AJ1388">
        <v>98133</v>
      </c>
      <c r="AN1388">
        <v>525578</v>
      </c>
      <c r="BC1388" s="22">
        <v>39479.880891203706</v>
      </c>
      <c r="BI1388" s="22">
        <v>39549.294907407406</v>
      </c>
      <c r="BL1388">
        <v>11580</v>
      </c>
      <c r="BM1388">
        <v>1448115</v>
      </c>
      <c r="BN1388" t="s">
        <v>1688</v>
      </c>
      <c r="BO1388" s="17">
        <f t="shared" ca="1" si="21"/>
        <v>69.428514814811933</v>
      </c>
      <c r="BP1388" t="b">
        <v>0</v>
      </c>
      <c r="BQ1388">
        <v>1</v>
      </c>
      <c r="BR1388" t="s">
        <v>1667</v>
      </c>
      <c r="BS1388" t="s">
        <v>2475</v>
      </c>
      <c r="BT1388" t="b">
        <v>0</v>
      </c>
      <c r="BV1388" t="s">
        <v>1668</v>
      </c>
      <c r="BW1388">
        <v>12545</v>
      </c>
      <c r="BX1388" t="s">
        <v>1712</v>
      </c>
      <c r="BY1388">
        <v>97865</v>
      </c>
      <c r="BZ1388" t="s">
        <v>1670</v>
      </c>
      <c r="CA1388">
        <v>1</v>
      </c>
      <c r="CB1388" t="b">
        <v>1</v>
      </c>
      <c r="CC1388">
        <v>0</v>
      </c>
      <c r="CD1388" t="b">
        <v>0</v>
      </c>
      <c r="CE1388" t="b">
        <v>0</v>
      </c>
      <c r="CF1388" t="b">
        <v>1</v>
      </c>
      <c r="CG1388">
        <v>2540154</v>
      </c>
      <c r="CH1388" t="s">
        <v>1681</v>
      </c>
      <c r="CI1388" s="10">
        <v>579000</v>
      </c>
      <c r="CJ1388" s="7">
        <v>39415</v>
      </c>
    </row>
    <row r="1389" spans="1:90">
      <c r="A1389">
        <v>28020005</v>
      </c>
      <c r="B1389" s="2" t="str">
        <f>HYPERLINK("http://www.redfin.com/stingray/do/printable-listing?listing-id=1451414","Active")</f>
        <v>Active</v>
      </c>
      <c r="D1389" t="s">
        <v>3249</v>
      </c>
      <c r="E1389" t="s">
        <v>3607</v>
      </c>
      <c r="F1389" s="19">
        <v>1449900</v>
      </c>
      <c r="G1389">
        <v>2007</v>
      </c>
      <c r="H1389">
        <v>3647</v>
      </c>
      <c r="I1389">
        <v>0</v>
      </c>
      <c r="J1389">
        <v>5</v>
      </c>
      <c r="K1389">
        <v>3.5</v>
      </c>
      <c r="M1389" s="2" t="str">
        <f>HYPERLINK("http://maps.live.com/default.aspx?v=2&amp;lvl=15&amp;sp=Point.47.635498_-122.372595_1826 12th Ave W&amp;cp=47.635498~-122.372595","Map")</f>
        <v>Map</v>
      </c>
      <c r="N1389" s="2" t="str">
        <f>HYPERLINK("http://i-0.rfimg.us/photo/1/bigphoto/005/28020005_1.jpg","Photo")</f>
        <v>Photo</v>
      </c>
      <c r="AG1389">
        <v>47.635497999999998</v>
      </c>
      <c r="AH1389">
        <v>-122.372595</v>
      </c>
      <c r="AI1389" t="s">
        <v>66</v>
      </c>
      <c r="AJ1389">
        <v>98119</v>
      </c>
      <c r="BC1389" s="22">
        <v>39482.379629629628</v>
      </c>
      <c r="BI1389" s="22">
        <v>39546.925937499997</v>
      </c>
      <c r="BL1389">
        <v>29998</v>
      </c>
      <c r="BM1389">
        <v>1451414</v>
      </c>
      <c r="BN1389" t="s">
        <v>1766</v>
      </c>
      <c r="BO1389" s="17">
        <f t="shared" ca="1" si="21"/>
        <v>66.929776273151219</v>
      </c>
      <c r="BP1389" t="b">
        <v>0</v>
      </c>
      <c r="BQ1389">
        <v>1</v>
      </c>
      <c r="BR1389" t="s">
        <v>1667</v>
      </c>
      <c r="BS1389" t="s">
        <v>1803</v>
      </c>
      <c r="BT1389" t="b">
        <v>0</v>
      </c>
      <c r="BV1389" t="s">
        <v>1668</v>
      </c>
      <c r="BW1389">
        <v>1826</v>
      </c>
      <c r="BX1389" t="s">
        <v>2423</v>
      </c>
      <c r="BY1389">
        <v>12300620</v>
      </c>
      <c r="BZ1389" t="s">
        <v>1709</v>
      </c>
      <c r="CA1389">
        <v>1</v>
      </c>
      <c r="CB1389" t="b">
        <v>1</v>
      </c>
      <c r="CC1389">
        <v>0</v>
      </c>
      <c r="CD1389" t="b">
        <v>0</v>
      </c>
      <c r="CE1389" t="b">
        <v>0</v>
      </c>
      <c r="CF1389" t="b">
        <v>1</v>
      </c>
      <c r="CG1389">
        <v>2371302</v>
      </c>
      <c r="CH1389" t="s">
        <v>1681</v>
      </c>
      <c r="CI1389" s="10">
        <v>1499900</v>
      </c>
      <c r="CL1389" t="s">
        <v>2204</v>
      </c>
    </row>
    <row r="1390" spans="1:90">
      <c r="A1390">
        <v>28020012</v>
      </c>
      <c r="B1390" s="2" t="str">
        <f>HYPERLINK("http://www.redfin.com/stingray/do/printable-listing?listing-id=1448142","Active")</f>
        <v>Active</v>
      </c>
      <c r="D1390" t="s">
        <v>5552</v>
      </c>
      <c r="E1390" t="s">
        <v>5579</v>
      </c>
      <c r="F1390">
        <v>685000</v>
      </c>
      <c r="G1390">
        <v>2008</v>
      </c>
      <c r="H1390">
        <v>3250</v>
      </c>
      <c r="I1390">
        <v>9920</v>
      </c>
      <c r="J1390">
        <v>4</v>
      </c>
      <c r="K1390">
        <v>3.5</v>
      </c>
      <c r="M1390" s="2" t="str">
        <f>HYPERLINK("http://maps.live.com/default.aspx?v=2&amp;lvl=15&amp;sp=adr.400 SE Clark St (Unable to map),98027","Map")</f>
        <v>Map</v>
      </c>
      <c r="N1390" s="2" t="str">
        <f>HYPERLINK("http://i-0.rfimg.us/photo/1/bigphoto/012/28020012_0.jpg","Photo")</f>
        <v>Photo</v>
      </c>
      <c r="AI1390" t="s">
        <v>5280</v>
      </c>
      <c r="AJ1390">
        <v>98027</v>
      </c>
      <c r="BC1390" s="22">
        <v>39479.901365740741</v>
      </c>
      <c r="BI1390" s="22">
        <v>39549.294907407406</v>
      </c>
      <c r="BL1390">
        <v>13700</v>
      </c>
      <c r="BM1390">
        <v>1448142</v>
      </c>
      <c r="BN1390" t="s">
        <v>1768</v>
      </c>
      <c r="BO1390" s="17">
        <f t="shared" ca="1" si="21"/>
        <v>69.408040162037651</v>
      </c>
      <c r="BP1390" t="b">
        <v>0</v>
      </c>
      <c r="BQ1390">
        <v>1</v>
      </c>
      <c r="BR1390" t="s">
        <v>1686</v>
      </c>
      <c r="BS1390" t="s">
        <v>5558</v>
      </c>
      <c r="BT1390" t="b">
        <v>0</v>
      </c>
      <c r="BU1390" t="s">
        <v>3856</v>
      </c>
      <c r="BV1390" t="s">
        <v>1668</v>
      </c>
      <c r="BW1390">
        <v>400</v>
      </c>
      <c r="BY1390">
        <v>0</v>
      </c>
      <c r="BZ1390" s="21">
        <v>0</v>
      </c>
      <c r="CA1390">
        <v>1</v>
      </c>
      <c r="CB1390" t="b">
        <v>1</v>
      </c>
      <c r="CC1390">
        <v>0</v>
      </c>
      <c r="CD1390" t="b">
        <v>0</v>
      </c>
      <c r="CE1390" t="b">
        <v>0</v>
      </c>
      <c r="CF1390" t="b">
        <v>1</v>
      </c>
      <c r="CG1390" t="s">
        <v>1870</v>
      </c>
      <c r="CH1390" t="s">
        <v>1681</v>
      </c>
      <c r="CI1390" s="10">
        <v>685000</v>
      </c>
    </row>
    <row r="1391" spans="1:90">
      <c r="A1391">
        <v>28020020</v>
      </c>
      <c r="B1391" s="2" t="str">
        <f>HYPERLINK("http://www.redfin.com/stingray/do/printable-listing?listing-id=1448193","Active")</f>
        <v>Active</v>
      </c>
      <c r="D1391" t="s">
        <v>4624</v>
      </c>
      <c r="E1391" t="s">
        <v>4621</v>
      </c>
      <c r="F1391">
        <v>999950</v>
      </c>
      <c r="G1391">
        <v>2007</v>
      </c>
      <c r="H1391">
        <v>4822</v>
      </c>
      <c r="I1391">
        <v>9625</v>
      </c>
      <c r="J1391">
        <v>6</v>
      </c>
      <c r="K1391">
        <v>4.5</v>
      </c>
      <c r="M1391" s="2" t="str">
        <f>HYPERLINK("http://maps.live.com/default.aspx?v=2&amp;lvl=15&amp;sp=adr.8522 NE 198th St nLot n4 (Unable to map),98011","Map")</f>
        <v>Map</v>
      </c>
      <c r="N1391" s="2" t="str">
        <f>HYPERLINK("http://i-0.rfimg.us/photo/1/bigphoto/020/28020020_0.jpg","Photo")</f>
        <v>Photo</v>
      </c>
      <c r="AI1391" t="s">
        <v>4474</v>
      </c>
      <c r="AJ1391">
        <v>98011</v>
      </c>
      <c r="AM1391" t="s">
        <v>4622</v>
      </c>
      <c r="BC1391" s="22">
        <v>39479.942777777775</v>
      </c>
      <c r="BI1391" s="22">
        <v>39549.294907407406</v>
      </c>
      <c r="BL1391">
        <v>19999</v>
      </c>
      <c r="BM1391">
        <v>1448193</v>
      </c>
      <c r="BN1391" t="s">
        <v>2766</v>
      </c>
      <c r="BO1391" s="17">
        <f t="shared" ca="1" si="21"/>
        <v>69.366628125004354</v>
      </c>
      <c r="BP1391" t="b">
        <v>0</v>
      </c>
      <c r="BQ1391">
        <v>1</v>
      </c>
      <c r="BR1391" t="s">
        <v>1686</v>
      </c>
      <c r="BS1391" t="s">
        <v>4623</v>
      </c>
      <c r="BT1391" t="b">
        <v>0</v>
      </c>
      <c r="BU1391" t="s">
        <v>1738</v>
      </c>
      <c r="BV1391" t="s">
        <v>1668</v>
      </c>
      <c r="BW1391">
        <v>8522</v>
      </c>
      <c r="BY1391">
        <v>0</v>
      </c>
      <c r="BZ1391" t="s">
        <v>1801</v>
      </c>
      <c r="CA1391">
        <v>1</v>
      </c>
      <c r="CB1391" t="b">
        <v>1</v>
      </c>
      <c r="CC1391">
        <v>0</v>
      </c>
      <c r="CD1391" t="b">
        <v>0</v>
      </c>
      <c r="CE1391" t="b">
        <v>0</v>
      </c>
      <c r="CF1391" t="b">
        <v>1</v>
      </c>
      <c r="CG1391" t="s">
        <v>1870</v>
      </c>
      <c r="CH1391" t="s">
        <v>1681</v>
      </c>
      <c r="CI1391" s="10">
        <v>999950</v>
      </c>
    </row>
    <row r="1392" spans="1:90">
      <c r="A1392">
        <v>28020021</v>
      </c>
      <c r="B1392" s="2" t="str">
        <f>HYPERLINK("http://www.redfin.com/stingray/do/printable-listing?listing-id=1448188","Active")</f>
        <v>Active</v>
      </c>
      <c r="D1392" t="s">
        <v>369</v>
      </c>
      <c r="E1392" t="s">
        <v>5382</v>
      </c>
      <c r="F1392">
        <v>455000</v>
      </c>
      <c r="G1392">
        <v>1955</v>
      </c>
      <c r="H1392">
        <v>1450</v>
      </c>
      <c r="I1392">
        <v>11238</v>
      </c>
      <c r="J1392">
        <v>3</v>
      </c>
      <c r="K1392">
        <v>2.25</v>
      </c>
      <c r="M1392" s="2" t="str">
        <f>HYPERLINK("http://maps.live.com/default.aspx?v=2&amp;lvl=15&amp;sp=Point.47.569052_-122.177918_12106 SE 43rd St&amp;cp=47.569052~-122.177918","Map")</f>
        <v>Map</v>
      </c>
      <c r="N1392" s="2" t="str">
        <f>HYPERLINK("http://i-0.rfimg.us/photo/1/bigphoto/021/28020021_1.jpg","Photo")</f>
        <v>Photo</v>
      </c>
      <c r="AG1392">
        <v>47.569051999999999</v>
      </c>
      <c r="AH1392">
        <v>-122.17791800000001</v>
      </c>
      <c r="AI1392" t="s">
        <v>369</v>
      </c>
      <c r="AJ1392">
        <v>98006</v>
      </c>
      <c r="AN1392">
        <v>243500</v>
      </c>
      <c r="BC1392" s="22">
        <v>39479.942731481482</v>
      </c>
      <c r="BI1392" s="22">
        <v>39549.294907407406</v>
      </c>
      <c r="BL1392">
        <v>9100</v>
      </c>
      <c r="BM1392">
        <v>1448188</v>
      </c>
      <c r="BN1392" t="s">
        <v>3004</v>
      </c>
      <c r="BO1392" s="17">
        <f t="shared" ca="1" si="21"/>
        <v>69.366674421296921</v>
      </c>
      <c r="BP1392" t="b">
        <v>0</v>
      </c>
      <c r="BQ1392">
        <v>1</v>
      </c>
      <c r="BR1392" t="s">
        <v>1686</v>
      </c>
      <c r="BS1392" t="s">
        <v>3134</v>
      </c>
      <c r="BT1392" t="b">
        <v>0</v>
      </c>
      <c r="BU1392" t="s">
        <v>3856</v>
      </c>
      <c r="BV1392" t="s">
        <v>1668</v>
      </c>
      <c r="BW1392">
        <v>12106</v>
      </c>
      <c r="BY1392">
        <v>233867</v>
      </c>
      <c r="BZ1392" t="s">
        <v>2689</v>
      </c>
      <c r="CA1392">
        <v>1</v>
      </c>
      <c r="CB1392" t="b">
        <v>1</v>
      </c>
      <c r="CC1392">
        <v>0</v>
      </c>
      <c r="CD1392" t="b">
        <v>0</v>
      </c>
      <c r="CE1392" t="b">
        <v>0</v>
      </c>
      <c r="CF1392" t="b">
        <v>1</v>
      </c>
      <c r="CG1392">
        <v>2970916</v>
      </c>
      <c r="CH1392" t="s">
        <v>1681</v>
      </c>
      <c r="CI1392" s="10">
        <v>455000</v>
      </c>
      <c r="CJ1392" s="7">
        <v>37825</v>
      </c>
    </row>
    <row r="1393" spans="1:88">
      <c r="A1393">
        <v>28020062</v>
      </c>
      <c r="B1393" s="2" t="str">
        <f>HYPERLINK("http://www.redfin.com/stingray/do/printable-listing?listing-id=1457142","Active")</f>
        <v>Active</v>
      </c>
      <c r="D1393" t="s">
        <v>2745</v>
      </c>
      <c r="E1393" t="s">
        <v>2753</v>
      </c>
      <c r="F1393" s="19">
        <v>639950</v>
      </c>
      <c r="G1393">
        <v>1945</v>
      </c>
      <c r="H1393">
        <v>0</v>
      </c>
      <c r="I1393">
        <v>7104</v>
      </c>
      <c r="J1393">
        <v>3</v>
      </c>
      <c r="K1393">
        <v>1.75</v>
      </c>
      <c r="M1393" s="2" t="str">
        <f>HYPERLINK("http://maps.live.com/default.aspx?v=2&amp;lvl=15&amp;sp=Point.47.705342_-122.373757_10502 14th Ave NW&amp;cp=47.705342~-122.373757","Map")</f>
        <v>Map</v>
      </c>
      <c r="N1393" s="2" t="str">
        <f>HYPERLINK("http://i-0.rfimg.us/photo/1/bigphoto/062/28020062_0.jpg","Photo")</f>
        <v>Photo</v>
      </c>
      <c r="AG1393">
        <v>47.705342000000002</v>
      </c>
      <c r="AH1393">
        <v>-122.373757</v>
      </c>
      <c r="AI1393" t="s">
        <v>66</v>
      </c>
      <c r="AJ1393">
        <v>98177</v>
      </c>
      <c r="AN1393">
        <v>206000</v>
      </c>
      <c r="BC1393" s="22">
        <v>39483.84888888889</v>
      </c>
      <c r="BI1393" s="22">
        <v>39549.294907407406</v>
      </c>
      <c r="BL1393">
        <v>13100</v>
      </c>
      <c r="BM1393">
        <v>1457142</v>
      </c>
      <c r="BN1393" t="s">
        <v>1718</v>
      </c>
      <c r="BO1393" s="17">
        <f t="shared" ca="1" si="21"/>
        <v>65.460517129627988</v>
      </c>
      <c r="BP1393" t="b">
        <v>0</v>
      </c>
      <c r="BQ1393">
        <v>1</v>
      </c>
      <c r="BR1393" t="s">
        <v>1667</v>
      </c>
      <c r="BS1393" t="s">
        <v>1900</v>
      </c>
      <c r="BT1393" t="b">
        <v>0</v>
      </c>
      <c r="BV1393" t="s">
        <v>1668</v>
      </c>
      <c r="BW1393">
        <v>10502</v>
      </c>
      <c r="BX1393" t="s">
        <v>1669</v>
      </c>
      <c r="BY1393">
        <v>288524</v>
      </c>
      <c r="BZ1393" t="s">
        <v>1745</v>
      </c>
      <c r="CA1393">
        <v>1</v>
      </c>
      <c r="CB1393" t="b">
        <v>1</v>
      </c>
      <c r="CC1393">
        <v>0</v>
      </c>
      <c r="CD1393" t="b">
        <v>0</v>
      </c>
      <c r="CE1393" t="b">
        <v>0</v>
      </c>
      <c r="CF1393" t="b">
        <v>0</v>
      </c>
      <c r="CG1393">
        <v>2985647</v>
      </c>
      <c r="CH1393" t="s">
        <v>1681</v>
      </c>
      <c r="CI1393" s="10">
        <v>655000</v>
      </c>
      <c r="CJ1393" s="7">
        <v>33708</v>
      </c>
    </row>
    <row r="1394" spans="1:88">
      <c r="A1394">
        <v>28020063</v>
      </c>
      <c r="B1394" s="2" t="str">
        <f>HYPERLINK("http://www.redfin.com/stingray/do/printable-listing?listing-id=1449122","Active")</f>
        <v>Active</v>
      </c>
      <c r="D1394" t="s">
        <v>226</v>
      </c>
      <c r="E1394" t="s">
        <v>3231</v>
      </c>
      <c r="F1394">
        <v>1399000</v>
      </c>
      <c r="G1394">
        <v>1978</v>
      </c>
      <c r="H1394">
        <v>0</v>
      </c>
      <c r="I1394">
        <v>6204</v>
      </c>
      <c r="J1394">
        <v>4</v>
      </c>
      <c r="K1394">
        <v>2.5</v>
      </c>
      <c r="M1394" s="2" t="str">
        <f>HYPERLINK("http://maps.live.com/default.aspx?v=2&amp;lvl=15&amp;sp=Point.47.682097_-122.301079_7401 25 Ave NE&amp;cp=47.682097~-122.301079","Map")</f>
        <v>Map</v>
      </c>
      <c r="N1394" s="2" t="str">
        <f>HYPERLINK("http://i-0.rfimg.us/photo/1/bigphoto/063/28020063_1.jpg","Photo")</f>
        <v>Photo</v>
      </c>
      <c r="AG1394">
        <v>47.682096999999999</v>
      </c>
      <c r="AH1394">
        <v>-122.301079</v>
      </c>
      <c r="AI1394" t="s">
        <v>66</v>
      </c>
      <c r="AJ1394">
        <v>98115</v>
      </c>
      <c r="AN1394">
        <v>325000</v>
      </c>
      <c r="BC1394" s="22">
        <v>39480.316747685189</v>
      </c>
      <c r="BI1394" s="7">
        <v>39536</v>
      </c>
      <c r="BL1394">
        <v>27980</v>
      </c>
      <c r="BM1394">
        <v>1449122</v>
      </c>
      <c r="BN1394" t="s">
        <v>3230</v>
      </c>
      <c r="BO1394" s="17">
        <f t="shared" ca="1" si="21"/>
        <v>68.99265821759036</v>
      </c>
      <c r="BP1394" t="b">
        <v>0</v>
      </c>
      <c r="BQ1394">
        <v>1</v>
      </c>
      <c r="BR1394" t="s">
        <v>1667</v>
      </c>
      <c r="BS1394">
        <v>25</v>
      </c>
      <c r="BT1394" t="b">
        <v>0</v>
      </c>
      <c r="BV1394" t="s">
        <v>1668</v>
      </c>
      <c r="BW1394">
        <v>7401</v>
      </c>
      <c r="BX1394" t="s">
        <v>1738</v>
      </c>
      <c r="BY1394">
        <v>309176</v>
      </c>
      <c r="BZ1394" t="s">
        <v>3232</v>
      </c>
      <c r="CA1394">
        <v>1</v>
      </c>
      <c r="CB1394" t="b">
        <v>1</v>
      </c>
      <c r="CC1394">
        <v>0</v>
      </c>
      <c r="CD1394" t="b">
        <v>0</v>
      </c>
      <c r="CE1394" t="b">
        <v>0</v>
      </c>
      <c r="CF1394" t="b">
        <v>1</v>
      </c>
      <c r="CG1394">
        <v>2424744</v>
      </c>
      <c r="CH1394" t="s">
        <v>1681</v>
      </c>
      <c r="CI1394" s="10">
        <v>1399000</v>
      </c>
      <c r="CJ1394" s="7">
        <v>37691</v>
      </c>
    </row>
    <row r="1395" spans="1:88">
      <c r="A1395">
        <v>28020084</v>
      </c>
      <c r="B1395" s="2" t="str">
        <f>HYPERLINK("http://www.redfin.com/stingray/do/printable-listing?listing-id=1454658","Active")</f>
        <v>Active</v>
      </c>
      <c r="D1395" t="s">
        <v>2552</v>
      </c>
      <c r="E1395" t="s">
        <v>3355</v>
      </c>
      <c r="F1395">
        <v>1850000</v>
      </c>
      <c r="G1395">
        <v>1927</v>
      </c>
      <c r="H1395">
        <v>3790</v>
      </c>
      <c r="I1395">
        <v>5500</v>
      </c>
      <c r="J1395">
        <v>4</v>
      </c>
      <c r="K1395">
        <v>3.5</v>
      </c>
      <c r="M1395" s="2" t="str">
        <f>HYPERLINK("http://maps.live.com/default.aspx?v=2&amp;lvl=15&amp;sp=Point.47.64016_-122.411044_2412 Magnolia Blvd W&amp;cp=47.64016~-122.411044","Map")</f>
        <v>Map</v>
      </c>
      <c r="N1395" s="2" t="str">
        <f>HYPERLINK("http://i-0.rfimg.us/photo/1/bigphoto/084/28020084_0.jpg","Photo")</f>
        <v>Photo</v>
      </c>
      <c r="AG1395">
        <v>47.640160000000002</v>
      </c>
      <c r="AH1395">
        <v>-122.411044</v>
      </c>
      <c r="AI1395" t="s">
        <v>66</v>
      </c>
      <c r="AJ1395">
        <v>98199</v>
      </c>
      <c r="AN1395">
        <v>725000</v>
      </c>
      <c r="BC1395" s="22">
        <v>39483.088113425925</v>
      </c>
      <c r="BI1395" s="22">
        <v>39549.294907407406</v>
      </c>
      <c r="BL1395">
        <v>37000</v>
      </c>
      <c r="BM1395">
        <v>1454658</v>
      </c>
      <c r="BN1395" t="s">
        <v>1746</v>
      </c>
      <c r="BO1395" s="17">
        <f t="shared" ca="1" si="21"/>
        <v>66.221292476853705</v>
      </c>
      <c r="BP1395" t="b">
        <v>0</v>
      </c>
      <c r="BQ1395">
        <v>1</v>
      </c>
      <c r="BR1395" t="s">
        <v>3141</v>
      </c>
      <c r="BS1395" t="s">
        <v>2552</v>
      </c>
      <c r="BT1395" t="b">
        <v>0</v>
      </c>
      <c r="BV1395" t="s">
        <v>1668</v>
      </c>
      <c r="BW1395">
        <v>2412</v>
      </c>
      <c r="BX1395" t="s">
        <v>2423</v>
      </c>
      <c r="BY1395">
        <v>126319</v>
      </c>
      <c r="BZ1395" t="s">
        <v>1672</v>
      </c>
      <c r="CA1395">
        <v>1</v>
      </c>
      <c r="CB1395" t="b">
        <v>1</v>
      </c>
      <c r="CC1395">
        <v>0</v>
      </c>
      <c r="CD1395" t="b">
        <v>0</v>
      </c>
      <c r="CE1395" t="b">
        <v>0</v>
      </c>
      <c r="CF1395" t="b">
        <v>1</v>
      </c>
      <c r="CG1395">
        <v>2355903</v>
      </c>
      <c r="CH1395" t="s">
        <v>1681</v>
      </c>
      <c r="CI1395" s="10">
        <v>1850000</v>
      </c>
      <c r="CJ1395" s="7">
        <v>35864</v>
      </c>
    </row>
    <row r="1396" spans="1:88">
      <c r="A1396">
        <v>28020087</v>
      </c>
      <c r="B1396" s="2" t="str">
        <f>HYPERLINK("http://www.redfin.com/stingray/do/printable-listing?listing-id=1449942","Active")</f>
        <v>Active</v>
      </c>
      <c r="D1396" t="s">
        <v>369</v>
      </c>
      <c r="E1396" t="s">
        <v>5722</v>
      </c>
      <c r="F1396">
        <v>1079000</v>
      </c>
      <c r="G1396">
        <v>2008</v>
      </c>
      <c r="H1396">
        <v>3000</v>
      </c>
      <c r="I1396">
        <v>0</v>
      </c>
      <c r="J1396">
        <v>4</v>
      </c>
      <c r="K1396">
        <v>2.5</v>
      </c>
      <c r="M1396" s="2" t="str">
        <f>HYPERLINK("http://maps.live.com/default.aspx?v=2&amp;lvl=15&amp;sp=Point.47.548611_-122.190057_6014 Lake Washington Blvd SE&amp;cp=47.548611~-122.190057","Map")</f>
        <v>Map</v>
      </c>
      <c r="N1396" s="2" t="str">
        <f>HYPERLINK("http://i-0.rfimg.us/photo/1/bigphoto/087/28020087_0.jpg","Photo")</f>
        <v>Photo</v>
      </c>
      <c r="AG1396">
        <v>47.548611000000001</v>
      </c>
      <c r="AH1396">
        <v>-122.190057</v>
      </c>
      <c r="AI1396" t="s">
        <v>369</v>
      </c>
      <c r="AJ1396">
        <v>98006</v>
      </c>
      <c r="BC1396" s="22">
        <v>39480.775995370372</v>
      </c>
      <c r="BI1396" s="7">
        <v>39542</v>
      </c>
      <c r="BL1396">
        <v>21580</v>
      </c>
      <c r="BM1396">
        <v>1449942</v>
      </c>
      <c r="BN1396" t="s">
        <v>1735</v>
      </c>
      <c r="BO1396" s="17">
        <f t="shared" ca="1" si="21"/>
        <v>68.533410532407288</v>
      </c>
      <c r="BP1396" t="b">
        <v>0</v>
      </c>
      <c r="BQ1396">
        <v>1</v>
      </c>
      <c r="BR1396" t="s">
        <v>3141</v>
      </c>
      <c r="BS1396" t="s">
        <v>4293</v>
      </c>
      <c r="BT1396" t="b">
        <v>0</v>
      </c>
      <c r="BV1396" t="s">
        <v>1668</v>
      </c>
      <c r="BW1396">
        <v>6014</v>
      </c>
      <c r="BX1396" t="s">
        <v>3856</v>
      </c>
      <c r="BY1396">
        <v>2082252</v>
      </c>
      <c r="BZ1396" t="s">
        <v>1713</v>
      </c>
      <c r="CA1396">
        <v>1</v>
      </c>
      <c r="CB1396" t="b">
        <v>1</v>
      </c>
      <c r="CC1396">
        <v>0</v>
      </c>
      <c r="CD1396" t="b">
        <v>0</v>
      </c>
      <c r="CE1396" t="b">
        <v>0</v>
      </c>
      <c r="CF1396" t="b">
        <v>1</v>
      </c>
      <c r="CG1396">
        <v>2749132</v>
      </c>
      <c r="CH1396" t="s">
        <v>1681</v>
      </c>
      <c r="CI1396" s="10">
        <v>1079000</v>
      </c>
    </row>
    <row r="1397" spans="1:88">
      <c r="A1397">
        <v>28020117</v>
      </c>
      <c r="B1397" s="2" t="str">
        <f>HYPERLINK("http://www.redfin.com/stingray/do/printable-listing?listing-id=1449348","Subject To Inspection")</f>
        <v>Subject To Inspection</v>
      </c>
      <c r="D1397" t="s">
        <v>194</v>
      </c>
      <c r="E1397" t="s">
        <v>974</v>
      </c>
      <c r="F1397">
        <v>360000</v>
      </c>
      <c r="G1397">
        <v>1945</v>
      </c>
      <c r="H1397">
        <v>0</v>
      </c>
      <c r="I1397">
        <v>6120</v>
      </c>
      <c r="J1397">
        <v>2</v>
      </c>
      <c r="K1397">
        <v>1</v>
      </c>
      <c r="M1397" s="2" t="str">
        <f>HYPERLINK("http://maps.live.com/default.aspx?v=2&amp;lvl=15&amp;sp=Point.47.691145_-122.292163_3228 NE 86th St&amp;cp=47.691145~-122.292163","Map")</f>
        <v>Map</v>
      </c>
      <c r="N1397" s="2" t="str">
        <f>HYPERLINK("http://i-0.rfimg.us/photo/1/bigphoto/117/28020117_0.jpg","Photo")</f>
        <v>Photo</v>
      </c>
      <c r="AG1397">
        <v>47.691144999999999</v>
      </c>
      <c r="AH1397">
        <v>-122.292163</v>
      </c>
      <c r="AI1397" t="s">
        <v>66</v>
      </c>
      <c r="AJ1397">
        <v>98115</v>
      </c>
      <c r="BC1397" s="22">
        <v>39480.442106481481</v>
      </c>
      <c r="BI1397" s="7">
        <v>39538</v>
      </c>
      <c r="BL1397">
        <v>7200</v>
      </c>
      <c r="BM1397">
        <v>1449348</v>
      </c>
      <c r="BN1397" t="s">
        <v>1685</v>
      </c>
      <c r="BO1397" s="17">
        <f t="shared" ca="1" si="21"/>
        <v>68.867299421297503</v>
      </c>
      <c r="BP1397" t="b">
        <v>0</v>
      </c>
      <c r="BQ1397">
        <v>2</v>
      </c>
      <c r="BR1397" t="s">
        <v>1686</v>
      </c>
      <c r="BS1397" t="s">
        <v>2866</v>
      </c>
      <c r="BT1397" t="b">
        <v>0</v>
      </c>
      <c r="BU1397" t="s">
        <v>1738</v>
      </c>
      <c r="BV1397" t="s">
        <v>1668</v>
      </c>
      <c r="BW1397">
        <v>3228</v>
      </c>
      <c r="BY1397">
        <v>314869</v>
      </c>
      <c r="BZ1397" t="s">
        <v>1672</v>
      </c>
      <c r="CA1397">
        <v>1</v>
      </c>
      <c r="CB1397" t="b">
        <v>1</v>
      </c>
      <c r="CC1397">
        <v>0</v>
      </c>
      <c r="CD1397" t="b">
        <v>0</v>
      </c>
      <c r="CE1397" t="b">
        <v>0</v>
      </c>
      <c r="CF1397" t="b">
        <v>1</v>
      </c>
      <c r="CG1397">
        <v>2867230</v>
      </c>
      <c r="CH1397" t="s">
        <v>1681</v>
      </c>
      <c r="CI1397" s="10">
        <v>360000</v>
      </c>
    </row>
    <row r="1398" spans="1:88">
      <c r="A1398">
        <v>28020123</v>
      </c>
      <c r="B1398" s="2" t="str">
        <f>HYPERLINK("http://www.redfin.com/stingray/do/printable-listing?listing-id=1449929","Active")</f>
        <v>Active</v>
      </c>
      <c r="D1398" t="s">
        <v>369</v>
      </c>
      <c r="E1398" t="s">
        <v>5504</v>
      </c>
      <c r="F1398">
        <v>649000</v>
      </c>
      <c r="G1398">
        <v>1954</v>
      </c>
      <c r="H1398">
        <v>0</v>
      </c>
      <c r="I1398">
        <v>36590</v>
      </c>
      <c r="J1398">
        <v>4</v>
      </c>
      <c r="K1398">
        <v>3</v>
      </c>
      <c r="M1398" s="2" t="str">
        <f>HYPERLINK("http://maps.live.com/default.aspx?v=2&amp;lvl=15&amp;sp=Point.47.568262_-122.125227_16035 SE 43rd St&amp;cp=47.568262~-122.125227","Map")</f>
        <v>Map</v>
      </c>
      <c r="N1398" s="2" t="str">
        <f>HYPERLINK("http://i-0.rfimg.us/photo/1/bigphoto/123/28020123_5.jpg","Photo")</f>
        <v>Photo</v>
      </c>
      <c r="AG1398">
        <v>47.568261999999997</v>
      </c>
      <c r="AH1398">
        <v>-122.125227</v>
      </c>
      <c r="AI1398" t="s">
        <v>369</v>
      </c>
      <c r="AJ1398">
        <v>98006</v>
      </c>
      <c r="AN1398">
        <v>197000</v>
      </c>
      <c r="BC1398" s="22">
        <v>39480.765277777777</v>
      </c>
      <c r="BI1398" s="22">
        <v>39549.294907407406</v>
      </c>
      <c r="BL1398">
        <v>12980</v>
      </c>
      <c r="BM1398">
        <v>1449929</v>
      </c>
      <c r="BN1398" t="s">
        <v>1815</v>
      </c>
      <c r="BO1398" s="17">
        <f t="shared" ca="1" si="21"/>
        <v>68.544128125002317</v>
      </c>
      <c r="BP1398" t="b">
        <v>0</v>
      </c>
      <c r="BQ1398">
        <v>1</v>
      </c>
      <c r="BR1398" t="s">
        <v>1686</v>
      </c>
      <c r="BS1398" t="s">
        <v>3134</v>
      </c>
      <c r="BT1398" t="b">
        <v>0</v>
      </c>
      <c r="BU1398" t="s">
        <v>3856</v>
      </c>
      <c r="BV1398" t="s">
        <v>1668</v>
      </c>
      <c r="BW1398">
        <v>16035</v>
      </c>
      <c r="BY1398">
        <v>238588</v>
      </c>
      <c r="BZ1398" t="s">
        <v>5505</v>
      </c>
      <c r="CA1398">
        <v>1</v>
      </c>
      <c r="CB1398" t="b">
        <v>1</v>
      </c>
      <c r="CC1398">
        <v>0</v>
      </c>
      <c r="CD1398" t="b">
        <v>0</v>
      </c>
      <c r="CE1398" t="b">
        <v>0</v>
      </c>
      <c r="CF1398" t="b">
        <v>1</v>
      </c>
      <c r="CG1398">
        <v>2607366</v>
      </c>
      <c r="CH1398" t="s">
        <v>1681</v>
      </c>
      <c r="CI1398" s="10">
        <v>649000</v>
      </c>
      <c r="CJ1398" s="7">
        <v>34533</v>
      </c>
    </row>
    <row r="1399" spans="1:88">
      <c r="A1399">
        <v>28020263</v>
      </c>
      <c r="B1399" s="2" t="str">
        <f>HYPERLINK("http://www.redfin.com/stingray/do/printable-listing?listing-id=1453084","Active")</f>
        <v>Active</v>
      </c>
      <c r="D1399" t="s">
        <v>3249</v>
      </c>
      <c r="E1399" t="s">
        <v>3374</v>
      </c>
      <c r="F1399">
        <v>1600000</v>
      </c>
      <c r="G1399">
        <v>1908</v>
      </c>
      <c r="H1399">
        <v>0</v>
      </c>
      <c r="I1399">
        <v>8400</v>
      </c>
      <c r="J1399">
        <v>1</v>
      </c>
      <c r="K1399">
        <v>0</v>
      </c>
      <c r="M1399" s="2" t="str">
        <f>HYPERLINK("http://maps.live.com/default.aspx?v=2&amp;lvl=15&amp;sp=Point.47.637394_-122.374223_2023 13th Ave W n2027&amp;cp=47.637394~-122.374223","Map")</f>
        <v>Map</v>
      </c>
      <c r="N1399" s="2" t="str">
        <f>HYPERLINK("http://i-0.rfimg.us/photo/1/bigphoto/263/28020263_0.jpg","Photo")</f>
        <v>Photo</v>
      </c>
      <c r="AG1399">
        <v>47.637394</v>
      </c>
      <c r="AH1399">
        <v>-122.374223</v>
      </c>
      <c r="AI1399" t="s">
        <v>66</v>
      </c>
      <c r="AJ1399">
        <v>98119</v>
      </c>
      <c r="AM1399" t="s">
        <v>3375</v>
      </c>
      <c r="BC1399" s="22">
        <v>39482.817986111113</v>
      </c>
      <c r="BI1399" s="22">
        <v>39549.294907407406</v>
      </c>
      <c r="BL1399">
        <v>32000</v>
      </c>
      <c r="BM1399">
        <v>1453084</v>
      </c>
      <c r="BN1399" t="s">
        <v>1710</v>
      </c>
      <c r="BO1399" s="17">
        <f t="shared" ca="1" si="21"/>
        <v>66.491419791665976</v>
      </c>
      <c r="BP1399" t="b">
        <v>0</v>
      </c>
      <c r="BQ1399">
        <v>1</v>
      </c>
      <c r="BR1399" t="s">
        <v>1667</v>
      </c>
      <c r="BS1399" t="s">
        <v>1809</v>
      </c>
      <c r="BT1399" t="b">
        <v>0</v>
      </c>
      <c r="BV1399" t="s">
        <v>1668</v>
      </c>
      <c r="BW1399">
        <v>2023</v>
      </c>
      <c r="BX1399" t="s">
        <v>2423</v>
      </c>
      <c r="BY1399">
        <v>12386023</v>
      </c>
      <c r="BZ1399" t="s">
        <v>1801</v>
      </c>
      <c r="CA1399">
        <v>1</v>
      </c>
      <c r="CB1399" t="b">
        <v>1</v>
      </c>
      <c r="CC1399">
        <v>0</v>
      </c>
      <c r="CD1399" t="b">
        <v>0</v>
      </c>
      <c r="CE1399" t="b">
        <v>0</v>
      </c>
      <c r="CF1399" t="b">
        <v>1</v>
      </c>
      <c r="CG1399">
        <v>15589771</v>
      </c>
      <c r="CH1399" t="s">
        <v>1681</v>
      </c>
      <c r="CI1399" s="10">
        <v>1600000</v>
      </c>
    </row>
    <row r="1400" spans="1:88">
      <c r="A1400">
        <v>28020302</v>
      </c>
      <c r="B1400" s="2" t="str">
        <f>HYPERLINK("http://www.redfin.com/stingray/do/printable-listing?listing-id=1449840","Active")</f>
        <v>Active</v>
      </c>
      <c r="D1400" t="s">
        <v>2552</v>
      </c>
      <c r="E1400" t="s">
        <v>3501</v>
      </c>
      <c r="F1400" s="19">
        <v>678300</v>
      </c>
      <c r="G1400">
        <v>1929</v>
      </c>
      <c r="H1400">
        <v>2910</v>
      </c>
      <c r="I1400">
        <v>6160</v>
      </c>
      <c r="J1400">
        <v>3</v>
      </c>
      <c r="K1400">
        <v>2.75</v>
      </c>
      <c r="M1400" s="2" t="str">
        <f>HYPERLINK("http://maps.live.com/default.aspx?v=2&amp;lvl=15&amp;sp=Point.47.637986_-122.39621_2109 Condon Way W&amp;cp=47.637986~-122.39621","Map")</f>
        <v>Map</v>
      </c>
      <c r="N1400" s="2" t="str">
        <f>HYPERLINK("http://i-0.rfimg.us/photo/1/bigphoto/302/28020302_1.jpg","Photo")</f>
        <v>Photo</v>
      </c>
      <c r="AG1400">
        <v>47.637985999999998</v>
      </c>
      <c r="AH1400">
        <v>-122.39621</v>
      </c>
      <c r="AI1400" t="s">
        <v>66</v>
      </c>
      <c r="AJ1400">
        <v>98199</v>
      </c>
      <c r="AN1400">
        <v>270000</v>
      </c>
      <c r="BC1400" s="22">
        <v>39480.714120370372</v>
      </c>
      <c r="BI1400" s="22">
        <v>39549.294907407406</v>
      </c>
      <c r="BL1400">
        <v>13999</v>
      </c>
      <c r="BM1400">
        <v>1449840</v>
      </c>
      <c r="BN1400" t="s">
        <v>1718</v>
      </c>
      <c r="BO1400" s="17">
        <f t="shared" ca="1" si="21"/>
        <v>68.595285532406706</v>
      </c>
      <c r="BP1400" t="b">
        <v>0</v>
      </c>
      <c r="BQ1400">
        <v>1</v>
      </c>
      <c r="BR1400" t="s">
        <v>2463</v>
      </c>
      <c r="BS1400" t="s">
        <v>3502</v>
      </c>
      <c r="BT1400" t="b">
        <v>0</v>
      </c>
      <c r="BV1400" t="s">
        <v>1668</v>
      </c>
      <c r="BW1400">
        <v>2109</v>
      </c>
      <c r="BX1400" t="s">
        <v>2423</v>
      </c>
      <c r="BY1400">
        <v>126044</v>
      </c>
      <c r="BZ1400" t="s">
        <v>3503</v>
      </c>
      <c r="CA1400">
        <v>1</v>
      </c>
      <c r="CB1400" t="b">
        <v>1</v>
      </c>
      <c r="CC1400">
        <v>0</v>
      </c>
      <c r="CD1400" t="b">
        <v>0</v>
      </c>
      <c r="CE1400" t="b">
        <v>0</v>
      </c>
      <c r="CF1400" t="b">
        <v>1</v>
      </c>
      <c r="CG1400">
        <v>2934612</v>
      </c>
      <c r="CH1400" t="s">
        <v>1681</v>
      </c>
      <c r="CI1400" s="10">
        <v>699950</v>
      </c>
      <c r="CJ1400" s="7">
        <v>33984</v>
      </c>
    </row>
    <row r="1401" spans="1:88">
      <c r="A1401">
        <v>28020377</v>
      </c>
      <c r="B1401" s="2" t="str">
        <f>HYPERLINK("http://www.redfin.com/stingray/do/printable-listing?listing-id=1450126","Active")</f>
        <v>Active</v>
      </c>
      <c r="D1401" t="s">
        <v>3961</v>
      </c>
      <c r="E1401" t="s">
        <v>4038</v>
      </c>
      <c r="F1401">
        <v>850000</v>
      </c>
      <c r="G1401">
        <v>1909</v>
      </c>
      <c r="H1401">
        <v>2505</v>
      </c>
      <c r="I1401">
        <v>5009</v>
      </c>
      <c r="J1401">
        <v>3</v>
      </c>
      <c r="K1401">
        <v>2</v>
      </c>
      <c r="M1401" s="2" t="str">
        <f>HYPERLINK("http://maps.live.com/default.aspx?v=2&amp;lvl=15&amp;sp=Point.47.605592_-122.291898_413 32nd Ave&amp;cp=47.605592~-122.291898","Map")</f>
        <v>Map</v>
      </c>
      <c r="N1401" s="2" t="str">
        <f>HYPERLINK("http://i-0.rfimg.us/photo/1/bigphoto/377/28020377_1.jpg","Photo")</f>
        <v>Photo</v>
      </c>
      <c r="AG1401">
        <v>47.605592000000001</v>
      </c>
      <c r="AH1401">
        <v>-122.291898</v>
      </c>
      <c r="AI1401" t="s">
        <v>66</v>
      </c>
      <c r="AJ1401">
        <v>98122</v>
      </c>
      <c r="AN1401">
        <v>205000</v>
      </c>
      <c r="BC1401" s="22">
        <v>39480.973229166666</v>
      </c>
      <c r="BI1401" s="22">
        <v>39549.294907407406</v>
      </c>
      <c r="BL1401">
        <v>17000</v>
      </c>
      <c r="BM1401">
        <v>1450126</v>
      </c>
      <c r="BN1401" t="s">
        <v>1746</v>
      </c>
      <c r="BO1401" s="17">
        <f t="shared" ca="1" si="21"/>
        <v>68.336176736112975</v>
      </c>
      <c r="BP1401" t="b">
        <v>0</v>
      </c>
      <c r="BQ1401">
        <v>1</v>
      </c>
      <c r="BR1401" t="s">
        <v>1667</v>
      </c>
      <c r="BS1401" t="s">
        <v>1733</v>
      </c>
      <c r="BT1401" t="b">
        <v>0</v>
      </c>
      <c r="BV1401" t="s">
        <v>1668</v>
      </c>
      <c r="BW1401">
        <v>413</v>
      </c>
      <c r="BY1401">
        <v>148964</v>
      </c>
      <c r="BZ1401" t="s">
        <v>1704</v>
      </c>
      <c r="CA1401">
        <v>1</v>
      </c>
      <c r="CB1401" t="b">
        <v>1</v>
      </c>
      <c r="CC1401">
        <v>0</v>
      </c>
      <c r="CD1401" t="b">
        <v>0</v>
      </c>
      <c r="CE1401" t="b">
        <v>0</v>
      </c>
      <c r="CF1401" t="b">
        <v>1</v>
      </c>
      <c r="CG1401">
        <v>2680589</v>
      </c>
      <c r="CH1401" t="s">
        <v>1681</v>
      </c>
      <c r="CI1401" s="10">
        <v>850000</v>
      </c>
      <c r="CJ1401" s="7">
        <v>33550</v>
      </c>
    </row>
    <row r="1402" spans="1:88">
      <c r="A1402">
        <v>28020407</v>
      </c>
      <c r="B1402" s="2" t="str">
        <f>HYPERLINK("http://www.redfin.com/stingray/do/printable-listing?listing-id=1450536","Active")</f>
        <v>Active</v>
      </c>
      <c r="D1402" t="s">
        <v>213</v>
      </c>
      <c r="E1402" t="s">
        <v>1155</v>
      </c>
      <c r="F1402">
        <v>499950</v>
      </c>
      <c r="G1402">
        <v>1910</v>
      </c>
      <c r="H1402">
        <v>1780</v>
      </c>
      <c r="I1402">
        <v>5051</v>
      </c>
      <c r="J1402">
        <v>3</v>
      </c>
      <c r="K1402">
        <v>2</v>
      </c>
      <c r="M1402" s="2" t="str">
        <f>HYPERLINK("http://maps.live.com/default.aspx?v=2&amp;lvl=15&amp;sp=Point.47.71643_-122.282599_4216 NE 120th St&amp;cp=47.71643~-122.282599","Map")</f>
        <v>Map</v>
      </c>
      <c r="N1402" s="2" t="str">
        <f>HYPERLINK("http://i-0.rfimg.us/photo/1/bigphoto/407/28020407_2.jpg","Photo")</f>
        <v>Photo</v>
      </c>
      <c r="AG1402">
        <v>47.716430000000003</v>
      </c>
      <c r="AH1402">
        <v>-122.282599</v>
      </c>
      <c r="AI1402" t="s">
        <v>66</v>
      </c>
      <c r="AJ1402">
        <v>98125</v>
      </c>
      <c r="AN1402">
        <v>115000</v>
      </c>
      <c r="BC1402" s="22">
        <v>39481.421249999999</v>
      </c>
      <c r="BI1402" s="7">
        <v>39533</v>
      </c>
      <c r="BL1402">
        <v>9999</v>
      </c>
      <c r="BM1402">
        <v>1450536</v>
      </c>
      <c r="BN1402" t="s">
        <v>1688</v>
      </c>
      <c r="BO1402" s="17">
        <f t="shared" ca="1" si="21"/>
        <v>67.888155902779545</v>
      </c>
      <c r="BP1402" t="b">
        <v>0</v>
      </c>
      <c r="BQ1402">
        <v>1</v>
      </c>
      <c r="BR1402" t="s">
        <v>1686</v>
      </c>
      <c r="BS1402" t="s">
        <v>2785</v>
      </c>
      <c r="BT1402" t="b">
        <v>0</v>
      </c>
      <c r="BU1402" t="s">
        <v>1738</v>
      </c>
      <c r="BV1402" t="s">
        <v>1668</v>
      </c>
      <c r="BW1402">
        <v>4216</v>
      </c>
      <c r="BY1402">
        <v>318815</v>
      </c>
      <c r="BZ1402" t="s">
        <v>2977</v>
      </c>
      <c r="CA1402">
        <v>1</v>
      </c>
      <c r="CB1402" t="b">
        <v>1</v>
      </c>
      <c r="CC1402">
        <v>0</v>
      </c>
      <c r="CD1402" t="b">
        <v>0</v>
      </c>
      <c r="CE1402" t="b">
        <v>0</v>
      </c>
      <c r="CF1402" t="b">
        <v>1</v>
      </c>
      <c r="CG1402">
        <v>2421903</v>
      </c>
      <c r="CH1402" t="s">
        <v>1681</v>
      </c>
      <c r="CI1402" s="10">
        <v>499950</v>
      </c>
      <c r="CJ1402" s="7">
        <v>32479</v>
      </c>
    </row>
    <row r="1403" spans="1:88">
      <c r="A1403">
        <v>28020490</v>
      </c>
      <c r="B1403" s="2" t="str">
        <f>HYPERLINK("http://www.redfin.com/stingray/do/printable-listing?listing-id=1457958","Active")</f>
        <v>Active</v>
      </c>
      <c r="D1403" t="s">
        <v>63</v>
      </c>
      <c r="E1403" t="s">
        <v>2567</v>
      </c>
      <c r="F1403">
        <v>739000</v>
      </c>
      <c r="G1403">
        <v>1918</v>
      </c>
      <c r="H1403">
        <v>2600</v>
      </c>
      <c r="I1403">
        <v>3340</v>
      </c>
      <c r="J1403">
        <v>3</v>
      </c>
      <c r="K1403">
        <v>2.5</v>
      </c>
      <c r="M1403" s="2" t="str">
        <f>HYPERLINK("http://maps.live.com/default.aspx?v=2&amp;lvl=15&amp;sp=Point.47.664834_-122.361643_319 NW 50 St&amp;cp=47.664834~-122.361643","Map")</f>
        <v>Map</v>
      </c>
      <c r="N1403" s="2" t="str">
        <f>HYPERLINK("http://i-0.rfimg.us/photo/1/bigphoto/490/28020490_1.jpg","Photo")</f>
        <v>Photo</v>
      </c>
      <c r="AG1403">
        <v>47.664833999999999</v>
      </c>
      <c r="AH1403">
        <v>-122.361643</v>
      </c>
      <c r="AI1403" t="s">
        <v>66</v>
      </c>
      <c r="AJ1403">
        <v>98107</v>
      </c>
      <c r="AN1403">
        <v>515000</v>
      </c>
      <c r="BC1403" s="22">
        <v>39484.213020833333</v>
      </c>
      <c r="BI1403" s="22">
        <v>39549.294907407406</v>
      </c>
      <c r="BL1403">
        <v>14780</v>
      </c>
      <c r="BM1403">
        <v>1457958</v>
      </c>
      <c r="BN1403" t="s">
        <v>1702</v>
      </c>
      <c r="BO1403" s="17">
        <f t="shared" ca="1" si="21"/>
        <v>65.096385185184772</v>
      </c>
      <c r="BP1403" t="b">
        <v>0</v>
      </c>
      <c r="BQ1403">
        <v>1</v>
      </c>
      <c r="BR1403" t="s">
        <v>1686</v>
      </c>
      <c r="BS1403">
        <v>50</v>
      </c>
      <c r="BT1403" t="b">
        <v>0</v>
      </c>
      <c r="BU1403" t="s">
        <v>1669</v>
      </c>
      <c r="BV1403" t="s">
        <v>1668</v>
      </c>
      <c r="BW1403">
        <v>319</v>
      </c>
      <c r="BY1403">
        <v>303002</v>
      </c>
      <c r="BZ1403" t="s">
        <v>2568</v>
      </c>
      <c r="CA1403">
        <v>1</v>
      </c>
      <c r="CB1403" t="b">
        <v>1</v>
      </c>
      <c r="CC1403">
        <v>0</v>
      </c>
      <c r="CD1403" t="b">
        <v>0</v>
      </c>
      <c r="CE1403" t="b">
        <v>0</v>
      </c>
      <c r="CF1403" t="b">
        <v>0</v>
      </c>
      <c r="CG1403">
        <v>2800896</v>
      </c>
      <c r="CH1403" t="s">
        <v>1681</v>
      </c>
      <c r="CI1403" s="10">
        <v>739000</v>
      </c>
      <c r="CJ1403" s="7">
        <v>36628</v>
      </c>
    </row>
    <row r="1404" spans="1:88">
      <c r="A1404">
        <v>28020564</v>
      </c>
      <c r="B1404" s="2" t="str">
        <f>HYPERLINK("http://www.redfin.com/stingray/do/printable-listing?listing-id=1451185","Active")</f>
        <v>Active</v>
      </c>
      <c r="D1404" t="s">
        <v>3714</v>
      </c>
      <c r="E1404" t="s">
        <v>3741</v>
      </c>
      <c r="F1404">
        <v>3495000</v>
      </c>
      <c r="G1404">
        <v>1941</v>
      </c>
      <c r="H1404">
        <v>4990</v>
      </c>
      <c r="I1404">
        <v>19637</v>
      </c>
      <c r="J1404">
        <v>3</v>
      </c>
      <c r="K1404">
        <v>3.5</v>
      </c>
      <c r="M1404" s="2" t="str">
        <f>HYPERLINK("http://maps.live.com/default.aspx?v=2&amp;lvl=15&amp;sp=Point.47.637204_-122.291307_2017 Parkside Dr E&amp;cp=47.637204~-122.291307","Map")</f>
        <v>Map</v>
      </c>
      <c r="N1404" s="2" t="str">
        <f>HYPERLINK("http://i-0.rfimg.us/photo/1/bigphoto/564/28020564_3.jpg","Photo")</f>
        <v>Photo</v>
      </c>
      <c r="AG1404">
        <v>47.637203999999997</v>
      </c>
      <c r="AH1404">
        <v>-122.291307</v>
      </c>
      <c r="AI1404" t="s">
        <v>66</v>
      </c>
      <c r="AJ1404">
        <v>98112</v>
      </c>
      <c r="AN1404">
        <v>2750000</v>
      </c>
      <c r="BC1404" s="22">
        <v>39481.952372685184</v>
      </c>
      <c r="BI1404" s="22">
        <v>39549.294907407406</v>
      </c>
      <c r="BL1404">
        <v>69900</v>
      </c>
      <c r="BM1404">
        <v>1451185</v>
      </c>
      <c r="BN1404" t="s">
        <v>1829</v>
      </c>
      <c r="BO1404" s="17">
        <f t="shared" ca="1" si="21"/>
        <v>67.357033217595017</v>
      </c>
      <c r="BP1404" t="b">
        <v>0</v>
      </c>
      <c r="BQ1404">
        <v>1</v>
      </c>
      <c r="BR1404" t="s">
        <v>1816</v>
      </c>
      <c r="BS1404" t="s">
        <v>3716</v>
      </c>
      <c r="BT1404" t="b">
        <v>0</v>
      </c>
      <c r="BV1404" t="s">
        <v>1668</v>
      </c>
      <c r="BW1404">
        <v>2017</v>
      </c>
      <c r="BX1404" t="s">
        <v>2436</v>
      </c>
      <c r="BY1404">
        <v>138834</v>
      </c>
      <c r="BZ1404" t="s">
        <v>2344</v>
      </c>
      <c r="CA1404">
        <v>1</v>
      </c>
      <c r="CB1404" t="b">
        <v>1</v>
      </c>
      <c r="CC1404">
        <v>0</v>
      </c>
      <c r="CD1404" t="b">
        <v>0</v>
      </c>
      <c r="CE1404" t="b">
        <v>0</v>
      </c>
      <c r="CF1404" t="b">
        <v>1</v>
      </c>
      <c r="CG1404">
        <v>2626605</v>
      </c>
      <c r="CH1404" t="s">
        <v>1681</v>
      </c>
      <c r="CI1404" s="10">
        <v>3495000</v>
      </c>
      <c r="CJ1404" s="7">
        <v>38483</v>
      </c>
    </row>
    <row r="1405" spans="1:88">
      <c r="A1405">
        <v>28020589</v>
      </c>
      <c r="B1405" s="2" t="str">
        <f>HYPERLINK("http://www.redfin.com/stingray/do/printable-listing?listing-id=1451329","Active")</f>
        <v>Active</v>
      </c>
      <c r="D1405" t="s">
        <v>2552</v>
      </c>
      <c r="E1405" t="s">
        <v>3515</v>
      </c>
      <c r="F1405">
        <v>729000</v>
      </c>
      <c r="G1405">
        <v>1942</v>
      </c>
      <c r="H1405">
        <v>2600</v>
      </c>
      <c r="I1405">
        <v>6000</v>
      </c>
      <c r="J1405">
        <v>4</v>
      </c>
      <c r="K1405">
        <v>2</v>
      </c>
      <c r="M1405" s="2" t="str">
        <f>HYPERLINK("http://maps.live.com/default.aspx?v=2&amp;lvl=15&amp;sp=Point.47.647753_-122.393297_3029 28th Ave W&amp;cp=47.647753~-122.393297","Map")</f>
        <v>Map</v>
      </c>
      <c r="N1405" s="2" t="str">
        <f>HYPERLINK("http://i-0.rfimg.us/photo/1/bigphoto/589/28020589_0.jpg","Photo")</f>
        <v>Photo</v>
      </c>
      <c r="AG1405">
        <v>47.647753000000002</v>
      </c>
      <c r="AH1405">
        <v>-122.393297</v>
      </c>
      <c r="AI1405" t="s">
        <v>66</v>
      </c>
      <c r="AJ1405">
        <v>98199</v>
      </c>
      <c r="AN1405">
        <v>577150</v>
      </c>
      <c r="BC1405" s="22">
        <v>39482.087685185186</v>
      </c>
      <c r="BI1405" s="7">
        <v>39531</v>
      </c>
      <c r="BL1405">
        <v>14580</v>
      </c>
      <c r="BM1405">
        <v>1451329</v>
      </c>
      <c r="BN1405" t="s">
        <v>1680</v>
      </c>
      <c r="BO1405" s="17">
        <f t="shared" ca="1" si="21"/>
        <v>67.221720717592689</v>
      </c>
      <c r="BP1405" t="b">
        <v>0</v>
      </c>
      <c r="BQ1405">
        <v>1</v>
      </c>
      <c r="BR1405" t="s">
        <v>1667</v>
      </c>
      <c r="BS1405" t="s">
        <v>1760</v>
      </c>
      <c r="BT1405" t="b">
        <v>0</v>
      </c>
      <c r="BV1405" t="s">
        <v>1668</v>
      </c>
      <c r="BW1405">
        <v>3029</v>
      </c>
      <c r="BX1405" t="s">
        <v>2423</v>
      </c>
      <c r="BY1405">
        <v>128152</v>
      </c>
      <c r="BZ1405" t="s">
        <v>1676</v>
      </c>
      <c r="CA1405">
        <v>1</v>
      </c>
      <c r="CB1405" t="b">
        <v>1</v>
      </c>
      <c r="CC1405">
        <v>0</v>
      </c>
      <c r="CD1405" t="b">
        <v>0</v>
      </c>
      <c r="CE1405" t="b">
        <v>0</v>
      </c>
      <c r="CF1405" t="b">
        <v>1</v>
      </c>
      <c r="CG1405">
        <v>2405372</v>
      </c>
      <c r="CH1405" t="s">
        <v>1681</v>
      </c>
      <c r="CI1405" s="10">
        <v>729000</v>
      </c>
      <c r="CJ1405" s="7">
        <v>39153</v>
      </c>
    </row>
    <row r="1406" spans="1:88">
      <c r="A1406">
        <v>28020592</v>
      </c>
      <c r="B1406" s="2" t="str">
        <f>HYPERLINK("http://www.redfin.com/stingray/do/printable-listing?listing-id=1458014","Active")</f>
        <v>Active</v>
      </c>
      <c r="D1406" t="s">
        <v>1023</v>
      </c>
      <c r="E1406" t="s">
        <v>2541</v>
      </c>
      <c r="F1406">
        <v>659950</v>
      </c>
      <c r="G1406">
        <v>1911</v>
      </c>
      <c r="H1406">
        <v>2450</v>
      </c>
      <c r="I1406">
        <v>3250</v>
      </c>
      <c r="J1406">
        <v>4</v>
      </c>
      <c r="K1406">
        <v>2</v>
      </c>
      <c r="M1406" s="2" t="str">
        <f>HYPERLINK("http://maps.live.com/default.aspx?v=2&amp;lvl=15&amp;sp=Point.47.673856_-122.398107_6202 32 Ave NW&amp;cp=47.673856~-122.398107","Map")</f>
        <v>Map</v>
      </c>
      <c r="N1406" s="2" t="str">
        <f>HYPERLINK("http://i-0.rfimg.us/photo/1/bigphoto/592/28020592_0.jpg","Photo")</f>
        <v>Photo</v>
      </c>
      <c r="AG1406">
        <v>47.673856000000001</v>
      </c>
      <c r="AH1406">
        <v>-122.398107</v>
      </c>
      <c r="AI1406" t="s">
        <v>66</v>
      </c>
      <c r="AJ1406">
        <v>98107</v>
      </c>
      <c r="AN1406">
        <v>443950</v>
      </c>
      <c r="BC1406" s="22">
        <v>39484.316886574074</v>
      </c>
      <c r="BI1406" s="22">
        <v>39549.294907407406</v>
      </c>
      <c r="BL1406">
        <v>13199</v>
      </c>
      <c r="BM1406">
        <v>1458014</v>
      </c>
      <c r="BN1406" t="s">
        <v>1700</v>
      </c>
      <c r="BO1406" s="17">
        <f t="shared" ca="1" si="21"/>
        <v>64.992519444444042</v>
      </c>
      <c r="BP1406" t="b">
        <v>0</v>
      </c>
      <c r="BQ1406">
        <v>1</v>
      </c>
      <c r="BR1406" t="s">
        <v>1667</v>
      </c>
      <c r="BS1406">
        <v>32</v>
      </c>
      <c r="BT1406" t="b">
        <v>0</v>
      </c>
      <c r="BV1406" t="s">
        <v>1668</v>
      </c>
      <c r="BW1406">
        <v>6202</v>
      </c>
      <c r="BX1406" t="s">
        <v>1669</v>
      </c>
      <c r="BY1406">
        <v>162030</v>
      </c>
      <c r="BZ1406" t="s">
        <v>1672</v>
      </c>
      <c r="CA1406">
        <v>1</v>
      </c>
      <c r="CB1406" t="b">
        <v>1</v>
      </c>
      <c r="CC1406">
        <v>0</v>
      </c>
      <c r="CD1406" t="b">
        <v>0</v>
      </c>
      <c r="CE1406" t="b">
        <v>0</v>
      </c>
      <c r="CF1406" t="b">
        <v>0</v>
      </c>
      <c r="CG1406">
        <v>2833966</v>
      </c>
      <c r="CH1406" t="s">
        <v>1681</v>
      </c>
      <c r="CI1406" s="10">
        <v>659950</v>
      </c>
      <c r="CJ1406" s="7">
        <v>38260</v>
      </c>
    </row>
    <row r="1407" spans="1:88">
      <c r="A1407">
        <v>28020605</v>
      </c>
      <c r="B1407" s="2" t="str">
        <f>HYPERLINK("http://www.redfin.com/stingray/do/printable-listing?listing-id=1451371","Active")</f>
        <v>Active</v>
      </c>
      <c r="D1407" t="s">
        <v>4359</v>
      </c>
      <c r="E1407" t="s">
        <v>4673</v>
      </c>
      <c r="F1407">
        <v>549950</v>
      </c>
      <c r="G1407">
        <v>1996</v>
      </c>
      <c r="H1407">
        <v>1820</v>
      </c>
      <c r="I1407">
        <v>10761</v>
      </c>
      <c r="J1407">
        <v>3</v>
      </c>
      <c r="K1407">
        <v>2.5</v>
      </c>
      <c r="M1407" s="2" t="str">
        <f>HYPERLINK("http://maps.live.com/default.aspx?v=2&amp;lvl=15&amp;sp=Point.47.689363_-122.165715_13129 NE 100th St&amp;cp=47.689363~-122.165715","Map")</f>
        <v>Map</v>
      </c>
      <c r="N1407" s="2" t="str">
        <f>HYPERLINK("http://i-0.rfimg.us/photo/1/bigphoto/605/28020605_2.jpg","Photo")</f>
        <v>Photo</v>
      </c>
      <c r="AG1407">
        <v>47.689363</v>
      </c>
      <c r="AH1407">
        <v>-122.16571500000001</v>
      </c>
      <c r="AI1407" t="s">
        <v>1058</v>
      </c>
      <c r="AJ1407">
        <v>98033</v>
      </c>
      <c r="AN1407">
        <v>380000</v>
      </c>
      <c r="BC1407" s="22">
        <v>39482.33766203704</v>
      </c>
      <c r="BI1407" s="22">
        <v>39549.294907407406</v>
      </c>
      <c r="BL1407">
        <v>10999</v>
      </c>
      <c r="BM1407">
        <v>1451371</v>
      </c>
      <c r="BN1407" t="s">
        <v>2203</v>
      </c>
      <c r="BO1407" s="17">
        <f t="shared" ca="1" si="21"/>
        <v>66.971743865738972</v>
      </c>
      <c r="BP1407" t="b">
        <v>0</v>
      </c>
      <c r="BQ1407">
        <v>1</v>
      </c>
      <c r="BR1407" t="s">
        <v>1686</v>
      </c>
      <c r="BS1407" t="s">
        <v>2806</v>
      </c>
      <c r="BT1407" t="b">
        <v>0</v>
      </c>
      <c r="BU1407" t="s">
        <v>1738</v>
      </c>
      <c r="BV1407" t="s">
        <v>1668</v>
      </c>
      <c r="BW1407">
        <v>13129</v>
      </c>
      <c r="BY1407">
        <v>513053</v>
      </c>
      <c r="BZ1407" t="s">
        <v>4674</v>
      </c>
      <c r="CA1407">
        <v>1</v>
      </c>
      <c r="CB1407" t="b">
        <v>1</v>
      </c>
      <c r="CC1407">
        <v>0</v>
      </c>
      <c r="CD1407" t="b">
        <v>0</v>
      </c>
      <c r="CE1407" t="b">
        <v>0</v>
      </c>
      <c r="CF1407" t="b">
        <v>1</v>
      </c>
      <c r="CG1407">
        <v>2677134</v>
      </c>
      <c r="CH1407" t="s">
        <v>1681</v>
      </c>
      <c r="CI1407" s="10">
        <v>549950</v>
      </c>
      <c r="CJ1407" s="7">
        <v>38313</v>
      </c>
    </row>
    <row r="1408" spans="1:88">
      <c r="A1408">
        <v>28020615</v>
      </c>
      <c r="B1408" s="2" t="str">
        <f>HYPERLINK("http://www.redfin.com/stingray/do/printable-listing?listing-id=1468923","Active")</f>
        <v>Active</v>
      </c>
      <c r="D1408" t="s">
        <v>3966</v>
      </c>
      <c r="E1408" t="s">
        <v>4245</v>
      </c>
      <c r="F1408" s="19">
        <v>847950</v>
      </c>
      <c r="G1408">
        <v>1983</v>
      </c>
      <c r="H1408">
        <v>2610</v>
      </c>
      <c r="I1408">
        <v>4000</v>
      </c>
      <c r="J1408">
        <v>3</v>
      </c>
      <c r="K1408">
        <v>3</v>
      </c>
      <c r="M1408" s="2" t="str">
        <f>HYPERLINK("http://maps.live.com/default.aspx?v=2&amp;lvl=15&amp;sp=Point.47.608442_-122.290144_714 33RD Ave&amp;cp=47.608442~-122.290144","Map")</f>
        <v>Map</v>
      </c>
      <c r="N1408" s="2" t="str">
        <f>HYPERLINK("http://i-0.rfimg.us/photo/1/bigphoto/615/28020615_0.jpg","Photo")</f>
        <v>Photo</v>
      </c>
      <c r="AG1408">
        <v>47.608441999999997</v>
      </c>
      <c r="AH1408">
        <v>-122.290144</v>
      </c>
      <c r="AI1408" t="s">
        <v>66</v>
      </c>
      <c r="AJ1408">
        <v>98122</v>
      </c>
      <c r="AN1408">
        <v>625000</v>
      </c>
      <c r="BC1408" s="22">
        <v>39487.515057870369</v>
      </c>
      <c r="BI1408" s="22">
        <v>39549.294907407406</v>
      </c>
      <c r="BL1408">
        <v>17000</v>
      </c>
      <c r="BM1408">
        <v>1468923</v>
      </c>
      <c r="BN1408" t="s">
        <v>1710</v>
      </c>
      <c r="BO1408" s="17">
        <f t="shared" ca="1" si="21"/>
        <v>61.794348032410198</v>
      </c>
      <c r="BP1408" t="b">
        <v>0</v>
      </c>
      <c r="BQ1408">
        <v>1</v>
      </c>
      <c r="BR1408" t="s">
        <v>1667</v>
      </c>
      <c r="BS1408" t="s">
        <v>4246</v>
      </c>
      <c r="BT1408" t="b">
        <v>0</v>
      </c>
      <c r="BV1408" t="s">
        <v>1668</v>
      </c>
      <c r="BW1408">
        <v>714</v>
      </c>
      <c r="BY1408">
        <v>145847</v>
      </c>
      <c r="BZ1408" t="s">
        <v>1672</v>
      </c>
      <c r="CA1408">
        <v>1</v>
      </c>
      <c r="CB1408" t="b">
        <v>1</v>
      </c>
      <c r="CC1408">
        <v>0</v>
      </c>
      <c r="CD1408" t="b">
        <v>0</v>
      </c>
      <c r="CE1408" t="b">
        <v>0</v>
      </c>
      <c r="CF1408" t="b">
        <v>0</v>
      </c>
      <c r="CG1408">
        <v>2665388</v>
      </c>
      <c r="CH1408" t="s">
        <v>1681</v>
      </c>
      <c r="CI1408" s="10">
        <v>850000</v>
      </c>
      <c r="CJ1408" s="7">
        <v>39323</v>
      </c>
    </row>
    <row r="1409" spans="1:88">
      <c r="A1409">
        <v>28020622</v>
      </c>
      <c r="B1409" s="2" t="str">
        <f>HYPERLINK("http://www.redfin.com/stingray/do/printable-listing?listing-id=1460421","Active")</f>
        <v>Active</v>
      </c>
      <c r="D1409" t="s">
        <v>3704</v>
      </c>
      <c r="E1409" t="s">
        <v>4236</v>
      </c>
      <c r="F1409" s="19">
        <v>885000</v>
      </c>
      <c r="G1409">
        <v>1927</v>
      </c>
      <c r="H1409">
        <v>3100</v>
      </c>
      <c r="I1409">
        <v>4600</v>
      </c>
      <c r="J1409">
        <v>4</v>
      </c>
      <c r="K1409">
        <v>1.75</v>
      </c>
      <c r="M1409" s="2" t="str">
        <f>HYPERLINK("http://maps.live.com/default.aspx?v=2&amp;lvl=15&amp;sp=Point.47.625798_-122.305699_718 20th Ave E&amp;cp=47.625798~-122.305699","Map")</f>
        <v>Map</v>
      </c>
      <c r="N1409" s="2" t="str">
        <f>HYPERLINK("http://i-0.rfimg.us/photo/1/bigphoto/622/28020622_0.jpg","Photo")</f>
        <v>Photo</v>
      </c>
      <c r="AG1409">
        <v>47.625798000000003</v>
      </c>
      <c r="AH1409">
        <v>-122.305699</v>
      </c>
      <c r="AI1409" t="s">
        <v>66</v>
      </c>
      <c r="AJ1409">
        <v>98112</v>
      </c>
      <c r="AN1409">
        <v>245000</v>
      </c>
      <c r="BC1409" s="22">
        <v>39484.922175925924</v>
      </c>
      <c r="BI1409" s="22">
        <v>39549.294907407406</v>
      </c>
      <c r="BL1409">
        <v>17980</v>
      </c>
      <c r="BM1409">
        <v>1460421</v>
      </c>
      <c r="BN1409" t="s">
        <v>1746</v>
      </c>
      <c r="BO1409" s="17">
        <f t="shared" ca="1" si="21"/>
        <v>64.387229976855451</v>
      </c>
      <c r="BP1409" t="b">
        <v>0</v>
      </c>
      <c r="BQ1409">
        <v>1</v>
      </c>
      <c r="BR1409" t="s">
        <v>1667</v>
      </c>
      <c r="BS1409" t="s">
        <v>1844</v>
      </c>
      <c r="BT1409" t="b">
        <v>0</v>
      </c>
      <c r="BV1409" t="s">
        <v>1668</v>
      </c>
      <c r="BW1409">
        <v>718</v>
      </c>
      <c r="BX1409" t="s">
        <v>2436</v>
      </c>
      <c r="BY1409">
        <v>137053</v>
      </c>
      <c r="BZ1409" t="s">
        <v>1713</v>
      </c>
      <c r="CA1409">
        <v>1</v>
      </c>
      <c r="CB1409" t="b">
        <v>1</v>
      </c>
      <c r="CC1409">
        <v>0</v>
      </c>
      <c r="CD1409" t="b">
        <v>0</v>
      </c>
      <c r="CE1409" t="b">
        <v>0</v>
      </c>
      <c r="CF1409" t="b">
        <v>0</v>
      </c>
      <c r="CG1409">
        <v>2727630</v>
      </c>
      <c r="CH1409" t="s">
        <v>1681</v>
      </c>
      <c r="CI1409" s="10">
        <v>899000</v>
      </c>
      <c r="CJ1409" s="7">
        <v>35004</v>
      </c>
    </row>
    <row r="1410" spans="1:88">
      <c r="A1410">
        <v>28020659</v>
      </c>
      <c r="B1410" s="2" t="str">
        <f>HYPERLINK("http://www.redfin.com/stingray/do/printable-listing?listing-id=1457992","Active")</f>
        <v>Active</v>
      </c>
      <c r="D1410" t="s">
        <v>60</v>
      </c>
      <c r="E1410" t="s">
        <v>2447</v>
      </c>
      <c r="F1410">
        <v>564950</v>
      </c>
      <c r="G1410">
        <v>1916</v>
      </c>
      <c r="H1410">
        <v>0</v>
      </c>
      <c r="I1410">
        <v>4731</v>
      </c>
      <c r="J1410">
        <v>2</v>
      </c>
      <c r="K1410">
        <v>1</v>
      </c>
      <c r="M1410" s="2" t="str">
        <f>HYPERLINK("http://maps.live.com/default.aspx?v=2&amp;lvl=15&amp;sp=Point.47.668586_-122.331078_5436 Kirkwood Pl N&amp;cp=47.668586~-122.331078","Map")</f>
        <v>Map</v>
      </c>
      <c r="N1410" s="2" t="str">
        <f>HYPERLINK("http://i-0.rfimg.us/photo/1/bigphoto/659/28020659_5.jpg","Photo")</f>
        <v>Photo</v>
      </c>
      <c r="AG1410">
        <v>47.668585999999998</v>
      </c>
      <c r="AH1410">
        <v>-122.33107800000001</v>
      </c>
      <c r="AI1410" t="s">
        <v>66</v>
      </c>
      <c r="AJ1410">
        <v>98103</v>
      </c>
      <c r="AN1410">
        <v>306000</v>
      </c>
      <c r="BC1410" s="22">
        <v>39484.296053240738</v>
      </c>
      <c r="BI1410" s="7">
        <v>39532</v>
      </c>
      <c r="BL1410">
        <v>11299</v>
      </c>
      <c r="BM1410">
        <v>1457992</v>
      </c>
      <c r="BN1410" t="s">
        <v>1700</v>
      </c>
      <c r="BO1410" s="17">
        <f t="shared" ref="BO1410:BO1473" ca="1" si="22">NOW()-BC1410</f>
        <v>65.013352777779801</v>
      </c>
      <c r="BP1410" t="b">
        <v>0</v>
      </c>
      <c r="BQ1410">
        <v>1</v>
      </c>
      <c r="BR1410" t="s">
        <v>1842</v>
      </c>
      <c r="BS1410" t="s">
        <v>2448</v>
      </c>
      <c r="BT1410" t="b">
        <v>0</v>
      </c>
      <c r="BV1410" t="s">
        <v>1668</v>
      </c>
      <c r="BW1410">
        <v>5436</v>
      </c>
      <c r="BX1410" t="s">
        <v>1712</v>
      </c>
      <c r="BY1410">
        <v>304942</v>
      </c>
      <c r="BZ1410" t="s">
        <v>2449</v>
      </c>
      <c r="CA1410">
        <v>1</v>
      </c>
      <c r="CB1410" t="b">
        <v>1</v>
      </c>
      <c r="CC1410">
        <v>0</v>
      </c>
      <c r="CD1410" t="b">
        <v>0</v>
      </c>
      <c r="CE1410" t="b">
        <v>0</v>
      </c>
      <c r="CF1410" t="b">
        <v>0</v>
      </c>
      <c r="CG1410">
        <v>2647703</v>
      </c>
      <c r="CH1410" t="s">
        <v>1681</v>
      </c>
      <c r="CI1410" s="10">
        <v>564950</v>
      </c>
      <c r="CJ1410" s="7">
        <v>36462</v>
      </c>
    </row>
    <row r="1411" spans="1:88">
      <c r="A1411">
        <v>28020679</v>
      </c>
      <c r="B1411" s="2" t="str">
        <f>HYPERLINK("http://www.redfin.com/stingray/do/printable-listing?listing-id=1451633","Active")</f>
        <v>Active</v>
      </c>
      <c r="D1411" t="s">
        <v>2552</v>
      </c>
      <c r="E1411" t="s">
        <v>3431</v>
      </c>
      <c r="F1411">
        <v>589000</v>
      </c>
      <c r="G1411">
        <v>1994</v>
      </c>
      <c r="H1411">
        <v>1910</v>
      </c>
      <c r="I1411">
        <v>0</v>
      </c>
      <c r="J1411">
        <v>3</v>
      </c>
      <c r="K1411">
        <v>2.25</v>
      </c>
      <c r="M1411" s="2" t="str">
        <f>HYPERLINK("http://maps.live.com/default.aspx?v=2&amp;lvl=15&amp;sp=Point.47.643685_-122.385695_2622 23rd Ave W&amp;cp=47.643685~-122.385695","Map")</f>
        <v>Map</v>
      </c>
      <c r="N1411" s="2" t="str">
        <f>HYPERLINK("http://i-0.rfimg.us/photo/1/bigphoto/679/28020679_0.jpg","Photo")</f>
        <v>Photo</v>
      </c>
      <c r="AG1411">
        <v>47.643684999999998</v>
      </c>
      <c r="AH1411">
        <v>-122.385695</v>
      </c>
      <c r="AI1411" t="s">
        <v>66</v>
      </c>
      <c r="AJ1411">
        <v>98199</v>
      </c>
      <c r="AN1411">
        <v>549000</v>
      </c>
      <c r="BC1411" s="22">
        <v>39482.452662037038</v>
      </c>
      <c r="BI1411" s="22">
        <v>39549.294907407406</v>
      </c>
      <c r="BL1411">
        <v>11780</v>
      </c>
      <c r="BM1411">
        <v>1451633</v>
      </c>
      <c r="BN1411" t="s">
        <v>1688</v>
      </c>
      <c r="BO1411" s="17">
        <f t="shared" ca="1" si="22"/>
        <v>66.856743865741009</v>
      </c>
      <c r="BP1411" t="b">
        <v>0</v>
      </c>
      <c r="BQ1411">
        <v>1</v>
      </c>
      <c r="BR1411" t="s">
        <v>1667</v>
      </c>
      <c r="BS1411" t="s">
        <v>1839</v>
      </c>
      <c r="BT1411" t="b">
        <v>0</v>
      </c>
      <c r="BV1411" t="s">
        <v>1668</v>
      </c>
      <c r="BW1411">
        <v>2622</v>
      </c>
      <c r="BX1411" t="s">
        <v>2423</v>
      </c>
      <c r="BY1411">
        <v>124501</v>
      </c>
      <c r="BZ1411" t="s">
        <v>1672</v>
      </c>
      <c r="CA1411">
        <v>1</v>
      </c>
      <c r="CB1411" t="b">
        <v>1</v>
      </c>
      <c r="CC1411">
        <v>0</v>
      </c>
      <c r="CD1411" t="b">
        <v>0</v>
      </c>
      <c r="CE1411" t="b">
        <v>0</v>
      </c>
      <c r="CF1411" t="b">
        <v>1</v>
      </c>
      <c r="CG1411">
        <v>2857880</v>
      </c>
      <c r="CH1411" t="s">
        <v>1681</v>
      </c>
      <c r="CI1411" s="10">
        <v>589000</v>
      </c>
      <c r="CJ1411" s="7">
        <v>39100</v>
      </c>
    </row>
    <row r="1412" spans="1:88">
      <c r="A1412">
        <v>28020730</v>
      </c>
      <c r="B1412" s="2" t="str">
        <f>HYPERLINK("http://www.redfin.com/stingray/do/printable-listing?listing-id=1456665","Active")</f>
        <v>Active</v>
      </c>
      <c r="D1412" t="s">
        <v>5164</v>
      </c>
      <c r="E1412" t="s">
        <v>5166</v>
      </c>
      <c r="F1412">
        <v>720000</v>
      </c>
      <c r="G1412">
        <v>1956</v>
      </c>
      <c r="H1412">
        <v>1190</v>
      </c>
      <c r="I1412">
        <v>8000</v>
      </c>
      <c r="J1412">
        <v>3</v>
      </c>
      <c r="K1412">
        <v>2</v>
      </c>
      <c r="M1412" s="2" t="str">
        <f>HYPERLINK("http://maps.live.com/default.aspx?v=2&amp;lvl=15&amp;sp=Point.47.574233_-122.21191_4009 97th Ave SE&amp;cp=47.574233~-122.21191","Map")</f>
        <v>Map</v>
      </c>
      <c r="N1412" s="2" t="str">
        <f>HYPERLINK("http://i-0.rfimg.us/photo/1/bigphoto/730/28020730_0.jpg","Photo")</f>
        <v>Photo</v>
      </c>
      <c r="AG1412">
        <v>47.574233</v>
      </c>
      <c r="AH1412">
        <v>-122.21191</v>
      </c>
      <c r="AI1412" t="s">
        <v>5139</v>
      </c>
      <c r="AJ1412">
        <v>98040</v>
      </c>
      <c r="AN1412">
        <v>431500</v>
      </c>
      <c r="BC1412" s="22">
        <v>39483.725219907406</v>
      </c>
      <c r="BI1412" s="22">
        <v>39549.294907407406</v>
      </c>
      <c r="BL1412">
        <v>14400</v>
      </c>
      <c r="BM1412">
        <v>1456665</v>
      </c>
      <c r="BN1412" t="s">
        <v>4563</v>
      </c>
      <c r="BO1412" s="17">
        <f t="shared" ca="1" si="22"/>
        <v>65.584185995372536</v>
      </c>
      <c r="BP1412" t="b">
        <v>0</v>
      </c>
      <c r="BQ1412">
        <v>1</v>
      </c>
      <c r="BR1412" t="s">
        <v>1667</v>
      </c>
      <c r="BS1412" t="s">
        <v>1840</v>
      </c>
      <c r="BT1412" t="b">
        <v>0</v>
      </c>
      <c r="BV1412" t="s">
        <v>1668</v>
      </c>
      <c r="BW1412">
        <v>4009</v>
      </c>
      <c r="BX1412" t="s">
        <v>3856</v>
      </c>
      <c r="BY1412">
        <v>254528</v>
      </c>
      <c r="BZ1412" t="s">
        <v>1672</v>
      </c>
      <c r="CA1412">
        <v>1</v>
      </c>
      <c r="CB1412" t="b">
        <v>1</v>
      </c>
      <c r="CC1412">
        <v>0</v>
      </c>
      <c r="CD1412" t="b">
        <v>0</v>
      </c>
      <c r="CE1412" t="b">
        <v>0</v>
      </c>
      <c r="CF1412" t="b">
        <v>1</v>
      </c>
      <c r="CG1412">
        <v>2442494</v>
      </c>
      <c r="CH1412" t="s">
        <v>1681</v>
      </c>
      <c r="CI1412" s="10">
        <v>720000</v>
      </c>
      <c r="CJ1412" s="7">
        <v>37918</v>
      </c>
    </row>
    <row r="1413" spans="1:88">
      <c r="A1413">
        <v>28020784</v>
      </c>
      <c r="B1413" s="2" t="str">
        <f>HYPERLINK("http://www.redfin.com/stingray/do/printable-listing?listing-id=1451936","Active")</f>
        <v>Active</v>
      </c>
      <c r="D1413" t="s">
        <v>184</v>
      </c>
      <c r="E1413" t="s">
        <v>2896</v>
      </c>
      <c r="F1413">
        <v>299950</v>
      </c>
      <c r="G1413">
        <v>2007</v>
      </c>
      <c r="H1413">
        <v>835</v>
      </c>
      <c r="I1413">
        <v>0</v>
      </c>
      <c r="J1413">
        <v>2</v>
      </c>
      <c r="K1413">
        <v>1</v>
      </c>
      <c r="M1413" s="2" t="str">
        <f>HYPERLINK("http://maps.live.com/default.aspx?v=2&amp;lvl=15&amp;sp=Point.47.719263_-122.316821_1019 NE 125th St&amp;cp=47.719263~-122.316821","Map")</f>
        <v>Map</v>
      </c>
      <c r="N1413" s="2" t="str">
        <f>HYPERLINK("http://i-0.rfimg.us/photo/1/bigphoto/784/28020784_2.jpg","Photo")</f>
        <v>Photo</v>
      </c>
      <c r="AG1413">
        <v>47.719262999999998</v>
      </c>
      <c r="AH1413">
        <v>-122.316821</v>
      </c>
      <c r="AI1413" t="s">
        <v>66</v>
      </c>
      <c r="AJ1413">
        <v>98125</v>
      </c>
      <c r="BC1413" s="22">
        <v>39482.494479166664</v>
      </c>
      <c r="BI1413" s="7">
        <v>39541</v>
      </c>
      <c r="BL1413">
        <v>5999</v>
      </c>
      <c r="BM1413">
        <v>1451936</v>
      </c>
      <c r="BN1413" t="s">
        <v>1678</v>
      </c>
      <c r="BO1413" s="17">
        <f t="shared" ca="1" si="22"/>
        <v>66.814926736115012</v>
      </c>
      <c r="BP1413" t="b">
        <v>0</v>
      </c>
      <c r="BQ1413">
        <v>1</v>
      </c>
      <c r="BR1413" t="s">
        <v>1686</v>
      </c>
      <c r="BS1413" t="s">
        <v>2677</v>
      </c>
      <c r="BT1413" t="b">
        <v>0</v>
      </c>
      <c r="BU1413" t="s">
        <v>1738</v>
      </c>
      <c r="BV1413" t="s">
        <v>1668</v>
      </c>
      <c r="BW1413">
        <v>1019</v>
      </c>
      <c r="BY1413">
        <v>12385877</v>
      </c>
      <c r="BZ1413" t="s">
        <v>2418</v>
      </c>
      <c r="CA1413">
        <v>1</v>
      </c>
      <c r="CB1413" t="b">
        <v>1</v>
      </c>
      <c r="CC1413">
        <v>0</v>
      </c>
      <c r="CD1413" t="b">
        <v>0</v>
      </c>
      <c r="CE1413" t="b">
        <v>0</v>
      </c>
      <c r="CF1413" t="b">
        <v>1</v>
      </c>
      <c r="CG1413">
        <v>15589625</v>
      </c>
      <c r="CH1413" t="s">
        <v>1681</v>
      </c>
      <c r="CI1413" s="10">
        <v>299950</v>
      </c>
    </row>
    <row r="1414" spans="1:88">
      <c r="A1414">
        <v>28020794</v>
      </c>
      <c r="B1414" s="2" t="str">
        <f>HYPERLINK("http://www.redfin.com/stingray/do/printable-listing?listing-id=1451944","Subject To Inspection")</f>
        <v>Subject To Inspection</v>
      </c>
      <c r="D1414" t="s">
        <v>184</v>
      </c>
      <c r="E1414" t="s">
        <v>2896</v>
      </c>
      <c r="F1414">
        <v>254950</v>
      </c>
      <c r="G1414">
        <v>2007</v>
      </c>
      <c r="H1414">
        <v>707</v>
      </c>
      <c r="I1414">
        <v>0</v>
      </c>
      <c r="J1414">
        <v>1</v>
      </c>
      <c r="K1414">
        <v>1</v>
      </c>
      <c r="M1414" s="2" t="str">
        <f>HYPERLINK("http://maps.live.com/default.aspx?v=2&amp;lvl=15&amp;sp=Point.47.719263_-122.316821_1019 NE 125th St&amp;cp=47.719263~-122.316821","Map")</f>
        <v>Map</v>
      </c>
      <c r="N1414" s="2" t="str">
        <f>HYPERLINK("http://i-0.rfimg.us/photo/1/bigphoto/794/28020794_0.jpg","Photo")</f>
        <v>Photo</v>
      </c>
      <c r="AG1414">
        <v>47.719262999999998</v>
      </c>
      <c r="AH1414">
        <v>-122.316821</v>
      </c>
      <c r="AI1414" t="s">
        <v>66</v>
      </c>
      <c r="AJ1414">
        <v>98125</v>
      </c>
      <c r="BC1414" s="22">
        <v>39482.494583333333</v>
      </c>
      <c r="BI1414" s="7">
        <v>39535</v>
      </c>
      <c r="BL1414">
        <v>4649</v>
      </c>
      <c r="BM1414">
        <v>1451944</v>
      </c>
      <c r="BN1414" t="s">
        <v>1678</v>
      </c>
      <c r="BO1414" s="17">
        <f t="shared" ca="1" si="22"/>
        <v>66.814822569445823</v>
      </c>
      <c r="BP1414" t="b">
        <v>0</v>
      </c>
      <c r="BQ1414">
        <v>2</v>
      </c>
      <c r="BR1414" t="s">
        <v>1686</v>
      </c>
      <c r="BS1414" t="s">
        <v>2677</v>
      </c>
      <c r="BT1414" t="b">
        <v>0</v>
      </c>
      <c r="BU1414" t="s">
        <v>1738</v>
      </c>
      <c r="BV1414" t="s">
        <v>1668</v>
      </c>
      <c r="BW1414">
        <v>1019</v>
      </c>
      <c r="BY1414">
        <v>12385877</v>
      </c>
      <c r="BZ1414" t="s">
        <v>1676</v>
      </c>
      <c r="CA1414">
        <v>1</v>
      </c>
      <c r="CB1414" t="b">
        <v>1</v>
      </c>
      <c r="CC1414">
        <v>0</v>
      </c>
      <c r="CD1414" t="b">
        <v>0</v>
      </c>
      <c r="CE1414" t="b">
        <v>0</v>
      </c>
      <c r="CF1414" t="b">
        <v>1</v>
      </c>
      <c r="CG1414">
        <v>15589625</v>
      </c>
      <c r="CH1414" t="s">
        <v>1681</v>
      </c>
      <c r="CI1414" s="10">
        <v>254950</v>
      </c>
    </row>
    <row r="1415" spans="1:88">
      <c r="A1415">
        <v>28020801</v>
      </c>
      <c r="B1415" s="2" t="str">
        <f>HYPERLINK("http://www.redfin.com/stingray/do/printable-listing?listing-id=1451943","Active")</f>
        <v>Active</v>
      </c>
      <c r="D1415" t="s">
        <v>88</v>
      </c>
      <c r="E1415" t="s">
        <v>2604</v>
      </c>
      <c r="F1415">
        <v>849950</v>
      </c>
      <c r="G1415">
        <v>1920</v>
      </c>
      <c r="H1415">
        <v>2838</v>
      </c>
      <c r="I1415">
        <v>4000</v>
      </c>
      <c r="J1415">
        <v>4</v>
      </c>
      <c r="K1415">
        <v>2.75</v>
      </c>
      <c r="M1415" s="2" t="str">
        <f>HYPERLINK("http://maps.live.com/default.aspx?v=2&amp;lvl=15&amp;sp=Point.47.676755_-122.356118_6524 Palatine Ave N&amp;cp=47.676755~-122.356118","Map")</f>
        <v>Map</v>
      </c>
      <c r="N1415" s="2" t="str">
        <f>HYPERLINK("http://i-0.rfimg.us/photo/1/bigphoto/801/28020801_2.jpg","Photo")</f>
        <v>Photo</v>
      </c>
      <c r="AG1415">
        <v>47.676755</v>
      </c>
      <c r="AH1415">
        <v>-122.356118</v>
      </c>
      <c r="AI1415" t="s">
        <v>66</v>
      </c>
      <c r="AJ1415">
        <v>98103</v>
      </c>
      <c r="AN1415">
        <v>479950</v>
      </c>
      <c r="BC1415" s="22">
        <v>39482.494583333333</v>
      </c>
      <c r="BI1415" s="22">
        <v>39549.294907407406</v>
      </c>
      <c r="BL1415">
        <v>16999</v>
      </c>
      <c r="BM1415">
        <v>1451943</v>
      </c>
      <c r="BN1415" t="s">
        <v>1766</v>
      </c>
      <c r="BO1415" s="17">
        <f t="shared" ca="1" si="22"/>
        <v>66.814822685184481</v>
      </c>
      <c r="BP1415" t="b">
        <v>0</v>
      </c>
      <c r="BQ1415">
        <v>1</v>
      </c>
      <c r="BR1415" t="s">
        <v>1667</v>
      </c>
      <c r="BS1415" t="s">
        <v>2605</v>
      </c>
      <c r="BT1415" t="b">
        <v>0</v>
      </c>
      <c r="BV1415" t="s">
        <v>1668</v>
      </c>
      <c r="BW1415">
        <v>6524</v>
      </c>
      <c r="BX1415" t="s">
        <v>1712</v>
      </c>
      <c r="BY1415">
        <v>496218</v>
      </c>
      <c r="BZ1415" t="s">
        <v>2606</v>
      </c>
      <c r="CA1415">
        <v>1</v>
      </c>
      <c r="CB1415" t="b">
        <v>1</v>
      </c>
      <c r="CC1415">
        <v>0</v>
      </c>
      <c r="CD1415" t="b">
        <v>0</v>
      </c>
      <c r="CE1415" t="b">
        <v>0</v>
      </c>
      <c r="CF1415" t="b">
        <v>1</v>
      </c>
      <c r="CG1415">
        <v>2440849</v>
      </c>
      <c r="CH1415" t="s">
        <v>1681</v>
      </c>
      <c r="CI1415" s="10">
        <v>849950</v>
      </c>
      <c r="CJ1415" s="7">
        <v>36810</v>
      </c>
    </row>
    <row r="1416" spans="1:88">
      <c r="A1416">
        <v>28020856</v>
      </c>
      <c r="B1416" s="2" t="str">
        <f>HYPERLINK("http://www.redfin.com/stingray/do/printable-listing?listing-id=1452526","Active")</f>
        <v>Active</v>
      </c>
      <c r="D1416" t="s">
        <v>4663</v>
      </c>
      <c r="E1416" t="s">
        <v>5006</v>
      </c>
      <c r="F1416">
        <v>1130000</v>
      </c>
      <c r="G1416">
        <v>1954</v>
      </c>
      <c r="H1416">
        <v>2810</v>
      </c>
      <c r="I1416">
        <v>54325</v>
      </c>
      <c r="J1416">
        <v>3</v>
      </c>
      <c r="K1416">
        <v>3.25</v>
      </c>
      <c r="M1416" s="2" t="str">
        <f>HYPERLINK("http://maps.live.com/default.aspx?v=2&amp;lvl=15&amp;sp=Point.47.638709_-122.175556_12223 NE 32nd St&amp;cp=47.638709~-122.175556","Map")</f>
        <v>Map</v>
      </c>
      <c r="N1416" s="2" t="str">
        <f>HYPERLINK("http://i-0.rfimg.us/photo/1/bigphoto/856/28020856_7.jpg","Photo")</f>
        <v>Photo</v>
      </c>
      <c r="AG1416">
        <v>47.638708999999999</v>
      </c>
      <c r="AH1416">
        <v>-122.175556</v>
      </c>
      <c r="AI1416" t="s">
        <v>369</v>
      </c>
      <c r="AJ1416">
        <v>98005</v>
      </c>
      <c r="BC1416" s="22">
        <v>39482.65216435185</v>
      </c>
      <c r="BI1416" s="22">
        <v>39549.294907407406</v>
      </c>
      <c r="BL1416">
        <v>22600</v>
      </c>
      <c r="BM1416">
        <v>1452526</v>
      </c>
      <c r="BN1416" t="s">
        <v>2203</v>
      </c>
      <c r="BO1416" s="17">
        <f t="shared" ca="1" si="22"/>
        <v>66.657241550929029</v>
      </c>
      <c r="BP1416" t="b">
        <v>0</v>
      </c>
      <c r="BQ1416">
        <v>1</v>
      </c>
      <c r="BR1416" t="s">
        <v>1686</v>
      </c>
      <c r="BS1416" t="s">
        <v>1733</v>
      </c>
      <c r="BT1416" t="b">
        <v>0</v>
      </c>
      <c r="BU1416" t="s">
        <v>1738</v>
      </c>
      <c r="BV1416" t="s">
        <v>1668</v>
      </c>
      <c r="BW1416">
        <v>12223</v>
      </c>
      <c r="BY1416">
        <v>430790</v>
      </c>
      <c r="BZ1416" t="s">
        <v>5007</v>
      </c>
      <c r="CA1416">
        <v>1</v>
      </c>
      <c r="CB1416" t="b">
        <v>1</v>
      </c>
      <c r="CC1416">
        <v>0</v>
      </c>
      <c r="CD1416" t="b">
        <v>0</v>
      </c>
      <c r="CE1416" t="b">
        <v>0</v>
      </c>
      <c r="CF1416" t="b">
        <v>1</v>
      </c>
      <c r="CG1416">
        <v>2664882</v>
      </c>
      <c r="CH1416" t="s">
        <v>1681</v>
      </c>
      <c r="CI1416" s="10">
        <v>1130000</v>
      </c>
    </row>
    <row r="1417" spans="1:88">
      <c r="A1417">
        <v>28020861</v>
      </c>
      <c r="B1417" s="2" t="str">
        <f>HYPERLINK("http://www.redfin.com/stingray/do/printable-listing?listing-id=1452160","Active")</f>
        <v>Active</v>
      </c>
      <c r="D1417" t="s">
        <v>4611</v>
      </c>
      <c r="E1417" t="s">
        <v>4816</v>
      </c>
      <c r="F1417">
        <v>1139000</v>
      </c>
      <c r="G1417">
        <v>2007</v>
      </c>
      <c r="H1417">
        <v>3689</v>
      </c>
      <c r="I1417">
        <v>7900</v>
      </c>
      <c r="J1417">
        <v>5</v>
      </c>
      <c r="K1417">
        <v>3</v>
      </c>
      <c r="M1417" s="2" t="str">
        <f>HYPERLINK("http://maps.live.com/default.aspx?v=2&amp;lvl=15&amp;sp=Point.47.672062_-122.141903_7355 149th Ave NE&amp;cp=47.672062~-122.141903","Map")</f>
        <v>Map</v>
      </c>
      <c r="N1417" s="2" t="str">
        <f>HYPERLINK("http://i-0.rfimg.us/photo/1/bigphoto/861/28020861_1.jpg","Photo")</f>
        <v>Photo</v>
      </c>
      <c r="AG1417">
        <v>47.672061999999997</v>
      </c>
      <c r="AH1417">
        <v>-122.141903</v>
      </c>
      <c r="AI1417" t="s">
        <v>4363</v>
      </c>
      <c r="AJ1417">
        <v>98052</v>
      </c>
      <c r="AN1417">
        <v>1100000</v>
      </c>
      <c r="BC1417" s="22">
        <v>39482.536238425928</v>
      </c>
      <c r="BI1417" s="22">
        <v>39549.294907407406</v>
      </c>
      <c r="BL1417">
        <v>22780</v>
      </c>
      <c r="BM1417">
        <v>1452160</v>
      </c>
      <c r="BN1417" t="s">
        <v>4815</v>
      </c>
      <c r="BO1417" s="17">
        <f t="shared" ca="1" si="22"/>
        <v>66.773167476851086</v>
      </c>
      <c r="BP1417" t="b">
        <v>0</v>
      </c>
      <c r="BQ1417">
        <v>1</v>
      </c>
      <c r="BR1417" t="s">
        <v>1667</v>
      </c>
      <c r="BS1417" t="s">
        <v>4817</v>
      </c>
      <c r="BT1417" t="b">
        <v>0</v>
      </c>
      <c r="BV1417" t="s">
        <v>1668</v>
      </c>
      <c r="BW1417">
        <v>7355</v>
      </c>
      <c r="BX1417" t="s">
        <v>1738</v>
      </c>
      <c r="BY1417">
        <v>2093735</v>
      </c>
      <c r="BZ1417" t="s">
        <v>3305</v>
      </c>
      <c r="CA1417">
        <v>1</v>
      </c>
      <c r="CB1417" t="b">
        <v>1</v>
      </c>
      <c r="CC1417">
        <v>0</v>
      </c>
      <c r="CD1417" t="b">
        <v>0</v>
      </c>
      <c r="CE1417" t="b">
        <v>0</v>
      </c>
      <c r="CF1417" t="b">
        <v>1</v>
      </c>
      <c r="CG1417">
        <v>2947171</v>
      </c>
      <c r="CH1417" t="s">
        <v>1681</v>
      </c>
      <c r="CI1417" s="10">
        <v>1139000</v>
      </c>
      <c r="CJ1417" s="7">
        <v>39202</v>
      </c>
    </row>
    <row r="1418" spans="1:88">
      <c r="A1418">
        <v>28020895</v>
      </c>
      <c r="B1418" s="15" t="str">
        <f>HYPERLINK("http://www.redfin.com/stingray/do/printable-listing?listing-id=1452159","Contingent")</f>
        <v>Contingent</v>
      </c>
      <c r="D1418" t="s">
        <v>60</v>
      </c>
      <c r="E1418" t="s">
        <v>2524</v>
      </c>
      <c r="F1418" s="19">
        <v>554950</v>
      </c>
      <c r="G1418">
        <v>1909</v>
      </c>
      <c r="H1418">
        <v>1790</v>
      </c>
      <c r="I1418">
        <v>6000</v>
      </c>
      <c r="J1418">
        <v>2</v>
      </c>
      <c r="K1418">
        <v>1.75</v>
      </c>
      <c r="M1418" s="2" t="str">
        <f>HYPERLINK("http://maps.live.com/default.aspx?v=2&amp;lvl=15&amp;sp=Point.47.67354_-122.325149_6126 Latona Ave NE&amp;cp=47.67354~-122.325149","Map")</f>
        <v>Map</v>
      </c>
      <c r="N1418" s="2" t="str">
        <f>HYPERLINK("http://i-0.rfimg.us/photo/1/bigphoto/895/28020895_0.jpg","Photo")</f>
        <v>Photo</v>
      </c>
      <c r="AG1418">
        <v>47.673540000000003</v>
      </c>
      <c r="AH1418">
        <v>-122.325149</v>
      </c>
      <c r="AI1418" t="s">
        <v>66</v>
      </c>
      <c r="AJ1418">
        <v>98115</v>
      </c>
      <c r="AN1418">
        <v>322500</v>
      </c>
      <c r="BC1418" s="22">
        <v>39482.536238425928</v>
      </c>
      <c r="BI1418" s="22">
        <v>39549.294907407406</v>
      </c>
      <c r="BL1418">
        <v>11499</v>
      </c>
      <c r="BM1418">
        <v>1452159</v>
      </c>
      <c r="BN1418" t="s">
        <v>1774</v>
      </c>
      <c r="BO1418" s="17">
        <f t="shared" ca="1" si="22"/>
        <v>66.773167592589743</v>
      </c>
      <c r="BP1418" t="b">
        <v>0</v>
      </c>
      <c r="BQ1418">
        <v>1</v>
      </c>
      <c r="BR1418" t="s">
        <v>1667</v>
      </c>
      <c r="BS1418" t="s">
        <v>2395</v>
      </c>
      <c r="BT1418" t="b">
        <v>0</v>
      </c>
      <c r="BV1418" t="s">
        <v>1668</v>
      </c>
      <c r="BW1418">
        <v>6126</v>
      </c>
      <c r="BX1418" t="s">
        <v>1738</v>
      </c>
      <c r="BY1418">
        <v>304640</v>
      </c>
      <c r="BZ1418" t="s">
        <v>1672</v>
      </c>
      <c r="CA1418">
        <v>1</v>
      </c>
      <c r="CB1418" t="b">
        <v>1</v>
      </c>
      <c r="CC1418">
        <v>0</v>
      </c>
      <c r="CD1418" t="b">
        <v>0</v>
      </c>
      <c r="CE1418" t="b">
        <v>0</v>
      </c>
      <c r="CF1418" t="b">
        <v>1</v>
      </c>
      <c r="CG1418">
        <v>2648706</v>
      </c>
      <c r="CH1418" t="s">
        <v>1681</v>
      </c>
      <c r="CI1418" s="10">
        <v>574950</v>
      </c>
      <c r="CJ1418" s="7">
        <v>37343</v>
      </c>
    </row>
    <row r="1419" spans="1:88">
      <c r="A1419">
        <v>28020906</v>
      </c>
      <c r="B1419" s="2" t="str">
        <f>HYPERLINK("http://www.redfin.com/stingray/do/printable-listing?listing-id=1455228","Active")</f>
        <v>Active</v>
      </c>
      <c r="D1419" t="s">
        <v>4777</v>
      </c>
      <c r="E1419" t="s">
        <v>4997</v>
      </c>
      <c r="F1419">
        <v>889000</v>
      </c>
      <c r="G1419">
        <v>1975</v>
      </c>
      <c r="H1419">
        <v>2920</v>
      </c>
      <c r="I1419">
        <v>13650</v>
      </c>
      <c r="J1419">
        <v>3</v>
      </c>
      <c r="K1419">
        <v>3</v>
      </c>
      <c r="M1419" s="2" t="str">
        <f>HYPERLINK("http://maps.live.com/default.aspx?v=2&amp;lvl=15&amp;sp=Point.47.665321_-122.187893_6504 114th Ave NE&amp;cp=47.665321~-122.187893","Map")</f>
        <v>Map</v>
      </c>
      <c r="N1419" s="2" t="str">
        <f>HYPERLINK("http://i-0.rfimg.us/photo/1/bigphoto/906/28020906_1.jpg","Photo")</f>
        <v>Photo</v>
      </c>
      <c r="AG1419">
        <v>47.665320999999999</v>
      </c>
      <c r="AH1419">
        <v>-122.187893</v>
      </c>
      <c r="AI1419" t="s">
        <v>1058</v>
      </c>
      <c r="AJ1419">
        <v>98033</v>
      </c>
      <c r="BC1419" s="22">
        <v>39483.400636574072</v>
      </c>
      <c r="BI1419" s="22">
        <v>39549.294907407406</v>
      </c>
      <c r="BL1419">
        <v>17780</v>
      </c>
      <c r="BM1419">
        <v>1455228</v>
      </c>
      <c r="BN1419" t="s">
        <v>1768</v>
      </c>
      <c r="BO1419" s="17">
        <f t="shared" ca="1" si="22"/>
        <v>65.908769328707422</v>
      </c>
      <c r="BP1419" t="b">
        <v>0</v>
      </c>
      <c r="BQ1419">
        <v>1</v>
      </c>
      <c r="BR1419" t="s">
        <v>1667</v>
      </c>
      <c r="BS1419" t="s">
        <v>4835</v>
      </c>
      <c r="BT1419" t="b">
        <v>0</v>
      </c>
      <c r="BV1419" t="s">
        <v>1668</v>
      </c>
      <c r="BW1419">
        <v>6504</v>
      </c>
      <c r="BX1419" t="s">
        <v>1738</v>
      </c>
      <c r="BY1419">
        <v>460576</v>
      </c>
      <c r="BZ1419" t="s">
        <v>4998</v>
      </c>
      <c r="CA1419">
        <v>1</v>
      </c>
      <c r="CB1419" t="b">
        <v>1</v>
      </c>
      <c r="CC1419">
        <v>0</v>
      </c>
      <c r="CD1419" t="b">
        <v>0</v>
      </c>
      <c r="CE1419" t="b">
        <v>0</v>
      </c>
      <c r="CF1419" t="b">
        <v>1</v>
      </c>
      <c r="CG1419">
        <v>2695570</v>
      </c>
      <c r="CH1419" t="s">
        <v>1681</v>
      </c>
      <c r="CI1419" s="10">
        <v>889000</v>
      </c>
    </row>
    <row r="1420" spans="1:88">
      <c r="A1420">
        <v>28020909</v>
      </c>
      <c r="B1420" s="2" t="str">
        <f>HYPERLINK("http://www.redfin.com/stingray/do/printable-listing?listing-id=1452156","Active")</f>
        <v>Active</v>
      </c>
      <c r="D1420" t="s">
        <v>3885</v>
      </c>
      <c r="E1420" t="s">
        <v>5772</v>
      </c>
      <c r="F1420">
        <v>450000</v>
      </c>
      <c r="G1420">
        <v>1979</v>
      </c>
      <c r="H1420">
        <v>2030</v>
      </c>
      <c r="I1420">
        <v>10117</v>
      </c>
      <c r="J1420">
        <v>4</v>
      </c>
      <c r="K1420">
        <v>2.75</v>
      </c>
      <c r="M1420" s="2" t="str">
        <f>HYPERLINK("http://maps.live.com/default.aspx?v=2&amp;lvl=15&amp;sp=Point.47.520735_-122.183271_11726 SE 92nd St&amp;cp=47.520735~-122.183271","Map")</f>
        <v>Map</v>
      </c>
      <c r="N1420" s="2" t="str">
        <f>HYPERLINK("http://i-0.rfimg.us/photo/1/bigphoto/909/28020909_0.jpg","Photo")</f>
        <v>Photo</v>
      </c>
      <c r="AG1420">
        <v>47.520735000000002</v>
      </c>
      <c r="AH1420">
        <v>-122.183271</v>
      </c>
      <c r="AI1420" t="s">
        <v>3885</v>
      </c>
      <c r="AJ1420">
        <v>98056</v>
      </c>
      <c r="AN1420">
        <v>370000</v>
      </c>
      <c r="BC1420" s="22">
        <v>39482.536226851851</v>
      </c>
      <c r="BI1420" s="22">
        <v>39549.294907407406</v>
      </c>
      <c r="BL1420">
        <v>9000</v>
      </c>
      <c r="BM1420">
        <v>1452156</v>
      </c>
      <c r="BN1420" t="s">
        <v>1674</v>
      </c>
      <c r="BO1420" s="17">
        <f t="shared" ca="1" si="22"/>
        <v>66.773179050927865</v>
      </c>
      <c r="BP1420" t="b">
        <v>0</v>
      </c>
      <c r="BQ1420">
        <v>1</v>
      </c>
      <c r="BR1420" t="s">
        <v>1686</v>
      </c>
      <c r="BS1420" t="s">
        <v>2726</v>
      </c>
      <c r="BT1420" t="b">
        <v>0</v>
      </c>
      <c r="BU1420" t="s">
        <v>3856</v>
      </c>
      <c r="BV1420" t="s">
        <v>1668</v>
      </c>
      <c r="BW1420">
        <v>11726</v>
      </c>
      <c r="BY1420">
        <v>413767</v>
      </c>
      <c r="BZ1420" t="s">
        <v>1670</v>
      </c>
      <c r="CA1420">
        <v>1</v>
      </c>
      <c r="CB1420" t="b">
        <v>1</v>
      </c>
      <c r="CC1420">
        <v>0</v>
      </c>
      <c r="CD1420" t="b">
        <v>0</v>
      </c>
      <c r="CE1420" t="b">
        <v>0</v>
      </c>
      <c r="CF1420" t="b">
        <v>1</v>
      </c>
      <c r="CG1420">
        <v>2691131</v>
      </c>
      <c r="CH1420" t="s">
        <v>1681</v>
      </c>
      <c r="CI1420" s="10">
        <v>450000</v>
      </c>
      <c r="CJ1420" s="7">
        <v>38611</v>
      </c>
    </row>
    <row r="1421" spans="1:88">
      <c r="A1421">
        <v>28020937</v>
      </c>
      <c r="B1421" s="2" t="str">
        <f>HYPERLINK("http://www.redfin.com/stingray/do/printable-listing?listing-id=1464129","Active")</f>
        <v>Active</v>
      </c>
      <c r="D1421" t="s">
        <v>88</v>
      </c>
      <c r="E1421" t="s">
        <v>2474</v>
      </c>
      <c r="F1421" s="19">
        <v>669950</v>
      </c>
      <c r="G1421">
        <v>1999</v>
      </c>
      <c r="H1421">
        <v>2222</v>
      </c>
      <c r="I1421">
        <v>0</v>
      </c>
      <c r="J1421">
        <v>3</v>
      </c>
      <c r="K1421">
        <v>3.5</v>
      </c>
      <c r="M1421" s="2" t="str">
        <f>HYPERLINK("http://maps.live.com/default.aspx?v=2&amp;lvl=15&amp;sp=Point.47.660599_-122.354603_4423 Phinney Ave N&amp;cp=47.660599~-122.354603","Map")</f>
        <v>Map</v>
      </c>
      <c r="N1421" s="2" t="str">
        <f>HYPERLINK("http://i-0.rfimg.us/photo/1/bigphoto/937/28020937_9.jpg","Photo")</f>
        <v>Photo</v>
      </c>
      <c r="AG1421">
        <v>47.660598999999998</v>
      </c>
      <c r="AH1421">
        <v>-122.354603</v>
      </c>
      <c r="AI1421" t="s">
        <v>66</v>
      </c>
      <c r="AJ1421">
        <v>98103</v>
      </c>
      <c r="AN1421">
        <v>675000</v>
      </c>
      <c r="BC1421" s="22">
        <v>39486.090046296296</v>
      </c>
      <c r="BI1421" s="22">
        <v>39549.294907407406</v>
      </c>
      <c r="BL1421">
        <v>13999</v>
      </c>
      <c r="BM1421">
        <v>1464129</v>
      </c>
      <c r="BN1421" t="s">
        <v>1700</v>
      </c>
      <c r="BO1421" s="17">
        <f t="shared" ca="1" si="22"/>
        <v>63.21935972222127</v>
      </c>
      <c r="BP1421" t="b">
        <v>0</v>
      </c>
      <c r="BQ1421">
        <v>1</v>
      </c>
      <c r="BR1421" t="s">
        <v>1667</v>
      </c>
      <c r="BS1421" t="s">
        <v>2475</v>
      </c>
      <c r="BT1421" t="b">
        <v>0</v>
      </c>
      <c r="BV1421" t="s">
        <v>1668</v>
      </c>
      <c r="BW1421">
        <v>4423</v>
      </c>
      <c r="BX1421" t="s">
        <v>1712</v>
      </c>
      <c r="BY1421">
        <v>303659</v>
      </c>
      <c r="BZ1421" t="s">
        <v>2476</v>
      </c>
      <c r="CA1421">
        <v>1</v>
      </c>
      <c r="CB1421" t="b">
        <v>1</v>
      </c>
      <c r="CC1421">
        <v>0</v>
      </c>
      <c r="CD1421" t="b">
        <v>0</v>
      </c>
      <c r="CE1421" t="b">
        <v>0</v>
      </c>
      <c r="CF1421" t="b">
        <v>0</v>
      </c>
      <c r="CG1421">
        <v>2905511</v>
      </c>
      <c r="CH1421" t="s">
        <v>1681</v>
      </c>
      <c r="CI1421" s="10">
        <v>699950</v>
      </c>
      <c r="CJ1421" s="7">
        <v>38608</v>
      </c>
    </row>
    <row r="1422" spans="1:88">
      <c r="A1422">
        <v>28020948</v>
      </c>
      <c r="B1422" s="2" t="str">
        <f>HYPERLINK("http://www.redfin.com/stingray/do/printable-listing?listing-id=1464130","Active")</f>
        <v>Active</v>
      </c>
      <c r="D1422" t="s">
        <v>3249</v>
      </c>
      <c r="E1422" t="s">
        <v>3610</v>
      </c>
      <c r="F1422">
        <v>525000</v>
      </c>
      <c r="G1422">
        <v>1908</v>
      </c>
      <c r="H1422">
        <v>2220</v>
      </c>
      <c r="I1422">
        <v>2850</v>
      </c>
      <c r="J1422">
        <v>2</v>
      </c>
      <c r="K1422">
        <v>1</v>
      </c>
      <c r="M1422" s="2" t="str">
        <f>HYPERLINK("http://maps.live.com/default.aspx?v=2&amp;lvl=15&amp;sp=Point.47.634937_-122.372121_1108 W Blaine St&amp;cp=47.634937~-122.372121","Map")</f>
        <v>Map</v>
      </c>
      <c r="N1422" s="2" t="str">
        <f>HYPERLINK("http://i-0.rfimg.us/photo/1/bigphoto/948/28020948_0.jpg","Photo")</f>
        <v>Photo</v>
      </c>
      <c r="AG1422">
        <v>47.634937000000001</v>
      </c>
      <c r="AH1422">
        <v>-122.37212100000001</v>
      </c>
      <c r="AI1422" t="s">
        <v>66</v>
      </c>
      <c r="AJ1422">
        <v>98119</v>
      </c>
      <c r="BC1422" s="22">
        <v>39486.090069444443</v>
      </c>
      <c r="BI1422" s="22">
        <v>39549.294907407406</v>
      </c>
      <c r="BL1422">
        <v>10500</v>
      </c>
      <c r="BM1422">
        <v>1464130</v>
      </c>
      <c r="BN1422" t="s">
        <v>1700</v>
      </c>
      <c r="BO1422" s="17">
        <f t="shared" ca="1" si="22"/>
        <v>63.219336458336329</v>
      </c>
      <c r="BP1422" t="b">
        <v>0</v>
      </c>
      <c r="BQ1422">
        <v>1</v>
      </c>
      <c r="BR1422" t="s">
        <v>1686</v>
      </c>
      <c r="BS1422" t="s">
        <v>3542</v>
      </c>
      <c r="BT1422" t="b">
        <v>0</v>
      </c>
      <c r="BU1422" t="s">
        <v>2423</v>
      </c>
      <c r="BV1422" t="s">
        <v>1668</v>
      </c>
      <c r="BW1422">
        <v>1108</v>
      </c>
      <c r="BY1422">
        <v>133973</v>
      </c>
      <c r="BZ1422" t="s">
        <v>1713</v>
      </c>
      <c r="CA1422">
        <v>1</v>
      </c>
      <c r="CB1422" t="b">
        <v>1</v>
      </c>
      <c r="CC1422">
        <v>0</v>
      </c>
      <c r="CD1422" t="b">
        <v>0</v>
      </c>
      <c r="CE1422" t="b">
        <v>0</v>
      </c>
      <c r="CF1422" t="b">
        <v>0</v>
      </c>
      <c r="CG1422">
        <v>2377980</v>
      </c>
      <c r="CH1422" t="s">
        <v>1681</v>
      </c>
      <c r="CI1422" s="10">
        <v>525000</v>
      </c>
    </row>
    <row r="1423" spans="1:88">
      <c r="A1423">
        <v>28020999</v>
      </c>
      <c r="B1423" s="2" t="str">
        <f>HYPERLINK("http://www.redfin.com/stingray/do/printable-listing?listing-id=1452379","Active")</f>
        <v>Active</v>
      </c>
      <c r="D1423" t="s">
        <v>66</v>
      </c>
      <c r="E1423" t="s">
        <v>307</v>
      </c>
      <c r="F1423">
        <v>428000</v>
      </c>
      <c r="G1423">
        <v>1921</v>
      </c>
      <c r="H1423">
        <v>1960</v>
      </c>
      <c r="I1423">
        <v>4800</v>
      </c>
      <c r="J1423">
        <v>3</v>
      </c>
      <c r="K1423">
        <v>2.5</v>
      </c>
      <c r="M1423" s="2" t="str">
        <f>HYPERLINK("http://maps.live.com/default.aspx?v=2&amp;lvl=15&amp;sp=Point.47.686495_-122.378624_7748 17th Ave NW&amp;cp=47.686495~-122.378624","Map")</f>
        <v>Map</v>
      </c>
      <c r="N1423" s="2" t="str">
        <f>HYPERLINK("http://i-0.rfimg.us/photo/1/bigphoto/999/28020999_0.jpg","Photo")</f>
        <v>Photo</v>
      </c>
      <c r="AG1423">
        <v>47.686495000000001</v>
      </c>
      <c r="AH1423">
        <v>-122.378624</v>
      </c>
      <c r="AI1423" t="s">
        <v>66</v>
      </c>
      <c r="AJ1423">
        <v>98117</v>
      </c>
      <c r="AN1423">
        <v>139950</v>
      </c>
      <c r="BC1423" s="22">
        <v>39482.59920138889</v>
      </c>
      <c r="BI1423" s="22">
        <v>39549.294907407406</v>
      </c>
      <c r="BL1423">
        <v>8560</v>
      </c>
      <c r="BM1423">
        <v>1452379</v>
      </c>
      <c r="BN1423" t="s">
        <v>1682</v>
      </c>
      <c r="BO1423" s="17">
        <f t="shared" ca="1" si="22"/>
        <v>66.710204629627697</v>
      </c>
      <c r="BP1423" t="b">
        <v>0</v>
      </c>
      <c r="BQ1423">
        <v>1</v>
      </c>
      <c r="BR1423" t="s">
        <v>1667</v>
      </c>
      <c r="BS1423" t="s">
        <v>1683</v>
      </c>
      <c r="BT1423" t="b">
        <v>0</v>
      </c>
      <c r="BV1423" t="s">
        <v>1668</v>
      </c>
      <c r="BW1423">
        <v>7748</v>
      </c>
      <c r="BX1423" t="s">
        <v>1669</v>
      </c>
      <c r="BY1423">
        <v>164210</v>
      </c>
      <c r="BZ1423" t="s">
        <v>1684</v>
      </c>
      <c r="CA1423">
        <v>1</v>
      </c>
      <c r="CB1423" t="b">
        <v>1</v>
      </c>
      <c r="CC1423">
        <v>0</v>
      </c>
      <c r="CD1423" t="b">
        <v>0</v>
      </c>
      <c r="CE1423" t="b">
        <v>0</v>
      </c>
      <c r="CF1423" t="b">
        <v>0</v>
      </c>
      <c r="CG1423">
        <v>2353939</v>
      </c>
      <c r="CH1423" t="s">
        <v>1681</v>
      </c>
      <c r="CI1423" s="10">
        <v>428000</v>
      </c>
      <c r="CJ1423" s="7">
        <v>34320</v>
      </c>
    </row>
    <row r="1424" spans="1:88">
      <c r="A1424">
        <v>28021004</v>
      </c>
      <c r="B1424" s="2" t="str">
        <f>HYPERLINK("http://www.redfin.com/stingray/do/printable-listing?listing-id=1459779","Active")</f>
        <v>Active</v>
      </c>
      <c r="D1424" t="s">
        <v>3924</v>
      </c>
      <c r="E1424" t="s">
        <v>4091</v>
      </c>
      <c r="F1424">
        <v>599000</v>
      </c>
      <c r="G1424">
        <v>2002</v>
      </c>
      <c r="H1424">
        <v>2040</v>
      </c>
      <c r="I1424">
        <v>1860</v>
      </c>
      <c r="J1424">
        <v>3</v>
      </c>
      <c r="K1424">
        <v>2.5</v>
      </c>
      <c r="M1424" s="2" t="str">
        <f>HYPERLINK("http://maps.live.com/default.aspx?v=2&amp;lvl=15&amp;sp=Point.47.61812_-122.298308_1814 26th Ave&amp;cp=47.61812~-122.298308","Map")</f>
        <v>Map</v>
      </c>
      <c r="N1424" s="2" t="str">
        <f>HYPERLINK("http://i-0.rfimg.us/photo/1/bigphoto/004/28021004_3.jpg","Photo")</f>
        <v>Photo</v>
      </c>
      <c r="AG1424">
        <v>47.618119999999998</v>
      </c>
      <c r="AH1424">
        <v>-122.29830800000001</v>
      </c>
      <c r="AI1424" t="s">
        <v>66</v>
      </c>
      <c r="AJ1424">
        <v>98122</v>
      </c>
      <c r="AN1424">
        <v>575000</v>
      </c>
      <c r="BC1424" s="22">
        <v>39484.727025462962</v>
      </c>
      <c r="BI1424" s="22">
        <v>39549.294907407406</v>
      </c>
      <c r="BL1424">
        <v>11980</v>
      </c>
      <c r="BM1424">
        <v>1459779</v>
      </c>
      <c r="BN1424" t="s">
        <v>1746</v>
      </c>
      <c r="BO1424" s="17">
        <f t="shared" ca="1" si="22"/>
        <v>64.582380439816916</v>
      </c>
      <c r="BP1424" t="b">
        <v>0</v>
      </c>
      <c r="BQ1424">
        <v>1</v>
      </c>
      <c r="BR1424" t="s">
        <v>1667</v>
      </c>
      <c r="BS1424" t="s">
        <v>1769</v>
      </c>
      <c r="BT1424" t="b">
        <v>0</v>
      </c>
      <c r="BV1424" t="s">
        <v>1668</v>
      </c>
      <c r="BW1424">
        <v>1814</v>
      </c>
      <c r="BY1424">
        <v>147878</v>
      </c>
      <c r="BZ1424" t="s">
        <v>4092</v>
      </c>
      <c r="CA1424">
        <v>1</v>
      </c>
      <c r="CB1424" t="b">
        <v>1</v>
      </c>
      <c r="CC1424">
        <v>0</v>
      </c>
      <c r="CD1424" t="b">
        <v>0</v>
      </c>
      <c r="CE1424" t="b">
        <v>0</v>
      </c>
      <c r="CF1424" t="b">
        <v>0</v>
      </c>
      <c r="CG1424">
        <v>2899475</v>
      </c>
      <c r="CH1424" t="s">
        <v>1681</v>
      </c>
      <c r="CI1424" s="10">
        <v>599000</v>
      </c>
      <c r="CJ1424" s="7">
        <v>39171</v>
      </c>
    </row>
    <row r="1425" spans="1:88">
      <c r="A1425">
        <v>28021006</v>
      </c>
      <c r="B1425" s="2" t="str">
        <f>HYPERLINK("http://www.redfin.com/stingray/do/printable-listing?listing-id=1452327","Active")</f>
        <v>Active</v>
      </c>
      <c r="D1425" t="s">
        <v>3249</v>
      </c>
      <c r="E1425" t="s">
        <v>3575</v>
      </c>
      <c r="F1425">
        <v>620000</v>
      </c>
      <c r="G1425">
        <v>1925</v>
      </c>
      <c r="H1425">
        <v>0</v>
      </c>
      <c r="I1425">
        <v>3700</v>
      </c>
      <c r="J1425">
        <v>3</v>
      </c>
      <c r="K1425">
        <v>1</v>
      </c>
      <c r="M1425" s="2" t="str">
        <f>HYPERLINK("http://maps.live.com/default.aspx?v=2&amp;lvl=15&amp;sp=Point.47.644084_-122.368299_815 W Newell St&amp;cp=47.644084~-122.368299","Map")</f>
        <v>Map</v>
      </c>
      <c r="N1425" s="2" t="str">
        <f>HYPERLINK("http://i-0.rfimg.us/photo/1/bigphoto/006/28021006_0.jpg","Photo")</f>
        <v>Photo</v>
      </c>
      <c r="AG1425">
        <v>47.644083999999999</v>
      </c>
      <c r="AH1425">
        <v>-122.36829899999999</v>
      </c>
      <c r="AI1425" t="s">
        <v>66</v>
      </c>
      <c r="AJ1425">
        <v>98119</v>
      </c>
      <c r="AN1425">
        <v>570000</v>
      </c>
      <c r="BC1425" s="22">
        <v>39482.589490740742</v>
      </c>
      <c r="BI1425" s="22">
        <v>39549.294907407406</v>
      </c>
      <c r="BL1425">
        <v>12400</v>
      </c>
      <c r="BM1425">
        <v>1452327</v>
      </c>
      <c r="BN1425" t="s">
        <v>3286</v>
      </c>
      <c r="BO1425" s="17">
        <f t="shared" ca="1" si="22"/>
        <v>66.719915162037069</v>
      </c>
      <c r="BP1425" t="b">
        <v>0</v>
      </c>
      <c r="BQ1425">
        <v>1</v>
      </c>
      <c r="BR1425" t="s">
        <v>1686</v>
      </c>
      <c r="BS1425" t="s">
        <v>3576</v>
      </c>
      <c r="BT1425" t="b">
        <v>0</v>
      </c>
      <c r="BU1425" t="s">
        <v>2423</v>
      </c>
      <c r="BV1425" t="s">
        <v>1668</v>
      </c>
      <c r="BW1425">
        <v>815</v>
      </c>
      <c r="BY1425">
        <v>129299</v>
      </c>
      <c r="BZ1425" s="21">
        <v>0</v>
      </c>
      <c r="CA1425">
        <v>1</v>
      </c>
      <c r="CB1425" t="b">
        <v>1</v>
      </c>
      <c r="CC1425">
        <v>0</v>
      </c>
      <c r="CD1425" t="b">
        <v>1</v>
      </c>
      <c r="CE1425" t="b">
        <v>0</v>
      </c>
      <c r="CF1425" t="b">
        <v>1</v>
      </c>
      <c r="CG1425">
        <v>2759627</v>
      </c>
      <c r="CH1425" t="s">
        <v>1681</v>
      </c>
      <c r="CI1425" s="10">
        <v>620000</v>
      </c>
      <c r="CJ1425" s="7">
        <v>39219</v>
      </c>
    </row>
    <row r="1426" spans="1:88">
      <c r="A1426">
        <v>28021034</v>
      </c>
      <c r="B1426" s="2" t="str">
        <f>HYPERLINK("http://www.redfin.com/stingray/do/printable-listing?listing-id=1458357","Active")</f>
        <v>Active</v>
      </c>
      <c r="D1426" t="s">
        <v>1238</v>
      </c>
      <c r="E1426" t="s">
        <v>3778</v>
      </c>
      <c r="F1426">
        <v>1750000</v>
      </c>
      <c r="G1426">
        <v>1985</v>
      </c>
      <c r="H1426">
        <v>4240</v>
      </c>
      <c r="I1426">
        <v>7521</v>
      </c>
      <c r="J1426">
        <v>3</v>
      </c>
      <c r="K1426">
        <v>3.75</v>
      </c>
      <c r="M1426" s="2" t="str">
        <f>HYPERLINK("http://maps.live.com/default.aspx?v=2&amp;lvl=15&amp;sp=Point.47.640152_-122.322039_2324 Harvard Ave E&amp;cp=47.640152~-122.322039","Map")</f>
        <v>Map</v>
      </c>
      <c r="N1426" s="2" t="str">
        <f>HYPERLINK("http://i-0.rfimg.us/photo/1/bigphoto/034/28021034_1.jpg","Photo")</f>
        <v>Photo</v>
      </c>
      <c r="AG1426">
        <v>47.640152</v>
      </c>
      <c r="AH1426">
        <v>-122.322039</v>
      </c>
      <c r="AI1426" t="s">
        <v>66</v>
      </c>
      <c r="AJ1426">
        <v>98102</v>
      </c>
      <c r="AN1426">
        <v>1150000</v>
      </c>
      <c r="BC1426" s="22">
        <v>39484.40053240741</v>
      </c>
      <c r="BI1426" s="22">
        <v>39549.294907407406</v>
      </c>
      <c r="BL1426">
        <v>35000</v>
      </c>
      <c r="BM1426">
        <v>1458357</v>
      </c>
      <c r="BN1426" t="s">
        <v>1674</v>
      </c>
      <c r="BO1426" s="17">
        <f t="shared" ca="1" si="22"/>
        <v>64.908873495369335</v>
      </c>
      <c r="BP1426" t="b">
        <v>0</v>
      </c>
      <c r="BQ1426">
        <v>1</v>
      </c>
      <c r="BR1426" t="s">
        <v>1667</v>
      </c>
      <c r="BS1426" t="s">
        <v>3737</v>
      </c>
      <c r="BT1426" t="b">
        <v>0</v>
      </c>
      <c r="BV1426" t="s">
        <v>1668</v>
      </c>
      <c r="BW1426">
        <v>2324</v>
      </c>
      <c r="BX1426" t="s">
        <v>2436</v>
      </c>
      <c r="BY1426">
        <v>136477</v>
      </c>
      <c r="BZ1426" t="s">
        <v>1704</v>
      </c>
      <c r="CA1426">
        <v>1</v>
      </c>
      <c r="CB1426" t="b">
        <v>1</v>
      </c>
      <c r="CC1426">
        <v>0</v>
      </c>
      <c r="CD1426" t="b">
        <v>0</v>
      </c>
      <c r="CE1426" t="b">
        <v>0</v>
      </c>
      <c r="CF1426" t="b">
        <v>0</v>
      </c>
      <c r="CG1426">
        <v>2557237</v>
      </c>
      <c r="CH1426" t="s">
        <v>1681</v>
      </c>
      <c r="CI1426" s="10">
        <v>1750000</v>
      </c>
      <c r="CJ1426" s="7">
        <v>38306</v>
      </c>
    </row>
    <row r="1427" spans="1:88">
      <c r="A1427">
        <v>28021035</v>
      </c>
      <c r="B1427" s="2" t="str">
        <f>HYPERLINK("http://www.redfin.com/stingray/do/printable-listing?listing-id=1452396","Active")</f>
        <v>Active</v>
      </c>
      <c r="D1427" t="s">
        <v>919</v>
      </c>
      <c r="E1427" t="s">
        <v>2801</v>
      </c>
      <c r="F1427">
        <v>480000</v>
      </c>
      <c r="G1427">
        <v>1978</v>
      </c>
      <c r="H1427">
        <v>1900</v>
      </c>
      <c r="I1427">
        <v>5000</v>
      </c>
      <c r="J1427">
        <v>4</v>
      </c>
      <c r="K1427">
        <v>2</v>
      </c>
      <c r="M1427" s="2" t="str">
        <f>HYPERLINK("http://maps.live.com/default.aspx?v=2&amp;lvl=15&amp;sp=Point.47.697156_-122.338397_9238 Woodlawn Ave N n9240&amp;cp=47.697156~-122.338397","Map")</f>
        <v>Map</v>
      </c>
      <c r="N1427" s="2" t="str">
        <f>HYPERLINK("http://i-0.rfimg.us/photo/1/bigphoto/035/28021035_0.jpg","Photo")</f>
        <v>Photo</v>
      </c>
      <c r="AG1427">
        <v>47.697156</v>
      </c>
      <c r="AH1427">
        <v>-122.338397</v>
      </c>
      <c r="AI1427" t="s">
        <v>66</v>
      </c>
      <c r="AJ1427">
        <v>98103</v>
      </c>
      <c r="AM1427" t="s">
        <v>2802</v>
      </c>
      <c r="BC1427" s="22">
        <v>39482.610289351855</v>
      </c>
      <c r="BI1427" s="22">
        <v>39549.294907407406</v>
      </c>
      <c r="BL1427">
        <v>9600</v>
      </c>
      <c r="BM1427">
        <v>1452396</v>
      </c>
      <c r="BN1427" t="s">
        <v>1674</v>
      </c>
      <c r="BO1427" s="17">
        <f t="shared" ca="1" si="22"/>
        <v>66.699116666663031</v>
      </c>
      <c r="BP1427" t="b">
        <v>0</v>
      </c>
      <c r="BQ1427">
        <v>1</v>
      </c>
      <c r="BR1427" t="s">
        <v>1667</v>
      </c>
      <c r="BS1427" t="s">
        <v>2656</v>
      </c>
      <c r="BT1427" t="b">
        <v>0</v>
      </c>
      <c r="BV1427" t="s">
        <v>1668</v>
      </c>
      <c r="BW1427">
        <v>9238</v>
      </c>
      <c r="BX1427" t="s">
        <v>1712</v>
      </c>
      <c r="BY1427">
        <v>12385943</v>
      </c>
      <c r="BZ1427" t="s">
        <v>1813</v>
      </c>
      <c r="CA1427">
        <v>1</v>
      </c>
      <c r="CB1427" t="b">
        <v>1</v>
      </c>
      <c r="CC1427">
        <v>0</v>
      </c>
      <c r="CD1427" t="b">
        <v>0</v>
      </c>
      <c r="CE1427" t="b">
        <v>0</v>
      </c>
      <c r="CF1427" t="b">
        <v>1</v>
      </c>
      <c r="CG1427">
        <v>15589691</v>
      </c>
      <c r="CH1427" t="s">
        <v>1681</v>
      </c>
      <c r="CI1427" s="10">
        <v>480000</v>
      </c>
    </row>
    <row r="1428" spans="1:88">
      <c r="A1428">
        <v>28021052</v>
      </c>
      <c r="B1428" s="15" t="str">
        <f>HYPERLINK("http://www.redfin.com/stingray/do/printable-listing?listing-id=1456123","Subject To Inspection")</f>
        <v>Subject To Inspection</v>
      </c>
      <c r="D1428" t="s">
        <v>99</v>
      </c>
      <c r="E1428" t="s">
        <v>1183</v>
      </c>
      <c r="F1428" s="19">
        <v>525000</v>
      </c>
      <c r="G1428">
        <v>1920</v>
      </c>
      <c r="H1428">
        <v>2100</v>
      </c>
      <c r="I1428">
        <v>7204</v>
      </c>
      <c r="J1428">
        <v>3</v>
      </c>
      <c r="K1428">
        <v>2.75</v>
      </c>
      <c r="M1428" s="2" t="str">
        <f>HYPERLINK("http://maps.live.com/default.aspx?v=2&amp;lvl=15&amp;sp=Point.47.700234_-122.371876_9701 12th Ave NW&amp;cp=47.700234~-122.371876","Map")</f>
        <v>Map</v>
      </c>
      <c r="N1428" s="2" t="str">
        <f>HYPERLINK("http://i-0.rfimg.us/photo/1/bigphoto/052/28021052_1.jpg","Photo")</f>
        <v>Photo</v>
      </c>
      <c r="AG1428">
        <v>47.700234000000002</v>
      </c>
      <c r="AH1428">
        <v>-122.371876</v>
      </c>
      <c r="AI1428" t="s">
        <v>66</v>
      </c>
      <c r="AJ1428">
        <v>98117</v>
      </c>
      <c r="AN1428">
        <v>151000</v>
      </c>
      <c r="BC1428" s="22">
        <v>39483.598865740743</v>
      </c>
      <c r="BI1428" s="7">
        <v>39543</v>
      </c>
      <c r="BL1428">
        <v>11000</v>
      </c>
      <c r="BM1428">
        <v>1456123</v>
      </c>
      <c r="BN1428" t="s">
        <v>1702</v>
      </c>
      <c r="BO1428" s="17">
        <f t="shared" ca="1" si="22"/>
        <v>65.710540277774271</v>
      </c>
      <c r="BP1428" t="b">
        <v>0</v>
      </c>
      <c r="BQ1428">
        <v>1</v>
      </c>
      <c r="BR1428" t="s">
        <v>1667</v>
      </c>
      <c r="BS1428" t="s">
        <v>1803</v>
      </c>
      <c r="BT1428" t="b">
        <v>0</v>
      </c>
      <c r="BV1428" t="s">
        <v>1668</v>
      </c>
      <c r="BW1428">
        <v>9701</v>
      </c>
      <c r="BX1428" t="s">
        <v>1669</v>
      </c>
      <c r="BY1428">
        <v>95596</v>
      </c>
      <c r="BZ1428" t="s">
        <v>1804</v>
      </c>
      <c r="CA1428">
        <v>1</v>
      </c>
      <c r="CB1428" t="b">
        <v>1</v>
      </c>
      <c r="CC1428">
        <v>0</v>
      </c>
      <c r="CD1428" t="b">
        <v>0</v>
      </c>
      <c r="CE1428" t="b">
        <v>0</v>
      </c>
      <c r="CF1428" t="b">
        <v>0</v>
      </c>
      <c r="CG1428">
        <v>2798699</v>
      </c>
      <c r="CH1428" t="s">
        <v>1681</v>
      </c>
      <c r="CI1428" s="10">
        <v>550000</v>
      </c>
      <c r="CJ1428" s="7">
        <v>33988</v>
      </c>
    </row>
    <row r="1429" spans="1:88">
      <c r="A1429">
        <v>28021114</v>
      </c>
      <c r="B1429" s="15" t="str">
        <f>HYPERLINK("http://www.redfin.com/stingray/do/printable-listing?listing-id=1452525","Subject To Inspection")</f>
        <v>Subject To Inspection</v>
      </c>
      <c r="D1429" t="s">
        <v>3885</v>
      </c>
      <c r="E1429" t="s">
        <v>5697</v>
      </c>
      <c r="F1429">
        <v>417000</v>
      </c>
      <c r="G1429">
        <v>1966</v>
      </c>
      <c r="H1429">
        <v>2520</v>
      </c>
      <c r="I1429">
        <v>16434</v>
      </c>
      <c r="J1429">
        <v>5</v>
      </c>
      <c r="K1429">
        <v>2.75</v>
      </c>
      <c r="M1429" s="2" t="str">
        <f>HYPERLINK("http://maps.live.com/default.aspx?v=2&amp;lvl=15&amp;sp=Point.47.539056_-122.174629_7033 125th Ave SE&amp;cp=47.539056~-122.174629","Map")</f>
        <v>Map</v>
      </c>
      <c r="N1429" s="2" t="str">
        <f>HYPERLINK("http://i-0.rfimg.us/photo/1/bigphoto/114/28021114_0.jpg","Photo")</f>
        <v>Photo</v>
      </c>
      <c r="AG1429">
        <v>47.539056000000002</v>
      </c>
      <c r="AH1429">
        <v>-122.174629</v>
      </c>
      <c r="AI1429" t="s">
        <v>3885</v>
      </c>
      <c r="AJ1429">
        <v>98056</v>
      </c>
      <c r="AN1429">
        <v>490000</v>
      </c>
      <c r="BC1429" s="22">
        <v>39482.65216435185</v>
      </c>
      <c r="BI1429" s="22">
        <v>39549.294907407406</v>
      </c>
      <c r="BL1429">
        <v>8340</v>
      </c>
      <c r="BM1429">
        <v>1452525</v>
      </c>
      <c r="BN1429" t="s">
        <v>1674</v>
      </c>
      <c r="BO1429" s="17">
        <f t="shared" ca="1" si="22"/>
        <v>66.657241550929029</v>
      </c>
      <c r="BP1429" t="b">
        <v>0</v>
      </c>
      <c r="BQ1429">
        <v>1</v>
      </c>
      <c r="BR1429" t="s">
        <v>1667</v>
      </c>
      <c r="BS1429" t="s">
        <v>2677</v>
      </c>
      <c r="BT1429" t="b">
        <v>0</v>
      </c>
      <c r="BV1429" t="s">
        <v>1668</v>
      </c>
      <c r="BW1429">
        <v>7033</v>
      </c>
      <c r="BX1429" t="s">
        <v>3856</v>
      </c>
      <c r="BY1429">
        <v>416932</v>
      </c>
      <c r="BZ1429" t="s">
        <v>1747</v>
      </c>
      <c r="CA1429">
        <v>1</v>
      </c>
      <c r="CB1429" t="b">
        <v>1</v>
      </c>
      <c r="CC1429">
        <v>0</v>
      </c>
      <c r="CD1429" t="b">
        <v>0</v>
      </c>
      <c r="CE1429" t="b">
        <v>0</v>
      </c>
      <c r="CF1429" t="b">
        <v>1</v>
      </c>
      <c r="CG1429">
        <v>2854417</v>
      </c>
      <c r="CH1429" t="s">
        <v>1681</v>
      </c>
      <c r="CI1429" s="10">
        <v>417000</v>
      </c>
      <c r="CJ1429" s="7">
        <v>39059</v>
      </c>
    </row>
    <row r="1430" spans="1:88">
      <c r="A1430">
        <v>28021123</v>
      </c>
      <c r="B1430" s="2" t="str">
        <f>HYPERLINK("http://www.redfin.com/stingray/do/printable-listing?listing-id=1452574","Active")</f>
        <v>Active</v>
      </c>
      <c r="D1430" t="s">
        <v>63</v>
      </c>
      <c r="E1430" t="s">
        <v>656</v>
      </c>
      <c r="F1430">
        <v>400000</v>
      </c>
      <c r="G1430">
        <v>1909</v>
      </c>
      <c r="H1430">
        <v>1340</v>
      </c>
      <c r="I1430">
        <v>3000</v>
      </c>
      <c r="J1430">
        <v>2</v>
      </c>
      <c r="K1430">
        <v>1</v>
      </c>
      <c r="M1430" s="2" t="str">
        <f>HYPERLINK("http://maps.live.com/default.aspx?v=2&amp;lvl=15&amp;sp=Point.47.660031_-122.36221_4337 4th Ave NW&amp;cp=47.660031~-122.36221","Map")</f>
        <v>Map</v>
      </c>
      <c r="N1430" s="2" t="str">
        <f>HYPERLINK("http://i-0.rfimg.us/photo/1/bigphoto/123/28021123_1.jpg","Photo")</f>
        <v>Photo</v>
      </c>
      <c r="AG1430">
        <v>47.660030999999996</v>
      </c>
      <c r="AH1430">
        <v>-122.36221</v>
      </c>
      <c r="AI1430" t="s">
        <v>66</v>
      </c>
      <c r="AJ1430">
        <v>98107</v>
      </c>
      <c r="AN1430">
        <v>164000</v>
      </c>
      <c r="BC1430" s="22">
        <v>39482.661666666667</v>
      </c>
      <c r="BI1430" s="7">
        <v>39534</v>
      </c>
      <c r="BL1430">
        <v>8000</v>
      </c>
      <c r="BM1430">
        <v>1452574</v>
      </c>
      <c r="BN1430" t="s">
        <v>1725</v>
      </c>
      <c r="BO1430" s="17">
        <f t="shared" ca="1" si="22"/>
        <v>66.647739236112102</v>
      </c>
      <c r="BP1430" t="b">
        <v>0</v>
      </c>
      <c r="BQ1430">
        <v>1</v>
      </c>
      <c r="BR1430" t="s">
        <v>1667</v>
      </c>
      <c r="BS1430" t="s">
        <v>1724</v>
      </c>
      <c r="BT1430" t="b">
        <v>0</v>
      </c>
      <c r="BV1430" t="s">
        <v>1668</v>
      </c>
      <c r="BW1430">
        <v>4337</v>
      </c>
      <c r="BX1430" t="s">
        <v>1669</v>
      </c>
      <c r="BY1430">
        <v>302427</v>
      </c>
      <c r="BZ1430" t="s">
        <v>2646</v>
      </c>
      <c r="CA1430">
        <v>1</v>
      </c>
      <c r="CB1430" t="b">
        <v>1</v>
      </c>
      <c r="CC1430">
        <v>0</v>
      </c>
      <c r="CD1430" t="b">
        <v>0</v>
      </c>
      <c r="CE1430" t="b">
        <v>0</v>
      </c>
      <c r="CF1430" t="b">
        <v>1</v>
      </c>
      <c r="CG1430">
        <v>2416659</v>
      </c>
      <c r="CH1430" t="s">
        <v>1681</v>
      </c>
      <c r="CI1430" s="10">
        <v>400000</v>
      </c>
      <c r="CJ1430" s="7">
        <v>36342</v>
      </c>
    </row>
    <row r="1431" spans="1:88">
      <c r="A1431">
        <v>28021156</v>
      </c>
      <c r="B1431" s="2" t="str">
        <f>HYPERLINK("http://www.redfin.com/stingray/do/printable-listing?listing-id=1452593","Active")</f>
        <v>Active</v>
      </c>
      <c r="D1431" t="s">
        <v>3885</v>
      </c>
      <c r="E1431" t="s">
        <v>5771</v>
      </c>
      <c r="F1431">
        <v>997500</v>
      </c>
      <c r="G1431">
        <v>2007</v>
      </c>
      <c r="H1431">
        <v>3350</v>
      </c>
      <c r="I1431">
        <v>6970</v>
      </c>
      <c r="J1431">
        <v>4</v>
      </c>
      <c r="K1431">
        <v>3</v>
      </c>
      <c r="M1431" s="2" t="str">
        <f>HYPERLINK("http://maps.live.com/default.aspx?v=2&amp;lvl=15&amp;sp=Point.47.5198_-122.1842_8231 117th Ave SE&amp;cp=47.5198~-122.1842","Map")</f>
        <v>Map</v>
      </c>
      <c r="N1431" s="2" t="str">
        <f>HYPERLINK("http://i-0.rfimg.us/photo/1/bigphoto/156/28021156_1.jpg","Photo")</f>
        <v>Photo</v>
      </c>
      <c r="AG1431">
        <v>47.519799999999996</v>
      </c>
      <c r="AH1431">
        <v>-122.1842</v>
      </c>
      <c r="AI1431" t="s">
        <v>3885</v>
      </c>
      <c r="AJ1431">
        <v>98056</v>
      </c>
      <c r="BC1431" s="22">
        <v>39482.67260416667</v>
      </c>
      <c r="BI1431" s="22">
        <v>39549.294907407406</v>
      </c>
      <c r="BL1431">
        <v>19950</v>
      </c>
      <c r="BM1431">
        <v>1452593</v>
      </c>
      <c r="BN1431" t="s">
        <v>1737</v>
      </c>
      <c r="BO1431" s="17">
        <f t="shared" ca="1" si="22"/>
        <v>66.636801736109192</v>
      </c>
      <c r="BP1431" t="b">
        <v>0</v>
      </c>
      <c r="BQ1431">
        <v>1</v>
      </c>
      <c r="BR1431" t="s">
        <v>1667</v>
      </c>
      <c r="BS1431" t="s">
        <v>2743</v>
      </c>
      <c r="BT1431" t="b">
        <v>0</v>
      </c>
      <c r="BV1431" t="s">
        <v>1668</v>
      </c>
      <c r="BW1431">
        <v>8231</v>
      </c>
      <c r="BX1431" t="s">
        <v>3856</v>
      </c>
      <c r="BY1431">
        <v>12322195</v>
      </c>
      <c r="BZ1431" t="s">
        <v>1756</v>
      </c>
      <c r="CA1431">
        <v>1</v>
      </c>
      <c r="CB1431" t="b">
        <v>1</v>
      </c>
      <c r="CC1431">
        <v>0</v>
      </c>
      <c r="CD1431" t="b">
        <v>0</v>
      </c>
      <c r="CE1431" t="b">
        <v>0</v>
      </c>
      <c r="CF1431" t="b">
        <v>1</v>
      </c>
      <c r="CG1431">
        <v>15528231</v>
      </c>
      <c r="CH1431" t="s">
        <v>1681</v>
      </c>
      <c r="CI1431" s="10">
        <v>997500</v>
      </c>
    </row>
    <row r="1432" spans="1:88">
      <c r="A1432">
        <v>28021181</v>
      </c>
      <c r="B1432" s="2" t="str">
        <f>HYPERLINK("http://www.redfin.com/stingray/do/printable-listing?listing-id=1459570","Active")</f>
        <v>Active</v>
      </c>
      <c r="D1432" t="s">
        <v>5050</v>
      </c>
      <c r="E1432" t="s">
        <v>5090</v>
      </c>
      <c r="F1432">
        <v>1050000</v>
      </c>
      <c r="G1432">
        <v>1961</v>
      </c>
      <c r="H1432">
        <v>3330</v>
      </c>
      <c r="I1432">
        <v>12636</v>
      </c>
      <c r="J1432">
        <v>5</v>
      </c>
      <c r="K1432">
        <v>3.5</v>
      </c>
      <c r="M1432" s="2" t="str">
        <f>HYPERLINK("http://maps.live.com/default.aspx?v=2&amp;lvl=15&amp;sp=Point.47.613121_-122.165157_225 131st Ave NE&amp;cp=47.613121~-122.165157","Map")</f>
        <v>Map</v>
      </c>
      <c r="N1432" s="2" t="str">
        <f>HYPERLINK("http://i-0.rfimg.us/photo/1/bigphoto/181/28021181_2.jpg","Photo")</f>
        <v>Photo</v>
      </c>
      <c r="AG1432">
        <v>47.613121</v>
      </c>
      <c r="AH1432">
        <v>-122.16515699999999</v>
      </c>
      <c r="AI1432" t="s">
        <v>369</v>
      </c>
      <c r="AJ1432">
        <v>98005</v>
      </c>
      <c r="AN1432">
        <v>975000</v>
      </c>
      <c r="BC1432" s="22">
        <v>39484.683333333334</v>
      </c>
      <c r="BI1432" s="22">
        <v>39545.917314814818</v>
      </c>
      <c r="BL1432">
        <v>21000</v>
      </c>
      <c r="BM1432">
        <v>1459570</v>
      </c>
      <c r="BN1432" t="s">
        <v>1768</v>
      </c>
      <c r="BO1432" s="17">
        <f t="shared" ca="1" si="22"/>
        <v>64.626072569444659</v>
      </c>
      <c r="BP1432" t="b">
        <v>0</v>
      </c>
      <c r="BQ1432">
        <v>1</v>
      </c>
      <c r="BR1432" t="s">
        <v>1667</v>
      </c>
      <c r="BS1432" t="s">
        <v>4521</v>
      </c>
      <c r="BT1432" t="b">
        <v>0</v>
      </c>
      <c r="BV1432" t="s">
        <v>1668</v>
      </c>
      <c r="BW1432">
        <v>225</v>
      </c>
      <c r="BX1432" t="s">
        <v>1738</v>
      </c>
      <c r="BY1432">
        <v>509465</v>
      </c>
      <c r="BZ1432" t="s">
        <v>5091</v>
      </c>
      <c r="CA1432">
        <v>1</v>
      </c>
      <c r="CB1432" t="b">
        <v>1</v>
      </c>
      <c r="CC1432">
        <v>0</v>
      </c>
      <c r="CD1432" t="b">
        <v>0</v>
      </c>
      <c r="CE1432" t="b">
        <v>0</v>
      </c>
      <c r="CF1432" t="b">
        <v>0</v>
      </c>
      <c r="CG1432">
        <v>2367581</v>
      </c>
      <c r="CH1432" t="s">
        <v>1681</v>
      </c>
      <c r="CI1432" s="10">
        <v>1050000</v>
      </c>
      <c r="CJ1432" s="7">
        <v>38771</v>
      </c>
    </row>
    <row r="1433" spans="1:88">
      <c r="A1433">
        <v>28021226</v>
      </c>
      <c r="B1433" s="2" t="str">
        <f>HYPERLINK("http://www.redfin.com/stingray/do/printable-listing?listing-id=1452709","Active")</f>
        <v>Active</v>
      </c>
      <c r="D1433" t="s">
        <v>3249</v>
      </c>
      <c r="E1433" t="s">
        <v>3648</v>
      </c>
      <c r="F1433" s="19">
        <v>849000</v>
      </c>
      <c r="G1433">
        <v>1948</v>
      </c>
      <c r="H1433">
        <v>2428</v>
      </c>
      <c r="I1433">
        <v>3462</v>
      </c>
      <c r="J1433">
        <v>4</v>
      </c>
      <c r="K1433">
        <v>4.25</v>
      </c>
      <c r="M1433" s="2" t="str">
        <f>HYPERLINK("http://maps.live.com/default.aspx?v=2&amp;lvl=15&amp;sp=Point.47.640194_-122.355803_2405 1st Ave N&amp;cp=47.640194~-122.355803","Map")</f>
        <v>Map</v>
      </c>
      <c r="N1433" s="2" t="str">
        <f>HYPERLINK("http://i-0.rfimg.us/photo/1/bigphoto/226/28021226_0.jpg","Photo")</f>
        <v>Photo</v>
      </c>
      <c r="AG1433">
        <v>47.640194000000001</v>
      </c>
      <c r="AH1433">
        <v>-122.35580299999999</v>
      </c>
      <c r="AI1433" t="s">
        <v>66</v>
      </c>
      <c r="AJ1433">
        <v>98109</v>
      </c>
      <c r="BC1433" s="22">
        <v>39482.714305555557</v>
      </c>
      <c r="BI1433" s="22">
        <v>39549.294907407406</v>
      </c>
      <c r="BL1433">
        <v>17960</v>
      </c>
      <c r="BM1433">
        <v>1452709</v>
      </c>
      <c r="BN1433" t="s">
        <v>1766</v>
      </c>
      <c r="BO1433" s="17">
        <f t="shared" ca="1" si="22"/>
        <v>66.595100347221887</v>
      </c>
      <c r="BP1433" t="b">
        <v>0</v>
      </c>
      <c r="BQ1433">
        <v>1</v>
      </c>
      <c r="BR1433" t="s">
        <v>1667</v>
      </c>
      <c r="BS1433" t="s">
        <v>1822</v>
      </c>
      <c r="BT1433" t="b">
        <v>0</v>
      </c>
      <c r="BV1433" t="s">
        <v>1668</v>
      </c>
      <c r="BW1433">
        <v>2405</v>
      </c>
      <c r="BX1433" t="s">
        <v>1712</v>
      </c>
      <c r="BY1433">
        <v>12385990</v>
      </c>
      <c r="BZ1433" t="s">
        <v>1745</v>
      </c>
      <c r="CA1433">
        <v>1</v>
      </c>
      <c r="CB1433" t="b">
        <v>1</v>
      </c>
      <c r="CC1433">
        <v>0</v>
      </c>
      <c r="CD1433" t="b">
        <v>0</v>
      </c>
      <c r="CE1433" t="b">
        <v>0</v>
      </c>
      <c r="CF1433" t="b">
        <v>1</v>
      </c>
      <c r="CG1433">
        <v>15589738</v>
      </c>
      <c r="CH1433" t="s">
        <v>1681</v>
      </c>
      <c r="CI1433" s="10">
        <v>898000</v>
      </c>
    </row>
    <row r="1434" spans="1:88">
      <c r="A1434">
        <v>28021244</v>
      </c>
      <c r="B1434" s="2" t="str">
        <f>HYPERLINK("http://www.redfin.com/stingray/do/printable-listing?listing-id=1452695","Active")</f>
        <v>Active</v>
      </c>
      <c r="D1434" t="s">
        <v>5121</v>
      </c>
      <c r="E1434" t="s">
        <v>5364</v>
      </c>
      <c r="F1434">
        <v>1129000</v>
      </c>
      <c r="G1434">
        <v>2008</v>
      </c>
      <c r="H1434">
        <v>3124</v>
      </c>
      <c r="I1434">
        <v>12194</v>
      </c>
      <c r="J1434">
        <v>4</v>
      </c>
      <c r="K1434">
        <v>0</v>
      </c>
      <c r="M1434" s="2" t="str">
        <f>HYPERLINK("http://maps.live.com/default.aspx?v=2&amp;lvl=15&amp;sp=Point.47.582385_-122.189196_3106 113th Ave SE&amp;cp=47.582385~-122.189196","Map")</f>
        <v>Map</v>
      </c>
      <c r="N1434" s="2" t="str">
        <f>HYPERLINK("http://i-0.rfimg.us/photo/1/bigphoto/244/28021244_0.jpg","Photo")</f>
        <v>Photo</v>
      </c>
      <c r="AG1434">
        <v>47.582385000000002</v>
      </c>
      <c r="AH1434">
        <v>-122.189196</v>
      </c>
      <c r="AI1434" t="s">
        <v>369</v>
      </c>
      <c r="AJ1434">
        <v>98004</v>
      </c>
      <c r="BC1434" s="22">
        <v>39482.703518518516</v>
      </c>
      <c r="BI1434" s="22">
        <v>39549.294907407406</v>
      </c>
      <c r="BL1434">
        <v>22580</v>
      </c>
      <c r="BM1434">
        <v>1452695</v>
      </c>
      <c r="BN1434" t="s">
        <v>2419</v>
      </c>
      <c r="BO1434" s="17">
        <f t="shared" ca="1" si="22"/>
        <v>66.605887384263042</v>
      </c>
      <c r="BP1434" t="b">
        <v>0</v>
      </c>
      <c r="BQ1434">
        <v>1</v>
      </c>
      <c r="BR1434" t="s">
        <v>1667</v>
      </c>
      <c r="BS1434" t="s">
        <v>4394</v>
      </c>
      <c r="BT1434" t="b">
        <v>0</v>
      </c>
      <c r="BV1434" t="s">
        <v>1668</v>
      </c>
      <c r="BW1434">
        <v>3106</v>
      </c>
      <c r="BX1434" t="s">
        <v>3856</v>
      </c>
      <c r="BY1434">
        <v>12385984</v>
      </c>
      <c r="BZ1434" t="s">
        <v>1745</v>
      </c>
      <c r="CA1434">
        <v>1</v>
      </c>
      <c r="CB1434" t="b">
        <v>1</v>
      </c>
      <c r="CC1434">
        <v>0</v>
      </c>
      <c r="CD1434" t="b">
        <v>0</v>
      </c>
      <c r="CE1434" t="b">
        <v>0</v>
      </c>
      <c r="CF1434" t="b">
        <v>1</v>
      </c>
      <c r="CG1434">
        <v>15589732</v>
      </c>
      <c r="CH1434" t="s">
        <v>1681</v>
      </c>
      <c r="CI1434" s="10">
        <v>1129000</v>
      </c>
    </row>
    <row r="1435" spans="1:88">
      <c r="A1435">
        <v>28021254</v>
      </c>
      <c r="B1435" s="2" t="str">
        <f>HYPERLINK("http://www.redfin.com/stingray/do/printable-listing?listing-id=1454871","Active")</f>
        <v>Active</v>
      </c>
      <c r="D1435" t="s">
        <v>5776</v>
      </c>
      <c r="E1435" t="s">
        <v>6157</v>
      </c>
      <c r="F1435">
        <v>750000</v>
      </c>
      <c r="G1435">
        <v>2001</v>
      </c>
      <c r="H1435">
        <v>3090</v>
      </c>
      <c r="I1435">
        <v>0</v>
      </c>
      <c r="J1435">
        <v>4</v>
      </c>
      <c r="K1435">
        <v>2.5</v>
      </c>
      <c r="M1435" s="2" t="str">
        <f>HYPERLINK("http://maps.live.com/default.aspx?v=2&amp;lvl=15&amp;sp=Point.47.516436_-122.205207_1026 N 27th Pl&amp;cp=47.516436~-122.205207","Map")</f>
        <v>Map</v>
      </c>
      <c r="N1435" s="2" t="str">
        <f>HYPERLINK("http://i-0.rfimg.us/photo/1/bigphoto/254/28021254_0.jpg","Photo")</f>
        <v>Photo</v>
      </c>
      <c r="AG1435">
        <v>47.516435999999999</v>
      </c>
      <c r="AH1435">
        <v>-122.205207</v>
      </c>
      <c r="AI1435" t="s">
        <v>1077</v>
      </c>
      <c r="AJ1435">
        <v>98056</v>
      </c>
      <c r="AN1435">
        <v>510000</v>
      </c>
      <c r="BC1435" s="22">
        <v>39483.296203703707</v>
      </c>
      <c r="BI1435" s="22">
        <v>39549.294907407406</v>
      </c>
      <c r="BL1435">
        <v>15000</v>
      </c>
      <c r="BM1435">
        <v>1454871</v>
      </c>
      <c r="BN1435" t="s">
        <v>2419</v>
      </c>
      <c r="BO1435" s="17">
        <f t="shared" ca="1" si="22"/>
        <v>66.013202199072111</v>
      </c>
      <c r="BP1435" t="b">
        <v>0</v>
      </c>
      <c r="BQ1435">
        <v>1</v>
      </c>
      <c r="BR1435" t="s">
        <v>1842</v>
      </c>
      <c r="BS1435" t="s">
        <v>1751</v>
      </c>
      <c r="BT1435" t="b">
        <v>0</v>
      </c>
      <c r="BU1435" t="s">
        <v>1712</v>
      </c>
      <c r="BV1435" t="s">
        <v>1668</v>
      </c>
      <c r="BW1435">
        <v>1026</v>
      </c>
      <c r="BY1435">
        <v>408583</v>
      </c>
      <c r="BZ1435" t="s">
        <v>1670</v>
      </c>
      <c r="CA1435">
        <v>1</v>
      </c>
      <c r="CB1435" t="b">
        <v>1</v>
      </c>
      <c r="CC1435">
        <v>0</v>
      </c>
      <c r="CD1435" t="b">
        <v>0</v>
      </c>
      <c r="CE1435" t="b">
        <v>0</v>
      </c>
      <c r="CF1435" t="b">
        <v>1</v>
      </c>
      <c r="CG1435">
        <v>2852440</v>
      </c>
      <c r="CH1435" t="s">
        <v>1681</v>
      </c>
      <c r="CI1435" s="10">
        <v>750000</v>
      </c>
      <c r="CJ1435" s="7">
        <v>36965</v>
      </c>
    </row>
    <row r="1436" spans="1:88">
      <c r="A1436">
        <v>28021272</v>
      </c>
      <c r="B1436" s="2" t="str">
        <f>HYPERLINK("http://www.redfin.com/stingray/do/printable-listing?listing-id=1452752","Active")</f>
        <v>Active</v>
      </c>
      <c r="D1436" t="s">
        <v>3249</v>
      </c>
      <c r="E1436" t="s">
        <v>3649</v>
      </c>
      <c r="F1436" s="19">
        <v>895000</v>
      </c>
      <c r="G1436">
        <v>1948</v>
      </c>
      <c r="H1436">
        <v>2865</v>
      </c>
      <c r="I1436">
        <v>2778</v>
      </c>
      <c r="J1436">
        <v>4</v>
      </c>
      <c r="K1436">
        <v>4.25</v>
      </c>
      <c r="M1436" s="2" t="str">
        <f>HYPERLINK("http://maps.live.com/default.aspx?v=2&amp;lvl=15&amp;sp=Point.47.639782_-122.355885_2403 1st Ave N&amp;cp=47.639782~-122.355885","Map")</f>
        <v>Map</v>
      </c>
      <c r="N1436" s="2" t="str">
        <f>HYPERLINK("http://i-0.rfimg.us/photo/1/bigphoto/272/28021272_0.jpg","Photo")</f>
        <v>Photo</v>
      </c>
      <c r="AG1436">
        <v>47.639781999999997</v>
      </c>
      <c r="AH1436">
        <v>-122.355885</v>
      </c>
      <c r="AI1436" t="s">
        <v>66</v>
      </c>
      <c r="AJ1436">
        <v>98109</v>
      </c>
      <c r="AN1436">
        <v>104967</v>
      </c>
      <c r="BC1436" s="22">
        <v>39482.73505787037</v>
      </c>
      <c r="BI1436" s="22">
        <v>39549.294907407406</v>
      </c>
      <c r="BL1436">
        <v>19960</v>
      </c>
      <c r="BM1436">
        <v>1452752</v>
      </c>
      <c r="BN1436" t="s">
        <v>1766</v>
      </c>
      <c r="BO1436" s="17">
        <f t="shared" ca="1" si="22"/>
        <v>66.574348032409034</v>
      </c>
      <c r="BP1436" t="b">
        <v>0</v>
      </c>
      <c r="BQ1436">
        <v>1</v>
      </c>
      <c r="BR1436" t="s">
        <v>1667</v>
      </c>
      <c r="BS1436" t="s">
        <v>1822</v>
      </c>
      <c r="BT1436" t="b">
        <v>0</v>
      </c>
      <c r="BV1436" t="s">
        <v>1668</v>
      </c>
      <c r="BW1436">
        <v>2403</v>
      </c>
      <c r="BX1436" t="s">
        <v>1712</v>
      </c>
      <c r="BY1436">
        <v>131064</v>
      </c>
      <c r="BZ1436" t="s">
        <v>1670</v>
      </c>
      <c r="CA1436">
        <v>1</v>
      </c>
      <c r="CB1436" t="b">
        <v>1</v>
      </c>
      <c r="CC1436">
        <v>0</v>
      </c>
      <c r="CD1436" t="b">
        <v>0</v>
      </c>
      <c r="CE1436" t="b">
        <v>0</v>
      </c>
      <c r="CF1436" t="b">
        <v>1</v>
      </c>
      <c r="CG1436">
        <v>2790894</v>
      </c>
      <c r="CH1436" t="s">
        <v>1681</v>
      </c>
      <c r="CI1436" s="10">
        <v>998000</v>
      </c>
      <c r="CJ1436" s="7">
        <v>38546</v>
      </c>
    </row>
    <row r="1437" spans="1:88">
      <c r="A1437">
        <v>28021425</v>
      </c>
      <c r="B1437" s="2" t="str">
        <f>HYPERLINK("http://www.redfin.com/stingray/do/printable-listing?listing-id=1454854","Active")</f>
        <v>Active</v>
      </c>
      <c r="D1437" t="s">
        <v>3249</v>
      </c>
      <c r="E1437" t="s">
        <v>3561</v>
      </c>
      <c r="F1437" s="19">
        <v>1425000</v>
      </c>
      <c r="G1437">
        <v>1913</v>
      </c>
      <c r="H1437">
        <v>2890</v>
      </c>
      <c r="I1437">
        <v>6000</v>
      </c>
      <c r="J1437">
        <v>4</v>
      </c>
      <c r="K1437">
        <v>2.5</v>
      </c>
      <c r="M1437" s="2" t="str">
        <f>HYPERLINK("http://maps.live.com/default.aspx?v=2&amp;lvl=15&amp;sp=Point.47.630664_-122.368128_1223 8th Ave W&amp;cp=47.630664~-122.368128","Map")</f>
        <v>Map</v>
      </c>
      <c r="N1437" s="2" t="str">
        <f>HYPERLINK("http://i-0.rfimg.us/photo/1/bigphoto/425/28021425_1.jpg","Photo")</f>
        <v>Photo</v>
      </c>
      <c r="AG1437">
        <v>47.630664000000003</v>
      </c>
      <c r="AH1437">
        <v>-122.368128</v>
      </c>
      <c r="AI1437" t="s">
        <v>66</v>
      </c>
      <c r="AJ1437">
        <v>98119</v>
      </c>
      <c r="BC1437" s="22">
        <v>39483.285370370373</v>
      </c>
      <c r="BI1437" s="22">
        <v>39549.294907407406</v>
      </c>
      <c r="BL1437">
        <v>30500</v>
      </c>
      <c r="BM1437">
        <v>1454854</v>
      </c>
      <c r="BN1437" t="s">
        <v>1979</v>
      </c>
      <c r="BO1437" s="17">
        <f t="shared" ca="1" si="22"/>
        <v>66.024035532405833</v>
      </c>
      <c r="BP1437" t="b">
        <v>0</v>
      </c>
      <c r="BQ1437">
        <v>1</v>
      </c>
      <c r="BR1437" t="s">
        <v>1667</v>
      </c>
      <c r="BS1437" t="s">
        <v>1723</v>
      </c>
      <c r="BT1437" t="b">
        <v>0</v>
      </c>
      <c r="BV1437" t="s">
        <v>1668</v>
      </c>
      <c r="BW1437">
        <v>1223</v>
      </c>
      <c r="BX1437" t="s">
        <v>2423</v>
      </c>
      <c r="BY1437">
        <v>132280</v>
      </c>
      <c r="BZ1437" t="s">
        <v>3562</v>
      </c>
      <c r="CA1437">
        <v>1</v>
      </c>
      <c r="CB1437" t="b">
        <v>1</v>
      </c>
      <c r="CC1437">
        <v>0</v>
      </c>
      <c r="CD1437" t="b">
        <v>0</v>
      </c>
      <c r="CE1437" t="b">
        <v>0</v>
      </c>
      <c r="CF1437" t="b">
        <v>1</v>
      </c>
      <c r="CG1437">
        <v>2981285</v>
      </c>
      <c r="CH1437" t="s">
        <v>1681</v>
      </c>
      <c r="CI1437" s="10">
        <v>1525000</v>
      </c>
    </row>
    <row r="1438" spans="1:88">
      <c r="A1438">
        <v>28021484</v>
      </c>
      <c r="B1438" s="15" t="str">
        <f>HYPERLINK("http://www.redfin.com/stingray/do/printable-listing?listing-id=1455268","Subject To Inspection")</f>
        <v>Subject To Inspection</v>
      </c>
      <c r="D1438" t="s">
        <v>369</v>
      </c>
      <c r="E1438" t="s">
        <v>5413</v>
      </c>
      <c r="F1438">
        <v>787000</v>
      </c>
      <c r="G1438">
        <v>1965</v>
      </c>
      <c r="H1438">
        <v>2750</v>
      </c>
      <c r="I1438">
        <v>9849</v>
      </c>
      <c r="J1438">
        <v>4</v>
      </c>
      <c r="K1438">
        <v>2.5</v>
      </c>
      <c r="M1438" s="2" t="str">
        <f>HYPERLINK("http://maps.live.com/default.aspx?v=2&amp;lvl=15&amp;sp=Point.47.581867_-122.12639_16121 SE 31st St&amp;cp=47.581867~-122.12639","Map")</f>
        <v>Map</v>
      </c>
      <c r="N1438" s="2" t="str">
        <f>HYPERLINK("http://i-0.rfimg.us/photo/1/bigphoto/484/28021484_0.jpg","Photo")</f>
        <v>Photo</v>
      </c>
      <c r="AG1438">
        <v>47.581867000000003</v>
      </c>
      <c r="AH1438">
        <v>-122.12639</v>
      </c>
      <c r="AI1438" t="s">
        <v>369</v>
      </c>
      <c r="AJ1438">
        <v>98008</v>
      </c>
      <c r="AN1438">
        <v>295000</v>
      </c>
      <c r="BC1438" s="22">
        <v>39483.410729166666</v>
      </c>
      <c r="BI1438" s="22">
        <v>39549.294907407406</v>
      </c>
      <c r="BL1438">
        <v>15740</v>
      </c>
      <c r="BM1438">
        <v>1455268</v>
      </c>
      <c r="BN1438" t="s">
        <v>1735</v>
      </c>
      <c r="BO1438" s="17">
        <f t="shared" ca="1" si="22"/>
        <v>65.898676736112975</v>
      </c>
      <c r="BP1438" t="b">
        <v>0</v>
      </c>
      <c r="BQ1438">
        <v>1</v>
      </c>
      <c r="BR1438" t="s">
        <v>1686</v>
      </c>
      <c r="BS1438" t="s">
        <v>1732</v>
      </c>
      <c r="BT1438" t="b">
        <v>0</v>
      </c>
      <c r="BU1438" t="s">
        <v>3856</v>
      </c>
      <c r="BV1438" t="s">
        <v>1668</v>
      </c>
      <c r="BW1438">
        <v>16121</v>
      </c>
      <c r="BY1438">
        <v>428006</v>
      </c>
      <c r="BZ1438" t="s">
        <v>1672</v>
      </c>
      <c r="CA1438">
        <v>1</v>
      </c>
      <c r="CB1438" t="b">
        <v>1</v>
      </c>
      <c r="CC1438">
        <v>0</v>
      </c>
      <c r="CD1438" t="b">
        <v>0</v>
      </c>
      <c r="CE1438" t="b">
        <v>0</v>
      </c>
      <c r="CF1438" t="b">
        <v>1</v>
      </c>
      <c r="CG1438">
        <v>2483965</v>
      </c>
      <c r="CH1438" t="s">
        <v>1681</v>
      </c>
      <c r="CI1438" s="10">
        <v>787000</v>
      </c>
      <c r="CJ1438" s="7">
        <v>36448</v>
      </c>
    </row>
    <row r="1439" spans="1:88">
      <c r="A1439">
        <v>28021527</v>
      </c>
      <c r="B1439" s="2" t="str">
        <f>HYPERLINK("http://www.redfin.com/stingray/do/printable-listing?listing-id=1455383","Active")</f>
        <v>Active</v>
      </c>
      <c r="D1439" t="s">
        <v>63</v>
      </c>
      <c r="E1439" t="s">
        <v>236</v>
      </c>
      <c r="F1439">
        <v>435000</v>
      </c>
      <c r="G1439">
        <v>1938</v>
      </c>
      <c r="H1439">
        <v>1640</v>
      </c>
      <c r="I1439">
        <v>4700</v>
      </c>
      <c r="J1439">
        <v>2</v>
      </c>
      <c r="K1439">
        <v>1</v>
      </c>
      <c r="M1439" s="2" t="str">
        <f>HYPERLINK("http://maps.live.com/default.aspx?v=2&amp;lvl=15&amp;sp=Point.47.689809_-122.367582_8323 Dibble Ave NW&amp;cp=47.689809~-122.367582","Map")</f>
        <v>Map</v>
      </c>
      <c r="N1439" s="2" t="str">
        <f>HYPERLINK("http://i-0.rfimg.us/photo/1/bigphoto/527/28021527_0.jpg","Photo")</f>
        <v>Photo</v>
      </c>
      <c r="AG1439">
        <v>47.689808999999997</v>
      </c>
      <c r="AH1439">
        <v>-122.367582</v>
      </c>
      <c r="AI1439" t="s">
        <v>66</v>
      </c>
      <c r="AJ1439">
        <v>98117</v>
      </c>
      <c r="AN1439">
        <v>279950</v>
      </c>
      <c r="BC1439" s="22">
        <v>39483.442916666667</v>
      </c>
      <c r="BI1439" s="7">
        <v>39533</v>
      </c>
      <c r="BL1439">
        <v>8700</v>
      </c>
      <c r="BM1439">
        <v>1455383</v>
      </c>
      <c r="BN1439" t="s">
        <v>1725</v>
      </c>
      <c r="BO1439" s="17">
        <f t="shared" ca="1" si="22"/>
        <v>65.86648935185076</v>
      </c>
      <c r="BP1439" t="b">
        <v>0</v>
      </c>
      <c r="BQ1439">
        <v>1</v>
      </c>
      <c r="BR1439" t="s">
        <v>1667</v>
      </c>
      <c r="BS1439" t="s">
        <v>1717</v>
      </c>
      <c r="BT1439" t="b">
        <v>0</v>
      </c>
      <c r="BV1439" t="s">
        <v>1668</v>
      </c>
      <c r="BW1439">
        <v>8323</v>
      </c>
      <c r="BX1439" t="s">
        <v>1669</v>
      </c>
      <c r="BY1439">
        <v>496027</v>
      </c>
      <c r="BZ1439" t="s">
        <v>1701</v>
      </c>
      <c r="CA1439">
        <v>1</v>
      </c>
      <c r="CB1439" t="b">
        <v>1</v>
      </c>
      <c r="CC1439">
        <v>0</v>
      </c>
      <c r="CD1439" t="b">
        <v>0</v>
      </c>
      <c r="CE1439" t="b">
        <v>0</v>
      </c>
      <c r="CF1439" t="b">
        <v>0</v>
      </c>
      <c r="CG1439">
        <v>2865089</v>
      </c>
      <c r="CH1439" t="s">
        <v>1681</v>
      </c>
      <c r="CI1439" s="10">
        <v>435000</v>
      </c>
      <c r="CJ1439" s="7">
        <v>37498</v>
      </c>
    </row>
    <row r="1440" spans="1:88">
      <c r="A1440">
        <v>28021537</v>
      </c>
      <c r="B1440" s="2" t="str">
        <f>HYPERLINK("http://www.redfin.com/stingray/do/printable-listing?listing-id=1455385","Active")</f>
        <v>Active</v>
      </c>
      <c r="D1440" t="s">
        <v>5121</v>
      </c>
      <c r="E1440" t="s">
        <v>5365</v>
      </c>
      <c r="F1440">
        <v>989000</v>
      </c>
      <c r="G1440">
        <v>2008</v>
      </c>
      <c r="H1440">
        <v>2901</v>
      </c>
      <c r="I1440">
        <v>13594</v>
      </c>
      <c r="J1440">
        <v>4</v>
      </c>
      <c r="K1440">
        <v>2.5</v>
      </c>
      <c r="M1440" s="2" t="str">
        <f>HYPERLINK("http://maps.live.com/default.aspx?v=2&amp;lvl=15&amp;sp=Point.47.582366_-122.189196_3108 113th Ave SE&amp;cp=47.582366~-122.189196","Map")</f>
        <v>Map</v>
      </c>
      <c r="N1440" s="2" t="str">
        <f>HYPERLINK("http://i-0.rfimg.us/photo/1/bigphoto/537/28021537_0.jpg","Photo")</f>
        <v>Photo</v>
      </c>
      <c r="AG1440">
        <v>47.582366</v>
      </c>
      <c r="AH1440">
        <v>-122.189196</v>
      </c>
      <c r="AI1440" t="s">
        <v>369</v>
      </c>
      <c r="AJ1440">
        <v>98004</v>
      </c>
      <c r="BC1440" s="22">
        <v>39483.442928240744</v>
      </c>
      <c r="BI1440" s="22">
        <v>39549.294907407406</v>
      </c>
      <c r="BL1440">
        <v>19780</v>
      </c>
      <c r="BM1440">
        <v>1455385</v>
      </c>
      <c r="BN1440" t="s">
        <v>2419</v>
      </c>
      <c r="BO1440" s="17">
        <f t="shared" ca="1" si="22"/>
        <v>65.866477662035322</v>
      </c>
      <c r="BP1440" t="b">
        <v>0</v>
      </c>
      <c r="BQ1440">
        <v>1</v>
      </c>
      <c r="BR1440" t="s">
        <v>1667</v>
      </c>
      <c r="BS1440" t="s">
        <v>4394</v>
      </c>
      <c r="BT1440" t="b">
        <v>0</v>
      </c>
      <c r="BV1440" t="s">
        <v>1668</v>
      </c>
      <c r="BW1440">
        <v>3108</v>
      </c>
      <c r="BX1440" t="s">
        <v>3856</v>
      </c>
      <c r="BY1440">
        <v>12386238</v>
      </c>
      <c r="BZ1440" t="s">
        <v>1745</v>
      </c>
      <c r="CA1440">
        <v>1</v>
      </c>
      <c r="CB1440" t="b">
        <v>1</v>
      </c>
      <c r="CC1440">
        <v>0</v>
      </c>
      <c r="CD1440" t="b">
        <v>0</v>
      </c>
      <c r="CE1440" t="b">
        <v>0</v>
      </c>
      <c r="CF1440" t="b">
        <v>1</v>
      </c>
      <c r="CG1440">
        <v>15589986</v>
      </c>
      <c r="CH1440" t="s">
        <v>1681</v>
      </c>
      <c r="CI1440" s="10">
        <v>989000</v>
      </c>
    </row>
    <row r="1441" spans="1:88">
      <c r="A1441">
        <v>28021550</v>
      </c>
      <c r="B1441" s="2" t="str">
        <f>HYPERLINK("http://www.redfin.com/stingray/do/printable-listing?listing-id=1455460","Active")</f>
        <v>Active</v>
      </c>
      <c r="D1441" t="s">
        <v>2552</v>
      </c>
      <c r="E1441" t="s">
        <v>3468</v>
      </c>
      <c r="F1441" s="19">
        <v>369000</v>
      </c>
      <c r="G1441">
        <v>1909</v>
      </c>
      <c r="H1441">
        <v>1240</v>
      </c>
      <c r="I1441">
        <v>6000</v>
      </c>
      <c r="J1441">
        <v>2</v>
      </c>
      <c r="K1441">
        <v>1</v>
      </c>
      <c r="M1441" s="2" t="str">
        <f>HYPERLINK("http://maps.live.com/default.aspx?v=2&amp;lvl=15&amp;sp=Point.47.64931_-122.402669_3219 35th Ave W&amp;cp=47.64931~-122.402669","Map")</f>
        <v>Map</v>
      </c>
      <c r="N1441" s="2" t="str">
        <f>HYPERLINK("http://i-0.rfimg.us/photo/1/bigphoto/550/28021550_0.jpg","Photo")</f>
        <v>Photo</v>
      </c>
      <c r="AG1441">
        <v>47.64931</v>
      </c>
      <c r="AH1441">
        <v>-122.402669</v>
      </c>
      <c r="AI1441" t="s">
        <v>66</v>
      </c>
      <c r="AJ1441">
        <v>98199</v>
      </c>
      <c r="AN1441">
        <v>135000</v>
      </c>
      <c r="BC1441" s="22">
        <v>39483.463692129626</v>
      </c>
      <c r="BI1441" s="22">
        <v>39545.917314814818</v>
      </c>
      <c r="BL1441">
        <v>7980</v>
      </c>
      <c r="BM1441">
        <v>1455460</v>
      </c>
      <c r="BN1441" t="s">
        <v>1673</v>
      </c>
      <c r="BO1441" s="17">
        <f t="shared" ca="1" si="22"/>
        <v>65.845713773152966</v>
      </c>
      <c r="BP1441" t="b">
        <v>0</v>
      </c>
      <c r="BQ1441">
        <v>1</v>
      </c>
      <c r="BR1441" t="s">
        <v>1667</v>
      </c>
      <c r="BS1441" t="s">
        <v>2920</v>
      </c>
      <c r="BT1441" t="b">
        <v>0</v>
      </c>
      <c r="BV1441" t="s">
        <v>1668</v>
      </c>
      <c r="BW1441">
        <v>3219</v>
      </c>
      <c r="BX1441" t="s">
        <v>2423</v>
      </c>
      <c r="BY1441">
        <v>127875</v>
      </c>
      <c r="BZ1441" t="s">
        <v>1813</v>
      </c>
      <c r="CA1441">
        <v>1</v>
      </c>
      <c r="CB1441" t="b">
        <v>1</v>
      </c>
      <c r="CC1441">
        <v>0</v>
      </c>
      <c r="CD1441" t="b">
        <v>0</v>
      </c>
      <c r="CE1441" t="b">
        <v>0</v>
      </c>
      <c r="CF1441" t="b">
        <v>1</v>
      </c>
      <c r="CG1441">
        <v>2874317</v>
      </c>
      <c r="CH1441" t="s">
        <v>1681</v>
      </c>
      <c r="CI1441" s="10">
        <v>399000</v>
      </c>
      <c r="CJ1441" s="7">
        <v>35571</v>
      </c>
    </row>
    <row r="1442" spans="1:88">
      <c r="A1442">
        <v>28021604</v>
      </c>
      <c r="B1442" s="2" t="str">
        <f>HYPERLINK("http://www.redfin.com/stingray/do/printable-listing?listing-id=1472343","Active")</f>
        <v>Active</v>
      </c>
      <c r="D1442" t="s">
        <v>1238</v>
      </c>
      <c r="E1442" t="s">
        <v>4223</v>
      </c>
      <c r="F1442">
        <v>2200000</v>
      </c>
      <c r="G1442">
        <v>1904</v>
      </c>
      <c r="H1442">
        <v>3510</v>
      </c>
      <c r="I1442">
        <v>6000</v>
      </c>
      <c r="J1442">
        <v>4</v>
      </c>
      <c r="K1442">
        <v>3</v>
      </c>
      <c r="M1442" s="2" t="str">
        <f>HYPERLINK("http://maps.live.com/default.aspx?v=2&amp;lvl=15&amp;sp=Point.47.628399_-122.310881_952 16th Ave E&amp;cp=47.628399~-122.310881","Map")</f>
        <v>Map</v>
      </c>
      <c r="N1442" s="2" t="str">
        <f>HYPERLINK("http://i-0.rfimg.us/photo/1/bigphoto/604/28021604_3.jpg","Photo")</f>
        <v>Photo</v>
      </c>
      <c r="AG1442">
        <v>47.628399000000002</v>
      </c>
      <c r="AH1442">
        <v>-122.31088099999999</v>
      </c>
      <c r="AI1442" t="s">
        <v>66</v>
      </c>
      <c r="AJ1442">
        <v>98112</v>
      </c>
      <c r="AN1442">
        <v>1100000</v>
      </c>
      <c r="BC1442" s="22">
        <v>39489.662615740737</v>
      </c>
      <c r="BI1442" s="22">
        <v>39549.294907407406</v>
      </c>
      <c r="BL1442">
        <v>44000</v>
      </c>
      <c r="BM1442">
        <v>1472343</v>
      </c>
      <c r="BN1442" t="s">
        <v>1674</v>
      </c>
      <c r="BO1442" s="17">
        <f t="shared" ca="1" si="22"/>
        <v>59.646790162041725</v>
      </c>
      <c r="BP1442" t="b">
        <v>0</v>
      </c>
      <c r="BQ1442">
        <v>1</v>
      </c>
      <c r="BR1442" t="s">
        <v>1667</v>
      </c>
      <c r="BS1442" t="s">
        <v>1695</v>
      </c>
      <c r="BT1442" t="b">
        <v>0</v>
      </c>
      <c r="BV1442" t="s">
        <v>1668</v>
      </c>
      <c r="BW1442">
        <v>952</v>
      </c>
      <c r="BX1442" t="s">
        <v>2436</v>
      </c>
      <c r="BY1442">
        <v>135830</v>
      </c>
      <c r="BZ1442" t="s">
        <v>4224</v>
      </c>
      <c r="CA1442">
        <v>1</v>
      </c>
      <c r="CB1442" t="b">
        <v>1</v>
      </c>
      <c r="CC1442">
        <v>0</v>
      </c>
      <c r="CD1442" t="b">
        <v>0</v>
      </c>
      <c r="CE1442" t="b">
        <v>0</v>
      </c>
      <c r="CF1442" t="b">
        <v>0</v>
      </c>
      <c r="CG1442">
        <v>2913014</v>
      </c>
      <c r="CH1442" t="s">
        <v>1681</v>
      </c>
      <c r="CI1442" s="10">
        <v>2200000</v>
      </c>
      <c r="CJ1442" s="7">
        <v>38385</v>
      </c>
    </row>
    <row r="1443" spans="1:88">
      <c r="A1443">
        <v>28021631</v>
      </c>
      <c r="B1443" s="2" t="str">
        <f>HYPERLINK("http://www.redfin.com/stingray/do/printable-listing?listing-id=1455642","Active")</f>
        <v>Active</v>
      </c>
      <c r="D1443" t="s">
        <v>3704</v>
      </c>
      <c r="E1443" t="s">
        <v>4030</v>
      </c>
      <c r="F1443">
        <v>314950</v>
      </c>
      <c r="G1443">
        <v>1922</v>
      </c>
      <c r="H1443">
        <v>770</v>
      </c>
      <c r="I1443">
        <v>0</v>
      </c>
      <c r="J1443">
        <v>1</v>
      </c>
      <c r="K1443">
        <v>1</v>
      </c>
      <c r="M1443" s="2" t="str">
        <f>HYPERLINK("http://maps.live.com/default.aspx?v=2&amp;lvl=15&amp;sp=Point.47.615545_-122.30595_1604 20th Ave&amp;cp=47.615545~-122.30595","Map")</f>
        <v>Map</v>
      </c>
      <c r="N1443" s="2" t="str">
        <f>HYPERLINK("http://i-0.rfimg.us/photo/1/bigphoto/631/28021631_0.jpg","Photo")</f>
        <v>Photo</v>
      </c>
      <c r="AG1443">
        <v>47.615544999999997</v>
      </c>
      <c r="AH1443">
        <v>-122.30595</v>
      </c>
      <c r="AI1443" t="s">
        <v>66</v>
      </c>
      <c r="AJ1443">
        <v>98122</v>
      </c>
      <c r="AN1443">
        <v>81750</v>
      </c>
      <c r="BC1443" s="22">
        <v>39483.505567129629</v>
      </c>
      <c r="BI1443" s="22">
        <v>39549.294907407406</v>
      </c>
      <c r="BL1443">
        <v>6299</v>
      </c>
      <c r="BM1443">
        <v>1455642</v>
      </c>
      <c r="BN1443" t="s">
        <v>2014</v>
      </c>
      <c r="BO1443" s="17">
        <f t="shared" ca="1" si="22"/>
        <v>65.803838773150346</v>
      </c>
      <c r="BP1443" t="b">
        <v>0</v>
      </c>
      <c r="BQ1443">
        <v>1</v>
      </c>
      <c r="BR1443" t="s">
        <v>1667</v>
      </c>
      <c r="BS1443" t="s">
        <v>1844</v>
      </c>
      <c r="BT1443" t="b">
        <v>0</v>
      </c>
      <c r="BV1443" t="s">
        <v>1668</v>
      </c>
      <c r="BW1443">
        <v>1604</v>
      </c>
      <c r="BY1443">
        <v>143750</v>
      </c>
      <c r="BZ1443" t="s">
        <v>1676</v>
      </c>
      <c r="CA1443">
        <v>1</v>
      </c>
      <c r="CB1443" t="b">
        <v>1</v>
      </c>
      <c r="CC1443">
        <v>0</v>
      </c>
      <c r="CD1443" t="b">
        <v>0</v>
      </c>
      <c r="CE1443" t="b">
        <v>0</v>
      </c>
      <c r="CF1443" t="b">
        <v>1</v>
      </c>
      <c r="CG1443">
        <v>2577315</v>
      </c>
      <c r="CH1443" t="s">
        <v>1681</v>
      </c>
      <c r="CI1443" s="10">
        <v>314950</v>
      </c>
      <c r="CJ1443" s="7">
        <v>34908</v>
      </c>
    </row>
    <row r="1444" spans="1:88">
      <c r="A1444">
        <v>28021692</v>
      </c>
      <c r="B1444" s="2" t="str">
        <f>HYPERLINK("http://www.redfin.com/stingray/do/printable-listing?listing-id=1455983","Active")</f>
        <v>Active</v>
      </c>
      <c r="D1444" t="s">
        <v>4710</v>
      </c>
      <c r="E1444" t="s">
        <v>6547</v>
      </c>
      <c r="F1444">
        <v>854000</v>
      </c>
      <c r="G1444">
        <v>1952</v>
      </c>
      <c r="H1444">
        <v>2020</v>
      </c>
      <c r="I1444">
        <v>7700</v>
      </c>
      <c r="J1444">
        <v>4</v>
      </c>
      <c r="K1444">
        <v>2</v>
      </c>
      <c r="M1444" s="2" t="str">
        <f>HYPERLINK("http://maps.live.com/default.aspx?v=2&amp;lvl=15&amp;sp=Point.47.623311_-122.207357_1413 100th Ave NE&amp;cp=47.623311~-122.207357","Map")</f>
        <v>Map</v>
      </c>
      <c r="N1444" s="2" t="str">
        <f>HYPERLINK("http://i-0.rfimg.us/photo/1/bigphoto/692/28021692_1.jpg","Photo")</f>
        <v>Photo</v>
      </c>
      <c r="AG1444">
        <v>47.623311000000001</v>
      </c>
      <c r="AH1444">
        <v>-122.207357</v>
      </c>
      <c r="AI1444" t="s">
        <v>369</v>
      </c>
      <c r="AJ1444">
        <v>98004</v>
      </c>
      <c r="AN1444">
        <v>765000</v>
      </c>
      <c r="BC1444" s="22">
        <v>39483.568055555559</v>
      </c>
      <c r="BI1444" s="22">
        <v>39546.925937499997</v>
      </c>
      <c r="BL1444">
        <v>17080</v>
      </c>
      <c r="BM1444">
        <v>1455983</v>
      </c>
      <c r="BN1444" t="s">
        <v>1768</v>
      </c>
      <c r="BO1444" s="17">
        <f t="shared" ca="1" si="22"/>
        <v>65.74135034721985</v>
      </c>
      <c r="BP1444" t="b">
        <v>0</v>
      </c>
      <c r="BQ1444">
        <v>1</v>
      </c>
      <c r="BR1444" t="s">
        <v>1667</v>
      </c>
      <c r="BS1444" t="s">
        <v>2806</v>
      </c>
      <c r="BT1444" t="b">
        <v>0</v>
      </c>
      <c r="BV1444" t="s">
        <v>1668</v>
      </c>
      <c r="BW1444">
        <v>1413</v>
      </c>
      <c r="BX1444" t="s">
        <v>1738</v>
      </c>
      <c r="BY1444">
        <v>506362</v>
      </c>
      <c r="BZ1444" t="s">
        <v>2373</v>
      </c>
      <c r="CA1444">
        <v>1</v>
      </c>
      <c r="CB1444" t="b">
        <v>1</v>
      </c>
      <c r="CC1444">
        <v>0</v>
      </c>
      <c r="CD1444" t="b">
        <v>0</v>
      </c>
      <c r="CE1444" t="b">
        <v>0</v>
      </c>
      <c r="CF1444" t="b">
        <v>1</v>
      </c>
      <c r="CG1444">
        <v>2566234</v>
      </c>
      <c r="CH1444" t="s">
        <v>1681</v>
      </c>
      <c r="CI1444" s="10">
        <v>854000</v>
      </c>
      <c r="CJ1444" s="7">
        <v>39090</v>
      </c>
    </row>
    <row r="1445" spans="1:88">
      <c r="A1445">
        <v>28021702</v>
      </c>
      <c r="B1445" s="2" t="str">
        <f>HYPERLINK("http://www.redfin.com/stingray/do/printable-listing?listing-id=1467464","Active")</f>
        <v>Active</v>
      </c>
      <c r="D1445" t="s">
        <v>2552</v>
      </c>
      <c r="E1445" t="s">
        <v>3372</v>
      </c>
      <c r="F1445" s="19">
        <v>1850000</v>
      </c>
      <c r="G1445">
        <v>1920</v>
      </c>
      <c r="H1445">
        <v>2210</v>
      </c>
      <c r="I1445">
        <v>5950</v>
      </c>
      <c r="J1445">
        <v>3</v>
      </c>
      <c r="K1445">
        <v>2</v>
      </c>
      <c r="M1445" s="2" t="str">
        <f>HYPERLINK("http://maps.live.com/default.aspx?v=2&amp;lvl=15&amp;sp=Point.47.632035_-122.39767_3047 W Galer St&amp;cp=47.632035~-122.39767","Map")</f>
        <v>Map</v>
      </c>
      <c r="N1445" s="2" t="str">
        <f>HYPERLINK("http://i-0.rfimg.us/photo/1/bigphoto/702/28021702_2.jpg","Photo")</f>
        <v>Photo</v>
      </c>
      <c r="AG1445">
        <v>47.632035000000002</v>
      </c>
      <c r="AH1445">
        <v>-122.39767000000001</v>
      </c>
      <c r="AI1445" t="s">
        <v>66</v>
      </c>
      <c r="AJ1445">
        <v>98199</v>
      </c>
      <c r="AN1445">
        <v>525000</v>
      </c>
      <c r="BC1445" s="22">
        <v>39486.777337962965</v>
      </c>
      <c r="BI1445" s="22">
        <v>39549.294907407406</v>
      </c>
      <c r="BL1445">
        <v>39580</v>
      </c>
      <c r="BM1445">
        <v>1467464</v>
      </c>
      <c r="BN1445" t="s">
        <v>1846</v>
      </c>
      <c r="BO1445" s="17">
        <f t="shared" ca="1" si="22"/>
        <v>62.532067939813714</v>
      </c>
      <c r="BP1445" t="b">
        <v>0</v>
      </c>
      <c r="BQ1445">
        <v>1</v>
      </c>
      <c r="BR1445" t="s">
        <v>1686</v>
      </c>
      <c r="BS1445" t="s">
        <v>3373</v>
      </c>
      <c r="BT1445" t="b">
        <v>0</v>
      </c>
      <c r="BU1445" t="s">
        <v>2423</v>
      </c>
      <c r="BV1445" t="s">
        <v>1668</v>
      </c>
      <c r="BW1445">
        <v>3047</v>
      </c>
      <c r="BY1445">
        <v>125825</v>
      </c>
      <c r="BZ1445" t="s">
        <v>1912</v>
      </c>
      <c r="CA1445">
        <v>1</v>
      </c>
      <c r="CB1445" t="b">
        <v>1</v>
      </c>
      <c r="CC1445">
        <v>0</v>
      </c>
      <c r="CD1445" t="b">
        <v>0</v>
      </c>
      <c r="CE1445" t="b">
        <v>0</v>
      </c>
      <c r="CF1445" t="b">
        <v>0</v>
      </c>
      <c r="CG1445">
        <v>2397793</v>
      </c>
      <c r="CH1445" t="s">
        <v>1681</v>
      </c>
      <c r="CI1445" s="10">
        <v>1979000</v>
      </c>
      <c r="CJ1445" s="7">
        <v>36308</v>
      </c>
    </row>
    <row r="1446" spans="1:88">
      <c r="A1446">
        <v>28021707</v>
      </c>
      <c r="B1446" s="2" t="str">
        <f>HYPERLINK("http://www.redfin.com/stingray/do/printable-listing?listing-id=1456434","Active")</f>
        <v>Active</v>
      </c>
      <c r="D1446" t="s">
        <v>5195</v>
      </c>
      <c r="E1446" t="s">
        <v>5333</v>
      </c>
      <c r="F1446">
        <v>479555</v>
      </c>
      <c r="G1446">
        <v>1981</v>
      </c>
      <c r="H1446">
        <v>1772</v>
      </c>
      <c r="I1446">
        <v>0</v>
      </c>
      <c r="J1446">
        <v>4</v>
      </c>
      <c r="K1446">
        <v>2.5</v>
      </c>
      <c r="M1446" s="2" t="str">
        <f>HYPERLINK("http://maps.live.com/default.aspx?v=2&amp;lvl=15&amp;sp=Point.47.579416_-122.124296_3420 161st Pl SE&amp;cp=47.579416~-122.124296","Map")</f>
        <v>Map</v>
      </c>
      <c r="N1446" s="2" t="str">
        <f>HYPERLINK("http://i-0.rfimg.us/photo/1/bigphoto/707/28021707_1.jpg","Photo")</f>
        <v>Photo</v>
      </c>
      <c r="AG1446">
        <v>47.579416000000002</v>
      </c>
      <c r="AH1446">
        <v>-122.124296</v>
      </c>
      <c r="AI1446" t="s">
        <v>369</v>
      </c>
      <c r="AJ1446">
        <v>98008</v>
      </c>
      <c r="BC1446" s="22">
        <v>39483.652048611111</v>
      </c>
      <c r="BI1446" s="22">
        <v>39549.294907407406</v>
      </c>
      <c r="BL1446">
        <v>9591</v>
      </c>
      <c r="BM1446">
        <v>1456434</v>
      </c>
      <c r="BN1446" t="s">
        <v>3236</v>
      </c>
      <c r="BO1446" s="17">
        <f t="shared" ca="1" si="22"/>
        <v>65.657357291667722</v>
      </c>
      <c r="BP1446" t="b">
        <v>0</v>
      </c>
      <c r="BQ1446">
        <v>1</v>
      </c>
      <c r="BR1446" t="s">
        <v>1842</v>
      </c>
      <c r="BS1446" t="s">
        <v>5334</v>
      </c>
      <c r="BT1446" t="b">
        <v>0</v>
      </c>
      <c r="BV1446" t="s">
        <v>1668</v>
      </c>
      <c r="BW1446">
        <v>3420</v>
      </c>
      <c r="BX1446" t="s">
        <v>3856</v>
      </c>
      <c r="BY1446">
        <v>12386354</v>
      </c>
      <c r="BZ1446" t="s">
        <v>1963</v>
      </c>
      <c r="CA1446">
        <v>1</v>
      </c>
      <c r="CB1446" t="b">
        <v>1</v>
      </c>
      <c r="CC1446">
        <v>0</v>
      </c>
      <c r="CD1446" t="b">
        <v>0</v>
      </c>
      <c r="CE1446" t="b">
        <v>0</v>
      </c>
      <c r="CF1446" t="b">
        <v>1</v>
      </c>
      <c r="CG1446">
        <v>15590102</v>
      </c>
      <c r="CH1446" t="s">
        <v>1681</v>
      </c>
      <c r="CI1446" s="10">
        <v>479555</v>
      </c>
    </row>
    <row r="1447" spans="1:88">
      <c r="A1447">
        <v>28021758</v>
      </c>
      <c r="B1447" s="2" t="str">
        <f>HYPERLINK("http://www.redfin.com/stingray/do/printable-listing?listing-id=1470859","Active")</f>
        <v>Active</v>
      </c>
      <c r="D1447" t="s">
        <v>3885</v>
      </c>
      <c r="E1447" t="s">
        <v>5814</v>
      </c>
      <c r="F1447" s="19">
        <v>719000</v>
      </c>
      <c r="G1447">
        <v>1998</v>
      </c>
      <c r="H1447">
        <v>2710</v>
      </c>
      <c r="I1447">
        <v>0</v>
      </c>
      <c r="J1447">
        <v>5</v>
      </c>
      <c r="K1447">
        <v>2.75</v>
      </c>
      <c r="M1447" s="2" t="str">
        <f>HYPERLINK("http://maps.live.com/default.aspx?v=2&amp;lvl=15&amp;sp=Point.47.530561_-122.182402_8121 118 Ct SE&amp;cp=47.530561~-122.182402","Map")</f>
        <v>Map</v>
      </c>
      <c r="N1447" s="2" t="str">
        <f>HYPERLINK("http://i-0.rfimg.us/photo/1/bigphoto/758/28021758_B.jpg","Photo")</f>
        <v>Photo</v>
      </c>
      <c r="AG1447">
        <v>47.530560999999999</v>
      </c>
      <c r="AH1447">
        <v>-122.182402</v>
      </c>
      <c r="AI1447" t="s">
        <v>3885</v>
      </c>
      <c r="AJ1447">
        <v>98056</v>
      </c>
      <c r="AN1447">
        <v>277000</v>
      </c>
      <c r="BC1447" s="22">
        <v>39489.306458333333</v>
      </c>
      <c r="BI1447" s="22">
        <v>39549.294907407406</v>
      </c>
      <c r="BL1447">
        <v>14980</v>
      </c>
      <c r="BM1447">
        <v>1470859</v>
      </c>
      <c r="BN1447" t="s">
        <v>3329</v>
      </c>
      <c r="BO1447" s="17">
        <f t="shared" ca="1" si="22"/>
        <v>60.002947569446405</v>
      </c>
      <c r="BP1447" t="b">
        <v>0</v>
      </c>
      <c r="BQ1447">
        <v>1</v>
      </c>
      <c r="BR1447" t="s">
        <v>3768</v>
      </c>
      <c r="BS1447">
        <v>118</v>
      </c>
      <c r="BT1447" t="b">
        <v>0</v>
      </c>
      <c r="BV1447" t="s">
        <v>1668</v>
      </c>
      <c r="BW1447">
        <v>8121</v>
      </c>
      <c r="BX1447" t="s">
        <v>3856</v>
      </c>
      <c r="BY1447">
        <v>415392</v>
      </c>
      <c r="BZ1447" t="s">
        <v>5815</v>
      </c>
      <c r="CA1447">
        <v>1</v>
      </c>
      <c r="CB1447" t="b">
        <v>1</v>
      </c>
      <c r="CC1447">
        <v>0</v>
      </c>
      <c r="CD1447" t="b">
        <v>0</v>
      </c>
      <c r="CE1447" t="b">
        <v>0</v>
      </c>
      <c r="CF1447" t="b">
        <v>0</v>
      </c>
      <c r="CG1447">
        <v>2561251</v>
      </c>
      <c r="CH1447" t="s">
        <v>1681</v>
      </c>
      <c r="CI1447" s="10">
        <v>749000</v>
      </c>
      <c r="CJ1447" s="7">
        <v>36654</v>
      </c>
    </row>
    <row r="1448" spans="1:88">
      <c r="A1448">
        <v>28021819</v>
      </c>
      <c r="B1448" s="2" t="str">
        <f>HYPERLINK("http://www.redfin.com/stingray/do/printable-listing?listing-id=1456417","Active")</f>
        <v>Active</v>
      </c>
      <c r="D1448" t="s">
        <v>983</v>
      </c>
      <c r="E1448" t="s">
        <v>984</v>
      </c>
      <c r="F1448">
        <v>395500</v>
      </c>
      <c r="G1448">
        <v>1985</v>
      </c>
      <c r="H1448">
        <v>1220</v>
      </c>
      <c r="I1448">
        <v>3400</v>
      </c>
      <c r="J1448">
        <v>3</v>
      </c>
      <c r="K1448">
        <v>1.75</v>
      </c>
      <c r="M1448" s="2" t="str">
        <f>HYPERLINK("http://maps.live.com/default.aspx?v=2&amp;lvl=15&amp;sp=Point.47.697981_-122.277384_9514 Sandpoint Way NE&amp;cp=47.697981~-122.277384","Map")</f>
        <v>Map</v>
      </c>
      <c r="N1448" s="2" t="str">
        <f>HYPERLINK("http://i-0.rfimg.us/photo/1/bigphoto/819/28021819_0.jpg","Photo")</f>
        <v>Photo</v>
      </c>
      <c r="AG1448">
        <v>47.697980999999999</v>
      </c>
      <c r="AH1448">
        <v>-122.277384</v>
      </c>
      <c r="AI1448" t="s">
        <v>66</v>
      </c>
      <c r="AJ1448">
        <v>98115</v>
      </c>
      <c r="AN1448">
        <v>175500</v>
      </c>
      <c r="BC1448" s="22">
        <v>39483.641840277778</v>
      </c>
      <c r="BI1448" s="7">
        <v>39533</v>
      </c>
      <c r="BL1448">
        <v>7910</v>
      </c>
      <c r="BM1448">
        <v>1456417</v>
      </c>
      <c r="BN1448" t="s">
        <v>1725</v>
      </c>
      <c r="BO1448" s="17">
        <f t="shared" ca="1" si="22"/>
        <v>65.667565625000861</v>
      </c>
      <c r="BP1448" t="b">
        <v>0</v>
      </c>
      <c r="BQ1448">
        <v>1</v>
      </c>
      <c r="BR1448" t="s">
        <v>2463</v>
      </c>
      <c r="BS1448" t="s">
        <v>2828</v>
      </c>
      <c r="BT1448" t="b">
        <v>0</v>
      </c>
      <c r="BV1448" t="s">
        <v>1668</v>
      </c>
      <c r="BW1448">
        <v>9514</v>
      </c>
      <c r="BX1448" t="s">
        <v>1738</v>
      </c>
      <c r="BY1448">
        <v>318873</v>
      </c>
      <c r="BZ1448" t="s">
        <v>1713</v>
      </c>
      <c r="CA1448">
        <v>1</v>
      </c>
      <c r="CB1448" t="b">
        <v>1</v>
      </c>
      <c r="CC1448">
        <v>0</v>
      </c>
      <c r="CD1448" t="b">
        <v>0</v>
      </c>
      <c r="CE1448" t="b">
        <v>0</v>
      </c>
      <c r="CF1448" t="b">
        <v>1</v>
      </c>
      <c r="CG1448">
        <v>2852602</v>
      </c>
      <c r="CH1448" t="s">
        <v>1681</v>
      </c>
      <c r="CI1448" s="10">
        <v>395500</v>
      </c>
      <c r="CJ1448" s="7">
        <v>35947</v>
      </c>
    </row>
    <row r="1449" spans="1:88">
      <c r="A1449">
        <v>28021867</v>
      </c>
      <c r="B1449" s="2" t="str">
        <f>HYPERLINK("http://www.redfin.com/stingray/do/printable-listing?listing-id=1456438","Active")</f>
        <v>Active</v>
      </c>
      <c r="D1449" t="s">
        <v>919</v>
      </c>
      <c r="E1449" t="s">
        <v>2885</v>
      </c>
      <c r="F1449">
        <v>383900</v>
      </c>
      <c r="G1449">
        <v>2007</v>
      </c>
      <c r="H1449">
        <v>1680</v>
      </c>
      <c r="I1449">
        <v>0</v>
      </c>
      <c r="J1449">
        <v>3</v>
      </c>
      <c r="K1449">
        <v>3.5</v>
      </c>
      <c r="M1449" s="2" t="str">
        <f>HYPERLINK("http://maps.live.com/default.aspx?v=2&amp;lvl=15&amp;sp=Point.47.717383_-122.316853_1027 NE 123rd nC&amp;cp=47.717383~-122.316853","Map")</f>
        <v>Map</v>
      </c>
      <c r="N1449" s="2" t="str">
        <f>HYPERLINK("http://i-0.rfimg.us/photo/1/bigphoto/867/28021867_2.jpg","Photo")</f>
        <v>Photo</v>
      </c>
      <c r="AG1449">
        <v>47.717382999999998</v>
      </c>
      <c r="AH1449">
        <v>-122.31685299999999</v>
      </c>
      <c r="AI1449" t="s">
        <v>66</v>
      </c>
      <c r="AJ1449">
        <v>98125</v>
      </c>
      <c r="AM1449" t="s">
        <v>2341</v>
      </c>
      <c r="BC1449" s="22">
        <v>39483.652071759258</v>
      </c>
      <c r="BI1449" s="22">
        <v>39549.294907407406</v>
      </c>
      <c r="BL1449">
        <v>7678</v>
      </c>
      <c r="BM1449">
        <v>1456438</v>
      </c>
      <c r="BN1449" t="s">
        <v>1675</v>
      </c>
      <c r="BO1449" s="17">
        <f t="shared" ca="1" si="22"/>
        <v>65.657334143521439</v>
      </c>
      <c r="BP1449" t="b">
        <v>0</v>
      </c>
      <c r="BQ1449">
        <v>1</v>
      </c>
      <c r="BS1449" t="s">
        <v>2882</v>
      </c>
      <c r="BT1449" t="b">
        <v>0</v>
      </c>
      <c r="BU1449" t="s">
        <v>1738</v>
      </c>
      <c r="BV1449" t="s">
        <v>1668</v>
      </c>
      <c r="BW1449">
        <v>1027</v>
      </c>
      <c r="BY1449">
        <v>12386355</v>
      </c>
      <c r="BZ1449" t="s">
        <v>2886</v>
      </c>
      <c r="CA1449">
        <v>1</v>
      </c>
      <c r="CB1449" t="b">
        <v>1</v>
      </c>
      <c r="CC1449">
        <v>0</v>
      </c>
      <c r="CD1449" t="b">
        <v>0</v>
      </c>
      <c r="CE1449" t="b">
        <v>0</v>
      </c>
      <c r="CF1449" t="b">
        <v>1</v>
      </c>
      <c r="CG1449">
        <v>15620263</v>
      </c>
      <c r="CH1449" t="s">
        <v>1681</v>
      </c>
      <c r="CI1449" s="10">
        <v>383900</v>
      </c>
    </row>
    <row r="1450" spans="1:88">
      <c r="A1450">
        <v>28021870</v>
      </c>
      <c r="B1450" s="2" t="str">
        <f>HYPERLINK("http://www.redfin.com/stingray/do/printable-listing?listing-id=1456442","Active")</f>
        <v>Active</v>
      </c>
      <c r="D1450" t="s">
        <v>4359</v>
      </c>
      <c r="E1450" t="s">
        <v>4533</v>
      </c>
      <c r="F1450">
        <v>599950</v>
      </c>
      <c r="G1450">
        <v>2004</v>
      </c>
      <c r="H1450">
        <v>1000</v>
      </c>
      <c r="I1450">
        <v>0</v>
      </c>
      <c r="J1450">
        <v>2</v>
      </c>
      <c r="K1450">
        <v>1.75</v>
      </c>
      <c r="M1450" s="2" t="str">
        <f>HYPERLINK("http://maps.live.com/default.aspx?v=2&amp;lvl=15&amp;sp=Point.47.699937_-122.163785_13308 NE 111th Ct&amp;cp=47.699937~-122.163785","Map")</f>
        <v>Map</v>
      </c>
      <c r="N1450" s="2" t="str">
        <f>HYPERLINK("http://i-0.rfimg.us/photo/1/bigphoto/870/28021870_0.jpg","Photo")</f>
        <v>Photo</v>
      </c>
      <c r="AG1450">
        <v>47.699936999999998</v>
      </c>
      <c r="AH1450">
        <v>-122.163785</v>
      </c>
      <c r="AI1450" t="s">
        <v>4363</v>
      </c>
      <c r="AJ1450">
        <v>98052</v>
      </c>
      <c r="BC1450" s="22">
        <v>39483.652106481481</v>
      </c>
      <c r="BI1450" s="22">
        <v>39549.294907407406</v>
      </c>
      <c r="BL1450">
        <v>11999</v>
      </c>
      <c r="BM1450">
        <v>1456442</v>
      </c>
      <c r="BN1450" t="s">
        <v>1823</v>
      </c>
      <c r="BO1450" s="17">
        <f t="shared" ca="1" si="22"/>
        <v>65.657299421298376</v>
      </c>
      <c r="BP1450" t="b">
        <v>0</v>
      </c>
      <c r="BQ1450">
        <v>1</v>
      </c>
      <c r="BR1450" t="s">
        <v>3768</v>
      </c>
      <c r="BS1450" t="s">
        <v>4388</v>
      </c>
      <c r="BT1450" t="b">
        <v>0</v>
      </c>
      <c r="BU1450" t="s">
        <v>1738</v>
      </c>
      <c r="BV1450" t="s">
        <v>1668</v>
      </c>
      <c r="BW1450">
        <v>13308</v>
      </c>
      <c r="BY1450">
        <v>12386356</v>
      </c>
      <c r="BZ1450" t="s">
        <v>1672</v>
      </c>
      <c r="CA1450">
        <v>1</v>
      </c>
      <c r="CB1450" t="b">
        <v>1</v>
      </c>
      <c r="CC1450">
        <v>0</v>
      </c>
      <c r="CD1450" t="b">
        <v>0</v>
      </c>
      <c r="CE1450" t="b">
        <v>0</v>
      </c>
      <c r="CF1450" t="b">
        <v>1</v>
      </c>
      <c r="CG1450">
        <v>15590104</v>
      </c>
      <c r="CH1450" t="s">
        <v>1681</v>
      </c>
      <c r="CI1450" s="10">
        <v>599950</v>
      </c>
    </row>
    <row r="1451" spans="1:88">
      <c r="A1451">
        <v>28021886</v>
      </c>
      <c r="B1451" s="2" t="str">
        <f>HYPERLINK("http://www.redfin.com/stingray/do/printable-listing?listing-id=1466407","Active")</f>
        <v>Active</v>
      </c>
      <c r="D1451" t="s">
        <v>1152</v>
      </c>
      <c r="E1451" t="s">
        <v>3213</v>
      </c>
      <c r="F1451" s="19">
        <v>538800</v>
      </c>
      <c r="G1451">
        <v>1940</v>
      </c>
      <c r="H1451">
        <v>0</v>
      </c>
      <c r="I1451">
        <v>5160</v>
      </c>
      <c r="J1451">
        <v>2</v>
      </c>
      <c r="K1451">
        <v>1</v>
      </c>
      <c r="M1451" s="2" t="str">
        <f>HYPERLINK("http://maps.live.com/default.aspx?v=2&amp;lvl=15&amp;sp=Point.47.669021_-122.280615_4334 NE 55th St&amp;cp=47.669021~-122.280615","Map")</f>
        <v>Map</v>
      </c>
      <c r="N1451" s="2" t="str">
        <f>HYPERLINK("http://i-0.rfimg.us/photo/1/bigphoto/886/28021886_1.jpg","Photo")</f>
        <v>Photo</v>
      </c>
      <c r="AG1451">
        <v>47.669021000000001</v>
      </c>
      <c r="AH1451">
        <v>-122.280615</v>
      </c>
      <c r="AI1451" t="s">
        <v>66</v>
      </c>
      <c r="AJ1451">
        <v>98105</v>
      </c>
      <c r="AN1451">
        <v>295000</v>
      </c>
      <c r="BC1451" s="22">
        <v>39486.588692129626</v>
      </c>
      <c r="BI1451" s="22">
        <v>39549.294907407406</v>
      </c>
      <c r="BL1451">
        <v>10976</v>
      </c>
      <c r="BM1451">
        <v>1466407</v>
      </c>
      <c r="BN1451" t="s">
        <v>1688</v>
      </c>
      <c r="BO1451" s="17">
        <f t="shared" ca="1" si="22"/>
        <v>62.720713773152966</v>
      </c>
      <c r="BP1451" t="b">
        <v>0</v>
      </c>
      <c r="BQ1451">
        <v>1</v>
      </c>
      <c r="BR1451" t="s">
        <v>1686</v>
      </c>
      <c r="BS1451" t="s">
        <v>2514</v>
      </c>
      <c r="BT1451" t="b">
        <v>0</v>
      </c>
      <c r="BU1451" t="s">
        <v>1738</v>
      </c>
      <c r="BV1451" t="s">
        <v>1668</v>
      </c>
      <c r="BW1451">
        <v>4334</v>
      </c>
      <c r="BY1451">
        <v>314417</v>
      </c>
      <c r="BZ1451" t="s">
        <v>1742</v>
      </c>
      <c r="CA1451">
        <v>1</v>
      </c>
      <c r="CB1451" t="b">
        <v>1</v>
      </c>
      <c r="CC1451">
        <v>0</v>
      </c>
      <c r="CD1451" t="b">
        <v>0</v>
      </c>
      <c r="CE1451" t="b">
        <v>0</v>
      </c>
      <c r="CF1451" t="b">
        <v>0</v>
      </c>
      <c r="CG1451">
        <v>2953229</v>
      </c>
      <c r="CH1451" t="s">
        <v>1681</v>
      </c>
      <c r="CI1451" s="10">
        <v>548800</v>
      </c>
      <c r="CJ1451" s="7">
        <v>36570</v>
      </c>
    </row>
    <row r="1452" spans="1:88">
      <c r="A1452">
        <v>28021923</v>
      </c>
      <c r="B1452" s="2" t="str">
        <f>HYPERLINK("http://www.redfin.com/stingray/do/printable-listing?listing-id=1456960","Active")</f>
        <v>Active</v>
      </c>
      <c r="D1452" t="s">
        <v>202</v>
      </c>
      <c r="E1452" t="s">
        <v>3016</v>
      </c>
      <c r="F1452">
        <v>539900</v>
      </c>
      <c r="G1452">
        <v>1941</v>
      </c>
      <c r="H1452">
        <v>1880</v>
      </c>
      <c r="I1452">
        <v>6496</v>
      </c>
      <c r="J1452">
        <v>3</v>
      </c>
      <c r="K1452">
        <v>1.75</v>
      </c>
      <c r="M1452" s="2" t="str">
        <f>HYPERLINK("http://maps.live.com/default.aspx?v=2&amp;lvl=15&amp;sp=Point.47.703455_-122.304603_10315 23rd Ave NE&amp;cp=47.703455~-122.304603","Map")</f>
        <v>Map</v>
      </c>
      <c r="N1452" s="2" t="str">
        <f>HYPERLINK("http://i-0.rfimg.us/photo/1/bigphoto/923/28021923_1.jpg","Photo")</f>
        <v>Photo</v>
      </c>
      <c r="AG1452">
        <v>47.703454999999998</v>
      </c>
      <c r="AH1452">
        <v>-122.304603</v>
      </c>
      <c r="AI1452" t="s">
        <v>66</v>
      </c>
      <c r="AJ1452">
        <v>98125</v>
      </c>
      <c r="AN1452">
        <v>475000</v>
      </c>
      <c r="BC1452" s="22">
        <v>39483.807581018518</v>
      </c>
      <c r="BI1452" s="7">
        <v>39535</v>
      </c>
      <c r="BL1452">
        <v>10798</v>
      </c>
      <c r="BM1452">
        <v>1456960</v>
      </c>
      <c r="BN1452" t="s">
        <v>1678</v>
      </c>
      <c r="BO1452" s="17">
        <f t="shared" ca="1" si="22"/>
        <v>65.501824884260714</v>
      </c>
      <c r="BP1452" t="b">
        <v>0</v>
      </c>
      <c r="BQ1452">
        <v>1</v>
      </c>
      <c r="BR1452" t="s">
        <v>1667</v>
      </c>
      <c r="BS1452" t="s">
        <v>1839</v>
      </c>
      <c r="BT1452" t="b">
        <v>0</v>
      </c>
      <c r="BV1452" t="s">
        <v>1668</v>
      </c>
      <c r="BW1452">
        <v>10315</v>
      </c>
      <c r="BX1452" t="s">
        <v>1738</v>
      </c>
      <c r="BY1452">
        <v>107626</v>
      </c>
      <c r="BZ1452" t="s">
        <v>1756</v>
      </c>
      <c r="CA1452">
        <v>1</v>
      </c>
      <c r="CB1452" t="b">
        <v>1</v>
      </c>
      <c r="CC1452">
        <v>0</v>
      </c>
      <c r="CD1452" t="b">
        <v>0</v>
      </c>
      <c r="CE1452" t="b">
        <v>0</v>
      </c>
      <c r="CF1452" t="b">
        <v>1</v>
      </c>
      <c r="CG1452">
        <v>2756210</v>
      </c>
      <c r="CH1452" t="s">
        <v>1681</v>
      </c>
      <c r="CI1452" s="10">
        <v>539900</v>
      </c>
      <c r="CJ1452" s="7">
        <v>38623</v>
      </c>
    </row>
    <row r="1453" spans="1:88">
      <c r="A1453">
        <v>28021928</v>
      </c>
      <c r="B1453" s="2" t="str">
        <f>HYPERLINK("http://www.redfin.com/stingray/do/printable-listing?listing-id=1456552","Active")</f>
        <v>Active</v>
      </c>
      <c r="D1453" t="s">
        <v>369</v>
      </c>
      <c r="E1453" t="s">
        <v>5536</v>
      </c>
      <c r="F1453">
        <v>634000</v>
      </c>
      <c r="G1453">
        <v>1965</v>
      </c>
      <c r="H1453">
        <v>2960</v>
      </c>
      <c r="I1453">
        <v>7950</v>
      </c>
      <c r="J1453">
        <v>5</v>
      </c>
      <c r="K1453">
        <v>3</v>
      </c>
      <c r="M1453" s="2" t="str">
        <f>HYPERLINK("http://maps.live.com/default.aspx?v=2&amp;lvl=15&amp;sp=Point.47.627706_-122.119844_1905 165th Pl NE&amp;cp=47.627706~-122.119844","Map")</f>
        <v>Map</v>
      </c>
      <c r="N1453" s="2" t="str">
        <f>HYPERLINK("http://i-0.rfimg.us/photo/1/bigphoto/928/28021928_0.jpg","Photo")</f>
        <v>Photo</v>
      </c>
      <c r="AG1453">
        <v>47.627706000000003</v>
      </c>
      <c r="AH1453">
        <v>-122.119844</v>
      </c>
      <c r="AI1453" t="s">
        <v>369</v>
      </c>
      <c r="AJ1453">
        <v>98008</v>
      </c>
      <c r="AN1453">
        <v>115950</v>
      </c>
      <c r="BC1453" s="22">
        <v>39483.682870370372</v>
      </c>
      <c r="BI1453" s="22">
        <v>39549.294907407406</v>
      </c>
      <c r="BL1453">
        <v>12680</v>
      </c>
      <c r="BM1453">
        <v>1456552</v>
      </c>
      <c r="BN1453" t="s">
        <v>4593</v>
      </c>
      <c r="BO1453" s="17">
        <f t="shared" ca="1" si="22"/>
        <v>65.626535532406706</v>
      </c>
      <c r="BP1453" t="b">
        <v>0</v>
      </c>
      <c r="BQ1453">
        <v>1</v>
      </c>
      <c r="BR1453" t="s">
        <v>1842</v>
      </c>
      <c r="BS1453" t="s">
        <v>5256</v>
      </c>
      <c r="BT1453" t="b">
        <v>0</v>
      </c>
      <c r="BV1453" t="s">
        <v>1668</v>
      </c>
      <c r="BW1453">
        <v>1905</v>
      </c>
      <c r="BX1453" t="s">
        <v>1738</v>
      </c>
      <c r="BY1453">
        <v>432328</v>
      </c>
      <c r="BZ1453" t="s">
        <v>1743</v>
      </c>
      <c r="CA1453">
        <v>1</v>
      </c>
      <c r="CB1453" t="b">
        <v>1</v>
      </c>
      <c r="CC1453">
        <v>0</v>
      </c>
      <c r="CD1453" t="b">
        <v>0</v>
      </c>
      <c r="CE1453" t="b">
        <v>0</v>
      </c>
      <c r="CF1453" t="b">
        <v>1</v>
      </c>
      <c r="CG1453">
        <v>2502925</v>
      </c>
      <c r="CH1453" t="s">
        <v>1681</v>
      </c>
      <c r="CI1453" s="10">
        <v>634000</v>
      </c>
      <c r="CJ1453" s="7">
        <v>32115</v>
      </c>
    </row>
    <row r="1454" spans="1:88">
      <c r="A1454">
        <v>28021956</v>
      </c>
      <c r="B1454" s="2" t="str">
        <f>HYPERLINK("http://www.redfin.com/stingray/do/printable-listing?listing-id=1456667","Active")</f>
        <v>Active</v>
      </c>
      <c r="D1454" t="s">
        <v>63</v>
      </c>
      <c r="E1454" t="s">
        <v>2557</v>
      </c>
      <c r="F1454">
        <v>549900</v>
      </c>
      <c r="G1454">
        <v>1926</v>
      </c>
      <c r="H1454">
        <v>2310</v>
      </c>
      <c r="I1454">
        <v>0</v>
      </c>
      <c r="J1454">
        <v>4</v>
      </c>
      <c r="K1454">
        <v>1.75</v>
      </c>
      <c r="M1454" s="2" t="str">
        <f>HYPERLINK("http://maps.live.com/default.aspx?v=2&amp;lvl=15&amp;sp=Point.47.669207_-122.367228_823 NW 56 St&amp;cp=47.669207~-122.367228","Map")</f>
        <v>Map</v>
      </c>
      <c r="N1454" s="2" t="str">
        <f>HYPERLINK("http://i-0.rfimg.us/photo/1/bigphoto/956/28021956_0.jpg","Photo")</f>
        <v>Photo</v>
      </c>
      <c r="AG1454">
        <v>47.669207</v>
      </c>
      <c r="AH1454">
        <v>-122.367228</v>
      </c>
      <c r="AI1454" t="s">
        <v>66</v>
      </c>
      <c r="AJ1454">
        <v>98107</v>
      </c>
      <c r="AN1454">
        <v>423000</v>
      </c>
      <c r="BC1454" s="22">
        <v>39483.725243055553</v>
      </c>
      <c r="BI1454" s="22">
        <v>39549.294907407406</v>
      </c>
      <c r="BL1454">
        <v>10998</v>
      </c>
      <c r="BM1454">
        <v>1456667</v>
      </c>
      <c r="BN1454" t="s">
        <v>2556</v>
      </c>
      <c r="BO1454" s="17">
        <f t="shared" ca="1" si="22"/>
        <v>65.584162962964911</v>
      </c>
      <c r="BP1454" t="b">
        <v>0</v>
      </c>
      <c r="BQ1454">
        <v>1</v>
      </c>
      <c r="BR1454" t="s">
        <v>1686</v>
      </c>
      <c r="BS1454">
        <v>56</v>
      </c>
      <c r="BT1454" t="b">
        <v>0</v>
      </c>
      <c r="BU1454" t="s">
        <v>1669</v>
      </c>
      <c r="BV1454" t="s">
        <v>1668</v>
      </c>
      <c r="BW1454">
        <v>823</v>
      </c>
      <c r="BY1454">
        <v>494793</v>
      </c>
      <c r="BZ1454" t="s">
        <v>1762</v>
      </c>
      <c r="CA1454">
        <v>1</v>
      </c>
      <c r="CB1454" t="b">
        <v>1</v>
      </c>
      <c r="CC1454">
        <v>0</v>
      </c>
      <c r="CD1454" t="b">
        <v>0</v>
      </c>
      <c r="CE1454" t="b">
        <v>0</v>
      </c>
      <c r="CF1454" t="b">
        <v>1</v>
      </c>
      <c r="CG1454">
        <v>2772556</v>
      </c>
      <c r="CH1454" t="s">
        <v>1681</v>
      </c>
      <c r="CI1454" s="10">
        <v>549900</v>
      </c>
      <c r="CJ1454" s="7">
        <v>38686</v>
      </c>
    </row>
    <row r="1455" spans="1:88">
      <c r="A1455">
        <v>28021960</v>
      </c>
      <c r="B1455" s="2" t="str">
        <f>HYPERLINK("http://www.redfin.com/stingray/do/printable-listing?listing-id=1475309","Active")</f>
        <v>Active</v>
      </c>
      <c r="D1455" t="s">
        <v>3885</v>
      </c>
      <c r="E1455" t="s">
        <v>5974</v>
      </c>
      <c r="F1455">
        <v>1095000</v>
      </c>
      <c r="G1455">
        <v>2001</v>
      </c>
      <c r="H1455">
        <v>3400</v>
      </c>
      <c r="I1455">
        <v>11642</v>
      </c>
      <c r="J1455">
        <v>4</v>
      </c>
      <c r="K1455">
        <v>3.5</v>
      </c>
      <c r="M1455" s="2" t="str">
        <f>HYPERLINK("http://maps.live.com/default.aspx?v=2&amp;lvl=15&amp;sp=Point.47.519299_-122.156378_13809 SE 92nd St&amp;cp=47.519299~-122.156378","Map")</f>
        <v>Map</v>
      </c>
      <c r="N1455" s="2" t="str">
        <f>HYPERLINK("http://i-0.rfimg.us/photo/1/bigphoto/960/28021960_5.jpg","Photo")</f>
        <v>Photo</v>
      </c>
      <c r="AG1455">
        <v>47.519298999999997</v>
      </c>
      <c r="AH1455">
        <v>-122.156378</v>
      </c>
      <c r="AI1455" t="s">
        <v>3885</v>
      </c>
      <c r="AJ1455">
        <v>98059</v>
      </c>
      <c r="AN1455">
        <v>775000</v>
      </c>
      <c r="BC1455" s="22">
        <v>39490.683715277781</v>
      </c>
      <c r="BI1455" s="22">
        <v>39549.294907407406</v>
      </c>
      <c r="BL1455">
        <v>21900</v>
      </c>
      <c r="BM1455">
        <v>1475309</v>
      </c>
      <c r="BN1455" t="s">
        <v>4593</v>
      </c>
      <c r="BO1455" s="17">
        <f t="shared" ca="1" si="22"/>
        <v>58.625690624998242</v>
      </c>
      <c r="BP1455" t="b">
        <v>0</v>
      </c>
      <c r="BQ1455">
        <v>1</v>
      </c>
      <c r="BR1455" t="s">
        <v>1686</v>
      </c>
      <c r="BS1455" t="s">
        <v>2726</v>
      </c>
      <c r="BT1455" t="b">
        <v>0</v>
      </c>
      <c r="BU1455" t="s">
        <v>3856</v>
      </c>
      <c r="BV1455" t="s">
        <v>1668</v>
      </c>
      <c r="BW1455">
        <v>13809</v>
      </c>
      <c r="BY1455">
        <v>417421</v>
      </c>
      <c r="BZ1455" t="s">
        <v>5975</v>
      </c>
      <c r="CA1455">
        <v>1</v>
      </c>
      <c r="CB1455" t="b">
        <v>1</v>
      </c>
      <c r="CC1455">
        <v>0</v>
      </c>
      <c r="CD1455" t="b">
        <v>0</v>
      </c>
      <c r="CE1455" t="b">
        <v>0</v>
      </c>
      <c r="CF1455" t="b">
        <v>0</v>
      </c>
      <c r="CG1455">
        <v>2850390</v>
      </c>
      <c r="CH1455" t="s">
        <v>1681</v>
      </c>
      <c r="CI1455" s="10">
        <v>1095000</v>
      </c>
      <c r="CJ1455" s="7">
        <v>38426</v>
      </c>
    </row>
    <row r="1456" spans="1:88">
      <c r="A1456">
        <v>28021973</v>
      </c>
      <c r="B1456" s="2" t="str">
        <f>HYPERLINK("http://www.redfin.com/stingray/do/printable-listing?listing-id=1459905","Active")</f>
        <v>Active</v>
      </c>
      <c r="D1456" t="s">
        <v>2552</v>
      </c>
      <c r="E1456" t="s">
        <v>3535</v>
      </c>
      <c r="F1456">
        <v>725000</v>
      </c>
      <c r="G1456">
        <v>1994</v>
      </c>
      <c r="H1456">
        <v>2220</v>
      </c>
      <c r="I1456">
        <v>6970</v>
      </c>
      <c r="J1456">
        <v>3</v>
      </c>
      <c r="K1456">
        <v>2.5</v>
      </c>
      <c r="M1456" s="2" t="str">
        <f>HYPERLINK("http://maps.live.com/default.aspx?v=2&amp;lvl=15&amp;sp=Point.47.66027_-122.401801_4423 Brygger Dr W&amp;cp=47.66027~-122.401801","Map")</f>
        <v>Map</v>
      </c>
      <c r="N1456" s="2" t="str">
        <f>HYPERLINK("http://i-0.rfimg.us/photo/1/bigphoto/973/28021973_2.jpg","Photo")</f>
        <v>Photo</v>
      </c>
      <c r="AG1456">
        <v>47.660269999999997</v>
      </c>
      <c r="AH1456">
        <v>-122.40180100000001</v>
      </c>
      <c r="AI1456" t="s">
        <v>66</v>
      </c>
      <c r="AJ1456">
        <v>98199</v>
      </c>
      <c r="AN1456">
        <v>369950</v>
      </c>
      <c r="BC1456" s="22">
        <v>39484.745300925926</v>
      </c>
      <c r="BI1456" s="22">
        <v>39549.294907407406</v>
      </c>
      <c r="BL1456">
        <v>14500</v>
      </c>
      <c r="BM1456">
        <v>1459905</v>
      </c>
      <c r="BN1456" t="s">
        <v>3534</v>
      </c>
      <c r="BO1456" s="17">
        <f t="shared" ca="1" si="22"/>
        <v>64.564104976852832</v>
      </c>
      <c r="BP1456" t="b">
        <v>0</v>
      </c>
      <c r="BQ1456">
        <v>1</v>
      </c>
      <c r="BR1456" t="s">
        <v>1816</v>
      </c>
      <c r="BS1456" t="s">
        <v>3536</v>
      </c>
      <c r="BT1456" t="b">
        <v>0</v>
      </c>
      <c r="BV1456" t="s">
        <v>1668</v>
      </c>
      <c r="BW1456">
        <v>4423</v>
      </c>
      <c r="BX1456" t="s">
        <v>2423</v>
      </c>
      <c r="BY1456">
        <v>123281</v>
      </c>
      <c r="BZ1456" t="s">
        <v>3537</v>
      </c>
      <c r="CA1456">
        <v>1</v>
      </c>
      <c r="CB1456" t="b">
        <v>1</v>
      </c>
      <c r="CC1456">
        <v>0</v>
      </c>
      <c r="CD1456" t="b">
        <v>0</v>
      </c>
      <c r="CE1456" t="b">
        <v>0</v>
      </c>
      <c r="CF1456" t="b">
        <v>0</v>
      </c>
      <c r="CG1456">
        <v>2923973</v>
      </c>
      <c r="CH1456" t="s">
        <v>1681</v>
      </c>
      <c r="CI1456" s="10">
        <v>725000</v>
      </c>
      <c r="CJ1456" s="7">
        <v>37655</v>
      </c>
    </row>
    <row r="1457" spans="1:89">
      <c r="A1457">
        <v>28021978</v>
      </c>
      <c r="B1457" s="2" t="str">
        <f>HYPERLINK("http://www.redfin.com/stingray/do/printable-listing?listing-id=1456666","Active")</f>
        <v>Active</v>
      </c>
      <c r="D1457" t="s">
        <v>4710</v>
      </c>
      <c r="E1457" t="s">
        <v>4796</v>
      </c>
      <c r="F1457">
        <v>849950</v>
      </c>
      <c r="G1457">
        <v>2007</v>
      </c>
      <c r="H1457">
        <v>2646</v>
      </c>
      <c r="I1457">
        <v>0</v>
      </c>
      <c r="J1457">
        <v>3</v>
      </c>
      <c r="K1457">
        <v>2.5</v>
      </c>
      <c r="M1457" s="2" t="str">
        <f>HYPERLINK("http://maps.live.com/default.aspx?v=2&amp;lvl=15&amp;sp=Point.47.673997_-122.196503_215 6th St S&amp;cp=47.673997~-122.196503","Map")</f>
        <v>Map</v>
      </c>
      <c r="N1457" s="2" t="str">
        <f>HYPERLINK("http://i-0.rfimg.us/photo/1/bigphoto/978/28021978_0.jpg","Photo")</f>
        <v>Photo</v>
      </c>
      <c r="AG1457">
        <v>47.673997</v>
      </c>
      <c r="AH1457">
        <v>-122.19650300000001</v>
      </c>
      <c r="AI1457" t="s">
        <v>1058</v>
      </c>
      <c r="AJ1457">
        <v>98033</v>
      </c>
      <c r="BC1457" s="22">
        <v>39483.725243055553</v>
      </c>
      <c r="BI1457" s="22">
        <v>39549.294907407406</v>
      </c>
      <c r="BL1457">
        <v>16999</v>
      </c>
      <c r="BM1457">
        <v>1456666</v>
      </c>
      <c r="BN1457" t="s">
        <v>1768</v>
      </c>
      <c r="BO1457" s="17">
        <f t="shared" ca="1" si="22"/>
        <v>65.584162847226253</v>
      </c>
      <c r="BP1457" t="b">
        <v>0</v>
      </c>
      <c r="BQ1457">
        <v>1</v>
      </c>
      <c r="BR1457" t="s">
        <v>1686</v>
      </c>
      <c r="BS1457" t="s">
        <v>1739</v>
      </c>
      <c r="BT1457" t="b">
        <v>0</v>
      </c>
      <c r="BV1457" t="s">
        <v>1668</v>
      </c>
      <c r="BW1457">
        <v>215</v>
      </c>
      <c r="BX1457" t="s">
        <v>1881</v>
      </c>
      <c r="BY1457">
        <v>12305022</v>
      </c>
      <c r="BZ1457" t="s">
        <v>1672</v>
      </c>
      <c r="CA1457">
        <v>1</v>
      </c>
      <c r="CB1457" t="b">
        <v>1</v>
      </c>
      <c r="CC1457">
        <v>0</v>
      </c>
      <c r="CD1457" t="b">
        <v>0</v>
      </c>
      <c r="CE1457" t="b">
        <v>0</v>
      </c>
      <c r="CF1457" t="b">
        <v>1</v>
      </c>
      <c r="CG1457">
        <v>15511955</v>
      </c>
      <c r="CH1457" t="s">
        <v>1681</v>
      </c>
      <c r="CI1457" s="10">
        <v>849950</v>
      </c>
    </row>
    <row r="1458" spans="1:89">
      <c r="A1458">
        <v>28021987</v>
      </c>
      <c r="B1458" s="2" t="str">
        <f>HYPERLINK("http://www.redfin.com/stingray/do/printable-listing?listing-id=1456959","Active")</f>
        <v>Active</v>
      </c>
      <c r="D1458" t="s">
        <v>4777</v>
      </c>
      <c r="E1458" t="s">
        <v>4978</v>
      </c>
      <c r="F1458">
        <v>725000</v>
      </c>
      <c r="G1458">
        <v>1975</v>
      </c>
      <c r="H1458">
        <v>2428</v>
      </c>
      <c r="I1458">
        <v>9726</v>
      </c>
      <c r="J1458">
        <v>4</v>
      </c>
      <c r="K1458">
        <v>2.5</v>
      </c>
      <c r="M1458" s="2" t="str">
        <f>HYPERLINK("http://maps.live.com/default.aspx?v=2&amp;lvl=15&amp;sp=Point.47.648807_-122.198753_4226 105th Ave NE&amp;cp=47.648807~-122.198753","Map")</f>
        <v>Map</v>
      </c>
      <c r="N1458" s="2" t="str">
        <f>HYPERLINK("http://i-0.rfimg.us/photo/1/bigphoto/987/28021987_0.jpg","Photo")</f>
        <v>Photo</v>
      </c>
      <c r="AG1458">
        <v>47.648806999999998</v>
      </c>
      <c r="AH1458">
        <v>-122.198753</v>
      </c>
      <c r="AI1458" t="s">
        <v>1058</v>
      </c>
      <c r="AJ1458">
        <v>98033</v>
      </c>
      <c r="AN1458">
        <v>134000</v>
      </c>
      <c r="BC1458" s="22">
        <v>39483.807569444441</v>
      </c>
      <c r="BI1458" s="22">
        <v>39549.294907407406</v>
      </c>
      <c r="BL1458">
        <v>14500</v>
      </c>
      <c r="BM1458">
        <v>1456959</v>
      </c>
      <c r="BN1458" t="s">
        <v>2203</v>
      </c>
      <c r="BO1458" s="17">
        <f t="shared" ca="1" si="22"/>
        <v>65.501836458337493</v>
      </c>
      <c r="BP1458" t="b">
        <v>0</v>
      </c>
      <c r="BQ1458">
        <v>1</v>
      </c>
      <c r="BR1458" t="s">
        <v>1667</v>
      </c>
      <c r="BS1458" t="s">
        <v>2705</v>
      </c>
      <c r="BT1458" t="b">
        <v>0</v>
      </c>
      <c r="BV1458" t="s">
        <v>1668</v>
      </c>
      <c r="BW1458">
        <v>4226</v>
      </c>
      <c r="BX1458" t="s">
        <v>1738</v>
      </c>
      <c r="BY1458">
        <v>459972</v>
      </c>
      <c r="BZ1458" t="s">
        <v>1672</v>
      </c>
      <c r="CA1458">
        <v>1</v>
      </c>
      <c r="CB1458" t="b">
        <v>1</v>
      </c>
      <c r="CC1458">
        <v>0</v>
      </c>
      <c r="CD1458" t="b">
        <v>0</v>
      </c>
      <c r="CE1458" t="b">
        <v>0</v>
      </c>
      <c r="CF1458" t="b">
        <v>1</v>
      </c>
      <c r="CG1458">
        <v>2673452</v>
      </c>
      <c r="CH1458" t="s">
        <v>1681</v>
      </c>
      <c r="CI1458" s="10">
        <v>725000</v>
      </c>
      <c r="CJ1458" s="7">
        <v>31775</v>
      </c>
    </row>
    <row r="1459" spans="1:89">
      <c r="A1459">
        <v>28021988</v>
      </c>
      <c r="B1459" s="2" t="str">
        <f>HYPERLINK("http://www.redfin.com/stingray/do/printable-listing?listing-id=1456624","Active")</f>
        <v>Active</v>
      </c>
      <c r="D1459" t="s">
        <v>88</v>
      </c>
      <c r="E1459" t="s">
        <v>3652</v>
      </c>
      <c r="F1459">
        <v>689000</v>
      </c>
      <c r="G1459">
        <v>2008</v>
      </c>
      <c r="H1459">
        <v>2656</v>
      </c>
      <c r="I1459">
        <v>0</v>
      </c>
      <c r="J1459">
        <v>3</v>
      </c>
      <c r="K1459">
        <v>3.5</v>
      </c>
      <c r="M1459" s="2" t="str">
        <f>HYPERLINK("http://maps.live.com/default.aspx?v=2&amp;lvl=15&amp;sp=Point.47.659559_-122.355114_4318 Greenwood Ave N nA&amp;cp=47.659559~-122.355114","Map")</f>
        <v>Map</v>
      </c>
      <c r="N1459" s="2" t="str">
        <f>HYPERLINK("http://i-0.rfimg.us/photo/1/bigphoto/988/28021988_2.jpg","Photo")</f>
        <v>Photo</v>
      </c>
      <c r="AG1459">
        <v>47.659559000000002</v>
      </c>
      <c r="AH1459">
        <v>-122.355114</v>
      </c>
      <c r="AI1459" t="s">
        <v>66</v>
      </c>
      <c r="AJ1459">
        <v>98107</v>
      </c>
      <c r="AM1459" t="s">
        <v>1722</v>
      </c>
      <c r="BC1459" s="22">
        <v>39483.715324074074</v>
      </c>
      <c r="BI1459" s="22">
        <v>39549.294907407406</v>
      </c>
      <c r="BL1459">
        <v>13780</v>
      </c>
      <c r="BM1459">
        <v>1456624</v>
      </c>
      <c r="BN1459" t="s">
        <v>1718</v>
      </c>
      <c r="BO1459" s="17">
        <f t="shared" ca="1" si="22"/>
        <v>65.594081828705384</v>
      </c>
      <c r="BP1459" t="b">
        <v>0</v>
      </c>
      <c r="BQ1459">
        <v>1</v>
      </c>
      <c r="BR1459" t="s">
        <v>1667</v>
      </c>
      <c r="BS1459" t="s">
        <v>55</v>
      </c>
      <c r="BT1459" t="b">
        <v>0</v>
      </c>
      <c r="BV1459" t="s">
        <v>1668</v>
      </c>
      <c r="BW1459">
        <v>4318</v>
      </c>
      <c r="BX1459" t="s">
        <v>1712</v>
      </c>
      <c r="BY1459">
        <v>12387071</v>
      </c>
      <c r="BZ1459" t="s">
        <v>3653</v>
      </c>
      <c r="CA1459">
        <v>1</v>
      </c>
      <c r="CB1459" t="b">
        <v>1</v>
      </c>
      <c r="CC1459">
        <v>0</v>
      </c>
      <c r="CD1459" t="b">
        <v>0</v>
      </c>
      <c r="CE1459" t="b">
        <v>0</v>
      </c>
      <c r="CF1459" t="b">
        <v>1</v>
      </c>
      <c r="CG1459">
        <v>15590819</v>
      </c>
      <c r="CH1459" t="s">
        <v>1681</v>
      </c>
      <c r="CI1459" s="10">
        <v>689000</v>
      </c>
    </row>
    <row r="1460" spans="1:89">
      <c r="A1460">
        <v>28021993</v>
      </c>
      <c r="B1460" s="2" t="str">
        <f>HYPERLINK("http://www.redfin.com/stingray/do/printable-listing?listing-id=1456671","Active")</f>
        <v>Active</v>
      </c>
      <c r="D1460" t="s">
        <v>88</v>
      </c>
      <c r="E1460" t="s">
        <v>3654</v>
      </c>
      <c r="F1460">
        <v>619000</v>
      </c>
      <c r="G1460">
        <v>2008</v>
      </c>
      <c r="H1460">
        <v>2095</v>
      </c>
      <c r="I1460">
        <v>0</v>
      </c>
      <c r="J1460">
        <v>3</v>
      </c>
      <c r="K1460">
        <v>2.5</v>
      </c>
      <c r="M1460" s="2" t="str">
        <f>HYPERLINK("http://maps.live.com/default.aspx?v=2&amp;lvl=15&amp;sp=Point.47.65948_-122.355295_4316 Greenwood Ave N nA&amp;cp=47.65948~-122.355295","Map")</f>
        <v>Map</v>
      </c>
      <c r="N1460" s="2" t="str">
        <f>HYPERLINK("http://i-0.rfimg.us/photo/1/bigphoto/993/28021993_2.jpg","Photo")</f>
        <v>Photo</v>
      </c>
      <c r="AG1460">
        <v>47.659480000000002</v>
      </c>
      <c r="AH1460">
        <v>-122.355295</v>
      </c>
      <c r="AI1460" t="s">
        <v>66</v>
      </c>
      <c r="AJ1460">
        <v>98107</v>
      </c>
      <c r="AM1460" t="s">
        <v>1722</v>
      </c>
      <c r="BC1460" s="22">
        <v>39483.725277777776</v>
      </c>
      <c r="BI1460" s="22">
        <v>39549.294907407406</v>
      </c>
      <c r="BL1460">
        <v>12380</v>
      </c>
      <c r="BM1460">
        <v>1456671</v>
      </c>
      <c r="BN1460" t="s">
        <v>1718</v>
      </c>
      <c r="BO1460" s="17">
        <f t="shared" ca="1" si="22"/>
        <v>65.58412812500319</v>
      </c>
      <c r="BP1460" t="b">
        <v>0</v>
      </c>
      <c r="BQ1460">
        <v>1</v>
      </c>
      <c r="BR1460" t="s">
        <v>1667</v>
      </c>
      <c r="BS1460" t="s">
        <v>55</v>
      </c>
      <c r="BT1460" t="b">
        <v>0</v>
      </c>
      <c r="BV1460" t="s">
        <v>1668</v>
      </c>
      <c r="BW1460">
        <v>4316</v>
      </c>
      <c r="BX1460" t="s">
        <v>1712</v>
      </c>
      <c r="BY1460">
        <v>12387072</v>
      </c>
      <c r="BZ1460" t="s">
        <v>3653</v>
      </c>
      <c r="CA1460">
        <v>1</v>
      </c>
      <c r="CB1460" t="b">
        <v>1</v>
      </c>
      <c r="CC1460">
        <v>0</v>
      </c>
      <c r="CD1460" t="b">
        <v>0</v>
      </c>
      <c r="CE1460" t="b">
        <v>0</v>
      </c>
      <c r="CF1460" t="b">
        <v>1</v>
      </c>
      <c r="CG1460">
        <v>15590820</v>
      </c>
      <c r="CH1460" t="s">
        <v>1681</v>
      </c>
      <c r="CI1460" s="10">
        <v>619000</v>
      </c>
    </row>
    <row r="1461" spans="1:89">
      <c r="A1461">
        <v>28021999</v>
      </c>
      <c r="B1461" s="2" t="str">
        <f>HYPERLINK("http://www.redfin.com/stingray/do/printable-listing?listing-id=1456761","Active")</f>
        <v>Active</v>
      </c>
      <c r="D1461" t="s">
        <v>3071</v>
      </c>
      <c r="E1461" t="s">
        <v>4497</v>
      </c>
      <c r="F1461">
        <v>600000</v>
      </c>
      <c r="G1461">
        <v>1998</v>
      </c>
      <c r="H1461">
        <v>1920</v>
      </c>
      <c r="I1461">
        <v>7216</v>
      </c>
      <c r="J1461">
        <v>4</v>
      </c>
      <c r="K1461">
        <v>2.5</v>
      </c>
      <c r="M1461" s="2" t="str">
        <f>HYPERLINK("http://maps.live.com/default.aspx?v=2&amp;lvl=15&amp;sp=Point.47.712361_-122.230565_12433 83rd Pl NE&amp;cp=47.712361~-122.230565","Map")</f>
        <v>Map</v>
      </c>
      <c r="N1461" s="2" t="str">
        <f>HYPERLINK("http://i-0.rfimg.us/photo/1/bigphoto/999/28021999_2.jpg","Photo")</f>
        <v>Photo</v>
      </c>
      <c r="AG1461">
        <v>47.712361000000001</v>
      </c>
      <c r="AH1461">
        <v>-122.230565</v>
      </c>
      <c r="AI1461" t="s">
        <v>1058</v>
      </c>
      <c r="AJ1461">
        <v>98034</v>
      </c>
      <c r="AN1461">
        <v>375000</v>
      </c>
      <c r="BC1461" s="22">
        <v>39483.736122685186</v>
      </c>
      <c r="BI1461" s="22">
        <v>39549.294907407406</v>
      </c>
      <c r="BL1461">
        <v>12000</v>
      </c>
      <c r="BM1461">
        <v>1456761</v>
      </c>
      <c r="BN1461" t="s">
        <v>1674</v>
      </c>
      <c r="BO1461" s="17">
        <f t="shared" ca="1" si="22"/>
        <v>65.573283217592689</v>
      </c>
      <c r="BP1461" t="b">
        <v>0</v>
      </c>
      <c r="BQ1461">
        <v>1</v>
      </c>
      <c r="BR1461" t="s">
        <v>1842</v>
      </c>
      <c r="BS1461" t="s">
        <v>1867</v>
      </c>
      <c r="BT1461" t="b">
        <v>0</v>
      </c>
      <c r="BV1461" t="s">
        <v>1668</v>
      </c>
      <c r="BW1461">
        <v>12433</v>
      </c>
      <c r="BX1461" t="s">
        <v>1738</v>
      </c>
      <c r="BY1461">
        <v>275491</v>
      </c>
      <c r="BZ1461" t="s">
        <v>4498</v>
      </c>
      <c r="CA1461">
        <v>1</v>
      </c>
      <c r="CB1461" t="b">
        <v>1</v>
      </c>
      <c r="CC1461">
        <v>0</v>
      </c>
      <c r="CD1461" t="b">
        <v>0</v>
      </c>
      <c r="CE1461" t="b">
        <v>0</v>
      </c>
      <c r="CF1461" t="b">
        <v>1</v>
      </c>
      <c r="CG1461">
        <v>2769897</v>
      </c>
      <c r="CH1461" t="s">
        <v>1681</v>
      </c>
      <c r="CI1461" s="10">
        <v>600000</v>
      </c>
      <c r="CJ1461" s="7">
        <v>37832</v>
      </c>
    </row>
    <row r="1462" spans="1:89">
      <c r="A1462">
        <v>28022092</v>
      </c>
      <c r="B1462" s="2" t="str">
        <f>HYPERLINK("http://www.redfin.com/stingray/do/printable-listing?listing-id=1457263","Active")</f>
        <v>Active</v>
      </c>
      <c r="D1462" t="s">
        <v>2552</v>
      </c>
      <c r="E1462" t="s">
        <v>3455</v>
      </c>
      <c r="F1462">
        <v>564000</v>
      </c>
      <c r="G1462">
        <v>1910</v>
      </c>
      <c r="H1462">
        <v>1460</v>
      </c>
      <c r="I1462">
        <v>7200</v>
      </c>
      <c r="J1462">
        <v>3</v>
      </c>
      <c r="K1462">
        <v>1</v>
      </c>
      <c r="M1462" s="2" t="str">
        <f>HYPERLINK("http://maps.live.com/default.aspx?v=2&amp;lvl=15&amp;sp=Point.47.649022_-122.40267_3209 35th Ave W&amp;cp=47.649022~-122.40267","Map")</f>
        <v>Map</v>
      </c>
      <c r="N1462" s="2" t="str">
        <f>HYPERLINK("http://i-0.rfimg.us/photo/1/bigphoto/092/28022092_1.jpg","Photo")</f>
        <v>Photo</v>
      </c>
      <c r="AG1462">
        <v>47.649022000000002</v>
      </c>
      <c r="AH1462">
        <v>-122.40267</v>
      </c>
      <c r="AI1462" t="s">
        <v>66</v>
      </c>
      <c r="AJ1462">
        <v>98199</v>
      </c>
      <c r="AN1462">
        <v>53000</v>
      </c>
      <c r="BC1462" s="22">
        <v>39483.952708333331</v>
      </c>
      <c r="BI1462" s="7">
        <v>39542</v>
      </c>
      <c r="BL1462">
        <v>11280</v>
      </c>
      <c r="BM1462">
        <v>1457263</v>
      </c>
      <c r="BN1462" t="s">
        <v>3454</v>
      </c>
      <c r="BO1462" s="17">
        <f t="shared" ca="1" si="22"/>
        <v>65.356697569448443</v>
      </c>
      <c r="BP1462" t="b">
        <v>0</v>
      </c>
      <c r="BQ1462">
        <v>1</v>
      </c>
      <c r="BR1462" t="s">
        <v>1667</v>
      </c>
      <c r="BS1462" t="s">
        <v>2920</v>
      </c>
      <c r="BT1462" t="b">
        <v>0</v>
      </c>
      <c r="BV1462" t="s">
        <v>1668</v>
      </c>
      <c r="BW1462">
        <v>3209</v>
      </c>
      <c r="BX1462" t="s">
        <v>2423</v>
      </c>
      <c r="BY1462">
        <v>127514</v>
      </c>
      <c r="BZ1462" t="s">
        <v>2201</v>
      </c>
      <c r="CA1462">
        <v>1</v>
      </c>
      <c r="CB1462" t="b">
        <v>1</v>
      </c>
      <c r="CC1462">
        <v>0</v>
      </c>
      <c r="CD1462" t="b">
        <v>0</v>
      </c>
      <c r="CE1462" t="b">
        <v>0</v>
      </c>
      <c r="CF1462" t="b">
        <v>0</v>
      </c>
      <c r="CG1462">
        <v>2486703</v>
      </c>
      <c r="CH1462" t="s">
        <v>1681</v>
      </c>
      <c r="CI1462" s="10">
        <v>564000</v>
      </c>
      <c r="CJ1462" s="7">
        <v>30372</v>
      </c>
    </row>
    <row r="1463" spans="1:89">
      <c r="A1463">
        <v>28022095</v>
      </c>
      <c r="B1463" s="2" t="str">
        <f>HYPERLINK("http://www.redfin.com/stingray/do/printable-listing?listing-id=1459339","Active")</f>
        <v>Active</v>
      </c>
      <c r="D1463" t="s">
        <v>919</v>
      </c>
      <c r="E1463" t="s">
        <v>595</v>
      </c>
      <c r="F1463">
        <v>369950</v>
      </c>
      <c r="G1463">
        <v>1940</v>
      </c>
      <c r="H1463">
        <v>0</v>
      </c>
      <c r="I1463">
        <v>6000</v>
      </c>
      <c r="J1463">
        <v>2</v>
      </c>
      <c r="K1463">
        <v>1</v>
      </c>
      <c r="M1463" s="2" t="str">
        <f>HYPERLINK("http://maps.live.com/default.aspx?v=2&amp;lvl=15&amp;sp=Point.47.707071_-122.338285_1522 N 107th St&amp;cp=47.707071~-122.338285","Map")</f>
        <v>Map</v>
      </c>
      <c r="N1463" s="2" t="str">
        <f>HYPERLINK("http://i-0.rfimg.us/photo/1/bigphoto/095/28022095_4.jpg","Photo")</f>
        <v>Photo</v>
      </c>
      <c r="AG1463">
        <v>47.707070999999999</v>
      </c>
      <c r="AH1463">
        <v>-122.338285</v>
      </c>
      <c r="AI1463" t="s">
        <v>66</v>
      </c>
      <c r="AJ1463">
        <v>98133</v>
      </c>
      <c r="AN1463">
        <v>104000</v>
      </c>
      <c r="BC1463" s="22">
        <v>39484.632326388892</v>
      </c>
      <c r="BI1463" s="7">
        <v>39535</v>
      </c>
      <c r="BL1463">
        <v>7399</v>
      </c>
      <c r="BM1463">
        <v>1459339</v>
      </c>
      <c r="BN1463" t="s">
        <v>1685</v>
      </c>
      <c r="BO1463" s="17">
        <f t="shared" ca="1" si="22"/>
        <v>64.67707962962595</v>
      </c>
      <c r="BP1463" t="b">
        <v>0</v>
      </c>
      <c r="BQ1463">
        <v>1</v>
      </c>
      <c r="BR1463" t="s">
        <v>1686</v>
      </c>
      <c r="BS1463" t="s">
        <v>2678</v>
      </c>
      <c r="BT1463" t="b">
        <v>0</v>
      </c>
      <c r="BU1463" t="s">
        <v>1712</v>
      </c>
      <c r="BV1463" t="s">
        <v>1668</v>
      </c>
      <c r="BW1463">
        <v>1522</v>
      </c>
      <c r="BY1463">
        <v>105599</v>
      </c>
      <c r="BZ1463" t="s">
        <v>2679</v>
      </c>
      <c r="CA1463">
        <v>1</v>
      </c>
      <c r="CB1463" t="b">
        <v>1</v>
      </c>
      <c r="CC1463">
        <v>0</v>
      </c>
      <c r="CD1463" t="b">
        <v>0</v>
      </c>
      <c r="CE1463" t="b">
        <v>0</v>
      </c>
      <c r="CF1463" t="b">
        <v>0</v>
      </c>
      <c r="CG1463">
        <v>2883020</v>
      </c>
      <c r="CH1463" t="s">
        <v>1681</v>
      </c>
      <c r="CI1463" s="10">
        <v>369950</v>
      </c>
      <c r="CJ1463" s="7">
        <v>34333</v>
      </c>
    </row>
    <row r="1464" spans="1:89">
      <c r="A1464">
        <v>28022105</v>
      </c>
      <c r="B1464" s="2" t="str">
        <f>HYPERLINK("http://www.redfin.com/stingray/do/printable-listing?listing-id=1457832","Active")</f>
        <v>Active</v>
      </c>
      <c r="D1464" t="s">
        <v>3249</v>
      </c>
      <c r="E1464" t="s">
        <v>3555</v>
      </c>
      <c r="F1464">
        <v>609950</v>
      </c>
      <c r="G1464">
        <v>1925</v>
      </c>
      <c r="H1464">
        <v>0</v>
      </c>
      <c r="I1464">
        <v>0</v>
      </c>
      <c r="J1464">
        <v>2</v>
      </c>
      <c r="K1464">
        <v>2</v>
      </c>
      <c r="M1464" s="2" t="str">
        <f>HYPERLINK("http://maps.live.com/default.aspx?v=2&amp;lvl=15&amp;sp=Point.47.642925_-122.365508_611 W Raye St&amp;cp=47.642925~-122.365508","Map")</f>
        <v>Map</v>
      </c>
      <c r="N1464" s="2" t="str">
        <f>HYPERLINK("http://i-0.rfimg.us/photo/1/bigphoto/105/28022105_0.jpg","Photo")</f>
        <v>Photo</v>
      </c>
      <c r="AG1464">
        <v>47.642924999999998</v>
      </c>
      <c r="AH1464">
        <v>-122.36550800000001</v>
      </c>
      <c r="AI1464" t="s">
        <v>66</v>
      </c>
      <c r="AJ1464">
        <v>98119</v>
      </c>
      <c r="AN1464">
        <v>137900</v>
      </c>
      <c r="BC1464" s="22">
        <v>39484.088379629633</v>
      </c>
      <c r="BI1464" s="7">
        <v>39536</v>
      </c>
      <c r="BL1464">
        <v>12199</v>
      </c>
      <c r="BM1464">
        <v>1457832</v>
      </c>
      <c r="BN1464" t="s">
        <v>1710</v>
      </c>
      <c r="BO1464" s="17">
        <f t="shared" ca="1" si="22"/>
        <v>65.221026273145981</v>
      </c>
      <c r="BP1464" t="b">
        <v>0</v>
      </c>
      <c r="BQ1464">
        <v>1</v>
      </c>
      <c r="BR1464" t="s">
        <v>1686</v>
      </c>
      <c r="BS1464" t="s">
        <v>3258</v>
      </c>
      <c r="BT1464" t="b">
        <v>0</v>
      </c>
      <c r="BU1464" t="s">
        <v>2423</v>
      </c>
      <c r="BV1464" t="s">
        <v>1668</v>
      </c>
      <c r="BW1464">
        <v>611</v>
      </c>
      <c r="BY1464">
        <v>130091</v>
      </c>
      <c r="BZ1464" t="s">
        <v>1741</v>
      </c>
      <c r="CA1464">
        <v>1</v>
      </c>
      <c r="CB1464" t="b">
        <v>1</v>
      </c>
      <c r="CC1464">
        <v>0</v>
      </c>
      <c r="CD1464" t="b">
        <v>0</v>
      </c>
      <c r="CE1464" t="b">
        <v>0</v>
      </c>
      <c r="CF1464" t="b">
        <v>0</v>
      </c>
      <c r="CG1464">
        <v>2887074</v>
      </c>
      <c r="CH1464" t="s">
        <v>1681</v>
      </c>
      <c r="CI1464" s="10">
        <v>609950</v>
      </c>
      <c r="CJ1464" s="7">
        <v>33450</v>
      </c>
    </row>
    <row r="1465" spans="1:89">
      <c r="A1465">
        <v>28022148</v>
      </c>
      <c r="B1465" s="2" t="str">
        <f>HYPERLINK("http://www.redfin.com/stingray/do/printable-listing?listing-id=1458435","Active")</f>
        <v>Active</v>
      </c>
      <c r="D1465" t="s">
        <v>88</v>
      </c>
      <c r="E1465" t="s">
        <v>1884</v>
      </c>
      <c r="F1465" s="19">
        <v>729000</v>
      </c>
      <c r="G1465">
        <v>1909</v>
      </c>
      <c r="H1465">
        <v>1920</v>
      </c>
      <c r="I1465">
        <v>4171</v>
      </c>
      <c r="J1465">
        <v>4</v>
      </c>
      <c r="K1465">
        <v>2</v>
      </c>
      <c r="M1465" s="2" t="str">
        <f>HYPERLINK("http://maps.live.com/default.aspx?v=2&amp;lvl=15&amp;sp=Point.47.684526_-122.354236_321 N 77th St&amp;cp=47.684526~-122.354236","Map")</f>
        <v>Map</v>
      </c>
      <c r="N1465" s="2" t="str">
        <f>HYPERLINK("http://i-0.rfimg.us/photo/1/bigphoto/148/28022148_0.jpg","Photo")</f>
        <v>Photo</v>
      </c>
      <c r="AG1465">
        <v>47.684525999999998</v>
      </c>
      <c r="AH1465">
        <v>-122.354236</v>
      </c>
      <c r="AI1465" t="s">
        <v>66</v>
      </c>
      <c r="AJ1465">
        <v>98103</v>
      </c>
      <c r="AN1465">
        <v>435000</v>
      </c>
      <c r="BC1465" s="22">
        <v>39484.421782407408</v>
      </c>
      <c r="BI1465" s="22">
        <v>39549.294907407406</v>
      </c>
      <c r="BL1465">
        <v>14960</v>
      </c>
      <c r="BM1465">
        <v>1458435</v>
      </c>
      <c r="BN1465" t="s">
        <v>1725</v>
      </c>
      <c r="BO1465" s="17">
        <f t="shared" ca="1" si="22"/>
        <v>64.88762361111003</v>
      </c>
      <c r="BP1465" t="b">
        <v>0</v>
      </c>
      <c r="BQ1465">
        <v>1</v>
      </c>
      <c r="BR1465" t="s">
        <v>1686</v>
      </c>
      <c r="BS1465" t="s">
        <v>1714</v>
      </c>
      <c r="BT1465" t="b">
        <v>0</v>
      </c>
      <c r="BU1465" t="s">
        <v>1712</v>
      </c>
      <c r="BV1465" t="s">
        <v>1668</v>
      </c>
      <c r="BW1465">
        <v>321</v>
      </c>
      <c r="BY1465">
        <v>299953</v>
      </c>
      <c r="BZ1465" t="s">
        <v>1670</v>
      </c>
      <c r="CA1465">
        <v>1</v>
      </c>
      <c r="CB1465" t="b">
        <v>1</v>
      </c>
      <c r="CC1465">
        <v>0</v>
      </c>
      <c r="CD1465" t="b">
        <v>0</v>
      </c>
      <c r="CE1465" t="b">
        <v>0</v>
      </c>
      <c r="CF1465" t="b">
        <v>0</v>
      </c>
      <c r="CG1465">
        <v>2676746</v>
      </c>
      <c r="CH1465" t="s">
        <v>1681</v>
      </c>
      <c r="CI1465" s="10">
        <v>748000</v>
      </c>
      <c r="CJ1465" s="7">
        <v>39301</v>
      </c>
      <c r="CK1465" t="s">
        <v>2101</v>
      </c>
    </row>
    <row r="1466" spans="1:89">
      <c r="A1466">
        <v>28022188</v>
      </c>
      <c r="B1466" s="2" t="str">
        <f>HYPERLINK("http://www.redfin.com/stingray/do/printable-listing?listing-id=1458167","Active")</f>
        <v>Active</v>
      </c>
      <c r="D1466" t="s">
        <v>4542</v>
      </c>
      <c r="E1466" t="s">
        <v>4839</v>
      </c>
      <c r="F1466">
        <v>799000</v>
      </c>
      <c r="G1466">
        <v>1977</v>
      </c>
      <c r="H1466">
        <v>3210</v>
      </c>
      <c r="I1466">
        <v>8712</v>
      </c>
      <c r="J1466">
        <v>5</v>
      </c>
      <c r="K1466">
        <v>2.5</v>
      </c>
      <c r="M1466" s="2" t="str">
        <f>HYPERLINK("http://maps.live.com/default.aspx?v=2&amp;lvl=15&amp;sp=Point.47.691897_-122.1996_1914 5th St&amp;cp=47.691897~-122.1996","Map")</f>
        <v>Map</v>
      </c>
      <c r="N1466" s="2" t="str">
        <f>HYPERLINK("http://i-0.rfimg.us/photo/1/bigphoto/188/28022188_1.jpg","Photo")</f>
        <v>Photo</v>
      </c>
      <c r="AG1466">
        <v>47.691896999999997</v>
      </c>
      <c r="AH1466">
        <v>-122.1996</v>
      </c>
      <c r="AI1466" t="s">
        <v>1058</v>
      </c>
      <c r="AJ1466">
        <v>98033</v>
      </c>
      <c r="BC1466" s="22">
        <v>39484.389652777776</v>
      </c>
      <c r="BI1466" s="22">
        <v>39549.294907407406</v>
      </c>
      <c r="BL1466">
        <v>15980</v>
      </c>
      <c r="BM1466">
        <v>1458167</v>
      </c>
      <c r="BN1466" t="s">
        <v>1674</v>
      </c>
      <c r="BO1466" s="17">
        <f t="shared" ca="1" si="22"/>
        <v>64.919753125002899</v>
      </c>
      <c r="BP1466" t="b">
        <v>0</v>
      </c>
      <c r="BQ1466">
        <v>1</v>
      </c>
      <c r="BR1466" t="s">
        <v>1686</v>
      </c>
      <c r="BS1466" t="s">
        <v>1832</v>
      </c>
      <c r="BT1466" t="b">
        <v>0</v>
      </c>
      <c r="BV1466" t="s">
        <v>1668</v>
      </c>
      <c r="BW1466">
        <v>1914</v>
      </c>
      <c r="BY1466">
        <v>463129</v>
      </c>
      <c r="BZ1466" t="s">
        <v>3795</v>
      </c>
      <c r="CA1466">
        <v>1</v>
      </c>
      <c r="CB1466" t="b">
        <v>1</v>
      </c>
      <c r="CC1466">
        <v>0</v>
      </c>
      <c r="CD1466" t="b">
        <v>0</v>
      </c>
      <c r="CE1466" t="b">
        <v>0</v>
      </c>
      <c r="CF1466" t="b">
        <v>0</v>
      </c>
      <c r="CG1466">
        <v>2504275</v>
      </c>
      <c r="CH1466" t="s">
        <v>1681</v>
      </c>
      <c r="CI1466" s="10">
        <v>799000</v>
      </c>
    </row>
    <row r="1467" spans="1:89">
      <c r="A1467">
        <v>28022235</v>
      </c>
      <c r="B1467" s="2" t="str">
        <f>HYPERLINK("http://www.redfin.com/stingray/do/printable-listing?listing-id=1461821","Active")</f>
        <v>Active</v>
      </c>
      <c r="D1467" t="s">
        <v>1077</v>
      </c>
      <c r="E1467" t="s">
        <v>3920</v>
      </c>
      <c r="F1467">
        <v>685888</v>
      </c>
      <c r="G1467">
        <v>2008</v>
      </c>
      <c r="H1467">
        <v>2936</v>
      </c>
      <c r="I1467">
        <v>0</v>
      </c>
      <c r="J1467">
        <v>4</v>
      </c>
      <c r="K1467">
        <v>2.5</v>
      </c>
      <c r="M1467" s="2" t="str">
        <f>HYPERLINK("http://maps.live.com/default.aspx?v=2&amp;lvl=15&amp;sp=adr.325 Rosario Pl NE (Unable to map),98059","Map")</f>
        <v>Map</v>
      </c>
      <c r="N1467" s="2" t="str">
        <f>HYPERLINK("http://i-0.rfimg.us/photo/1/bigphoto/235/28022235_0.jpg","Photo")</f>
        <v>Photo</v>
      </c>
      <c r="AI1467" t="s">
        <v>1077</v>
      </c>
      <c r="AJ1467">
        <v>98059</v>
      </c>
      <c r="BC1467" s="22">
        <v>39485.499884259261</v>
      </c>
      <c r="BI1467" s="22">
        <v>39549.294907407406</v>
      </c>
      <c r="BL1467">
        <v>13718</v>
      </c>
      <c r="BM1467">
        <v>1461821</v>
      </c>
      <c r="BN1467" t="s">
        <v>3236</v>
      </c>
      <c r="BO1467" s="17">
        <f t="shared" ca="1" si="22"/>
        <v>63.809521643517655</v>
      </c>
      <c r="BP1467" t="b">
        <v>0</v>
      </c>
      <c r="BQ1467">
        <v>1</v>
      </c>
      <c r="BR1467" t="s">
        <v>1842</v>
      </c>
      <c r="BS1467" t="s">
        <v>3845</v>
      </c>
      <c r="BT1467" t="b">
        <v>0</v>
      </c>
      <c r="BV1467" t="s">
        <v>1668</v>
      </c>
      <c r="BW1467">
        <v>325</v>
      </c>
      <c r="BX1467" t="s">
        <v>1738</v>
      </c>
      <c r="BY1467">
        <v>0</v>
      </c>
      <c r="BZ1467" s="21">
        <v>0</v>
      </c>
      <c r="CA1467">
        <v>1</v>
      </c>
      <c r="CB1467" t="b">
        <v>1</v>
      </c>
      <c r="CC1467">
        <v>0</v>
      </c>
      <c r="CD1467" t="b">
        <v>0</v>
      </c>
      <c r="CE1467" t="b">
        <v>0</v>
      </c>
      <c r="CF1467" t="b">
        <v>0</v>
      </c>
      <c r="CG1467" t="s">
        <v>1870</v>
      </c>
      <c r="CH1467" t="s">
        <v>1681</v>
      </c>
      <c r="CI1467" s="10">
        <v>685888</v>
      </c>
    </row>
    <row r="1468" spans="1:89">
      <c r="A1468">
        <v>28022276</v>
      </c>
      <c r="B1468" s="2" t="str">
        <f>HYPERLINK("http://www.redfin.com/stingray/do/printable-listing?listing-id=1458669","Active")</f>
        <v>Active</v>
      </c>
      <c r="D1468" t="s">
        <v>192</v>
      </c>
      <c r="E1468" t="s">
        <v>2999</v>
      </c>
      <c r="F1468">
        <v>849950</v>
      </c>
      <c r="G1468">
        <v>2008</v>
      </c>
      <c r="H1468">
        <v>3269</v>
      </c>
      <c r="I1468">
        <v>6380</v>
      </c>
      <c r="J1468">
        <v>6</v>
      </c>
      <c r="K1468">
        <v>3.5</v>
      </c>
      <c r="M1468" s="2" t="str">
        <f>HYPERLINK("http://maps.live.com/default.aspx?v=2&amp;lvl=15&amp;sp=Point.47.702963_-122.316175_1017 NE 103rd St&amp;cp=47.702963~-122.316175","Map")</f>
        <v>Map</v>
      </c>
      <c r="N1468" s="2" t="str">
        <f>HYPERLINK("http://i-0.rfimg.us/photo/1/bigphoto/276/28022276_1.jpg","Photo")</f>
        <v>Photo</v>
      </c>
      <c r="AG1468">
        <v>47.702962999999997</v>
      </c>
      <c r="AH1468">
        <v>-122.316175</v>
      </c>
      <c r="AI1468" t="s">
        <v>66</v>
      </c>
      <c r="AJ1468">
        <v>98125</v>
      </c>
      <c r="BC1468" s="22">
        <v>39484.494479166664</v>
      </c>
      <c r="BI1468" s="22">
        <v>39549.294907407406</v>
      </c>
      <c r="BL1468">
        <v>16999</v>
      </c>
      <c r="BM1468">
        <v>1458669</v>
      </c>
      <c r="BN1468" t="s">
        <v>1746</v>
      </c>
      <c r="BO1468" s="17">
        <f t="shared" ca="1" si="22"/>
        <v>64.814926736115012</v>
      </c>
      <c r="BP1468" t="b">
        <v>0</v>
      </c>
      <c r="BQ1468">
        <v>1</v>
      </c>
      <c r="BR1468" t="s">
        <v>1686</v>
      </c>
      <c r="BS1468" t="s">
        <v>2691</v>
      </c>
      <c r="BT1468" t="b">
        <v>0</v>
      </c>
      <c r="BU1468" t="s">
        <v>1738</v>
      </c>
      <c r="BV1468" t="s">
        <v>1668</v>
      </c>
      <c r="BW1468">
        <v>1017</v>
      </c>
      <c r="BY1468">
        <v>12297299</v>
      </c>
      <c r="BZ1468" t="s">
        <v>1836</v>
      </c>
      <c r="CA1468">
        <v>1</v>
      </c>
      <c r="CB1468" t="b">
        <v>1</v>
      </c>
      <c r="CC1468">
        <v>0</v>
      </c>
      <c r="CD1468" t="b">
        <v>0</v>
      </c>
      <c r="CE1468" t="b">
        <v>0</v>
      </c>
      <c r="CF1468" t="b">
        <v>0</v>
      </c>
      <c r="CG1468">
        <v>15505514</v>
      </c>
      <c r="CH1468" t="s">
        <v>1681</v>
      </c>
      <c r="CI1468" s="10">
        <v>849950</v>
      </c>
    </row>
    <row r="1469" spans="1:89">
      <c r="A1469">
        <v>28022308</v>
      </c>
      <c r="B1469" s="2" t="str">
        <f>HYPERLINK("http://www.redfin.com/stingray/do/printable-listing?listing-id=1458578","Active")</f>
        <v>Active</v>
      </c>
      <c r="D1469" t="s">
        <v>3249</v>
      </c>
      <c r="E1469" t="s">
        <v>3596</v>
      </c>
      <c r="F1469">
        <v>500000</v>
      </c>
      <c r="G1469">
        <v>1919</v>
      </c>
      <c r="H1469">
        <v>0</v>
      </c>
      <c r="I1469">
        <v>0</v>
      </c>
      <c r="J1469">
        <v>2</v>
      </c>
      <c r="K1469">
        <v>1</v>
      </c>
      <c r="M1469" s="2" t="str">
        <f>HYPERLINK("http://maps.live.com/default.aspx?v=2&amp;lvl=15&amp;sp=Point.47.645223_-122.370777_1008 W Armour St&amp;cp=47.645223~-122.370777","Map")</f>
        <v>Map</v>
      </c>
      <c r="N1469" s="2" t="str">
        <f>HYPERLINK("http://i-0.rfimg.us/photo/1/bigphoto/308/28022308_2.jpg","Photo")</f>
        <v>Photo</v>
      </c>
      <c r="AG1469">
        <v>47.645223000000001</v>
      </c>
      <c r="AH1469">
        <v>-122.370777</v>
      </c>
      <c r="AI1469" t="s">
        <v>66</v>
      </c>
      <c r="AJ1469">
        <v>98119</v>
      </c>
      <c r="AN1469">
        <v>375000</v>
      </c>
      <c r="BC1469" s="22">
        <v>39484.463842592595</v>
      </c>
      <c r="BI1469" s="7">
        <v>39539</v>
      </c>
      <c r="BL1469">
        <v>10000</v>
      </c>
      <c r="BM1469">
        <v>1458578</v>
      </c>
      <c r="BN1469" t="s">
        <v>3286</v>
      </c>
      <c r="BO1469" s="17">
        <f t="shared" ca="1" si="22"/>
        <v>64.845563310183934</v>
      </c>
      <c r="BP1469" t="b">
        <v>0</v>
      </c>
      <c r="BQ1469">
        <v>1</v>
      </c>
      <c r="BR1469" t="s">
        <v>1686</v>
      </c>
      <c r="BS1469" t="s">
        <v>3597</v>
      </c>
      <c r="BT1469" t="b">
        <v>0</v>
      </c>
      <c r="BU1469" t="s">
        <v>2423</v>
      </c>
      <c r="BV1469" t="s">
        <v>1668</v>
      </c>
      <c r="BW1469">
        <v>1008</v>
      </c>
      <c r="BY1469">
        <v>131195</v>
      </c>
      <c r="BZ1469" t="s">
        <v>3598</v>
      </c>
      <c r="CA1469">
        <v>1</v>
      </c>
      <c r="CB1469" t="b">
        <v>1</v>
      </c>
      <c r="CC1469">
        <v>0</v>
      </c>
      <c r="CD1469" t="b">
        <v>0</v>
      </c>
      <c r="CE1469" t="b">
        <v>0</v>
      </c>
      <c r="CF1469" t="b">
        <v>0</v>
      </c>
      <c r="CG1469">
        <v>2514794</v>
      </c>
      <c r="CH1469" t="s">
        <v>1681</v>
      </c>
      <c r="CI1469" s="10">
        <v>500000</v>
      </c>
      <c r="CJ1469" s="7">
        <v>38820</v>
      </c>
    </row>
    <row r="1470" spans="1:89">
      <c r="A1470">
        <v>28022323</v>
      </c>
      <c r="B1470" s="2" t="str">
        <f>HYPERLINK("http://www.redfin.com/stingray/do/printable-listing?listing-id=1458730","Subject To Inspection")</f>
        <v>Subject To Inspection</v>
      </c>
      <c r="D1470" t="s">
        <v>184</v>
      </c>
      <c r="E1470" t="s">
        <v>2930</v>
      </c>
      <c r="F1470">
        <v>544950</v>
      </c>
      <c r="G1470">
        <v>2007</v>
      </c>
      <c r="H1470">
        <v>1740</v>
      </c>
      <c r="I1470">
        <v>6400</v>
      </c>
      <c r="J1470">
        <v>3</v>
      </c>
      <c r="K1470">
        <v>2.5</v>
      </c>
      <c r="M1470" s="2" t="str">
        <f>HYPERLINK("http://maps.live.com/default.aspx?v=2&amp;lvl=15&amp;sp=Point.47.721052_-122.30622_12559 22nd Ave NE&amp;cp=47.721052~-122.30622","Map")</f>
        <v>Map</v>
      </c>
      <c r="N1470" s="2" t="str">
        <f>HYPERLINK("http://i-0.rfimg.us/photo/1/bigphoto/323/28022323_L.jpg","Photo")</f>
        <v>Photo</v>
      </c>
      <c r="AG1470">
        <v>47.721052</v>
      </c>
      <c r="AH1470">
        <v>-122.30622</v>
      </c>
      <c r="AI1470" t="s">
        <v>66</v>
      </c>
      <c r="AJ1470">
        <v>98125</v>
      </c>
      <c r="AN1470">
        <v>225000</v>
      </c>
      <c r="BC1470" s="22">
        <v>39484.515775462962</v>
      </c>
      <c r="BI1470" s="7">
        <v>39533</v>
      </c>
      <c r="BL1470">
        <v>10899</v>
      </c>
      <c r="BM1470">
        <v>1458730</v>
      </c>
      <c r="BN1470" t="s">
        <v>1899</v>
      </c>
      <c r="BO1470" s="17">
        <f t="shared" ca="1" si="22"/>
        <v>64.793630439817207</v>
      </c>
      <c r="BP1470" t="b">
        <v>0</v>
      </c>
      <c r="BQ1470">
        <v>2</v>
      </c>
      <c r="BR1470" t="s">
        <v>1667</v>
      </c>
      <c r="BS1470" t="s">
        <v>1692</v>
      </c>
      <c r="BT1470" t="b">
        <v>0</v>
      </c>
      <c r="BV1470" t="s">
        <v>1668</v>
      </c>
      <c r="BW1470">
        <v>12559</v>
      </c>
      <c r="BX1470" t="s">
        <v>1738</v>
      </c>
      <c r="BY1470">
        <v>116139</v>
      </c>
      <c r="BZ1470" t="s">
        <v>2931</v>
      </c>
      <c r="CA1470">
        <v>1</v>
      </c>
      <c r="CB1470" t="b">
        <v>1</v>
      </c>
      <c r="CC1470">
        <v>0</v>
      </c>
      <c r="CD1470" t="b">
        <v>0</v>
      </c>
      <c r="CE1470" t="b">
        <v>0</v>
      </c>
      <c r="CF1470" t="b">
        <v>0</v>
      </c>
      <c r="CG1470">
        <v>2927356</v>
      </c>
      <c r="CH1470" t="s">
        <v>1681</v>
      </c>
      <c r="CI1470" s="10">
        <v>544950</v>
      </c>
      <c r="CJ1470" s="7">
        <v>38516</v>
      </c>
    </row>
    <row r="1471" spans="1:89">
      <c r="A1471">
        <v>28022365</v>
      </c>
      <c r="B1471" s="2" t="str">
        <f>HYPERLINK("http://www.redfin.com/stingray/do/printable-listing?listing-id=1461647","Subject To Inspection")</f>
        <v>Subject To Inspection</v>
      </c>
      <c r="D1471" t="s">
        <v>3249</v>
      </c>
      <c r="E1471" t="s">
        <v>3594</v>
      </c>
      <c r="F1471">
        <v>1875000</v>
      </c>
      <c r="G1471">
        <v>2002</v>
      </c>
      <c r="H1471">
        <v>4182</v>
      </c>
      <c r="I1471">
        <v>6400</v>
      </c>
      <c r="J1471">
        <v>4</v>
      </c>
      <c r="K1471">
        <v>3.5</v>
      </c>
      <c r="M1471" s="2" t="str">
        <f>HYPERLINK("http://maps.live.com/default.aspx?v=2&amp;lvl=15&amp;sp=Point.47.631898_-122.362714_1418 5th Ave W&amp;cp=47.631898~-122.362714","Map")</f>
        <v>Map</v>
      </c>
      <c r="N1471" s="2" t="str">
        <f>HYPERLINK("http://i-0.rfimg.us/photo/1/bigphoto/365/28022365_0.jpg","Photo")</f>
        <v>Photo</v>
      </c>
      <c r="AG1471">
        <v>47.631898</v>
      </c>
      <c r="AH1471">
        <v>-122.362714</v>
      </c>
      <c r="AI1471" t="s">
        <v>66</v>
      </c>
      <c r="AJ1471">
        <v>98119</v>
      </c>
      <c r="AN1471">
        <v>1250000</v>
      </c>
      <c r="BC1471" s="22">
        <v>39485.467164351852</v>
      </c>
      <c r="BI1471" s="7">
        <v>39534</v>
      </c>
      <c r="BL1471">
        <v>37500</v>
      </c>
      <c r="BM1471">
        <v>1461647</v>
      </c>
      <c r="BN1471" t="s">
        <v>1710</v>
      </c>
      <c r="BO1471" s="17">
        <f t="shared" ca="1" si="22"/>
        <v>63.842241550926701</v>
      </c>
      <c r="BP1471" t="b">
        <v>0</v>
      </c>
      <c r="BQ1471">
        <v>2</v>
      </c>
      <c r="BR1471" t="s">
        <v>1667</v>
      </c>
      <c r="BS1471" t="s">
        <v>1832</v>
      </c>
      <c r="BT1471" t="b">
        <v>0</v>
      </c>
      <c r="BV1471" t="s">
        <v>1668</v>
      </c>
      <c r="BW1471">
        <v>1418</v>
      </c>
      <c r="BX1471" t="s">
        <v>2423</v>
      </c>
      <c r="BY1471">
        <v>134917</v>
      </c>
      <c r="BZ1471" t="s">
        <v>3595</v>
      </c>
      <c r="CA1471">
        <v>1</v>
      </c>
      <c r="CB1471" t="b">
        <v>1</v>
      </c>
      <c r="CC1471">
        <v>0</v>
      </c>
      <c r="CD1471" t="b">
        <v>0</v>
      </c>
      <c r="CE1471" t="b">
        <v>0</v>
      </c>
      <c r="CF1471" t="b">
        <v>0</v>
      </c>
      <c r="CG1471">
        <v>2459214</v>
      </c>
      <c r="CH1471" t="s">
        <v>1681</v>
      </c>
      <c r="CI1471" s="10">
        <v>1875000</v>
      </c>
      <c r="CJ1471" s="7">
        <v>37903</v>
      </c>
    </row>
    <row r="1472" spans="1:89">
      <c r="A1472">
        <v>28022396</v>
      </c>
      <c r="B1472" s="2" t="str">
        <f>HYPERLINK("http://www.redfin.com/stingray/do/printable-listing?listing-id=1458798","Active")</f>
        <v>Active</v>
      </c>
      <c r="D1472" t="s">
        <v>188</v>
      </c>
      <c r="E1472" t="s">
        <v>2913</v>
      </c>
      <c r="F1472" s="19">
        <v>799950</v>
      </c>
      <c r="G1472">
        <v>2008</v>
      </c>
      <c r="H1472">
        <v>3623</v>
      </c>
      <c r="I1472">
        <v>8207</v>
      </c>
      <c r="J1472">
        <v>4</v>
      </c>
      <c r="K1472">
        <v>3.5</v>
      </c>
      <c r="M1472" s="2" t="str">
        <f>HYPERLINK("http://maps.live.com/default.aspx?v=2&amp;lvl=15&amp;sp=Point.47.707249_-122.290564_10702 35 Ave NE&amp;cp=47.707249~-122.290564","Map")</f>
        <v>Map</v>
      </c>
      <c r="N1472" s="2" t="str">
        <f>HYPERLINK("http://i-0.rfimg.us/photo/1/bigphoto/396/28022396_B.jpg","Photo")</f>
        <v>Photo</v>
      </c>
      <c r="AG1472">
        <v>47.707248999999997</v>
      </c>
      <c r="AH1472">
        <v>-122.290564</v>
      </c>
      <c r="AI1472" t="s">
        <v>66</v>
      </c>
      <c r="AJ1472">
        <v>98125</v>
      </c>
      <c r="BC1472" s="22">
        <v>39484.52685185185</v>
      </c>
      <c r="BI1472" s="22">
        <v>39549.294907407406</v>
      </c>
      <c r="BL1472">
        <v>16999</v>
      </c>
      <c r="BM1472">
        <v>1458798</v>
      </c>
      <c r="BN1472" t="s">
        <v>1678</v>
      </c>
      <c r="BO1472" s="17">
        <f t="shared" ca="1" si="22"/>
        <v>64.782554050929321</v>
      </c>
      <c r="BP1472" t="b">
        <v>0</v>
      </c>
      <c r="BQ1472">
        <v>1</v>
      </c>
      <c r="BR1472" t="s">
        <v>1667</v>
      </c>
      <c r="BS1472">
        <v>35</v>
      </c>
      <c r="BT1472" t="b">
        <v>0</v>
      </c>
      <c r="BV1472" t="s">
        <v>1668</v>
      </c>
      <c r="BW1472">
        <v>10702</v>
      </c>
      <c r="BX1472" t="s">
        <v>1738</v>
      </c>
      <c r="BY1472">
        <v>12386605</v>
      </c>
      <c r="BZ1472" t="s">
        <v>2914</v>
      </c>
      <c r="CA1472">
        <v>1</v>
      </c>
      <c r="CB1472" t="b">
        <v>1</v>
      </c>
      <c r="CC1472">
        <v>0</v>
      </c>
      <c r="CD1472" t="b">
        <v>0</v>
      </c>
      <c r="CE1472" t="b">
        <v>0</v>
      </c>
      <c r="CF1472" t="b">
        <v>0</v>
      </c>
      <c r="CG1472">
        <v>15590353</v>
      </c>
      <c r="CH1472" t="s">
        <v>1681</v>
      </c>
      <c r="CI1472" s="10">
        <v>849950</v>
      </c>
    </row>
    <row r="1473" spans="1:90">
      <c r="A1473">
        <v>28022467</v>
      </c>
      <c r="B1473" s="2" t="str">
        <f>HYPERLINK("http://www.redfin.com/stingray/do/printable-listing?listing-id=1470029","Active")</f>
        <v>Active</v>
      </c>
      <c r="D1473" t="s">
        <v>4542</v>
      </c>
      <c r="E1473" t="s">
        <v>4877</v>
      </c>
      <c r="F1473">
        <v>1199950</v>
      </c>
      <c r="G1473">
        <v>1993</v>
      </c>
      <c r="H1473">
        <v>2770</v>
      </c>
      <c r="I1473">
        <v>6349</v>
      </c>
      <c r="J1473">
        <v>3</v>
      </c>
      <c r="K1473">
        <v>3.25</v>
      </c>
      <c r="M1473" s="2" t="str">
        <f>HYPERLINK("http://maps.live.com/default.aspx?v=2&amp;lvl=15&amp;sp=Point.47.681383_-122.208295_808 1st St&amp;cp=47.681383~-122.208295","Map")</f>
        <v>Map</v>
      </c>
      <c r="N1473" s="2" t="str">
        <f>HYPERLINK("http://i-0.rfimg.us/photo/1/bigphoto/467/28022467_0.jpg","Photo")</f>
        <v>Photo</v>
      </c>
      <c r="AG1473" s="19">
        <v>47.681373000000001</v>
      </c>
      <c r="AH1473">
        <v>-122.20829500000001</v>
      </c>
      <c r="AI1473" t="s">
        <v>1058</v>
      </c>
      <c r="AJ1473">
        <v>98033</v>
      </c>
      <c r="AM1473" t="s">
        <v>6982</v>
      </c>
      <c r="AN1473">
        <v>557500</v>
      </c>
      <c r="BC1473" s="22">
        <v>39488.442199074074</v>
      </c>
      <c r="BI1473" s="22">
        <v>39549.294907407406</v>
      </c>
      <c r="BL1473">
        <v>23999</v>
      </c>
      <c r="BM1473">
        <v>1470029</v>
      </c>
      <c r="BN1473" t="s">
        <v>4392</v>
      </c>
      <c r="BO1473" s="17">
        <f t="shared" ca="1" si="22"/>
        <v>60.867206828705093</v>
      </c>
      <c r="BP1473" t="b">
        <v>0</v>
      </c>
      <c r="BQ1473">
        <v>1</v>
      </c>
      <c r="BR1473" t="s">
        <v>1686</v>
      </c>
      <c r="BS1473" t="s">
        <v>1822</v>
      </c>
      <c r="BT1473" t="b">
        <v>0</v>
      </c>
      <c r="BV1473" t="s">
        <v>1668</v>
      </c>
      <c r="BW1473">
        <v>808</v>
      </c>
      <c r="BY1473">
        <v>462521</v>
      </c>
      <c r="BZ1473" t="s">
        <v>1741</v>
      </c>
      <c r="CA1473">
        <v>1</v>
      </c>
      <c r="CB1473" t="b">
        <v>1</v>
      </c>
      <c r="CC1473">
        <v>0</v>
      </c>
      <c r="CD1473" t="b">
        <v>0</v>
      </c>
      <c r="CE1473" t="b">
        <v>0</v>
      </c>
      <c r="CF1473" t="b">
        <v>0</v>
      </c>
      <c r="CG1473">
        <v>2371890</v>
      </c>
      <c r="CH1473" t="s">
        <v>1681</v>
      </c>
      <c r="CI1473" s="10">
        <v>1199950</v>
      </c>
      <c r="CJ1473" s="7">
        <v>36983</v>
      </c>
      <c r="CL1473" t="s">
        <v>2204</v>
      </c>
    </row>
    <row r="1474" spans="1:90">
      <c r="A1474">
        <v>28022574</v>
      </c>
      <c r="B1474" s="2" t="str">
        <f>HYPERLINK("http://www.redfin.com/stingray/do/printable-listing?listing-id=1459572","Active")</f>
        <v>Active</v>
      </c>
      <c r="D1474" t="s">
        <v>5204</v>
      </c>
      <c r="E1474" t="s">
        <v>5417</v>
      </c>
      <c r="F1474">
        <v>629500</v>
      </c>
      <c r="G1474">
        <v>1961</v>
      </c>
      <c r="H1474">
        <v>2650</v>
      </c>
      <c r="I1474">
        <v>9240</v>
      </c>
      <c r="J1474">
        <v>6</v>
      </c>
      <c r="K1474">
        <v>2.75</v>
      </c>
      <c r="M1474" s="2" t="str">
        <f>HYPERLINK("http://maps.live.com/default.aspx?v=2&amp;lvl=15&amp;sp=Point.47.610466_-122.134807_105 154th Pl NE&amp;cp=47.610466~-122.134807","Map")</f>
        <v>Map</v>
      </c>
      <c r="N1474" s="2" t="str">
        <f>HYPERLINK("http://i-0.rfimg.us/photo/1/bigphoto/574/28022574_0.jpg","Photo")</f>
        <v>Photo</v>
      </c>
      <c r="AG1474">
        <v>47.610466000000002</v>
      </c>
      <c r="AH1474">
        <v>-122.134807</v>
      </c>
      <c r="AI1474" t="s">
        <v>369</v>
      </c>
      <c r="AJ1474">
        <v>98007</v>
      </c>
      <c r="BC1474" s="22">
        <v>39484.683356481481</v>
      </c>
      <c r="BI1474" s="22">
        <v>39549.294907407406</v>
      </c>
      <c r="BL1474">
        <v>12590</v>
      </c>
      <c r="BM1474">
        <v>1459572</v>
      </c>
      <c r="BN1474" t="s">
        <v>1823</v>
      </c>
      <c r="BO1474" s="17">
        <f t="shared" ref="BO1474:BO1537" ca="1" si="23">NOW()-BC1474</f>
        <v>64.626049421298376</v>
      </c>
      <c r="BP1474" t="b">
        <v>0</v>
      </c>
      <c r="BQ1474">
        <v>1</v>
      </c>
      <c r="BR1474" t="s">
        <v>1842</v>
      </c>
      <c r="BS1474" t="s">
        <v>5244</v>
      </c>
      <c r="BT1474" t="b">
        <v>0</v>
      </c>
      <c r="BV1474" t="s">
        <v>1668</v>
      </c>
      <c r="BW1474">
        <v>105</v>
      </c>
      <c r="BX1474" t="s">
        <v>1738</v>
      </c>
      <c r="BY1474">
        <v>500107</v>
      </c>
      <c r="BZ1474" t="s">
        <v>1701</v>
      </c>
      <c r="CA1474">
        <v>1</v>
      </c>
      <c r="CB1474" t="b">
        <v>1</v>
      </c>
      <c r="CC1474">
        <v>0</v>
      </c>
      <c r="CD1474" t="b">
        <v>0</v>
      </c>
      <c r="CE1474" t="b">
        <v>0</v>
      </c>
      <c r="CF1474" t="b">
        <v>0</v>
      </c>
      <c r="CG1474">
        <v>2456364</v>
      </c>
      <c r="CH1474" t="s">
        <v>1681</v>
      </c>
      <c r="CI1474" s="10">
        <v>629500</v>
      </c>
    </row>
    <row r="1475" spans="1:90">
      <c r="A1475">
        <v>28022581</v>
      </c>
      <c r="B1475" s="2" t="str">
        <f>HYPERLINK("http://www.redfin.com/stingray/do/printable-listing?listing-id=1461510","Active")</f>
        <v>Active</v>
      </c>
      <c r="D1475" t="s">
        <v>5926</v>
      </c>
      <c r="E1475" t="s">
        <v>5937</v>
      </c>
      <c r="F1475">
        <v>849950</v>
      </c>
      <c r="G1475">
        <v>2005</v>
      </c>
      <c r="H1475">
        <v>3070</v>
      </c>
      <c r="I1475">
        <v>13661</v>
      </c>
      <c r="J1475">
        <v>3</v>
      </c>
      <c r="K1475">
        <v>2.5</v>
      </c>
      <c r="M1475" s="2" t="str">
        <f>HYPERLINK("http://maps.live.com/default.aspx?v=2&amp;lvl=15&amp;sp=Point.47.525940783286_-122.19458583094_1818 NE 38th Pl&amp;cp=47.525940783286~-122.19458583094","Map")</f>
        <v>Map</v>
      </c>
      <c r="N1475" s="2" t="str">
        <f>HYPERLINK("http://i-0.rfimg.us/photo/1/bigphoto/581/28022581_1.jpg","Photo")</f>
        <v>Photo</v>
      </c>
      <c r="AG1475">
        <v>47.525940783286003</v>
      </c>
      <c r="AH1475">
        <v>-122.19458583094</v>
      </c>
      <c r="AI1475" t="s">
        <v>1077</v>
      </c>
      <c r="AJ1475">
        <v>98056</v>
      </c>
      <c r="AN1475">
        <v>660000</v>
      </c>
      <c r="BC1475" s="22">
        <v>39485.400335648148</v>
      </c>
      <c r="BI1475" s="22">
        <v>39549.294907407406</v>
      </c>
      <c r="BL1475">
        <v>16999</v>
      </c>
      <c r="BM1475">
        <v>1461510</v>
      </c>
      <c r="BN1475" t="s">
        <v>1775</v>
      </c>
      <c r="BO1475" s="17">
        <f t="shared" ca="1" si="23"/>
        <v>63.909070254630933</v>
      </c>
      <c r="BP1475" t="b">
        <v>0</v>
      </c>
      <c r="BQ1475">
        <v>1</v>
      </c>
      <c r="BR1475" t="s">
        <v>1842</v>
      </c>
      <c r="BS1475" t="s">
        <v>3126</v>
      </c>
      <c r="BT1475" t="b">
        <v>0</v>
      </c>
      <c r="BU1475" t="s">
        <v>1738</v>
      </c>
      <c r="BV1475" t="s">
        <v>1668</v>
      </c>
      <c r="BW1475">
        <v>1818</v>
      </c>
      <c r="BY1475">
        <v>2074054</v>
      </c>
      <c r="BZ1475" t="s">
        <v>3309</v>
      </c>
      <c r="CA1475">
        <v>1</v>
      </c>
      <c r="CB1475" t="b">
        <v>1</v>
      </c>
      <c r="CC1475">
        <v>0</v>
      </c>
      <c r="CD1475" t="b">
        <v>0</v>
      </c>
      <c r="CE1475" t="b">
        <v>0</v>
      </c>
      <c r="CF1475" t="b">
        <v>0</v>
      </c>
      <c r="CG1475">
        <v>2598910</v>
      </c>
      <c r="CH1475" t="s">
        <v>1681</v>
      </c>
      <c r="CI1475" s="10">
        <v>849950</v>
      </c>
      <c r="CJ1475" s="7">
        <v>38428</v>
      </c>
    </row>
    <row r="1476" spans="1:90">
      <c r="A1476">
        <v>28022602</v>
      </c>
      <c r="B1476" s="2" t="str">
        <f>HYPERLINK("http://www.redfin.com/stingray/do/printable-listing?listing-id=1466380","Active")</f>
        <v>Active</v>
      </c>
      <c r="D1476" t="s">
        <v>5113</v>
      </c>
      <c r="E1476" t="s">
        <v>5530</v>
      </c>
      <c r="F1476">
        <v>735000</v>
      </c>
      <c r="G1476">
        <v>1968</v>
      </c>
      <c r="H1476">
        <v>2200</v>
      </c>
      <c r="I1476">
        <v>7665</v>
      </c>
      <c r="J1476">
        <v>4</v>
      </c>
      <c r="K1476">
        <v>2.5</v>
      </c>
      <c r="M1476" s="2" t="str">
        <f>HYPERLINK("http://maps.live.com/default.aspx?v=2&amp;lvl=15&amp;sp=Point.47.624026_-122.094839_1601 184th Ave NE&amp;cp=47.624026~-122.094839","Map")</f>
        <v>Map</v>
      </c>
      <c r="N1476" s="2" t="str">
        <f>HYPERLINK("http://i-0.rfimg.us/photo/1/bigphoto/602/28022602_2.jpg","Photo")</f>
        <v>Photo</v>
      </c>
      <c r="AG1476">
        <v>47.624026000000001</v>
      </c>
      <c r="AH1476">
        <v>-122.09483899999999</v>
      </c>
      <c r="AI1476" t="s">
        <v>369</v>
      </c>
      <c r="AJ1476">
        <v>98008</v>
      </c>
      <c r="AN1476">
        <v>330000</v>
      </c>
      <c r="BC1476" s="22">
        <v>39486.578240740739</v>
      </c>
      <c r="BI1476" s="22">
        <v>39549.294907407406</v>
      </c>
      <c r="BL1476">
        <v>14700</v>
      </c>
      <c r="BM1476">
        <v>1466380</v>
      </c>
      <c r="BN1476" t="s">
        <v>1688</v>
      </c>
      <c r="BO1476" s="17">
        <f t="shared" ca="1" si="23"/>
        <v>62.73116516204027</v>
      </c>
      <c r="BP1476" t="b">
        <v>0</v>
      </c>
      <c r="BQ1476">
        <v>1</v>
      </c>
      <c r="BR1476" t="s">
        <v>1667</v>
      </c>
      <c r="BS1476" t="s">
        <v>5531</v>
      </c>
      <c r="BT1476" t="b">
        <v>0</v>
      </c>
      <c r="BV1476" t="s">
        <v>1668</v>
      </c>
      <c r="BW1476">
        <v>1601</v>
      </c>
      <c r="BX1476" t="s">
        <v>1738</v>
      </c>
      <c r="BY1476">
        <v>504886</v>
      </c>
      <c r="BZ1476" t="s">
        <v>5532</v>
      </c>
      <c r="CA1476">
        <v>1</v>
      </c>
      <c r="CB1476" t="b">
        <v>1</v>
      </c>
      <c r="CC1476">
        <v>0</v>
      </c>
      <c r="CD1476" t="b">
        <v>0</v>
      </c>
      <c r="CE1476" t="b">
        <v>0</v>
      </c>
      <c r="CF1476" t="b">
        <v>0</v>
      </c>
      <c r="CG1476">
        <v>2688169</v>
      </c>
      <c r="CH1476" t="s">
        <v>1681</v>
      </c>
      <c r="CI1476" s="10">
        <v>735000</v>
      </c>
      <c r="CJ1476" s="7">
        <v>36539</v>
      </c>
    </row>
    <row r="1477" spans="1:90">
      <c r="A1477">
        <v>28022659</v>
      </c>
      <c r="B1477" s="2" t="str">
        <f>HYPERLINK("http://www.redfin.com/stingray/do/printable-listing?listing-id=1459465","Active")</f>
        <v>Active</v>
      </c>
      <c r="D1477" t="s">
        <v>100</v>
      </c>
      <c r="E1477" t="s">
        <v>3336</v>
      </c>
      <c r="F1477">
        <v>825000</v>
      </c>
      <c r="G1477">
        <v>2008</v>
      </c>
      <c r="H1477">
        <v>2240</v>
      </c>
      <c r="I1477">
        <v>1950</v>
      </c>
      <c r="J1477">
        <v>4</v>
      </c>
      <c r="K1477">
        <v>2.5</v>
      </c>
      <c r="M1477" s="2" t="str">
        <f>HYPERLINK("http://maps.live.com/default.aspx?v=2&amp;lvl=15&amp;sp=Point.47.658529_-122.349527_707 N Motor Pl&amp;cp=47.658529~-122.349527","Map")</f>
        <v>Map</v>
      </c>
      <c r="N1477" s="2" t="str">
        <f>HYPERLINK("http://i-0.rfimg.us/photo/1/bigphoto/659/28022659_F.jpg","Photo")</f>
        <v>Photo</v>
      </c>
      <c r="AG1477">
        <v>47.658529000000001</v>
      </c>
      <c r="AH1477">
        <v>-122.34952699999999</v>
      </c>
      <c r="AI1477" t="s">
        <v>66</v>
      </c>
      <c r="AJ1477">
        <v>98103</v>
      </c>
      <c r="AN1477">
        <v>267500</v>
      </c>
      <c r="BC1477" s="22">
        <v>39484.662407407406</v>
      </c>
      <c r="BI1477" s="7">
        <v>39538</v>
      </c>
      <c r="BL1477">
        <v>16500</v>
      </c>
      <c r="BM1477">
        <v>1459465</v>
      </c>
      <c r="BN1477" t="s">
        <v>1725</v>
      </c>
      <c r="BO1477" s="17">
        <f t="shared" ca="1" si="23"/>
        <v>64.646998495372827</v>
      </c>
      <c r="BP1477" t="b">
        <v>0</v>
      </c>
      <c r="BQ1477">
        <v>1</v>
      </c>
      <c r="BR1477" t="s">
        <v>1842</v>
      </c>
      <c r="BS1477" t="s">
        <v>3337</v>
      </c>
      <c r="BT1477" t="b">
        <v>0</v>
      </c>
      <c r="BU1477" t="s">
        <v>1712</v>
      </c>
      <c r="BV1477" t="s">
        <v>1668</v>
      </c>
      <c r="BW1477">
        <v>707</v>
      </c>
      <c r="BY1477">
        <v>302373</v>
      </c>
      <c r="BZ1477" t="s">
        <v>3338</v>
      </c>
      <c r="CA1477">
        <v>1</v>
      </c>
      <c r="CB1477" t="b">
        <v>1</v>
      </c>
      <c r="CC1477">
        <v>0</v>
      </c>
      <c r="CD1477" t="b">
        <v>0</v>
      </c>
      <c r="CE1477" t="b">
        <v>0</v>
      </c>
      <c r="CF1477" t="b">
        <v>0</v>
      </c>
      <c r="CG1477">
        <v>2467617</v>
      </c>
      <c r="CH1477" t="s">
        <v>1681</v>
      </c>
      <c r="CI1477" s="10">
        <v>825000</v>
      </c>
      <c r="CJ1477" s="7">
        <v>38847</v>
      </c>
    </row>
    <row r="1478" spans="1:90">
      <c r="A1478">
        <v>28022672</v>
      </c>
      <c r="B1478" s="2" t="str">
        <f>HYPERLINK("http://www.redfin.com/stingray/do/printable-listing?listing-id=1459526","Subject To Inspection")</f>
        <v>Subject To Inspection</v>
      </c>
      <c r="D1478" t="s">
        <v>4363</v>
      </c>
      <c r="E1478" t="s">
        <v>4928</v>
      </c>
      <c r="F1478">
        <v>669950</v>
      </c>
      <c r="G1478">
        <v>2007</v>
      </c>
      <c r="H1478">
        <v>3320</v>
      </c>
      <c r="I1478">
        <v>0</v>
      </c>
      <c r="J1478">
        <v>4</v>
      </c>
      <c r="K1478">
        <v>3.5</v>
      </c>
      <c r="M1478" s="2" t="str">
        <f>HYPERLINK("http://maps.live.com/default.aspx?v=2&amp;lvl=15&amp;sp=Point.47.6612_-122.1412_7920 150th Ct NE&amp;cp=47.6612~-122.1412","Map")</f>
        <v>Map</v>
      </c>
      <c r="N1478" s="2" t="str">
        <f>HYPERLINK("http://i-0.rfimg.us/photo/1/bigphoto/672/28022672_3.jpg","Photo")</f>
        <v>Photo</v>
      </c>
      <c r="AG1478">
        <v>47.661200000000001</v>
      </c>
      <c r="AH1478">
        <v>-122.1412</v>
      </c>
      <c r="AI1478" t="s">
        <v>4363</v>
      </c>
      <c r="AJ1478">
        <v>98052</v>
      </c>
      <c r="BC1478" s="22">
        <v>39484.672951388886</v>
      </c>
      <c r="BI1478" s="22">
        <v>39549.294907407406</v>
      </c>
      <c r="BL1478">
        <v>13399</v>
      </c>
      <c r="BM1478">
        <v>1459526</v>
      </c>
      <c r="BN1478" t="s">
        <v>1688</v>
      </c>
      <c r="BO1478" s="17">
        <f t="shared" ca="1" si="23"/>
        <v>64.636454513893113</v>
      </c>
      <c r="BP1478" t="b">
        <v>0</v>
      </c>
      <c r="BQ1478">
        <v>2</v>
      </c>
      <c r="BR1478" t="s">
        <v>3768</v>
      </c>
      <c r="BS1478" t="s">
        <v>4926</v>
      </c>
      <c r="BT1478" t="b">
        <v>0</v>
      </c>
      <c r="BV1478" t="s">
        <v>1668</v>
      </c>
      <c r="BW1478">
        <v>7920</v>
      </c>
      <c r="BX1478" t="s">
        <v>1738</v>
      </c>
      <c r="BY1478">
        <v>12165947</v>
      </c>
      <c r="BZ1478" t="s">
        <v>6640</v>
      </c>
      <c r="CA1478">
        <v>1</v>
      </c>
      <c r="CB1478" t="b">
        <v>1</v>
      </c>
      <c r="CC1478">
        <v>0</v>
      </c>
      <c r="CD1478" t="b">
        <v>0</v>
      </c>
      <c r="CE1478" t="b">
        <v>0</v>
      </c>
      <c r="CF1478" t="b">
        <v>1</v>
      </c>
      <c r="CG1478">
        <v>15396656</v>
      </c>
      <c r="CH1478" t="s">
        <v>1681</v>
      </c>
      <c r="CI1478" s="10">
        <v>669950</v>
      </c>
    </row>
    <row r="1479" spans="1:90">
      <c r="A1479">
        <v>28022696</v>
      </c>
      <c r="B1479" s="2" t="str">
        <f>HYPERLINK("http://www.redfin.com/stingray/do/printable-listing?listing-id=1459580","Subject To Inspection")</f>
        <v>Subject To Inspection</v>
      </c>
      <c r="D1479" t="s">
        <v>3924</v>
      </c>
      <c r="E1479" t="s">
        <v>3982</v>
      </c>
      <c r="F1479">
        <v>389000</v>
      </c>
      <c r="G1479">
        <v>2008</v>
      </c>
      <c r="H1479">
        <v>1339</v>
      </c>
      <c r="I1479">
        <v>0</v>
      </c>
      <c r="J1479">
        <v>2</v>
      </c>
      <c r="K1479">
        <v>2.5</v>
      </c>
      <c r="M1479" s="2" t="str">
        <f>HYPERLINK("http://maps.live.com/default.aspx?v=2&amp;lvl=15&amp;sp=Point.47.601837_-122.299735_2508 E Yesler Way nA&amp;cp=47.601837~-122.299735","Map")</f>
        <v>Map</v>
      </c>
      <c r="N1479" s="2" t="str">
        <f>HYPERLINK("http://i-0.rfimg.us/photo/1/bigphoto/696/28022696_6.jpg","Photo")</f>
        <v>Photo</v>
      </c>
      <c r="AG1479">
        <v>47.601837000000003</v>
      </c>
      <c r="AH1479">
        <v>-122.299735</v>
      </c>
      <c r="AI1479" t="s">
        <v>66</v>
      </c>
      <c r="AJ1479">
        <v>98122</v>
      </c>
      <c r="AM1479" t="s">
        <v>1722</v>
      </c>
      <c r="BC1479" s="22">
        <v>39484.683379629627</v>
      </c>
      <c r="BI1479" s="7">
        <v>39534</v>
      </c>
      <c r="BL1479">
        <v>7780</v>
      </c>
      <c r="BM1479">
        <v>1459580</v>
      </c>
      <c r="BN1479" t="s">
        <v>1693</v>
      </c>
      <c r="BO1479" s="17">
        <f t="shared" ca="1" si="23"/>
        <v>64.626026273152092</v>
      </c>
      <c r="BP1479" t="b">
        <v>0</v>
      </c>
      <c r="BQ1479">
        <v>2</v>
      </c>
      <c r="BR1479" t="s">
        <v>2463</v>
      </c>
      <c r="BS1479" t="s">
        <v>3983</v>
      </c>
      <c r="BT1479" t="b">
        <v>0</v>
      </c>
      <c r="BU1479" t="s">
        <v>2436</v>
      </c>
      <c r="BV1479" t="s">
        <v>1668</v>
      </c>
      <c r="BW1479">
        <v>2508</v>
      </c>
      <c r="BY1479">
        <v>12386674</v>
      </c>
      <c r="BZ1479" t="s">
        <v>3984</v>
      </c>
      <c r="CA1479">
        <v>1</v>
      </c>
      <c r="CB1479" t="b">
        <v>1</v>
      </c>
      <c r="CC1479">
        <v>0</v>
      </c>
      <c r="CD1479" t="b">
        <v>0</v>
      </c>
      <c r="CE1479" t="b">
        <v>0</v>
      </c>
      <c r="CF1479" t="b">
        <v>0</v>
      </c>
      <c r="CG1479">
        <v>15590422</v>
      </c>
      <c r="CH1479" t="s">
        <v>1681</v>
      </c>
      <c r="CI1479" s="10">
        <v>389000</v>
      </c>
    </row>
    <row r="1480" spans="1:90">
      <c r="A1480">
        <v>28022715</v>
      </c>
      <c r="B1480" s="2" t="str">
        <f>HYPERLINK("http://www.redfin.com/stingray/do/printable-listing?listing-id=1459636","Active")</f>
        <v>Active</v>
      </c>
      <c r="D1480" t="s">
        <v>5014</v>
      </c>
      <c r="E1480" t="s">
        <v>5084</v>
      </c>
      <c r="F1480">
        <v>1149000</v>
      </c>
      <c r="G1480">
        <v>1946</v>
      </c>
      <c r="H1480">
        <v>1540</v>
      </c>
      <c r="I1480">
        <v>11075</v>
      </c>
      <c r="J1480">
        <v>3</v>
      </c>
      <c r="K1480">
        <v>2</v>
      </c>
      <c r="M1480" s="2" t="str">
        <f>HYPERLINK("http://maps.live.com/default.aspx?v=2&amp;lvl=15&amp;sp=Point.47.618151_-122.219253_822 91st Ave NE&amp;cp=47.618151~-122.219253","Map")</f>
        <v>Map</v>
      </c>
      <c r="N1480" s="2" t="str">
        <f>HYPERLINK("http://i-0.rfimg.us/photo/1/bigphoto/715/28022715_0.jpg","Photo")</f>
        <v>Photo</v>
      </c>
      <c r="AG1480">
        <v>47.618150999999997</v>
      </c>
      <c r="AH1480">
        <v>-122.21925299999999</v>
      </c>
      <c r="AI1480" t="s">
        <v>369</v>
      </c>
      <c r="AJ1480">
        <v>98004</v>
      </c>
      <c r="AN1480">
        <v>392500</v>
      </c>
      <c r="BC1480" s="22">
        <v>39484.70385416667</v>
      </c>
      <c r="BI1480" s="22">
        <v>39549.294907407406</v>
      </c>
      <c r="BL1480">
        <v>22980</v>
      </c>
      <c r="BM1480">
        <v>1459636</v>
      </c>
      <c r="BN1480" t="s">
        <v>1674</v>
      </c>
      <c r="BO1480" s="17">
        <f t="shared" ca="1" si="23"/>
        <v>64.605551736109192</v>
      </c>
      <c r="BP1480" t="b">
        <v>0</v>
      </c>
      <c r="BQ1480">
        <v>1</v>
      </c>
      <c r="BR1480" t="s">
        <v>1667</v>
      </c>
      <c r="BS1480" t="s">
        <v>2818</v>
      </c>
      <c r="BT1480" t="b">
        <v>0</v>
      </c>
      <c r="BV1480" t="s">
        <v>1668</v>
      </c>
      <c r="BW1480">
        <v>822</v>
      </c>
      <c r="BX1480" t="s">
        <v>1738</v>
      </c>
      <c r="BY1480">
        <v>251200</v>
      </c>
      <c r="BZ1480" t="s">
        <v>1672</v>
      </c>
      <c r="CA1480">
        <v>1</v>
      </c>
      <c r="CB1480" t="b">
        <v>1</v>
      </c>
      <c r="CC1480">
        <v>0</v>
      </c>
      <c r="CD1480" t="b">
        <v>0</v>
      </c>
      <c r="CE1480" t="b">
        <v>0</v>
      </c>
      <c r="CF1480" t="b">
        <v>0</v>
      </c>
      <c r="CG1480">
        <v>2702533</v>
      </c>
      <c r="CH1480" t="s">
        <v>1681</v>
      </c>
      <c r="CI1480" s="10">
        <v>1149000</v>
      </c>
      <c r="CJ1480" s="7">
        <v>36235</v>
      </c>
    </row>
    <row r="1481" spans="1:90">
      <c r="A1481">
        <v>28022797</v>
      </c>
      <c r="B1481" s="2" t="str">
        <f>HYPERLINK("http://www.redfin.com/stingray/do/printable-listing?listing-id=1475254","Active")</f>
        <v>Active</v>
      </c>
      <c r="D1481" t="s">
        <v>4663</v>
      </c>
      <c r="E1481" t="s">
        <v>4972</v>
      </c>
      <c r="F1481">
        <v>1150000</v>
      </c>
      <c r="G1481">
        <v>1962</v>
      </c>
      <c r="H1481">
        <v>1940</v>
      </c>
      <c r="I1481">
        <v>33232</v>
      </c>
      <c r="J1481">
        <v>4</v>
      </c>
      <c r="K1481">
        <v>1</v>
      </c>
      <c r="M1481" s="2" t="str">
        <f>HYPERLINK("http://maps.live.com/default.aspx?v=2&amp;lvl=15&amp;sp=Point.47.637516_-122.161714_3002 134th Ave NE&amp;cp=47.637516~-122.161714","Map")</f>
        <v>Map</v>
      </c>
      <c r="N1481" s="2" t="str">
        <f>HYPERLINK("http://i-0.rfimg.us/photo/1/bigphoto/797/28022797_2.jpg","Photo")</f>
        <v>Photo</v>
      </c>
      <c r="AG1481">
        <v>47.637515999999998</v>
      </c>
      <c r="AH1481">
        <v>-122.161714</v>
      </c>
      <c r="AI1481" t="s">
        <v>369</v>
      </c>
      <c r="AJ1481">
        <v>98005</v>
      </c>
      <c r="AN1481">
        <v>660000</v>
      </c>
      <c r="BC1481" s="22">
        <v>39490.662731481483</v>
      </c>
      <c r="BI1481" s="22">
        <v>39549.294907407406</v>
      </c>
      <c r="BL1481">
        <v>23000</v>
      </c>
      <c r="BM1481">
        <v>1475254</v>
      </c>
      <c r="BN1481" t="s">
        <v>1768</v>
      </c>
      <c r="BO1481" s="17">
        <f t="shared" ca="1" si="23"/>
        <v>58.646674421295756</v>
      </c>
      <c r="BP1481" t="b">
        <v>0</v>
      </c>
      <c r="BQ1481">
        <v>1</v>
      </c>
      <c r="BR1481" t="s">
        <v>1667</v>
      </c>
      <c r="BS1481" t="s">
        <v>2855</v>
      </c>
      <c r="BT1481" t="b">
        <v>0</v>
      </c>
      <c r="BV1481" t="s">
        <v>1668</v>
      </c>
      <c r="BW1481">
        <v>3002</v>
      </c>
      <c r="BX1481" t="s">
        <v>1738</v>
      </c>
      <c r="BY1481">
        <v>429993</v>
      </c>
      <c r="BZ1481" t="s">
        <v>2064</v>
      </c>
      <c r="CA1481">
        <v>1</v>
      </c>
      <c r="CB1481" t="b">
        <v>1</v>
      </c>
      <c r="CC1481">
        <v>0</v>
      </c>
      <c r="CD1481" t="b">
        <v>0</v>
      </c>
      <c r="CE1481" t="b">
        <v>0</v>
      </c>
      <c r="CF1481" t="b">
        <v>0</v>
      </c>
      <c r="CG1481">
        <v>2446722</v>
      </c>
      <c r="CH1481" t="s">
        <v>1681</v>
      </c>
      <c r="CI1481" s="10">
        <v>1150000</v>
      </c>
      <c r="CJ1481" s="7">
        <v>38203</v>
      </c>
    </row>
    <row r="1482" spans="1:90">
      <c r="A1482">
        <v>28022842</v>
      </c>
      <c r="B1482" s="2" t="str">
        <f>HYPERLINK("http://www.redfin.com/stingray/do/printable-listing?listing-id=1461511","Active")</f>
        <v>Active</v>
      </c>
      <c r="D1482" t="s">
        <v>5119</v>
      </c>
      <c r="E1482" t="s">
        <v>5383</v>
      </c>
      <c r="F1482">
        <v>749000</v>
      </c>
      <c r="G1482">
        <v>1953</v>
      </c>
      <c r="H1482">
        <v>2970</v>
      </c>
      <c r="I1482">
        <v>10800</v>
      </c>
      <c r="J1482">
        <v>5</v>
      </c>
      <c r="K1482">
        <v>1.75</v>
      </c>
      <c r="M1482" s="2" t="str">
        <f>HYPERLINK("http://maps.live.com/default.aspx?v=2&amp;lvl=15&amp;sp=Point.47.58938_-122.172728_12331 SE 23 Pl&amp;cp=47.58938~-122.172728","Map")</f>
        <v>Map</v>
      </c>
      <c r="N1482" s="2" t="str">
        <f>HYPERLINK("http://i-0.rfimg.us/photo/1/bigphoto/842/28022842_7.jpg","Photo")</f>
        <v>Photo</v>
      </c>
      <c r="AG1482">
        <v>47.589379999999998</v>
      </c>
      <c r="AH1482">
        <v>-122.17272800000001</v>
      </c>
      <c r="AI1482" t="s">
        <v>369</v>
      </c>
      <c r="AJ1482">
        <v>98005</v>
      </c>
      <c r="AN1482">
        <v>451000</v>
      </c>
      <c r="BC1482" s="22">
        <v>39485.400335648148</v>
      </c>
      <c r="BI1482" s="22">
        <v>39549.294907407406</v>
      </c>
      <c r="BL1482">
        <v>14980</v>
      </c>
      <c r="BM1482">
        <v>1461511</v>
      </c>
      <c r="BN1482" t="s">
        <v>1735</v>
      </c>
      <c r="BO1482" s="17">
        <f t="shared" ca="1" si="23"/>
        <v>63.909070254630933</v>
      </c>
      <c r="BP1482" t="b">
        <v>0</v>
      </c>
      <c r="BQ1482">
        <v>1</v>
      </c>
      <c r="BR1482" t="s">
        <v>1842</v>
      </c>
      <c r="BS1482">
        <v>23</v>
      </c>
      <c r="BT1482" t="b">
        <v>0</v>
      </c>
      <c r="BU1482" t="s">
        <v>3856</v>
      </c>
      <c r="BV1482" t="s">
        <v>1668</v>
      </c>
      <c r="BW1482">
        <v>12331</v>
      </c>
      <c r="BY1482">
        <v>507430</v>
      </c>
      <c r="BZ1482" t="s">
        <v>5384</v>
      </c>
      <c r="CA1482">
        <v>1</v>
      </c>
      <c r="CB1482" t="b">
        <v>1</v>
      </c>
      <c r="CC1482">
        <v>0</v>
      </c>
      <c r="CD1482" t="b">
        <v>0</v>
      </c>
      <c r="CE1482" t="b">
        <v>0</v>
      </c>
      <c r="CF1482" t="b">
        <v>0</v>
      </c>
      <c r="CG1482">
        <v>2924544</v>
      </c>
      <c r="CH1482" t="s">
        <v>1681</v>
      </c>
      <c r="CI1482" s="10">
        <v>749000</v>
      </c>
      <c r="CJ1482" s="7">
        <v>38131</v>
      </c>
    </row>
    <row r="1483" spans="1:90">
      <c r="A1483">
        <v>28022845</v>
      </c>
      <c r="B1483" s="2" t="str">
        <f>HYPERLINK("http://www.redfin.com/stingray/do/printable-listing?listing-id=1460422","Active")</f>
        <v>Active</v>
      </c>
      <c r="D1483" t="s">
        <v>66</v>
      </c>
      <c r="E1483" t="s">
        <v>6897</v>
      </c>
      <c r="F1483">
        <v>225000</v>
      </c>
      <c r="G1483">
        <v>1912</v>
      </c>
      <c r="H1483">
        <v>860</v>
      </c>
      <c r="I1483">
        <v>2614</v>
      </c>
      <c r="J1483">
        <v>2</v>
      </c>
      <c r="K1483">
        <v>1</v>
      </c>
      <c r="M1483" s="2" t="str">
        <f>HYPERLINK("http://maps.live.com/default.aspx?v=2&amp;lvl=15&amp;sp=Point.47.600426_-122.296036_211 28th Ave S&amp;cp=47.600426~-122.296036","Map")</f>
        <v>Map</v>
      </c>
      <c r="N1483" s="2" t="str">
        <f>HYPERLINK("http://i-0.rfimg.us/photo/1/bigphoto/845/28022845_1.jpg","Photo")</f>
        <v>Photo</v>
      </c>
      <c r="AG1483">
        <v>47.600425999999999</v>
      </c>
      <c r="AH1483">
        <v>-122.296036</v>
      </c>
      <c r="AI1483" t="s">
        <v>66</v>
      </c>
      <c r="AJ1483">
        <v>98144</v>
      </c>
      <c r="AN1483">
        <v>277000</v>
      </c>
      <c r="BC1483" s="22">
        <v>39484.92224537037</v>
      </c>
      <c r="BI1483" s="22">
        <v>39549.294907407406</v>
      </c>
      <c r="BL1483">
        <v>3750</v>
      </c>
      <c r="BM1483">
        <v>1460422</v>
      </c>
      <c r="BN1483" t="s">
        <v>1737</v>
      </c>
      <c r="BO1483" s="17">
        <f t="shared" ca="1" si="23"/>
        <v>64.387160532409325</v>
      </c>
      <c r="BP1483" t="b">
        <v>0</v>
      </c>
      <c r="BQ1483">
        <v>1</v>
      </c>
      <c r="BR1483" t="s">
        <v>1667</v>
      </c>
      <c r="BS1483" t="s">
        <v>1760</v>
      </c>
      <c r="BT1483" t="b">
        <v>0</v>
      </c>
      <c r="BV1483" t="s">
        <v>1668</v>
      </c>
      <c r="BW1483">
        <v>211</v>
      </c>
      <c r="BX1483" t="s">
        <v>1881</v>
      </c>
      <c r="BY1483">
        <v>149196</v>
      </c>
      <c r="BZ1483" t="s">
        <v>1797</v>
      </c>
      <c r="CA1483">
        <v>1</v>
      </c>
      <c r="CB1483" t="b">
        <v>1</v>
      </c>
      <c r="CC1483">
        <v>0</v>
      </c>
      <c r="CD1483" t="b">
        <v>1</v>
      </c>
      <c r="CE1483" t="b">
        <v>0</v>
      </c>
      <c r="CF1483" t="b">
        <v>1</v>
      </c>
      <c r="CG1483">
        <v>2671689</v>
      </c>
      <c r="CH1483" t="s">
        <v>1681</v>
      </c>
      <c r="CI1483" s="10">
        <v>225000</v>
      </c>
      <c r="CJ1483" s="7">
        <v>39457</v>
      </c>
    </row>
    <row r="1484" spans="1:90">
      <c r="A1484">
        <v>28022863</v>
      </c>
      <c r="B1484" s="15" t="str">
        <f>HYPERLINK("http://www.redfin.com/stingray/do/printable-listing?listing-id=1461006","Active")</f>
        <v>Active</v>
      </c>
      <c r="D1484" t="s">
        <v>3959</v>
      </c>
      <c r="E1484" t="s">
        <v>4055</v>
      </c>
      <c r="F1484" s="19">
        <v>819000</v>
      </c>
      <c r="G1484">
        <v>2007</v>
      </c>
      <c r="H1484">
        <v>2557</v>
      </c>
      <c r="I1484">
        <v>5040</v>
      </c>
      <c r="J1484">
        <v>3</v>
      </c>
      <c r="K1484">
        <v>3.5</v>
      </c>
      <c r="M1484" s="2" t="str">
        <f>HYPERLINK("http://maps.live.com/default.aspx?v=2&amp;lvl=15&amp;sp=Point.47.607201_-122.306717_533 20th Ave&amp;cp=47.607201~-122.306717","Map")</f>
        <v>Map</v>
      </c>
      <c r="N1484" s="2" t="str">
        <f>HYPERLINK("http://i-0.rfimg.us/photo/1/bigphoto/863/28022863_2.jpg","Photo")</f>
        <v>Photo</v>
      </c>
      <c r="AG1484">
        <v>47.607201000000003</v>
      </c>
      <c r="AH1484">
        <v>-122.30671700000001</v>
      </c>
      <c r="AI1484" t="s">
        <v>66</v>
      </c>
      <c r="AJ1484">
        <v>98122</v>
      </c>
      <c r="AN1484">
        <v>295000</v>
      </c>
      <c r="BC1484" s="22">
        <v>39485.088171296295</v>
      </c>
      <c r="BI1484" s="22">
        <v>39549.294907407406</v>
      </c>
      <c r="BL1484">
        <v>17580</v>
      </c>
      <c r="BM1484">
        <v>1461006</v>
      </c>
      <c r="BN1484" t="s">
        <v>4054</v>
      </c>
      <c r="BO1484" s="17">
        <f t="shared" ca="1" si="23"/>
        <v>64.221234606484359</v>
      </c>
      <c r="BP1484" t="b">
        <v>0</v>
      </c>
      <c r="BQ1484">
        <v>2</v>
      </c>
      <c r="BR1484" t="s">
        <v>1667</v>
      </c>
      <c r="BS1484" t="s">
        <v>1844</v>
      </c>
      <c r="BT1484" t="b">
        <v>0</v>
      </c>
      <c r="BV1484" t="s">
        <v>1668</v>
      </c>
      <c r="BW1484">
        <v>533</v>
      </c>
      <c r="BY1484">
        <v>143584</v>
      </c>
      <c r="BZ1484" t="s">
        <v>2340</v>
      </c>
      <c r="CA1484">
        <v>1</v>
      </c>
      <c r="CB1484" t="b">
        <v>1</v>
      </c>
      <c r="CC1484">
        <v>0</v>
      </c>
      <c r="CD1484" t="b">
        <v>0</v>
      </c>
      <c r="CE1484" t="b">
        <v>0</v>
      </c>
      <c r="CF1484" t="b">
        <v>0</v>
      </c>
      <c r="CG1484">
        <v>2696322</v>
      </c>
      <c r="CH1484" t="s">
        <v>1681</v>
      </c>
      <c r="CI1484" s="10">
        <v>879000</v>
      </c>
      <c r="CJ1484" s="7">
        <v>38798</v>
      </c>
    </row>
    <row r="1485" spans="1:90">
      <c r="A1485">
        <v>28022874</v>
      </c>
      <c r="B1485" s="2" t="str">
        <f>HYPERLINK("http://www.redfin.com/stingray/do/printable-listing?listing-id=1461345","Active")</f>
        <v>Active</v>
      </c>
      <c r="D1485" t="s">
        <v>3839</v>
      </c>
      <c r="E1485" t="s">
        <v>6152</v>
      </c>
      <c r="F1485" s="19">
        <v>899950</v>
      </c>
      <c r="G1485">
        <v>1998</v>
      </c>
      <c r="H1485">
        <v>3858</v>
      </c>
      <c r="I1485">
        <v>15000</v>
      </c>
      <c r="J1485">
        <v>4</v>
      </c>
      <c r="K1485">
        <v>3.25</v>
      </c>
      <c r="M1485" s="2" t="str">
        <f>HYPERLINK("http://maps.live.com/default.aspx?v=2&amp;lvl=15&amp;sp=Point.47.505863_-122.145701_10419 145Th Pl SE&amp;cp=47.505863~-122.145701","Map")</f>
        <v>Map</v>
      </c>
      <c r="N1485" s="2" t="str">
        <f>HYPERLINK("http://i-0.rfimg.us/photo/1/bigphoto/874/28022874_0.jpg","Photo")</f>
        <v>Photo</v>
      </c>
      <c r="AG1485">
        <v>47.505862999999998</v>
      </c>
      <c r="AH1485">
        <v>-122.145701</v>
      </c>
      <c r="AI1485" t="s">
        <v>1077</v>
      </c>
      <c r="AJ1485">
        <v>98059</v>
      </c>
      <c r="AN1485">
        <v>429500</v>
      </c>
      <c r="BC1485" s="22">
        <v>39485.37945601852</v>
      </c>
      <c r="BI1485" s="22">
        <v>39549.294907407406</v>
      </c>
      <c r="BL1485">
        <v>18299</v>
      </c>
      <c r="BM1485">
        <v>1461345</v>
      </c>
      <c r="BN1485" t="s">
        <v>3236</v>
      </c>
      <c r="BO1485" s="17">
        <f t="shared" ca="1" si="23"/>
        <v>63.929949884259258</v>
      </c>
      <c r="BP1485" t="b">
        <v>0</v>
      </c>
      <c r="BQ1485">
        <v>1</v>
      </c>
      <c r="BR1485" t="s">
        <v>1842</v>
      </c>
      <c r="BS1485" t="s">
        <v>6153</v>
      </c>
      <c r="BT1485" t="b">
        <v>0</v>
      </c>
      <c r="BV1485" t="s">
        <v>1668</v>
      </c>
      <c r="BW1485">
        <v>10419</v>
      </c>
      <c r="BX1485" t="s">
        <v>3856</v>
      </c>
      <c r="BY1485">
        <v>411848</v>
      </c>
      <c r="BZ1485" t="s">
        <v>1672</v>
      </c>
      <c r="CA1485">
        <v>1</v>
      </c>
      <c r="CB1485" t="b">
        <v>1</v>
      </c>
      <c r="CC1485">
        <v>0</v>
      </c>
      <c r="CD1485" t="b">
        <v>0</v>
      </c>
      <c r="CE1485" t="b">
        <v>0</v>
      </c>
      <c r="CF1485" t="b">
        <v>0</v>
      </c>
      <c r="CG1485">
        <v>2920300</v>
      </c>
      <c r="CH1485" t="s">
        <v>1681</v>
      </c>
      <c r="CI1485" s="10">
        <v>914950</v>
      </c>
      <c r="CJ1485" s="7">
        <v>36342</v>
      </c>
    </row>
    <row r="1486" spans="1:90">
      <c r="A1486">
        <v>28022889</v>
      </c>
      <c r="B1486" s="2" t="str">
        <f>HYPERLINK("http://www.redfin.com/stingray/do/printable-listing?listing-id=1462566","Active")</f>
        <v>Active</v>
      </c>
      <c r="D1486" t="s">
        <v>4663</v>
      </c>
      <c r="E1486" t="s">
        <v>5046</v>
      </c>
      <c r="F1486">
        <v>878950</v>
      </c>
      <c r="G1486">
        <v>1988</v>
      </c>
      <c r="H1486">
        <v>2710</v>
      </c>
      <c r="I1486">
        <v>10454</v>
      </c>
      <c r="J1486">
        <v>4</v>
      </c>
      <c r="K1486">
        <v>2.5</v>
      </c>
      <c r="M1486" s="2" t="str">
        <f>HYPERLINK("http://maps.live.com/default.aspx?v=2&amp;lvl=15&amp;sp=Point.47.633527_-122.149587_14283 NE 27th St&amp;cp=47.633527~-122.149587","Map")</f>
        <v>Map</v>
      </c>
      <c r="N1486" s="2" t="str">
        <f>HYPERLINK("http://i-0.rfimg.us/photo/1/bigphoto/889/28022889_4.jpg","Photo")</f>
        <v>Photo</v>
      </c>
      <c r="AG1486">
        <v>47.633527000000001</v>
      </c>
      <c r="AH1486">
        <v>-122.149587</v>
      </c>
      <c r="AI1486" t="s">
        <v>369</v>
      </c>
      <c r="AJ1486">
        <v>98007</v>
      </c>
      <c r="AN1486">
        <v>315000</v>
      </c>
      <c r="BC1486" s="22">
        <v>39485.609525462962</v>
      </c>
      <c r="BI1486" s="22">
        <v>39549.294907407406</v>
      </c>
      <c r="BL1486">
        <v>17579</v>
      </c>
      <c r="BM1486">
        <v>1462566</v>
      </c>
      <c r="BN1486" t="s">
        <v>1774</v>
      </c>
      <c r="BO1486" s="17">
        <f t="shared" ca="1" si="23"/>
        <v>63.699880439817207</v>
      </c>
      <c r="BP1486" t="b">
        <v>0</v>
      </c>
      <c r="BQ1486">
        <v>1</v>
      </c>
      <c r="BR1486" t="s">
        <v>1686</v>
      </c>
      <c r="BS1486" t="s">
        <v>1751</v>
      </c>
      <c r="BT1486" t="b">
        <v>0</v>
      </c>
      <c r="BU1486" t="s">
        <v>1738</v>
      </c>
      <c r="BV1486" t="s">
        <v>1668</v>
      </c>
      <c r="BW1486">
        <v>14283</v>
      </c>
      <c r="BY1486">
        <v>431220</v>
      </c>
      <c r="BZ1486" t="s">
        <v>5047</v>
      </c>
      <c r="CA1486">
        <v>1</v>
      </c>
      <c r="CB1486" t="b">
        <v>1</v>
      </c>
      <c r="CC1486">
        <v>0</v>
      </c>
      <c r="CD1486" t="b">
        <v>0</v>
      </c>
      <c r="CE1486" t="b">
        <v>0</v>
      </c>
      <c r="CF1486" t="b">
        <v>0</v>
      </c>
      <c r="CG1486">
        <v>2408122</v>
      </c>
      <c r="CH1486" t="s">
        <v>1681</v>
      </c>
      <c r="CI1486" s="10">
        <v>878950</v>
      </c>
      <c r="CJ1486" s="7">
        <v>34873</v>
      </c>
    </row>
    <row r="1487" spans="1:90">
      <c r="A1487">
        <v>28022907</v>
      </c>
      <c r="B1487" s="2" t="str">
        <f>HYPERLINK("http://www.redfin.com/stingray/do/printable-listing?listing-id=1461512","Contingent")</f>
        <v>Contingent</v>
      </c>
      <c r="D1487" t="s">
        <v>192</v>
      </c>
      <c r="E1487" t="s">
        <v>2191</v>
      </c>
      <c r="F1487">
        <v>499000</v>
      </c>
      <c r="G1487">
        <v>1948</v>
      </c>
      <c r="H1487">
        <v>2720</v>
      </c>
      <c r="I1487">
        <v>6120</v>
      </c>
      <c r="J1487">
        <v>3</v>
      </c>
      <c r="K1487">
        <v>1.75</v>
      </c>
      <c r="M1487" s="2" t="str">
        <f>HYPERLINK("http://maps.live.com/default.aspx?v=2&amp;lvl=15&amp;sp=Point.47.689445_-122.320797_551 NE 84th St&amp;cp=47.689445~-122.320797","Map")</f>
        <v>Map</v>
      </c>
      <c r="N1487" s="2" t="str">
        <f>HYPERLINK("http://i-0.rfimg.us/photo/1/bigphoto/907/28022907_0.jpg","Photo")</f>
        <v>Photo</v>
      </c>
      <c r="AG1487">
        <v>47.689444999999999</v>
      </c>
      <c r="AH1487">
        <v>-122.320797</v>
      </c>
      <c r="AI1487" t="s">
        <v>66</v>
      </c>
      <c r="AJ1487">
        <v>98115</v>
      </c>
      <c r="BC1487" s="22">
        <v>39485.400347222225</v>
      </c>
      <c r="BI1487" s="22">
        <v>39549.294907407406</v>
      </c>
      <c r="BL1487">
        <v>9980</v>
      </c>
      <c r="BM1487">
        <v>1461512</v>
      </c>
      <c r="BN1487" t="s">
        <v>1817</v>
      </c>
      <c r="BO1487" s="17">
        <f t="shared" ca="1" si="23"/>
        <v>63.909058680554153</v>
      </c>
      <c r="BP1487" t="b">
        <v>0</v>
      </c>
      <c r="BQ1487">
        <v>2</v>
      </c>
      <c r="BR1487" t="s">
        <v>1686</v>
      </c>
      <c r="BS1487" t="s">
        <v>1826</v>
      </c>
      <c r="BT1487" t="b">
        <v>0</v>
      </c>
      <c r="BU1487" t="s">
        <v>1738</v>
      </c>
      <c r="BV1487" t="s">
        <v>1668</v>
      </c>
      <c r="BW1487">
        <v>551</v>
      </c>
      <c r="BY1487">
        <v>108390</v>
      </c>
      <c r="BZ1487" t="s">
        <v>1713</v>
      </c>
      <c r="CA1487">
        <v>1</v>
      </c>
      <c r="CB1487" t="b">
        <v>1</v>
      </c>
      <c r="CC1487">
        <v>0</v>
      </c>
      <c r="CD1487" t="b">
        <v>0</v>
      </c>
      <c r="CE1487" t="b">
        <v>0</v>
      </c>
      <c r="CF1487" t="b">
        <v>0</v>
      </c>
      <c r="CG1487">
        <v>2812459</v>
      </c>
      <c r="CH1487" t="s">
        <v>1681</v>
      </c>
      <c r="CI1487" s="10">
        <v>499000</v>
      </c>
    </row>
    <row r="1488" spans="1:90">
      <c r="A1488">
        <v>28022927</v>
      </c>
      <c r="B1488" s="2" t="str">
        <f>HYPERLINK("http://www.redfin.com/stingray/do/printable-listing?listing-id=1461570","Active")</f>
        <v>Active</v>
      </c>
      <c r="D1488" t="s">
        <v>5161</v>
      </c>
      <c r="E1488" t="s">
        <v>5480</v>
      </c>
      <c r="F1488">
        <v>795000</v>
      </c>
      <c r="G1488">
        <v>1958</v>
      </c>
      <c r="H1488">
        <v>1380</v>
      </c>
      <c r="I1488">
        <v>11070</v>
      </c>
      <c r="J1488">
        <v>4</v>
      </c>
      <c r="K1488">
        <v>2</v>
      </c>
      <c r="M1488" s="2" t="str">
        <f>HYPERLINK("http://maps.live.com/default.aspx?v=2&amp;lvl=15&amp;sp=Point.47.577703_-122.218935_3615 90th Ave SE&amp;cp=47.577703~-122.218935","Map")</f>
        <v>Map</v>
      </c>
      <c r="N1488" s="2" t="str">
        <f>HYPERLINK("http://i-0.rfimg.us/photo/1/bigphoto/927/28022927_0.jpg","Photo")</f>
        <v>Photo</v>
      </c>
      <c r="AG1488">
        <v>47.577703</v>
      </c>
      <c r="AH1488">
        <v>-122.218935</v>
      </c>
      <c r="AI1488" t="s">
        <v>5139</v>
      </c>
      <c r="AJ1488">
        <v>98040</v>
      </c>
      <c r="AN1488">
        <v>615000</v>
      </c>
      <c r="BC1488" s="22">
        <v>39485.421342592592</v>
      </c>
      <c r="BI1488" s="22">
        <v>39549.294907407406</v>
      </c>
      <c r="BL1488">
        <v>15900</v>
      </c>
      <c r="BM1488">
        <v>1461570</v>
      </c>
      <c r="BN1488" t="s">
        <v>1768</v>
      </c>
      <c r="BO1488" s="17">
        <f t="shared" ca="1" si="23"/>
        <v>63.888063310187135</v>
      </c>
      <c r="BP1488" t="b">
        <v>0</v>
      </c>
      <c r="BQ1488">
        <v>1</v>
      </c>
      <c r="BR1488" t="s">
        <v>1667</v>
      </c>
      <c r="BS1488" t="s">
        <v>1761</v>
      </c>
      <c r="BT1488" t="b">
        <v>0</v>
      </c>
      <c r="BV1488" t="s">
        <v>1668</v>
      </c>
      <c r="BW1488">
        <v>3615</v>
      </c>
      <c r="BX1488" t="s">
        <v>3856</v>
      </c>
      <c r="BY1488">
        <v>254518</v>
      </c>
      <c r="BZ1488" t="s">
        <v>1684</v>
      </c>
      <c r="CA1488">
        <v>1</v>
      </c>
      <c r="CB1488" t="b">
        <v>1</v>
      </c>
      <c r="CC1488">
        <v>0</v>
      </c>
      <c r="CD1488" t="b">
        <v>0</v>
      </c>
      <c r="CE1488" t="b">
        <v>0</v>
      </c>
      <c r="CF1488" t="b">
        <v>0</v>
      </c>
      <c r="CG1488">
        <v>2738864</v>
      </c>
      <c r="CH1488" t="s">
        <v>1681</v>
      </c>
      <c r="CI1488" s="10">
        <v>795000</v>
      </c>
      <c r="CJ1488" s="7">
        <v>38761</v>
      </c>
    </row>
    <row r="1489" spans="1:88">
      <c r="A1489">
        <v>28022998</v>
      </c>
      <c r="B1489" s="2" t="str">
        <f>HYPERLINK("http://www.redfin.com/stingray/do/printable-listing?listing-id=1461628","Active")</f>
        <v>Active</v>
      </c>
      <c r="D1489" t="s">
        <v>4663</v>
      </c>
      <c r="E1489" t="s">
        <v>4769</v>
      </c>
      <c r="F1489">
        <v>699999</v>
      </c>
      <c r="G1489">
        <v>1960</v>
      </c>
      <c r="H1489">
        <v>2360</v>
      </c>
      <c r="I1489">
        <v>8580</v>
      </c>
      <c r="J1489">
        <v>4</v>
      </c>
      <c r="K1489">
        <v>2</v>
      </c>
      <c r="M1489" s="2" t="str">
        <f>HYPERLINK("http://maps.live.com/default.aspx?v=2&amp;lvl=15&amp;sp=Point.47.670191_-122.17263_12449 NE 73rd St&amp;cp=47.670191~-122.17263","Map")</f>
        <v>Map</v>
      </c>
      <c r="N1489" s="2" t="str">
        <f>HYPERLINK("http://i-0.rfimg.us/photo/1/bigphoto/998/28022998_4.jpg","Photo")</f>
        <v>Photo</v>
      </c>
      <c r="AG1489">
        <v>47.670191000000003</v>
      </c>
      <c r="AH1489">
        <v>-122.17263</v>
      </c>
      <c r="AI1489" t="s">
        <v>1058</v>
      </c>
      <c r="AJ1489">
        <v>98033</v>
      </c>
      <c r="AN1489">
        <v>260000</v>
      </c>
      <c r="BC1489" s="22">
        <v>39485.467013888891</v>
      </c>
      <c r="BI1489" s="22">
        <v>39549.294907407406</v>
      </c>
      <c r="BL1489">
        <v>14000</v>
      </c>
      <c r="BM1489">
        <v>1461628</v>
      </c>
      <c r="BN1489" t="s">
        <v>1798</v>
      </c>
      <c r="BO1489" s="17">
        <f t="shared" ca="1" si="23"/>
        <v>63.842392013888457</v>
      </c>
      <c r="BP1489" t="b">
        <v>0</v>
      </c>
      <c r="BQ1489">
        <v>1</v>
      </c>
      <c r="BR1489" t="s">
        <v>1686</v>
      </c>
      <c r="BS1489" t="s">
        <v>1828</v>
      </c>
      <c r="BT1489" t="b">
        <v>0</v>
      </c>
      <c r="BU1489" t="s">
        <v>1738</v>
      </c>
      <c r="BV1489" t="s">
        <v>1668</v>
      </c>
      <c r="BW1489">
        <v>12449</v>
      </c>
      <c r="BY1489">
        <v>515324</v>
      </c>
      <c r="BZ1489" t="s">
        <v>3291</v>
      </c>
      <c r="CA1489">
        <v>1</v>
      </c>
      <c r="CB1489" t="b">
        <v>1</v>
      </c>
      <c r="CC1489">
        <v>0</v>
      </c>
      <c r="CD1489" t="b">
        <v>0</v>
      </c>
      <c r="CE1489" t="b">
        <v>0</v>
      </c>
      <c r="CF1489" t="b">
        <v>0</v>
      </c>
      <c r="CG1489">
        <v>2744738</v>
      </c>
      <c r="CH1489" t="s">
        <v>1681</v>
      </c>
      <c r="CI1489" s="10">
        <v>699999</v>
      </c>
      <c r="CJ1489" s="7">
        <v>37582</v>
      </c>
    </row>
    <row r="1490" spans="1:88">
      <c r="A1490">
        <v>28023008</v>
      </c>
      <c r="B1490" s="2" t="str">
        <f>HYPERLINK("http://www.redfin.com/stingray/do/printable-listing?listing-id=1461633","Active")</f>
        <v>Active</v>
      </c>
      <c r="D1490" t="s">
        <v>5201</v>
      </c>
      <c r="E1490" t="s">
        <v>5416</v>
      </c>
      <c r="F1490">
        <v>750000</v>
      </c>
      <c r="G1490">
        <v>1909</v>
      </c>
      <c r="H1490">
        <v>2110</v>
      </c>
      <c r="I1490">
        <v>45738</v>
      </c>
      <c r="J1490">
        <v>5</v>
      </c>
      <c r="K1490">
        <v>1</v>
      </c>
      <c r="M1490" s="2" t="str">
        <f>HYPERLINK("http://maps.live.com/default.aspx?v=2&amp;lvl=15&amp;sp=Point.47.5898_-122.123771_16210 SE 24th St&amp;cp=47.5898~-122.123771","Map")</f>
        <v>Map</v>
      </c>
      <c r="N1490" s="2" t="str">
        <f>HYPERLINK("http://i-0.rfimg.us/photo/1/bigphoto/008/28023008_0.jpg","Photo")</f>
        <v>Photo</v>
      </c>
      <c r="AG1490">
        <v>47.589799999999997</v>
      </c>
      <c r="AH1490">
        <v>-122.123771</v>
      </c>
      <c r="AI1490" t="s">
        <v>369</v>
      </c>
      <c r="AJ1490">
        <v>98008</v>
      </c>
      <c r="AN1490">
        <v>70000</v>
      </c>
      <c r="BC1490" s="22">
        <v>39485.467037037037</v>
      </c>
      <c r="BI1490" s="22">
        <v>39549.294907407406</v>
      </c>
      <c r="BL1490">
        <v>15000</v>
      </c>
      <c r="BM1490">
        <v>1461633</v>
      </c>
      <c r="BN1490" t="s">
        <v>1675</v>
      </c>
      <c r="BO1490" s="17">
        <f t="shared" ca="1" si="23"/>
        <v>63.842368865742174</v>
      </c>
      <c r="BP1490" t="b">
        <v>0</v>
      </c>
      <c r="BQ1490">
        <v>1</v>
      </c>
      <c r="BR1490" t="s">
        <v>1686</v>
      </c>
      <c r="BS1490" t="s">
        <v>1740</v>
      </c>
      <c r="BT1490" t="b">
        <v>0</v>
      </c>
      <c r="BU1490" t="s">
        <v>3856</v>
      </c>
      <c r="BV1490" t="s">
        <v>1668</v>
      </c>
      <c r="BW1490">
        <v>16210</v>
      </c>
      <c r="BY1490">
        <v>429285</v>
      </c>
      <c r="BZ1490" t="s">
        <v>1747</v>
      </c>
      <c r="CA1490">
        <v>1</v>
      </c>
      <c r="CB1490" t="b">
        <v>1</v>
      </c>
      <c r="CC1490">
        <v>0</v>
      </c>
      <c r="CD1490" t="b">
        <v>0</v>
      </c>
      <c r="CE1490" t="b">
        <v>0</v>
      </c>
      <c r="CF1490" t="b">
        <v>0</v>
      </c>
      <c r="CG1490">
        <v>2641593</v>
      </c>
      <c r="CH1490" t="s">
        <v>1681</v>
      </c>
      <c r="CI1490" s="10">
        <v>750000</v>
      </c>
      <c r="CJ1490" s="7">
        <v>30820</v>
      </c>
    </row>
    <row r="1491" spans="1:88">
      <c r="A1491">
        <v>28023063</v>
      </c>
      <c r="B1491" s="2" t="str">
        <f>HYPERLINK("http://www.redfin.com/stingray/do/printable-listing?listing-id=1471787","Active")</f>
        <v>Active</v>
      </c>
      <c r="D1491" t="s">
        <v>5121</v>
      </c>
      <c r="E1491" t="s">
        <v>5157</v>
      </c>
      <c r="F1491" s="19">
        <v>750000</v>
      </c>
      <c r="G1491">
        <v>1951</v>
      </c>
      <c r="H1491">
        <v>1210</v>
      </c>
      <c r="I1491">
        <v>7065</v>
      </c>
      <c r="J1491">
        <v>3</v>
      </c>
      <c r="K1491">
        <v>1</v>
      </c>
      <c r="M1491" s="2" t="str">
        <f>HYPERLINK("http://maps.live.com/default.aspx?v=2&amp;lvl=15&amp;sp=Point.47.5837_-122.191236_11062 SE 30th St&amp;cp=47.5837~-122.191236","Map")</f>
        <v>Map</v>
      </c>
      <c r="N1491" s="2" t="str">
        <f>HYPERLINK("http://i-0.rfimg.us/photo/1/bigphoto/063/28023063_0.jpg","Photo")</f>
        <v>Photo</v>
      </c>
      <c r="AG1491">
        <v>47.5837</v>
      </c>
      <c r="AH1491">
        <v>-122.191236</v>
      </c>
      <c r="AI1491" t="s">
        <v>369</v>
      </c>
      <c r="AJ1491">
        <v>98004</v>
      </c>
      <c r="AN1491">
        <v>590000</v>
      </c>
      <c r="BC1491" s="22">
        <v>39489.568784722222</v>
      </c>
      <c r="BI1491" s="22">
        <v>39549.294907407406</v>
      </c>
      <c r="BL1491">
        <v>15900</v>
      </c>
      <c r="BM1491">
        <v>1471787</v>
      </c>
      <c r="BN1491" t="s">
        <v>1798</v>
      </c>
      <c r="BO1491" s="17">
        <f t="shared" ca="1" si="23"/>
        <v>59.740621180557355</v>
      </c>
      <c r="BP1491" t="b">
        <v>0</v>
      </c>
      <c r="BQ1491">
        <v>1</v>
      </c>
      <c r="BR1491" t="s">
        <v>1686</v>
      </c>
      <c r="BS1491" t="s">
        <v>1818</v>
      </c>
      <c r="BT1491" t="b">
        <v>0</v>
      </c>
      <c r="BU1491" t="s">
        <v>3856</v>
      </c>
      <c r="BV1491" t="s">
        <v>1668</v>
      </c>
      <c r="BW1491">
        <v>11062</v>
      </c>
      <c r="BY1491">
        <v>510617</v>
      </c>
      <c r="BZ1491" t="s">
        <v>1747</v>
      </c>
      <c r="CA1491">
        <v>1</v>
      </c>
      <c r="CB1491" t="b">
        <v>1</v>
      </c>
      <c r="CC1491">
        <v>0</v>
      </c>
      <c r="CD1491" t="b">
        <v>0</v>
      </c>
      <c r="CE1491" t="b">
        <v>0</v>
      </c>
      <c r="CF1491" t="b">
        <v>0</v>
      </c>
      <c r="CG1491">
        <v>2783926</v>
      </c>
      <c r="CH1491" t="s">
        <v>1681</v>
      </c>
      <c r="CI1491" s="10">
        <v>795000</v>
      </c>
      <c r="CJ1491" s="7">
        <v>38905</v>
      </c>
    </row>
    <row r="1492" spans="1:88">
      <c r="A1492">
        <v>28023079</v>
      </c>
      <c r="B1492" s="2" t="str">
        <f>HYPERLINK("http://www.redfin.com/stingray/do/printable-listing?listing-id=1465509","Active")</f>
        <v>Active</v>
      </c>
      <c r="D1492" t="s">
        <v>3066</v>
      </c>
      <c r="E1492" t="s">
        <v>4875</v>
      </c>
      <c r="F1492">
        <v>699950</v>
      </c>
      <c r="G1492">
        <v>1960</v>
      </c>
      <c r="H1492">
        <v>1400</v>
      </c>
      <c r="I1492">
        <v>16343</v>
      </c>
      <c r="J1492">
        <v>3</v>
      </c>
      <c r="K1492">
        <v>1</v>
      </c>
      <c r="M1492" s="2" t="str">
        <f>HYPERLINK("http://maps.live.com/default.aspx?v=2&amp;lvl=15&amp;sp=Point.47.682343_-122.171787_12625 NE 90th St&amp;cp=47.682343~-122.171787","Map")</f>
        <v>Map</v>
      </c>
      <c r="N1492" s="2" t="str">
        <f>HYPERLINK("http://i-0.rfimg.us/photo/1/bigphoto/079/28023079_1.jpg","Photo")</f>
        <v>Photo</v>
      </c>
      <c r="AG1492">
        <v>47.682343000000003</v>
      </c>
      <c r="AH1492">
        <v>-122.17178699999999</v>
      </c>
      <c r="AI1492" t="s">
        <v>1058</v>
      </c>
      <c r="AJ1492">
        <v>98033</v>
      </c>
      <c r="BC1492" s="22">
        <v>39486.484363425923</v>
      </c>
      <c r="BI1492" s="22">
        <v>39549.294907407406</v>
      </c>
      <c r="BL1492">
        <v>13999</v>
      </c>
      <c r="BM1492">
        <v>1465509</v>
      </c>
      <c r="BN1492" t="s">
        <v>1735</v>
      </c>
      <c r="BO1492" s="17">
        <f t="shared" ca="1" si="23"/>
        <v>62.825042476855742</v>
      </c>
      <c r="BP1492" t="b">
        <v>0</v>
      </c>
      <c r="BQ1492">
        <v>1</v>
      </c>
      <c r="BR1492" t="s">
        <v>1686</v>
      </c>
      <c r="BS1492" t="s">
        <v>1761</v>
      </c>
      <c r="BT1492" t="b">
        <v>0</v>
      </c>
      <c r="BU1492" t="s">
        <v>1738</v>
      </c>
      <c r="BV1492" t="s">
        <v>1668</v>
      </c>
      <c r="BW1492">
        <v>12625</v>
      </c>
      <c r="BY1492">
        <v>513567</v>
      </c>
      <c r="BZ1492" t="s">
        <v>4876</v>
      </c>
      <c r="CA1492">
        <v>1</v>
      </c>
      <c r="CB1492" t="b">
        <v>1</v>
      </c>
      <c r="CC1492">
        <v>0</v>
      </c>
      <c r="CD1492" t="b">
        <v>0</v>
      </c>
      <c r="CE1492" t="b">
        <v>0</v>
      </c>
      <c r="CF1492" t="b">
        <v>0</v>
      </c>
      <c r="CG1492">
        <v>2595126</v>
      </c>
      <c r="CH1492" t="s">
        <v>1681</v>
      </c>
      <c r="CI1492" s="10">
        <v>699950</v>
      </c>
    </row>
    <row r="1493" spans="1:88">
      <c r="A1493">
        <v>28023096</v>
      </c>
      <c r="B1493" s="2" t="str">
        <f>HYPERLINK("http://www.redfin.com/stingray/do/printable-listing?listing-id=1461826","Active")</f>
        <v>Active</v>
      </c>
      <c r="D1493" t="s">
        <v>42</v>
      </c>
      <c r="E1493" t="s">
        <v>2770</v>
      </c>
      <c r="F1493">
        <v>615000</v>
      </c>
      <c r="G1493">
        <v>2008</v>
      </c>
      <c r="H1493">
        <v>2723</v>
      </c>
      <c r="I1493">
        <v>7000</v>
      </c>
      <c r="J1493">
        <v>4</v>
      </c>
      <c r="K1493">
        <v>3.5</v>
      </c>
      <c r="M1493" s="2" t="str">
        <f>HYPERLINK("http://maps.live.com/default.aspx?v=2&amp;lvl=15&amp;sp=Point.47.716828_-122.341215_1308 N 122nd St&amp;cp=47.716828~-122.341215","Map")</f>
        <v>Map</v>
      </c>
      <c r="N1493" s="2" t="str">
        <f>HYPERLINK("http://i-0.rfimg.us/photo/1/bigphoto/096/28023096_1.jpg","Photo")</f>
        <v>Photo</v>
      </c>
      <c r="AG1493">
        <v>47.716828</v>
      </c>
      <c r="AH1493">
        <v>-122.34121500000001</v>
      </c>
      <c r="AI1493" t="s">
        <v>66</v>
      </c>
      <c r="AJ1493">
        <v>98133</v>
      </c>
      <c r="BC1493" s="22">
        <v>39485.499907407408</v>
      </c>
      <c r="BI1493" s="22">
        <v>39549.294907407406</v>
      </c>
      <c r="BL1493">
        <v>12300</v>
      </c>
      <c r="BM1493">
        <v>1461826</v>
      </c>
      <c r="BN1493" t="s">
        <v>2444</v>
      </c>
      <c r="BO1493" s="17">
        <f t="shared" ca="1" si="23"/>
        <v>63.80949861111003</v>
      </c>
      <c r="BP1493" t="b">
        <v>0</v>
      </c>
      <c r="BQ1493">
        <v>1</v>
      </c>
      <c r="BR1493" t="s">
        <v>1686</v>
      </c>
      <c r="BS1493" t="s">
        <v>2672</v>
      </c>
      <c r="BT1493" t="b">
        <v>0</v>
      </c>
      <c r="BU1493" t="s">
        <v>1712</v>
      </c>
      <c r="BV1493" t="s">
        <v>1668</v>
      </c>
      <c r="BW1493">
        <v>1308</v>
      </c>
      <c r="BY1493">
        <v>12175770</v>
      </c>
      <c r="BZ1493" t="s">
        <v>1797</v>
      </c>
      <c r="CA1493">
        <v>1</v>
      </c>
      <c r="CB1493" t="b">
        <v>1</v>
      </c>
      <c r="CC1493">
        <v>0</v>
      </c>
      <c r="CD1493" t="b">
        <v>0</v>
      </c>
      <c r="CE1493" t="b">
        <v>0</v>
      </c>
      <c r="CF1493" t="b">
        <v>0</v>
      </c>
      <c r="CG1493">
        <v>15406377</v>
      </c>
      <c r="CH1493" t="s">
        <v>1681</v>
      </c>
      <c r="CI1493" s="10">
        <v>615000</v>
      </c>
    </row>
    <row r="1494" spans="1:88">
      <c r="A1494">
        <v>28023106</v>
      </c>
      <c r="B1494" s="2" t="str">
        <f>HYPERLINK("http://www.redfin.com/stingray/do/printable-listing?listing-id=1474784","Active")</f>
        <v>Active</v>
      </c>
      <c r="D1494" t="s">
        <v>5204</v>
      </c>
      <c r="E1494" t="s">
        <v>5420</v>
      </c>
      <c r="F1494">
        <v>584900</v>
      </c>
      <c r="G1494">
        <v>1959</v>
      </c>
      <c r="H1494">
        <v>2100</v>
      </c>
      <c r="I1494">
        <v>11928</v>
      </c>
      <c r="J1494">
        <v>5</v>
      </c>
      <c r="K1494">
        <v>2.5</v>
      </c>
      <c r="M1494" s="2" t="str">
        <f>HYPERLINK("http://maps.live.com/default.aspx?v=2&amp;lvl=15&amp;sp=Point.47.610012_-122.127403_59 159th Pl NE&amp;cp=47.610012~-122.127403","Map")</f>
        <v>Map</v>
      </c>
      <c r="N1494" s="2" t="str">
        <f>HYPERLINK("http://i-0.rfimg.us/photo/1/bigphoto/106/28023106_0.jpg","Photo")</f>
        <v>Photo</v>
      </c>
      <c r="AG1494">
        <v>47.610011999999998</v>
      </c>
      <c r="AH1494">
        <v>-122.127403</v>
      </c>
      <c r="AI1494" t="s">
        <v>369</v>
      </c>
      <c r="AJ1494">
        <v>98008</v>
      </c>
      <c r="AN1494">
        <v>120000</v>
      </c>
      <c r="BC1494" s="22">
        <v>39490.558171296296</v>
      </c>
      <c r="BI1494" s="22">
        <v>39549.294907407406</v>
      </c>
      <c r="BL1494">
        <v>11698</v>
      </c>
      <c r="BM1494">
        <v>1474784</v>
      </c>
      <c r="BN1494" t="s">
        <v>1688</v>
      </c>
      <c r="BO1494" s="17">
        <f t="shared" ca="1" si="23"/>
        <v>58.751234606483195</v>
      </c>
      <c r="BP1494" t="b">
        <v>0</v>
      </c>
      <c r="BQ1494">
        <v>1</v>
      </c>
      <c r="BR1494" t="s">
        <v>1842</v>
      </c>
      <c r="BS1494" t="s">
        <v>5238</v>
      </c>
      <c r="BT1494" t="b">
        <v>0</v>
      </c>
      <c r="BV1494" t="s">
        <v>1668</v>
      </c>
      <c r="BW1494">
        <v>59</v>
      </c>
      <c r="BX1494" t="s">
        <v>1738</v>
      </c>
      <c r="BY1494">
        <v>501639</v>
      </c>
      <c r="BZ1494" t="s">
        <v>1741</v>
      </c>
      <c r="CA1494">
        <v>1</v>
      </c>
      <c r="CB1494" t="b">
        <v>1</v>
      </c>
      <c r="CC1494">
        <v>0</v>
      </c>
      <c r="CD1494" t="b">
        <v>0</v>
      </c>
      <c r="CE1494" t="b">
        <v>0</v>
      </c>
      <c r="CF1494" t="b">
        <v>0</v>
      </c>
      <c r="CG1494">
        <v>2456353</v>
      </c>
      <c r="CH1494" t="s">
        <v>1681</v>
      </c>
      <c r="CI1494" s="10">
        <v>584900</v>
      </c>
      <c r="CJ1494" s="7">
        <v>32944</v>
      </c>
    </row>
    <row r="1495" spans="1:88">
      <c r="A1495">
        <v>28023122</v>
      </c>
      <c r="B1495" s="2" t="str">
        <f>HYPERLINK("http://www.redfin.com/stingray/do/printable-listing?listing-id=1474825","Active")</f>
        <v>Active</v>
      </c>
      <c r="D1495" t="s">
        <v>5926</v>
      </c>
      <c r="E1495" t="s">
        <v>6170</v>
      </c>
      <c r="F1495">
        <v>429000</v>
      </c>
      <c r="G1495">
        <v>1961</v>
      </c>
      <c r="H1495">
        <v>2570</v>
      </c>
      <c r="I1495">
        <v>11060</v>
      </c>
      <c r="J1495">
        <v>4</v>
      </c>
      <c r="K1495">
        <v>2</v>
      </c>
      <c r="M1495" s="2" t="str">
        <f>HYPERLINK("http://maps.live.com/default.aspx?v=2&amp;lvl=15&amp;sp=Point.47.504882_-122.185938_1401 Edmonds Ave NE&amp;cp=47.504882~-122.185938","Map")</f>
        <v>Map</v>
      </c>
      <c r="N1495" s="2" t="str">
        <f>HYPERLINK("http://i-0.rfimg.us/photo/1/bigphoto/122/28023122_0.jpg","Photo")</f>
        <v>Photo</v>
      </c>
      <c r="AG1495">
        <v>47.504882000000002</v>
      </c>
      <c r="AH1495">
        <v>-122.18593799999999</v>
      </c>
      <c r="AI1495" t="s">
        <v>1077</v>
      </c>
      <c r="AJ1495">
        <v>98056</v>
      </c>
      <c r="BC1495" s="22">
        <v>39490.568333333336</v>
      </c>
      <c r="BI1495" s="22">
        <v>39549.294907407406</v>
      </c>
      <c r="BL1495">
        <v>8580</v>
      </c>
      <c r="BM1495">
        <v>1474825</v>
      </c>
      <c r="BN1495" t="s">
        <v>5307</v>
      </c>
      <c r="BO1495" s="17">
        <f t="shared" ca="1" si="23"/>
        <v>58.741072569442622</v>
      </c>
      <c r="BP1495" t="b">
        <v>0</v>
      </c>
      <c r="BQ1495">
        <v>1</v>
      </c>
      <c r="BR1495" t="s">
        <v>1667</v>
      </c>
      <c r="BS1495" t="s">
        <v>6117</v>
      </c>
      <c r="BT1495" t="b">
        <v>0</v>
      </c>
      <c r="BV1495" t="s">
        <v>1668</v>
      </c>
      <c r="BW1495">
        <v>1401</v>
      </c>
      <c r="BX1495" t="s">
        <v>1738</v>
      </c>
      <c r="BY1495">
        <v>411331</v>
      </c>
      <c r="BZ1495" t="s">
        <v>1701</v>
      </c>
      <c r="CA1495">
        <v>1</v>
      </c>
      <c r="CB1495" t="b">
        <v>1</v>
      </c>
      <c r="CC1495">
        <v>0</v>
      </c>
      <c r="CD1495" t="b">
        <v>0</v>
      </c>
      <c r="CE1495" t="b">
        <v>0</v>
      </c>
      <c r="CF1495" t="b">
        <v>0</v>
      </c>
      <c r="CG1495">
        <v>2880701</v>
      </c>
      <c r="CH1495" t="s">
        <v>1681</v>
      </c>
      <c r="CI1495" s="10">
        <v>429000</v>
      </c>
    </row>
    <row r="1496" spans="1:88">
      <c r="A1496">
        <v>28023164</v>
      </c>
      <c r="B1496" s="2" t="str">
        <f>HYPERLINK("http://www.redfin.com/stingray/do/printable-listing?listing-id=1461978","Active")</f>
        <v>Active</v>
      </c>
      <c r="D1496" t="s">
        <v>66</v>
      </c>
      <c r="E1496" t="s">
        <v>3981</v>
      </c>
      <c r="F1496" s="19">
        <v>454999</v>
      </c>
      <c r="G1496">
        <v>2007</v>
      </c>
      <c r="H1496">
        <v>1995</v>
      </c>
      <c r="I1496">
        <v>0</v>
      </c>
      <c r="J1496">
        <v>3</v>
      </c>
      <c r="K1496">
        <v>2.5</v>
      </c>
      <c r="M1496" s="2" t="str">
        <f>HYPERLINK("http://maps.live.com/default.aspx?v=2&amp;lvl=15&amp;sp=Point.47.60399_-122.302823_217 23rd Ave nA&amp;cp=47.60399~-122.302823","Map")</f>
        <v>Map</v>
      </c>
      <c r="N1496" s="2" t="str">
        <f>HYPERLINK("http://i-0.rfimg.us/photo/1/bigphoto/164/28023164_0.jpg","Photo")</f>
        <v>Photo</v>
      </c>
      <c r="AG1496">
        <v>47.603990000000003</v>
      </c>
      <c r="AH1496">
        <v>-122.302823</v>
      </c>
      <c r="AI1496" t="s">
        <v>66</v>
      </c>
      <c r="AJ1496">
        <v>98122</v>
      </c>
      <c r="AM1496" t="s">
        <v>1722</v>
      </c>
      <c r="BC1496" s="22">
        <v>39485.548310185186</v>
      </c>
      <c r="BI1496" s="22">
        <v>39549.294907407406</v>
      </c>
      <c r="BL1496">
        <v>9598</v>
      </c>
      <c r="BM1496">
        <v>1461978</v>
      </c>
      <c r="BN1496" t="s">
        <v>1725</v>
      </c>
      <c r="BO1496" s="17">
        <f t="shared" ca="1" si="23"/>
        <v>63.76109571759298</v>
      </c>
      <c r="BP1496" t="b">
        <v>0</v>
      </c>
      <c r="BQ1496">
        <v>1</v>
      </c>
      <c r="BR1496" t="s">
        <v>1667</v>
      </c>
      <c r="BS1496" t="s">
        <v>1839</v>
      </c>
      <c r="BT1496" t="b">
        <v>0</v>
      </c>
      <c r="BV1496" t="s">
        <v>1668</v>
      </c>
      <c r="BW1496">
        <v>217</v>
      </c>
      <c r="BY1496">
        <v>12386945</v>
      </c>
      <c r="BZ1496" t="s">
        <v>1672</v>
      </c>
      <c r="CA1496">
        <v>1</v>
      </c>
      <c r="CB1496" t="b">
        <v>1</v>
      </c>
      <c r="CC1496">
        <v>0</v>
      </c>
      <c r="CD1496" t="b">
        <v>0</v>
      </c>
      <c r="CE1496" t="b">
        <v>0</v>
      </c>
      <c r="CF1496" t="b">
        <v>0</v>
      </c>
      <c r="CG1496">
        <v>15590693</v>
      </c>
      <c r="CH1496" t="s">
        <v>1681</v>
      </c>
      <c r="CI1496" s="10">
        <v>479888</v>
      </c>
    </row>
    <row r="1497" spans="1:88">
      <c r="A1497">
        <v>28023200</v>
      </c>
      <c r="B1497" s="2" t="str">
        <f>HYPERLINK("http://www.redfin.com/stingray/do/printable-listing?listing-id=1462454","Active")</f>
        <v>Active</v>
      </c>
      <c r="D1497" t="s">
        <v>63</v>
      </c>
      <c r="E1497" t="s">
        <v>2493</v>
      </c>
      <c r="F1497" s="19">
        <v>387500</v>
      </c>
      <c r="G1497">
        <v>2008</v>
      </c>
      <c r="H1497">
        <v>1250</v>
      </c>
      <c r="I1497">
        <v>0</v>
      </c>
      <c r="J1497">
        <v>2</v>
      </c>
      <c r="K1497">
        <v>2.5</v>
      </c>
      <c r="M1497" s="2" t="str">
        <f>HYPERLINK("http://maps.live.com/default.aspx?v=2&amp;lvl=15&amp;sp=Point.47.671137_-122.389716_2444 NW 58th St nB&amp;cp=47.671137~-122.389716","Map")</f>
        <v>Map</v>
      </c>
      <c r="N1497" s="2" t="str">
        <f>HYPERLINK("http://i-0.rfimg.us/photo/1/bigphoto/200/28023200_0.jpg","Photo")</f>
        <v>Photo</v>
      </c>
      <c r="AG1497">
        <v>47.671137000000002</v>
      </c>
      <c r="AH1497">
        <v>-122.38971600000001</v>
      </c>
      <c r="AI1497" t="s">
        <v>66</v>
      </c>
      <c r="AJ1497">
        <v>98107</v>
      </c>
      <c r="AM1497" t="s">
        <v>1699</v>
      </c>
      <c r="BC1497" s="22">
        <v>39485.588831018518</v>
      </c>
      <c r="BI1497" s="22">
        <v>39549.294907407406</v>
      </c>
      <c r="BL1497">
        <v>7999</v>
      </c>
      <c r="BM1497">
        <v>1462454</v>
      </c>
      <c r="BN1497" t="s">
        <v>1700</v>
      </c>
      <c r="BO1497" s="17">
        <f t="shared" ca="1" si="23"/>
        <v>63.720574999999371</v>
      </c>
      <c r="BP1497" t="b">
        <v>0</v>
      </c>
      <c r="BQ1497">
        <v>1</v>
      </c>
      <c r="BR1497" t="s">
        <v>1686</v>
      </c>
      <c r="BS1497" t="s">
        <v>2490</v>
      </c>
      <c r="BT1497" t="b">
        <v>0</v>
      </c>
      <c r="BU1497" t="s">
        <v>1669</v>
      </c>
      <c r="BV1497" t="s">
        <v>1668</v>
      </c>
      <c r="BW1497">
        <v>2444</v>
      </c>
      <c r="BY1497">
        <v>12387017</v>
      </c>
      <c r="BZ1497" t="s">
        <v>1696</v>
      </c>
      <c r="CA1497">
        <v>1</v>
      </c>
      <c r="CB1497" t="b">
        <v>1</v>
      </c>
      <c r="CC1497">
        <v>0</v>
      </c>
      <c r="CD1497" t="b">
        <v>0</v>
      </c>
      <c r="CE1497" t="b">
        <v>0</v>
      </c>
      <c r="CF1497" t="b">
        <v>0</v>
      </c>
      <c r="CG1497">
        <v>15590765</v>
      </c>
      <c r="CH1497" t="s">
        <v>1681</v>
      </c>
      <c r="CI1497" s="10">
        <v>399950</v>
      </c>
    </row>
    <row r="1498" spans="1:88">
      <c r="A1498">
        <v>28023205</v>
      </c>
      <c r="B1498" s="2" t="str">
        <f>HYPERLINK("http://www.redfin.com/stingray/do/printable-listing?listing-id=1462768","Active")</f>
        <v>Active</v>
      </c>
      <c r="D1498" t="s">
        <v>4663</v>
      </c>
      <c r="E1498" t="s">
        <v>5010</v>
      </c>
      <c r="F1498">
        <v>775000</v>
      </c>
      <c r="G1498">
        <v>1974</v>
      </c>
      <c r="H1498">
        <v>2100</v>
      </c>
      <c r="I1498">
        <v>31605</v>
      </c>
      <c r="J1498">
        <v>1</v>
      </c>
      <c r="K1498">
        <v>1.75</v>
      </c>
      <c r="M1498" s="2" t="str">
        <f>HYPERLINK("http://maps.live.com/default.aspx?v=2&amp;lvl=15&amp;sp=Point.47.638702_-122.183811_11704 NE 30th Pl&amp;cp=47.638702~-122.183811","Map")</f>
        <v>Map</v>
      </c>
      <c r="N1498" s="2" t="str">
        <f>HYPERLINK("http://i-0.rfimg.us/photo/1/bigphoto/205/28023205_1.jpg","Photo")</f>
        <v>Photo</v>
      </c>
      <c r="AG1498">
        <v>47.638702000000002</v>
      </c>
      <c r="AH1498">
        <v>-122.18381100000001</v>
      </c>
      <c r="AI1498" t="s">
        <v>369</v>
      </c>
      <c r="AJ1498">
        <v>98005</v>
      </c>
      <c r="AN1498">
        <v>111360</v>
      </c>
      <c r="BC1498" s="22">
        <v>39485.619710648149</v>
      </c>
      <c r="BI1498" s="22">
        <v>39549.294907407406</v>
      </c>
      <c r="BL1498">
        <v>15500</v>
      </c>
      <c r="BM1498">
        <v>1462768</v>
      </c>
      <c r="BN1498" t="s">
        <v>1674</v>
      </c>
      <c r="BO1498" s="17">
        <f t="shared" ca="1" si="23"/>
        <v>63.689695254630351</v>
      </c>
      <c r="BP1498" t="b">
        <v>0</v>
      </c>
      <c r="BQ1498">
        <v>1</v>
      </c>
      <c r="BR1498" t="s">
        <v>1842</v>
      </c>
      <c r="BS1498" t="s">
        <v>1818</v>
      </c>
      <c r="BT1498" t="b">
        <v>0</v>
      </c>
      <c r="BU1498" t="s">
        <v>1738</v>
      </c>
      <c r="BV1498" t="s">
        <v>1668</v>
      </c>
      <c r="BW1498">
        <v>11704</v>
      </c>
      <c r="BY1498">
        <v>431323</v>
      </c>
      <c r="BZ1498" t="s">
        <v>1704</v>
      </c>
      <c r="CA1498">
        <v>1</v>
      </c>
      <c r="CB1498" t="b">
        <v>1</v>
      </c>
      <c r="CC1498">
        <v>0</v>
      </c>
      <c r="CD1498" t="b">
        <v>0</v>
      </c>
      <c r="CE1498" t="b">
        <v>0</v>
      </c>
      <c r="CF1498" t="b">
        <v>0</v>
      </c>
      <c r="CG1498">
        <v>2454616</v>
      </c>
      <c r="CH1498" t="s">
        <v>1681</v>
      </c>
      <c r="CI1498" s="10">
        <v>775000</v>
      </c>
      <c r="CJ1498" s="7">
        <v>37711</v>
      </c>
    </row>
    <row r="1499" spans="1:88">
      <c r="A1499">
        <v>28023228</v>
      </c>
      <c r="B1499" s="2" t="str">
        <f>HYPERLINK("http://www.redfin.com/stingray/do/printable-listing?listing-id=1462452","Active")</f>
        <v>Active</v>
      </c>
      <c r="D1499" t="s">
        <v>5565</v>
      </c>
      <c r="E1499" t="s">
        <v>5802</v>
      </c>
      <c r="F1499" s="19">
        <v>799500</v>
      </c>
      <c r="G1499">
        <v>1960</v>
      </c>
      <c r="H1499">
        <v>0</v>
      </c>
      <c r="I1499">
        <v>12540</v>
      </c>
      <c r="J1499">
        <v>6</v>
      </c>
      <c r="K1499">
        <v>4.5</v>
      </c>
      <c r="M1499" s="2" t="str">
        <f>HYPERLINK("http://maps.live.com/default.aspx?v=2&amp;lvl=15&amp;sp=Point.47.558647_-122.185664_4944 116th Pl SE&amp;cp=47.558647~-122.185664","Map")</f>
        <v>Map</v>
      </c>
      <c r="N1499" s="2" t="str">
        <f>HYPERLINK("http://i-0.rfimg.us/photo/1/bigphoto/228/28023228_2.jpg","Photo")</f>
        <v>Photo</v>
      </c>
      <c r="AG1499">
        <v>47.558647000000001</v>
      </c>
      <c r="AH1499">
        <v>-122.185664</v>
      </c>
      <c r="AI1499" t="s">
        <v>369</v>
      </c>
      <c r="AJ1499">
        <v>98006</v>
      </c>
      <c r="BC1499" s="22">
        <v>39485.588819444441</v>
      </c>
      <c r="BI1499" s="22">
        <v>39549.294907407406</v>
      </c>
      <c r="BL1499">
        <v>16754</v>
      </c>
      <c r="BM1499">
        <v>1462452</v>
      </c>
      <c r="BN1499" t="s">
        <v>1674</v>
      </c>
      <c r="BO1499" s="17">
        <f t="shared" ca="1" si="23"/>
        <v>63.720586458337493</v>
      </c>
      <c r="BP1499" t="b">
        <v>0</v>
      </c>
      <c r="BQ1499">
        <v>1</v>
      </c>
      <c r="BR1499" t="s">
        <v>1842</v>
      </c>
      <c r="BS1499" t="s">
        <v>4441</v>
      </c>
      <c r="BT1499" t="b">
        <v>0</v>
      </c>
      <c r="BV1499" t="s">
        <v>1668</v>
      </c>
      <c r="BW1499">
        <v>4944</v>
      </c>
      <c r="BX1499" t="s">
        <v>3856</v>
      </c>
      <c r="BY1499">
        <v>415091</v>
      </c>
      <c r="BZ1499" t="s">
        <v>1730</v>
      </c>
      <c r="CA1499">
        <v>1</v>
      </c>
      <c r="CB1499" t="b">
        <v>1</v>
      </c>
      <c r="CC1499">
        <v>0</v>
      </c>
      <c r="CD1499" t="b">
        <v>0</v>
      </c>
      <c r="CE1499" t="b">
        <v>0</v>
      </c>
      <c r="CF1499" t="b">
        <v>0</v>
      </c>
      <c r="CG1499">
        <v>2667157</v>
      </c>
      <c r="CH1499" t="s">
        <v>1681</v>
      </c>
      <c r="CI1499" s="10">
        <v>837700</v>
      </c>
    </row>
    <row r="1500" spans="1:88">
      <c r="A1500">
        <v>28023275</v>
      </c>
      <c r="B1500" s="15" t="str">
        <f>HYPERLINK("http://www.redfin.com/stingray/do/printable-listing?listing-id=1462565","Subject To Inspection")</f>
        <v>Subject To Inspection</v>
      </c>
      <c r="D1500" t="s">
        <v>3066</v>
      </c>
      <c r="E1500" t="s">
        <v>4999</v>
      </c>
      <c r="F1500">
        <v>710000</v>
      </c>
      <c r="G1500">
        <v>2004</v>
      </c>
      <c r="H1500">
        <v>2805</v>
      </c>
      <c r="I1500">
        <v>8000</v>
      </c>
      <c r="J1500">
        <v>4</v>
      </c>
      <c r="K1500">
        <v>2.5</v>
      </c>
      <c r="M1500" s="2" t="str">
        <f>HYPERLINK("http://maps.live.com/default.aspx?v=2&amp;lvl=15&amp;sp=Point.47.664461_-122.174134_6421 125th Ave NE&amp;cp=47.664461~-122.174134","Map")</f>
        <v>Map</v>
      </c>
      <c r="N1500" s="2" t="str">
        <f>HYPERLINK("http://i-0.rfimg.us/photo/1/bigphoto/275/28023275_0.jpg","Photo")</f>
        <v>Photo</v>
      </c>
      <c r="AG1500">
        <v>47.664461000000003</v>
      </c>
      <c r="AH1500">
        <v>-122.174134</v>
      </c>
      <c r="AI1500" t="s">
        <v>1058</v>
      </c>
      <c r="AJ1500">
        <v>98033</v>
      </c>
      <c r="AN1500">
        <v>650000</v>
      </c>
      <c r="BC1500" s="22">
        <v>39485.609502314815</v>
      </c>
      <c r="BI1500" s="22">
        <v>39549.294907407406</v>
      </c>
      <c r="BL1500">
        <v>14200</v>
      </c>
      <c r="BM1500">
        <v>1462565</v>
      </c>
      <c r="BN1500" t="s">
        <v>1768</v>
      </c>
      <c r="BO1500" s="17">
        <f t="shared" ca="1" si="23"/>
        <v>63.69990358796349</v>
      </c>
      <c r="BP1500" t="b">
        <v>0</v>
      </c>
      <c r="BQ1500">
        <v>1</v>
      </c>
      <c r="BR1500" t="s">
        <v>1667</v>
      </c>
      <c r="BS1500" t="s">
        <v>2677</v>
      </c>
      <c r="BT1500" t="b">
        <v>0</v>
      </c>
      <c r="BV1500" t="s">
        <v>1668</v>
      </c>
      <c r="BW1500">
        <v>6421</v>
      </c>
      <c r="BX1500" t="s">
        <v>1738</v>
      </c>
      <c r="BY1500">
        <v>516759</v>
      </c>
      <c r="BZ1500" t="s">
        <v>1670</v>
      </c>
      <c r="CA1500">
        <v>1</v>
      </c>
      <c r="CB1500" t="b">
        <v>1</v>
      </c>
      <c r="CC1500">
        <v>0</v>
      </c>
      <c r="CD1500" t="b">
        <v>0</v>
      </c>
      <c r="CE1500" t="b">
        <v>0</v>
      </c>
      <c r="CF1500" t="b">
        <v>0</v>
      </c>
      <c r="CG1500">
        <v>2611353</v>
      </c>
      <c r="CH1500" t="s">
        <v>1681</v>
      </c>
      <c r="CI1500" s="10">
        <v>710000</v>
      </c>
      <c r="CJ1500" s="7">
        <v>38289</v>
      </c>
    </row>
    <row r="1501" spans="1:88">
      <c r="A1501">
        <v>28023277</v>
      </c>
      <c r="B1501" s="2" t="str">
        <f>HYPERLINK("http://www.redfin.com/stingray/do/printable-listing?listing-id=1462769","Active")</f>
        <v>Active</v>
      </c>
      <c r="D1501" t="s">
        <v>60</v>
      </c>
      <c r="E1501" t="s">
        <v>2369</v>
      </c>
      <c r="F1501">
        <v>1000000</v>
      </c>
      <c r="G1501">
        <v>2005</v>
      </c>
      <c r="H1501">
        <v>3140</v>
      </c>
      <c r="I1501">
        <v>3753</v>
      </c>
      <c r="J1501">
        <v>4</v>
      </c>
      <c r="K1501">
        <v>3.5</v>
      </c>
      <c r="M1501" s="2" t="str">
        <f>HYPERLINK("http://maps.live.com/default.aspx?v=2&amp;lvl=15&amp;sp=Point.47.687652_-122.335293_8040 Burke Ave N&amp;cp=47.687652~-122.335293","Map")</f>
        <v>Map</v>
      </c>
      <c r="N1501" s="2" t="str">
        <f>HYPERLINK("http://i-0.rfimg.us/photo/1/bigphoto/277/28023277_8.jpg","Photo")</f>
        <v>Photo</v>
      </c>
      <c r="AG1501">
        <v>47.687652</v>
      </c>
      <c r="AH1501">
        <v>-122.33529299999999</v>
      </c>
      <c r="AI1501" t="s">
        <v>66</v>
      </c>
      <c r="AJ1501">
        <v>98103</v>
      </c>
      <c r="AN1501">
        <v>800000</v>
      </c>
      <c r="BC1501" s="22">
        <v>39485.619768518518</v>
      </c>
      <c r="BI1501" s="7">
        <v>39540</v>
      </c>
      <c r="BL1501">
        <v>20000</v>
      </c>
      <c r="BM1501">
        <v>1462769</v>
      </c>
      <c r="BN1501" t="s">
        <v>1725</v>
      </c>
      <c r="BO1501" s="17">
        <f t="shared" ca="1" si="23"/>
        <v>63.689637499999662</v>
      </c>
      <c r="BP1501" t="b">
        <v>0</v>
      </c>
      <c r="BQ1501">
        <v>1</v>
      </c>
      <c r="BR1501" t="s">
        <v>1667</v>
      </c>
      <c r="BS1501" t="s">
        <v>2370</v>
      </c>
      <c r="BT1501" t="b">
        <v>0</v>
      </c>
      <c r="BV1501" t="s">
        <v>1668</v>
      </c>
      <c r="BW1501">
        <v>8040</v>
      </c>
      <c r="BX1501" t="s">
        <v>1712</v>
      </c>
      <c r="BY1501">
        <v>2097594</v>
      </c>
      <c r="BZ1501" t="s">
        <v>2371</v>
      </c>
      <c r="CA1501">
        <v>1</v>
      </c>
      <c r="CB1501" t="b">
        <v>1</v>
      </c>
      <c r="CC1501">
        <v>0</v>
      </c>
      <c r="CD1501" t="b">
        <v>0</v>
      </c>
      <c r="CE1501" t="b">
        <v>0</v>
      </c>
      <c r="CF1501" t="b">
        <v>0</v>
      </c>
      <c r="CG1501">
        <v>2981639</v>
      </c>
      <c r="CH1501" t="s">
        <v>1681</v>
      </c>
      <c r="CI1501" s="10">
        <v>1000000</v>
      </c>
      <c r="CJ1501" s="7">
        <v>38751</v>
      </c>
    </row>
    <row r="1502" spans="1:88">
      <c r="A1502">
        <v>28023283</v>
      </c>
      <c r="B1502" s="2" t="str">
        <f>HYPERLINK("http://www.redfin.com/stingray/do/printable-listing?listing-id=1470906","Active")</f>
        <v>Active</v>
      </c>
      <c r="D1502" t="s">
        <v>2552</v>
      </c>
      <c r="E1502" t="s">
        <v>3412</v>
      </c>
      <c r="F1502">
        <v>619000</v>
      </c>
      <c r="G1502">
        <v>1948</v>
      </c>
      <c r="H1502">
        <v>1700</v>
      </c>
      <c r="I1502">
        <v>6122</v>
      </c>
      <c r="J1502">
        <v>2</v>
      </c>
      <c r="K1502">
        <v>1.75</v>
      </c>
      <c r="M1502" s="2" t="str">
        <f>HYPERLINK("http://maps.live.com/default.aspx?v=2&amp;lvl=15&amp;sp=Point.47.652111_-122.40648_3456 39 Ave W&amp;cp=47.652111~-122.40648","Map")</f>
        <v>Map</v>
      </c>
      <c r="N1502" s="2" t="str">
        <f>HYPERLINK("http://i-0.rfimg.us/photo/1/bigphoto/283/28023283_2.jpg","Photo")</f>
        <v>Photo</v>
      </c>
      <c r="AG1502">
        <v>47.652110999999998</v>
      </c>
      <c r="AH1502">
        <v>-122.40648</v>
      </c>
      <c r="AI1502" t="s">
        <v>66</v>
      </c>
      <c r="AJ1502">
        <v>98199</v>
      </c>
      <c r="AN1502">
        <v>434000</v>
      </c>
      <c r="BC1502" s="22">
        <v>39489.337673611109</v>
      </c>
      <c r="BI1502" s="7">
        <v>39533</v>
      </c>
      <c r="BL1502">
        <v>12380</v>
      </c>
      <c r="BM1502">
        <v>1470906</v>
      </c>
      <c r="BN1502" t="s">
        <v>1674</v>
      </c>
      <c r="BO1502" s="17">
        <f t="shared" ca="1" si="23"/>
        <v>59.971732291669468</v>
      </c>
      <c r="BP1502" t="b">
        <v>0</v>
      </c>
      <c r="BQ1502">
        <v>1</v>
      </c>
      <c r="BR1502" t="s">
        <v>1667</v>
      </c>
      <c r="BS1502">
        <v>39</v>
      </c>
      <c r="BT1502" t="b">
        <v>0</v>
      </c>
      <c r="BV1502" t="s">
        <v>1668</v>
      </c>
      <c r="BW1502">
        <v>3456</v>
      </c>
      <c r="BX1502" t="s">
        <v>2423</v>
      </c>
      <c r="BY1502">
        <v>128213</v>
      </c>
      <c r="BZ1502" t="s">
        <v>3413</v>
      </c>
      <c r="CA1502">
        <v>1</v>
      </c>
      <c r="CB1502" t="b">
        <v>1</v>
      </c>
      <c r="CC1502">
        <v>0</v>
      </c>
      <c r="CD1502" t="b">
        <v>0</v>
      </c>
      <c r="CE1502" t="b">
        <v>0</v>
      </c>
      <c r="CF1502" t="b">
        <v>0</v>
      </c>
      <c r="CG1502">
        <v>2664000</v>
      </c>
      <c r="CH1502" t="s">
        <v>1681</v>
      </c>
      <c r="CI1502" s="10">
        <v>619000</v>
      </c>
      <c r="CJ1502" s="7">
        <v>38303</v>
      </c>
    </row>
    <row r="1503" spans="1:88">
      <c r="A1503">
        <v>28023294</v>
      </c>
      <c r="B1503" s="2" t="str">
        <f>HYPERLINK("http://www.redfin.com/stingray/do/printable-listing?listing-id=1466964","Active")</f>
        <v>Active</v>
      </c>
      <c r="D1503" t="s">
        <v>3249</v>
      </c>
      <c r="E1503" t="s">
        <v>3394</v>
      </c>
      <c r="F1503">
        <v>659000</v>
      </c>
      <c r="G1503">
        <v>1909</v>
      </c>
      <c r="H1503">
        <v>2200</v>
      </c>
      <c r="I1503">
        <v>3600</v>
      </c>
      <c r="J1503">
        <v>3</v>
      </c>
      <c r="K1503">
        <v>2.75</v>
      </c>
      <c r="M1503" s="2" t="str">
        <f>HYPERLINK("http://maps.live.com/default.aspx?v=2&amp;lvl=15&amp;sp=Point.47.636229_-122.364602_1906 6th Ave W&amp;cp=47.636229~-122.364602","Map")</f>
        <v>Map</v>
      </c>
      <c r="N1503" s="2" t="str">
        <f>HYPERLINK("http://i-0.rfimg.us/photo/1/bigphoto/294/28023294_2.jpg","Photo")</f>
        <v>Photo</v>
      </c>
      <c r="AG1503">
        <v>47.636229</v>
      </c>
      <c r="AH1503">
        <v>-122.364602</v>
      </c>
      <c r="AI1503" t="s">
        <v>66</v>
      </c>
      <c r="AJ1503">
        <v>98119</v>
      </c>
      <c r="AN1503">
        <v>496250</v>
      </c>
      <c r="BC1503" s="22">
        <v>39486.672812500001</v>
      </c>
      <c r="BI1503" s="22">
        <v>39549.294907407406</v>
      </c>
      <c r="BL1503">
        <v>13180</v>
      </c>
      <c r="BM1503">
        <v>1466964</v>
      </c>
      <c r="BN1503" t="s">
        <v>1744</v>
      </c>
      <c r="BO1503" s="17">
        <f t="shared" ca="1" si="23"/>
        <v>62.63659340277809</v>
      </c>
      <c r="BP1503" t="b">
        <v>0</v>
      </c>
      <c r="BQ1503">
        <v>1</v>
      </c>
      <c r="BR1503" t="s">
        <v>1667</v>
      </c>
      <c r="BS1503" t="s">
        <v>1739</v>
      </c>
      <c r="BT1503" t="b">
        <v>0</v>
      </c>
      <c r="BV1503" t="s">
        <v>1668</v>
      </c>
      <c r="BW1503">
        <v>1906</v>
      </c>
      <c r="BX1503" t="s">
        <v>2423</v>
      </c>
      <c r="BY1503">
        <v>134238</v>
      </c>
      <c r="BZ1503" t="s">
        <v>3395</v>
      </c>
      <c r="CA1503">
        <v>1</v>
      </c>
      <c r="CB1503" t="b">
        <v>1</v>
      </c>
      <c r="CC1503">
        <v>0</v>
      </c>
      <c r="CD1503" t="b">
        <v>0</v>
      </c>
      <c r="CE1503" t="b">
        <v>0</v>
      </c>
      <c r="CF1503" t="b">
        <v>0</v>
      </c>
      <c r="CG1503">
        <v>2793563</v>
      </c>
      <c r="CH1503" t="s">
        <v>1681</v>
      </c>
      <c r="CI1503" s="10">
        <v>659000</v>
      </c>
      <c r="CJ1503" s="7">
        <v>38400</v>
      </c>
    </row>
    <row r="1504" spans="1:88">
      <c r="A1504">
        <v>28023352</v>
      </c>
      <c r="B1504" s="2" t="str">
        <f>HYPERLINK("http://www.redfin.com/stingray/do/printable-listing?listing-id=1463493","Active")</f>
        <v>Active</v>
      </c>
      <c r="D1504" t="s">
        <v>5125</v>
      </c>
      <c r="E1504" t="s">
        <v>5520</v>
      </c>
      <c r="F1504">
        <v>829000</v>
      </c>
      <c r="G1504">
        <v>1961</v>
      </c>
      <c r="H1504">
        <v>1950</v>
      </c>
      <c r="I1504">
        <v>9170</v>
      </c>
      <c r="J1504">
        <v>4</v>
      </c>
      <c r="K1504">
        <v>2</v>
      </c>
      <c r="M1504" s="2" t="str">
        <f>HYPERLINK("http://maps.live.com/default.aspx?v=2&amp;lvl=15&amp;sp=Point.47.602607_-122.193531_11012 SE 9th St&amp;cp=47.602607~-122.193531","Map")</f>
        <v>Map</v>
      </c>
      <c r="N1504" s="2" t="str">
        <f>HYPERLINK("http://i-0.rfimg.us/photo/1/bigphoto/352/28023352_5.jpg","Photo")</f>
        <v>Photo</v>
      </c>
      <c r="AG1504">
        <v>47.602606999999999</v>
      </c>
      <c r="AH1504">
        <v>-122.19353099999999</v>
      </c>
      <c r="AI1504" t="s">
        <v>369</v>
      </c>
      <c r="AJ1504">
        <v>98004</v>
      </c>
      <c r="AN1504">
        <v>95000</v>
      </c>
      <c r="BC1504" s="22">
        <v>39485.823217592595</v>
      </c>
      <c r="BI1504" s="22">
        <v>39549.294907407406</v>
      </c>
      <c r="BL1504">
        <v>16580</v>
      </c>
      <c r="BM1504">
        <v>1463493</v>
      </c>
      <c r="BN1504" t="s">
        <v>1688</v>
      </c>
      <c r="BO1504" s="17">
        <f t="shared" ca="1" si="23"/>
        <v>63.486188310183934</v>
      </c>
      <c r="BP1504" t="b">
        <v>0</v>
      </c>
      <c r="BQ1504">
        <v>1</v>
      </c>
      <c r="BR1504" t="s">
        <v>1686</v>
      </c>
      <c r="BS1504" t="s">
        <v>1785</v>
      </c>
      <c r="BT1504" t="b">
        <v>0</v>
      </c>
      <c r="BU1504" t="s">
        <v>3856</v>
      </c>
      <c r="BV1504" t="s">
        <v>1668</v>
      </c>
      <c r="BW1504">
        <v>11012</v>
      </c>
      <c r="BY1504">
        <v>510841</v>
      </c>
      <c r="BZ1504" t="s">
        <v>4575</v>
      </c>
      <c r="CA1504">
        <v>1</v>
      </c>
      <c r="CB1504" t="b">
        <v>1</v>
      </c>
      <c r="CC1504">
        <v>0</v>
      </c>
      <c r="CD1504" t="b">
        <v>0</v>
      </c>
      <c r="CE1504" t="b">
        <v>0</v>
      </c>
      <c r="CF1504" t="b">
        <v>0</v>
      </c>
      <c r="CG1504">
        <v>2585713</v>
      </c>
      <c r="CH1504" t="s">
        <v>1681</v>
      </c>
      <c r="CI1504" s="10">
        <v>829000</v>
      </c>
      <c r="CJ1504" s="7">
        <v>32080</v>
      </c>
    </row>
    <row r="1505" spans="1:90">
      <c r="A1505">
        <v>28023369</v>
      </c>
      <c r="B1505" s="2" t="str">
        <f>HYPERLINK("http://www.redfin.com/stingray/do/printable-listing?listing-id=1463158","Active")</f>
        <v>Active</v>
      </c>
      <c r="D1505" t="s">
        <v>369</v>
      </c>
      <c r="E1505" t="s">
        <v>5510</v>
      </c>
      <c r="F1505">
        <v>475000</v>
      </c>
      <c r="G1505">
        <v>1943</v>
      </c>
      <c r="H1505">
        <v>1300</v>
      </c>
      <c r="I1505">
        <v>14138</v>
      </c>
      <c r="J1505">
        <v>3</v>
      </c>
      <c r="K1505">
        <v>1.75</v>
      </c>
      <c r="M1505" s="2" t="str">
        <f>HYPERLINK("http://maps.live.com/default.aspx?v=2&amp;lvl=15&amp;sp=Point.47.593035_-122.164751_1853 132nd Ave SE&amp;cp=47.593035~-122.164751","Map")</f>
        <v>Map</v>
      </c>
      <c r="N1505" s="2" t="str">
        <f>HYPERLINK("http://i-0.rfimg.us/photo/1/bigphoto/369/28023369_0.jpg","Photo")</f>
        <v>Photo</v>
      </c>
      <c r="AG1505">
        <v>47.593035</v>
      </c>
      <c r="AH1505">
        <v>-122.164751</v>
      </c>
      <c r="AI1505" t="s">
        <v>369</v>
      </c>
      <c r="AJ1505">
        <v>98005</v>
      </c>
      <c r="AN1505">
        <v>4942</v>
      </c>
      <c r="BC1505" s="22">
        <v>39485.702997685185</v>
      </c>
      <c r="BI1505" s="22">
        <v>39549.294907407406</v>
      </c>
      <c r="BL1505">
        <v>9500</v>
      </c>
      <c r="BM1505">
        <v>1463158</v>
      </c>
      <c r="BN1505" t="s">
        <v>2136</v>
      </c>
      <c r="BO1505" s="17">
        <f t="shared" ca="1" si="23"/>
        <v>63.606408217594435</v>
      </c>
      <c r="BP1505" t="b">
        <v>0</v>
      </c>
      <c r="BQ1505">
        <v>1</v>
      </c>
      <c r="BR1505" t="s">
        <v>1667</v>
      </c>
      <c r="BS1505" t="s">
        <v>4362</v>
      </c>
      <c r="BT1505" t="b">
        <v>0</v>
      </c>
      <c r="BV1505" t="s">
        <v>1668</v>
      </c>
      <c r="BW1505">
        <v>1853</v>
      </c>
      <c r="BX1505" t="s">
        <v>3856</v>
      </c>
      <c r="BY1505">
        <v>507424</v>
      </c>
      <c r="BZ1505" s="21">
        <v>0</v>
      </c>
      <c r="CA1505">
        <v>1</v>
      </c>
      <c r="CB1505" t="b">
        <v>1</v>
      </c>
      <c r="CC1505">
        <v>0</v>
      </c>
      <c r="CD1505" t="b">
        <v>0</v>
      </c>
      <c r="CE1505" t="b">
        <v>0</v>
      </c>
      <c r="CF1505" t="b">
        <v>0</v>
      </c>
      <c r="CG1505">
        <v>2920340</v>
      </c>
      <c r="CH1505" t="s">
        <v>1681</v>
      </c>
      <c r="CI1505" s="10">
        <v>475000</v>
      </c>
      <c r="CJ1505" s="7">
        <v>36678</v>
      </c>
    </row>
    <row r="1506" spans="1:90">
      <c r="A1506">
        <v>28023380</v>
      </c>
      <c r="B1506" s="2" t="str">
        <f>HYPERLINK("http://www.redfin.com/stingray/do/printable-listing?listing-id=1462973","Active")</f>
        <v>Active</v>
      </c>
      <c r="D1506" t="s">
        <v>5216</v>
      </c>
      <c r="E1506" t="s">
        <v>5474</v>
      </c>
      <c r="F1506">
        <v>481000</v>
      </c>
      <c r="G1506">
        <v>1961</v>
      </c>
      <c r="H1506">
        <v>2160</v>
      </c>
      <c r="I1506">
        <v>8250</v>
      </c>
      <c r="J1506">
        <v>5</v>
      </c>
      <c r="K1506">
        <v>2.25</v>
      </c>
      <c r="M1506" s="2" t="str">
        <f>HYPERLINK("http://maps.live.com/default.aspx?v=2&amp;lvl=15&amp;sp=Point.47.611135_-122.120522_131 165th Ave NE&amp;cp=47.611135~-122.120522","Map")</f>
        <v>Map</v>
      </c>
      <c r="N1506" s="2" t="str">
        <f>HYPERLINK("http://i-0.rfimg.us/photo/1/bigphoto/380/28023380_1.jpg","Photo")</f>
        <v>Photo</v>
      </c>
      <c r="AG1506">
        <v>47.611134999999997</v>
      </c>
      <c r="AH1506">
        <v>-122.12052199999999</v>
      </c>
      <c r="AI1506" t="s">
        <v>369</v>
      </c>
      <c r="AJ1506">
        <v>98008</v>
      </c>
      <c r="BC1506" s="22">
        <v>39485.661712962959</v>
      </c>
      <c r="BI1506" s="22">
        <v>39549.294907407406</v>
      </c>
      <c r="BL1506">
        <v>9620</v>
      </c>
      <c r="BM1506">
        <v>1462973</v>
      </c>
      <c r="BN1506" t="s">
        <v>2419</v>
      </c>
      <c r="BO1506" s="17">
        <f t="shared" ca="1" si="23"/>
        <v>63.647692939819535</v>
      </c>
      <c r="BP1506" t="b">
        <v>0</v>
      </c>
      <c r="BQ1506">
        <v>1</v>
      </c>
      <c r="BR1506" t="s">
        <v>1667</v>
      </c>
      <c r="BS1506" t="s">
        <v>5256</v>
      </c>
      <c r="BT1506" t="b">
        <v>0</v>
      </c>
      <c r="BV1506" t="s">
        <v>1668</v>
      </c>
      <c r="BW1506">
        <v>131</v>
      </c>
      <c r="BX1506" t="s">
        <v>1738</v>
      </c>
      <c r="BY1506">
        <v>500943</v>
      </c>
      <c r="BZ1506" t="s">
        <v>1704</v>
      </c>
      <c r="CA1506">
        <v>1</v>
      </c>
      <c r="CB1506" t="b">
        <v>1</v>
      </c>
      <c r="CC1506">
        <v>0</v>
      </c>
      <c r="CD1506" t="b">
        <v>0</v>
      </c>
      <c r="CE1506" t="b">
        <v>0</v>
      </c>
      <c r="CF1506" t="b">
        <v>0</v>
      </c>
      <c r="CG1506">
        <v>2606592</v>
      </c>
      <c r="CH1506" t="s">
        <v>1681</v>
      </c>
      <c r="CI1506" s="10">
        <v>481000</v>
      </c>
    </row>
    <row r="1507" spans="1:90">
      <c r="A1507">
        <v>28023397</v>
      </c>
      <c r="B1507" s="2" t="str">
        <f>HYPERLINK("http://www.redfin.com/stingray/do/printable-listing?listing-id=1463007","Active")</f>
        <v>Active</v>
      </c>
      <c r="D1507" t="s">
        <v>63</v>
      </c>
      <c r="E1507" t="s">
        <v>1213</v>
      </c>
      <c r="F1507">
        <v>595000</v>
      </c>
      <c r="G1507">
        <v>1983</v>
      </c>
      <c r="H1507">
        <v>1840</v>
      </c>
      <c r="I1507">
        <v>3960</v>
      </c>
      <c r="J1507">
        <v>3</v>
      </c>
      <c r="K1507">
        <v>2</v>
      </c>
      <c r="M1507" s="2" t="str">
        <f>HYPERLINK("http://maps.live.com/default.aspx?v=2&amp;lvl=15&amp;sp=Point.47.689778_-122.391637_8326 Earl Ave NW&amp;cp=47.689778~-122.391637","Map")</f>
        <v>Map</v>
      </c>
      <c r="N1507" s="2" t="str">
        <f>HYPERLINK("http://i-0.rfimg.us/photo/1/bigphoto/397/28023397_0.jpg","Photo")</f>
        <v>Photo</v>
      </c>
      <c r="AG1507">
        <v>47.689777999999997</v>
      </c>
      <c r="AH1507">
        <v>-122.391637</v>
      </c>
      <c r="AI1507" t="s">
        <v>66</v>
      </c>
      <c r="AJ1507">
        <v>98117</v>
      </c>
      <c r="AN1507">
        <v>355000</v>
      </c>
      <c r="BC1507" s="22">
        <v>39485.672662037039</v>
      </c>
      <c r="BI1507" s="22">
        <v>39549.294907407406</v>
      </c>
      <c r="BL1507">
        <v>11900</v>
      </c>
      <c r="BM1507">
        <v>1463007</v>
      </c>
      <c r="BN1507" t="s">
        <v>1725</v>
      </c>
      <c r="BO1507" s="17">
        <f t="shared" ca="1" si="23"/>
        <v>63.636743981478503</v>
      </c>
      <c r="BP1507" t="b">
        <v>0</v>
      </c>
      <c r="BQ1507">
        <v>1</v>
      </c>
      <c r="BR1507" t="s">
        <v>1667</v>
      </c>
      <c r="BS1507" t="s">
        <v>1754</v>
      </c>
      <c r="BT1507" t="b">
        <v>0</v>
      </c>
      <c r="BV1507" t="s">
        <v>1668</v>
      </c>
      <c r="BW1507">
        <v>8326</v>
      </c>
      <c r="BX1507" t="s">
        <v>1669</v>
      </c>
      <c r="BY1507">
        <v>166470</v>
      </c>
      <c r="BZ1507" t="s">
        <v>1713</v>
      </c>
      <c r="CA1507">
        <v>1</v>
      </c>
      <c r="CB1507" t="b">
        <v>1</v>
      </c>
      <c r="CC1507">
        <v>0</v>
      </c>
      <c r="CD1507" t="b">
        <v>0</v>
      </c>
      <c r="CE1507" t="b">
        <v>0</v>
      </c>
      <c r="CF1507" t="b">
        <v>0</v>
      </c>
      <c r="CG1507">
        <v>2380826</v>
      </c>
      <c r="CH1507" t="s">
        <v>1681</v>
      </c>
      <c r="CI1507" s="10">
        <v>595000</v>
      </c>
      <c r="CJ1507" s="7">
        <v>37594</v>
      </c>
    </row>
    <row r="1508" spans="1:90">
      <c r="A1508">
        <v>28023399</v>
      </c>
      <c r="B1508" s="2" t="str">
        <f>HYPERLINK("http://www.redfin.com/stingray/do/printable-listing?listing-id=1463161","Active")</f>
        <v>Active</v>
      </c>
      <c r="D1508" t="s">
        <v>226</v>
      </c>
      <c r="E1508" t="s">
        <v>3785</v>
      </c>
      <c r="F1508">
        <v>529000</v>
      </c>
      <c r="G1508">
        <v>1906</v>
      </c>
      <c r="H1508">
        <v>1880</v>
      </c>
      <c r="I1508">
        <v>4000</v>
      </c>
      <c r="J1508">
        <v>4</v>
      </c>
      <c r="K1508">
        <v>1.75</v>
      </c>
      <c r="M1508" s="2" t="str">
        <f>HYPERLINK("http://maps.live.com/default.aspx?v=2&amp;lvl=15&amp;sp=Point.47.657934_-122.319003_4217 9th Ave NE&amp;cp=47.657934~-122.319003","Map")</f>
        <v>Map</v>
      </c>
      <c r="N1508" s="2" t="str">
        <f>HYPERLINK("http://i-0.rfimg.us/photo/1/bigphoto/399/28023399_0.jpg","Photo")</f>
        <v>Photo</v>
      </c>
      <c r="AG1508">
        <v>47.657933999999997</v>
      </c>
      <c r="AH1508">
        <v>-122.319003</v>
      </c>
      <c r="AI1508" t="s">
        <v>66</v>
      </c>
      <c r="AJ1508">
        <v>98105</v>
      </c>
      <c r="AN1508">
        <v>386570</v>
      </c>
      <c r="BC1508" s="22">
        <v>39485.703449074077</v>
      </c>
      <c r="BI1508" s="22">
        <v>39549.294907407406</v>
      </c>
      <c r="BL1508">
        <v>10580</v>
      </c>
      <c r="BM1508">
        <v>1463161</v>
      </c>
      <c r="BN1508" t="s">
        <v>2136</v>
      </c>
      <c r="BO1508" s="17">
        <f t="shared" ca="1" si="23"/>
        <v>63.605956828701892</v>
      </c>
      <c r="BP1508" t="b">
        <v>0</v>
      </c>
      <c r="BQ1508">
        <v>1</v>
      </c>
      <c r="BR1508" t="s">
        <v>1667</v>
      </c>
      <c r="BS1508" t="s">
        <v>1785</v>
      </c>
      <c r="BT1508" t="b">
        <v>0</v>
      </c>
      <c r="BV1508" t="s">
        <v>1668</v>
      </c>
      <c r="BW1508">
        <v>4217</v>
      </c>
      <c r="BX1508" t="s">
        <v>1738</v>
      </c>
      <c r="BY1508">
        <v>2070838</v>
      </c>
      <c r="BZ1508" s="21">
        <v>0</v>
      </c>
      <c r="CA1508">
        <v>1</v>
      </c>
      <c r="CB1508" t="b">
        <v>1</v>
      </c>
      <c r="CC1508">
        <v>0</v>
      </c>
      <c r="CD1508" t="b">
        <v>0</v>
      </c>
      <c r="CE1508" t="b">
        <v>0</v>
      </c>
      <c r="CF1508" t="b">
        <v>0</v>
      </c>
      <c r="CG1508">
        <v>2541875</v>
      </c>
      <c r="CH1508" t="s">
        <v>1681</v>
      </c>
      <c r="CI1508" s="10">
        <v>529000</v>
      </c>
      <c r="CJ1508" s="7">
        <v>38006</v>
      </c>
    </row>
    <row r="1509" spans="1:90">
      <c r="A1509">
        <v>28023405</v>
      </c>
      <c r="B1509" s="2" t="str">
        <f>HYPERLINK("http://www.redfin.com/stingray/do/printable-listing?listing-id=1464125","Active")</f>
        <v>Active</v>
      </c>
      <c r="D1509" t="s">
        <v>184</v>
      </c>
      <c r="E1509" t="s">
        <v>567</v>
      </c>
      <c r="F1509" s="19">
        <v>374900</v>
      </c>
      <c r="G1509">
        <v>1948</v>
      </c>
      <c r="H1509">
        <v>0</v>
      </c>
      <c r="I1509">
        <v>6229</v>
      </c>
      <c r="J1509">
        <v>3</v>
      </c>
      <c r="K1509">
        <v>1</v>
      </c>
      <c r="M1509" s="2" t="str">
        <f>HYPERLINK("http://maps.live.com/default.aspx?v=2&amp;lvl=15&amp;sp=Point.47.719587_-122.308064_1916 NE 125th St&amp;cp=47.719587~-122.308064","Map")</f>
        <v>Map</v>
      </c>
      <c r="N1509" s="2" t="str">
        <f>HYPERLINK("http://i-0.rfimg.us/photo/1/bigphoto/405/28023405_0.jpg","Photo")</f>
        <v>Photo</v>
      </c>
      <c r="AG1509">
        <v>47.719586999999997</v>
      </c>
      <c r="AH1509">
        <v>-122.308064</v>
      </c>
      <c r="AI1509" t="s">
        <v>66</v>
      </c>
      <c r="AJ1509">
        <v>98125</v>
      </c>
      <c r="AN1509">
        <v>292000</v>
      </c>
      <c r="BC1509" s="22">
        <v>39486.089884259258</v>
      </c>
      <c r="BI1509" s="22">
        <v>39549.294907407406</v>
      </c>
      <c r="BL1509">
        <v>7580</v>
      </c>
      <c r="BM1509">
        <v>1464125</v>
      </c>
      <c r="BN1509" t="s">
        <v>3038</v>
      </c>
      <c r="BO1509" s="17">
        <f t="shared" ca="1" si="23"/>
        <v>63.219521643521148</v>
      </c>
      <c r="BP1509" t="b">
        <v>0</v>
      </c>
      <c r="BQ1509">
        <v>1</v>
      </c>
      <c r="BR1509" t="s">
        <v>1686</v>
      </c>
      <c r="BS1509" t="s">
        <v>2677</v>
      </c>
      <c r="BT1509" t="b">
        <v>0</v>
      </c>
      <c r="BU1509" t="s">
        <v>1738</v>
      </c>
      <c r="BV1509" t="s">
        <v>1668</v>
      </c>
      <c r="BW1509">
        <v>1916</v>
      </c>
      <c r="BY1509">
        <v>115729</v>
      </c>
      <c r="BZ1509" t="s">
        <v>3039</v>
      </c>
      <c r="CA1509">
        <v>1</v>
      </c>
      <c r="CB1509" t="b">
        <v>1</v>
      </c>
      <c r="CC1509">
        <v>0</v>
      </c>
      <c r="CD1509" t="b">
        <v>0</v>
      </c>
      <c r="CE1509" t="b">
        <v>0</v>
      </c>
      <c r="CF1509" t="b">
        <v>0</v>
      </c>
      <c r="CG1509">
        <v>2739611</v>
      </c>
      <c r="CH1509" t="s">
        <v>1681</v>
      </c>
      <c r="CI1509" s="10">
        <v>379000</v>
      </c>
      <c r="CJ1509" s="7">
        <v>38474</v>
      </c>
      <c r="CL1509" t="s">
        <v>6571</v>
      </c>
    </row>
    <row r="1510" spans="1:90">
      <c r="A1510">
        <v>28023439</v>
      </c>
      <c r="B1510" s="2" t="str">
        <f>HYPERLINK("http://www.redfin.com/stingray/do/printable-listing?listing-id=1467354","Active")</f>
        <v>Active</v>
      </c>
      <c r="D1510" t="s">
        <v>3704</v>
      </c>
      <c r="E1510" t="s">
        <v>4119</v>
      </c>
      <c r="F1510" s="19">
        <v>850000</v>
      </c>
      <c r="G1510">
        <v>1906</v>
      </c>
      <c r="H1510">
        <v>3240</v>
      </c>
      <c r="I1510">
        <v>4356</v>
      </c>
      <c r="J1510">
        <v>4</v>
      </c>
      <c r="K1510">
        <v>2.5</v>
      </c>
      <c r="M1510" s="2" t="str">
        <f>HYPERLINK("http://maps.live.com/default.aspx?v=2&amp;lvl=15&amp;sp=Point.47.625803_-122.30642_719 20 Ave E&amp;cp=47.625803~-122.30642","Map")</f>
        <v>Map</v>
      </c>
      <c r="N1510" s="2" t="str">
        <f>HYPERLINK("http://i-0.rfimg.us/photo/1/bigphoto/439/28023439_6.jpg","Photo")</f>
        <v>Photo</v>
      </c>
      <c r="AG1510">
        <v>47.625802999999998</v>
      </c>
      <c r="AH1510">
        <v>-122.30642</v>
      </c>
      <c r="AI1510" t="s">
        <v>66</v>
      </c>
      <c r="AJ1510">
        <v>98112</v>
      </c>
      <c r="BC1510" s="22">
        <v>39486.745486111111</v>
      </c>
      <c r="BI1510" s="22">
        <v>39549.294907407406</v>
      </c>
      <c r="BL1510">
        <v>17499</v>
      </c>
      <c r="BM1510">
        <v>1467354</v>
      </c>
      <c r="BN1510" t="s">
        <v>3611</v>
      </c>
      <c r="BO1510" s="17">
        <f t="shared" ca="1" si="23"/>
        <v>62.563919791668013</v>
      </c>
      <c r="BP1510" t="b">
        <v>0</v>
      </c>
      <c r="BQ1510">
        <v>1</v>
      </c>
      <c r="BR1510" t="s">
        <v>1667</v>
      </c>
      <c r="BS1510">
        <v>20</v>
      </c>
      <c r="BT1510" t="b">
        <v>0</v>
      </c>
      <c r="BV1510" t="s">
        <v>1668</v>
      </c>
      <c r="BW1510">
        <v>719</v>
      </c>
      <c r="BX1510" t="s">
        <v>2436</v>
      </c>
      <c r="BY1510">
        <v>137030</v>
      </c>
      <c r="BZ1510" t="s">
        <v>4120</v>
      </c>
      <c r="CA1510">
        <v>1</v>
      </c>
      <c r="CB1510" t="b">
        <v>1</v>
      </c>
      <c r="CC1510">
        <v>0</v>
      </c>
      <c r="CD1510" t="b">
        <v>0</v>
      </c>
      <c r="CE1510" t="b">
        <v>0</v>
      </c>
      <c r="CF1510" t="b">
        <v>0</v>
      </c>
      <c r="CG1510">
        <v>2707215</v>
      </c>
      <c r="CH1510" t="s">
        <v>1681</v>
      </c>
      <c r="CI1510" s="10">
        <v>874950</v>
      </c>
    </row>
    <row r="1511" spans="1:90">
      <c r="A1511">
        <v>28023442</v>
      </c>
      <c r="B1511" s="2" t="str">
        <f>HYPERLINK("http://www.redfin.com/stingray/do/printable-listing?listing-id=1463204","Active")</f>
        <v>Active</v>
      </c>
      <c r="D1511" t="s">
        <v>3249</v>
      </c>
      <c r="E1511" t="s">
        <v>3600</v>
      </c>
      <c r="F1511" s="19">
        <v>765000</v>
      </c>
      <c r="G1511">
        <v>1952</v>
      </c>
      <c r="H1511">
        <v>0</v>
      </c>
      <c r="I1511">
        <v>0</v>
      </c>
      <c r="J1511">
        <v>4</v>
      </c>
      <c r="K1511">
        <v>2</v>
      </c>
      <c r="M1511" s="2" t="str">
        <f>HYPERLINK("http://maps.live.com/default.aspx?v=2&amp;lvl=15&amp;sp=Point.47.640982_-122.371855_2507 11th Ave W&amp;cp=47.640982~-122.371855","Map")</f>
        <v>Map</v>
      </c>
      <c r="N1511" s="2" t="str">
        <f>HYPERLINK("http://i-0.rfimg.us/photo/1/bigphoto/442/28023442_0.jpg","Photo")</f>
        <v>Photo</v>
      </c>
      <c r="AG1511">
        <v>47.640982000000001</v>
      </c>
      <c r="AH1511">
        <v>-122.371855</v>
      </c>
      <c r="AI1511" t="s">
        <v>66</v>
      </c>
      <c r="AJ1511">
        <v>98119</v>
      </c>
      <c r="BC1511" s="22">
        <v>39485.71466435185</v>
      </c>
      <c r="BI1511" s="22">
        <v>39549.294907407406</v>
      </c>
      <c r="BL1511">
        <v>15580</v>
      </c>
      <c r="BM1511">
        <v>1463204</v>
      </c>
      <c r="BN1511" t="s">
        <v>1678</v>
      </c>
      <c r="BO1511" s="17">
        <f t="shared" ca="1" si="23"/>
        <v>63.594741550929029</v>
      </c>
      <c r="BP1511" t="b">
        <v>0</v>
      </c>
      <c r="BQ1511">
        <v>1</v>
      </c>
      <c r="BR1511" t="s">
        <v>1667</v>
      </c>
      <c r="BS1511" t="s">
        <v>1792</v>
      </c>
      <c r="BT1511" t="b">
        <v>0</v>
      </c>
      <c r="BV1511" t="s">
        <v>1668</v>
      </c>
      <c r="BW1511">
        <v>2507</v>
      </c>
      <c r="BX1511" t="s">
        <v>2423</v>
      </c>
      <c r="BY1511">
        <v>130163</v>
      </c>
      <c r="BZ1511" t="s">
        <v>1672</v>
      </c>
      <c r="CA1511">
        <v>1</v>
      </c>
      <c r="CB1511" t="b">
        <v>1</v>
      </c>
      <c r="CC1511">
        <v>0</v>
      </c>
      <c r="CD1511" t="b">
        <v>0</v>
      </c>
      <c r="CE1511" t="b">
        <v>0</v>
      </c>
      <c r="CF1511" t="b">
        <v>0</v>
      </c>
      <c r="CG1511">
        <v>2616447</v>
      </c>
      <c r="CH1511" t="s">
        <v>1681</v>
      </c>
      <c r="CI1511" s="10">
        <v>779000</v>
      </c>
    </row>
    <row r="1512" spans="1:90">
      <c r="A1512">
        <v>28023443</v>
      </c>
      <c r="B1512" s="2" t="str">
        <f>HYPERLINK("http://www.redfin.com/stingray/do/printable-listing?listing-id=1463256","Subject To Inspection")</f>
        <v>Subject To Inspection</v>
      </c>
      <c r="D1512" t="s">
        <v>2552</v>
      </c>
      <c r="E1512" t="s">
        <v>2550</v>
      </c>
      <c r="F1512">
        <v>399000</v>
      </c>
      <c r="G1512">
        <v>1923</v>
      </c>
      <c r="H1512">
        <v>880</v>
      </c>
      <c r="I1512">
        <v>3118</v>
      </c>
      <c r="J1512">
        <v>1</v>
      </c>
      <c r="K1512">
        <v>1</v>
      </c>
      <c r="M1512" s="2" t="str">
        <f>HYPERLINK("http://maps.live.com/default.aspx?v=2&amp;lvl=15&amp;sp=Point.47.661118_-122.398969_3211 W Fort St&amp;cp=47.661118~-122.398969","Map")</f>
        <v>Map</v>
      </c>
      <c r="N1512" s="2" t="str">
        <f>HYPERLINK("http://i-0.rfimg.us/photo/1/bigphoto/443/28023443_0.jpg","Photo")</f>
        <v>Photo</v>
      </c>
      <c r="AG1512">
        <v>47.661118000000002</v>
      </c>
      <c r="AH1512">
        <v>-122.39896899999999</v>
      </c>
      <c r="AI1512" t="s">
        <v>66</v>
      </c>
      <c r="AJ1512">
        <v>98199</v>
      </c>
      <c r="AN1512">
        <v>235000</v>
      </c>
      <c r="BC1512" s="22">
        <v>39485.724120370367</v>
      </c>
      <c r="BI1512" s="7">
        <v>39530</v>
      </c>
      <c r="BL1512">
        <v>7980</v>
      </c>
      <c r="BM1512">
        <v>1463256</v>
      </c>
      <c r="BN1512" t="s">
        <v>1680</v>
      </c>
      <c r="BO1512" s="17">
        <f t="shared" ca="1" si="23"/>
        <v>63.585285648150602</v>
      </c>
      <c r="BP1512" t="b">
        <v>0</v>
      </c>
      <c r="BQ1512">
        <v>2</v>
      </c>
      <c r="BR1512" t="s">
        <v>1686</v>
      </c>
      <c r="BS1512" t="s">
        <v>2551</v>
      </c>
      <c r="BT1512" t="b">
        <v>0</v>
      </c>
      <c r="BU1512" t="s">
        <v>2423</v>
      </c>
      <c r="BV1512" t="s">
        <v>1668</v>
      </c>
      <c r="BW1512">
        <v>3211</v>
      </c>
      <c r="BY1512">
        <v>123161</v>
      </c>
      <c r="BZ1512" t="s">
        <v>1713</v>
      </c>
      <c r="CA1512">
        <v>1</v>
      </c>
      <c r="CB1512" t="b">
        <v>1</v>
      </c>
      <c r="CC1512">
        <v>0</v>
      </c>
      <c r="CD1512" t="b">
        <v>0</v>
      </c>
      <c r="CE1512" t="b">
        <v>0</v>
      </c>
      <c r="CF1512" t="b">
        <v>0</v>
      </c>
      <c r="CG1512">
        <v>2768805</v>
      </c>
      <c r="CH1512" t="s">
        <v>1681</v>
      </c>
      <c r="CI1512" s="10">
        <v>399000</v>
      </c>
      <c r="CJ1512" s="7">
        <v>37266</v>
      </c>
    </row>
    <row r="1513" spans="1:90">
      <c r="A1513">
        <v>28023454</v>
      </c>
      <c r="B1513" s="2" t="str">
        <f>HYPERLINK("http://www.redfin.com/stingray/do/printable-listing?listing-id=1463168","Active")</f>
        <v>Active</v>
      </c>
      <c r="D1513" t="s">
        <v>5926</v>
      </c>
      <c r="E1513" t="s">
        <v>5925</v>
      </c>
      <c r="F1513" s="19">
        <v>689750</v>
      </c>
      <c r="G1513">
        <v>2008</v>
      </c>
      <c r="H1513">
        <v>3192</v>
      </c>
      <c r="I1513">
        <v>0</v>
      </c>
      <c r="J1513">
        <v>4</v>
      </c>
      <c r="K1513">
        <v>3.5</v>
      </c>
      <c r="M1513" s="2" t="str">
        <f>HYPERLINK("http://maps.live.com/default.aspx?v=2&amp;lvl=15&amp;sp=Point.47.526564_-122.198796_3904 Meadow Ave N&amp;cp=47.526564~-122.198796","Map")</f>
        <v>Map</v>
      </c>
      <c r="N1513" s="2" t="str">
        <f>HYPERLINK("http://i-0.rfimg.us/photo/1/bigphoto/454/28023454_0.jpg","Photo")</f>
        <v>Photo</v>
      </c>
      <c r="AG1513">
        <v>47.526564</v>
      </c>
      <c r="AH1513">
        <v>-122.198796</v>
      </c>
      <c r="AI1513" t="s">
        <v>1077</v>
      </c>
      <c r="AJ1513">
        <v>98056</v>
      </c>
      <c r="BC1513" s="22">
        <v>39485.703460648147</v>
      </c>
      <c r="BI1513" s="22">
        <v>39549.294907407406</v>
      </c>
      <c r="BL1513">
        <v>13995</v>
      </c>
      <c r="BM1513">
        <v>1463168</v>
      </c>
      <c r="BN1513" t="s">
        <v>1673</v>
      </c>
      <c r="BO1513" s="17">
        <f t="shared" ca="1" si="23"/>
        <v>63.605945254632388</v>
      </c>
      <c r="BP1513" t="b">
        <v>0</v>
      </c>
      <c r="BQ1513">
        <v>1</v>
      </c>
      <c r="BR1513" t="s">
        <v>1667</v>
      </c>
      <c r="BS1513" t="s">
        <v>5774</v>
      </c>
      <c r="BT1513" t="b">
        <v>0</v>
      </c>
      <c r="BV1513" t="s">
        <v>1668</v>
      </c>
      <c r="BW1513">
        <v>3904</v>
      </c>
      <c r="BX1513" t="s">
        <v>1712</v>
      </c>
      <c r="BY1513">
        <v>12387081</v>
      </c>
      <c r="BZ1513" t="s">
        <v>1696</v>
      </c>
      <c r="CA1513">
        <v>1</v>
      </c>
      <c r="CB1513" t="b">
        <v>1</v>
      </c>
      <c r="CC1513">
        <v>0</v>
      </c>
      <c r="CD1513" t="b">
        <v>0</v>
      </c>
      <c r="CE1513" t="b">
        <v>0</v>
      </c>
      <c r="CF1513" t="b">
        <v>0</v>
      </c>
      <c r="CG1513">
        <v>15590829</v>
      </c>
      <c r="CH1513" t="s">
        <v>1681</v>
      </c>
      <c r="CI1513" s="10">
        <v>699750</v>
      </c>
    </row>
    <row r="1514" spans="1:90">
      <c r="A1514">
        <v>28023467</v>
      </c>
      <c r="B1514" s="2" t="str">
        <f>HYPERLINK("http://www.redfin.com/stingray/do/printable-listing?listing-id=1465582","Active")</f>
        <v>Active</v>
      </c>
      <c r="D1514" t="s">
        <v>55</v>
      </c>
      <c r="E1514" t="s">
        <v>2720</v>
      </c>
      <c r="F1514">
        <v>355000</v>
      </c>
      <c r="G1514">
        <v>1998</v>
      </c>
      <c r="H1514">
        <v>1460</v>
      </c>
      <c r="I1514">
        <v>1376</v>
      </c>
      <c r="J1514">
        <v>3</v>
      </c>
      <c r="K1514">
        <v>2.25</v>
      </c>
      <c r="M1514" s="2" t="str">
        <f>HYPERLINK("http://maps.live.com/default.aspx?v=2&amp;lvl=15&amp;sp=Point.47.697037_-122.349708_718 N 94th St&amp;cp=47.697037~-122.349708","Map")</f>
        <v>Map</v>
      </c>
      <c r="N1514" s="2" t="str">
        <f>HYPERLINK("http://i-0.rfimg.us/photo/1/bigphoto/467/28023467_0.jpg","Photo")</f>
        <v>Photo</v>
      </c>
      <c r="AG1514">
        <v>47.697037000000002</v>
      </c>
      <c r="AH1514">
        <v>-122.34970800000001</v>
      </c>
      <c r="AI1514" t="s">
        <v>66</v>
      </c>
      <c r="AJ1514">
        <v>98103</v>
      </c>
      <c r="AN1514">
        <v>179950</v>
      </c>
      <c r="BC1514" s="22">
        <v>39486.494432870371</v>
      </c>
      <c r="BI1514" s="22">
        <v>39549.294907407406</v>
      </c>
      <c r="BL1514">
        <v>7100</v>
      </c>
      <c r="BM1514">
        <v>1465582</v>
      </c>
      <c r="BN1514" t="s">
        <v>1671</v>
      </c>
      <c r="BO1514" s="17">
        <f t="shared" ca="1" si="23"/>
        <v>62.814973148146237</v>
      </c>
      <c r="BP1514" t="b">
        <v>0</v>
      </c>
      <c r="BQ1514">
        <v>1</v>
      </c>
      <c r="BR1514" t="s">
        <v>1686</v>
      </c>
      <c r="BS1514" t="s">
        <v>2716</v>
      </c>
      <c r="BT1514" t="b">
        <v>0</v>
      </c>
      <c r="BU1514" t="s">
        <v>1712</v>
      </c>
      <c r="BV1514" t="s">
        <v>1668</v>
      </c>
      <c r="BW1514">
        <v>718</v>
      </c>
      <c r="BY1514">
        <v>99017</v>
      </c>
      <c r="BZ1514" t="s">
        <v>1747</v>
      </c>
      <c r="CA1514">
        <v>1</v>
      </c>
      <c r="CB1514" t="b">
        <v>1</v>
      </c>
      <c r="CC1514">
        <v>0</v>
      </c>
      <c r="CD1514" t="b">
        <v>0</v>
      </c>
      <c r="CE1514" t="b">
        <v>0</v>
      </c>
      <c r="CF1514" t="b">
        <v>0</v>
      </c>
      <c r="CG1514">
        <v>2353180</v>
      </c>
      <c r="CH1514" t="s">
        <v>1681</v>
      </c>
      <c r="CI1514" s="10">
        <v>355000</v>
      </c>
      <c r="CJ1514" s="7">
        <v>36272</v>
      </c>
      <c r="CL1514" s="19" t="s">
        <v>2325</v>
      </c>
    </row>
    <row r="1515" spans="1:90">
      <c r="A1515">
        <v>28023534</v>
      </c>
      <c r="B1515" s="2" t="str">
        <f>HYPERLINK("http://www.redfin.com/stingray/do/printable-listing?listing-id=1463602","Active")</f>
        <v>Active</v>
      </c>
      <c r="D1515" t="s">
        <v>5204</v>
      </c>
      <c r="E1515" t="s">
        <v>5205</v>
      </c>
      <c r="F1515" s="19">
        <v>649950</v>
      </c>
      <c r="G1515">
        <v>1959</v>
      </c>
      <c r="H1515">
        <v>3140</v>
      </c>
      <c r="I1515">
        <v>9398</v>
      </c>
      <c r="J1515">
        <v>4</v>
      </c>
      <c r="K1515">
        <v>2</v>
      </c>
      <c r="M1515" s="2" t="str">
        <f>HYPERLINK("http://maps.live.com/default.aspx?v=2&amp;lvl=15&amp;sp=Point.47.60682_-122.131354_15703 SE 4 St&amp;cp=47.60682~-122.131354","Map")</f>
        <v>Map</v>
      </c>
      <c r="N1515" s="2" t="str">
        <f>HYPERLINK("http://i-0.rfimg.us/photo/1/bigphoto/534/28023534_4.jpg","Photo")</f>
        <v>Photo</v>
      </c>
      <c r="AG1515">
        <v>47.606819999999999</v>
      </c>
      <c r="AH1515">
        <v>-122.131354</v>
      </c>
      <c r="AI1515" t="s">
        <v>369</v>
      </c>
      <c r="AJ1515">
        <v>98008</v>
      </c>
      <c r="AN1515">
        <v>500000</v>
      </c>
      <c r="BC1515" s="22">
        <v>39485.839236111111</v>
      </c>
      <c r="BI1515" s="22">
        <v>39549.294907407406</v>
      </c>
      <c r="BL1515">
        <v>13100</v>
      </c>
      <c r="BM1515">
        <v>1463602</v>
      </c>
      <c r="BN1515" t="s">
        <v>1735</v>
      </c>
      <c r="BO1515" s="17">
        <f t="shared" ca="1" si="23"/>
        <v>63.470169791668013</v>
      </c>
      <c r="BP1515" t="b">
        <v>0</v>
      </c>
      <c r="BQ1515">
        <v>1</v>
      </c>
      <c r="BR1515" t="s">
        <v>1686</v>
      </c>
      <c r="BS1515">
        <v>4</v>
      </c>
      <c r="BT1515" t="b">
        <v>0</v>
      </c>
      <c r="BU1515" t="s">
        <v>3856</v>
      </c>
      <c r="BV1515" t="s">
        <v>1668</v>
      </c>
      <c r="BW1515">
        <v>15703</v>
      </c>
      <c r="BY1515">
        <v>427585</v>
      </c>
      <c r="BZ1515" t="s">
        <v>2015</v>
      </c>
      <c r="CA1515">
        <v>1</v>
      </c>
      <c r="CB1515" t="b">
        <v>1</v>
      </c>
      <c r="CC1515">
        <v>0</v>
      </c>
      <c r="CD1515" t="b">
        <v>0</v>
      </c>
      <c r="CE1515" t="b">
        <v>0</v>
      </c>
      <c r="CF1515" t="b">
        <v>0</v>
      </c>
      <c r="CG1515">
        <v>2344274</v>
      </c>
      <c r="CH1515" t="s">
        <v>1681</v>
      </c>
      <c r="CI1515" s="10">
        <v>655000</v>
      </c>
      <c r="CJ1515" s="7">
        <v>39226</v>
      </c>
    </row>
    <row r="1516" spans="1:90">
      <c r="A1516">
        <v>28023571</v>
      </c>
      <c r="B1516" s="2" t="str">
        <f>HYPERLINK("http://www.redfin.com/stingray/do/printable-listing?listing-id=1464300","Active")</f>
        <v>Active</v>
      </c>
      <c r="D1516" t="s">
        <v>63</v>
      </c>
      <c r="E1516" t="s">
        <v>726</v>
      </c>
      <c r="F1516">
        <v>399900</v>
      </c>
      <c r="G1516">
        <v>2001</v>
      </c>
      <c r="H1516">
        <v>1525</v>
      </c>
      <c r="I1516">
        <v>1473</v>
      </c>
      <c r="J1516">
        <v>3</v>
      </c>
      <c r="K1516">
        <v>2.25</v>
      </c>
      <c r="M1516" s="2" t="str">
        <f>HYPERLINK("http://maps.live.com/default.aspx?v=2&amp;lvl=15&amp;sp=Point.47.665514_-122.37778_1533 NW 51st St&amp;cp=47.665514~-122.37778","Map")</f>
        <v>Map</v>
      </c>
      <c r="N1516" s="2" t="str">
        <f>HYPERLINK("http://i-0.rfimg.us/photo/1/bigphoto/571/28023571_0.jpg","Photo")</f>
        <v>Photo</v>
      </c>
      <c r="AG1516">
        <v>47.665514000000002</v>
      </c>
      <c r="AH1516">
        <v>-122.37778</v>
      </c>
      <c r="AI1516" t="s">
        <v>66</v>
      </c>
      <c r="AJ1516">
        <v>98107</v>
      </c>
      <c r="AN1516">
        <v>264500</v>
      </c>
      <c r="BC1516" s="22">
        <v>39486.327025462961</v>
      </c>
      <c r="BI1516" s="22">
        <v>39549.294907407406</v>
      </c>
      <c r="BL1516">
        <v>7998</v>
      </c>
      <c r="BM1516">
        <v>1464300</v>
      </c>
      <c r="BN1516" t="s">
        <v>1774</v>
      </c>
      <c r="BO1516" s="17">
        <f t="shared" ca="1" si="23"/>
        <v>62.982380555557029</v>
      </c>
      <c r="BP1516" t="b">
        <v>0</v>
      </c>
      <c r="BQ1516">
        <v>1</v>
      </c>
      <c r="BR1516" t="s">
        <v>1686</v>
      </c>
      <c r="BS1516" t="s">
        <v>2469</v>
      </c>
      <c r="BT1516" t="b">
        <v>0</v>
      </c>
      <c r="BU1516" t="s">
        <v>1669</v>
      </c>
      <c r="BV1516" t="s">
        <v>1668</v>
      </c>
      <c r="BW1516">
        <v>1533</v>
      </c>
      <c r="BY1516">
        <v>493392</v>
      </c>
      <c r="BZ1516" t="s">
        <v>1672</v>
      </c>
      <c r="CA1516">
        <v>1</v>
      </c>
      <c r="CB1516" t="b">
        <v>1</v>
      </c>
      <c r="CC1516">
        <v>0</v>
      </c>
      <c r="CD1516" t="b">
        <v>0</v>
      </c>
      <c r="CE1516" t="b">
        <v>0</v>
      </c>
      <c r="CF1516" t="b">
        <v>0</v>
      </c>
      <c r="CG1516">
        <v>2580565</v>
      </c>
      <c r="CH1516" t="s">
        <v>1681</v>
      </c>
      <c r="CI1516" s="10">
        <v>399900</v>
      </c>
      <c r="CJ1516" s="7">
        <v>37008</v>
      </c>
    </row>
    <row r="1517" spans="1:90">
      <c r="A1517">
        <v>28023598</v>
      </c>
      <c r="B1517" s="2" t="str">
        <f>HYPERLINK("http://www.redfin.com/stingray/do/printable-listing?listing-id=1474117","Active")</f>
        <v>Active</v>
      </c>
      <c r="D1517" t="s">
        <v>3064</v>
      </c>
      <c r="E1517" t="s">
        <v>6164</v>
      </c>
      <c r="F1517" s="19">
        <v>389950</v>
      </c>
      <c r="G1517">
        <v>1996</v>
      </c>
      <c r="H1517">
        <v>1930</v>
      </c>
      <c r="I1517">
        <v>3823</v>
      </c>
      <c r="J1517">
        <v>3</v>
      </c>
      <c r="K1517">
        <v>2.5</v>
      </c>
      <c r="M1517" s="2" t="str">
        <f>HYPERLINK("http://maps.live.com/default.aspx?v=2&amp;lvl=15&amp;sp=Point.47.491279_-122.165945_524 Tacoma Pl NE&amp;cp=47.491279~-122.165945","Map")</f>
        <v>Map</v>
      </c>
      <c r="N1517" s="2" t="str">
        <f>HYPERLINK("http://i-0.rfimg.us/photo/1/bigphoto/598/28023598_1.jpg","Photo")</f>
        <v>Photo</v>
      </c>
      <c r="AG1517">
        <v>47.491278999999999</v>
      </c>
      <c r="AH1517">
        <v>-122.16594499999999</v>
      </c>
      <c r="AI1517" t="s">
        <v>1077</v>
      </c>
      <c r="AJ1517">
        <v>98056</v>
      </c>
      <c r="AN1517">
        <v>325000</v>
      </c>
      <c r="BC1517" s="22">
        <v>39490.40053240741</v>
      </c>
      <c r="BI1517" s="22">
        <v>39549.294907407406</v>
      </c>
      <c r="BL1517">
        <v>7900</v>
      </c>
      <c r="BM1517">
        <v>1474117</v>
      </c>
      <c r="BN1517" t="s">
        <v>4725</v>
      </c>
      <c r="BO1517" s="17">
        <f t="shared" ca="1" si="23"/>
        <v>58.908873495369335</v>
      </c>
      <c r="BP1517" t="b">
        <v>0</v>
      </c>
      <c r="BQ1517">
        <v>1</v>
      </c>
      <c r="BR1517" t="s">
        <v>1842</v>
      </c>
      <c r="BS1517" t="s">
        <v>6165</v>
      </c>
      <c r="BT1517" t="b">
        <v>0</v>
      </c>
      <c r="BV1517" t="s">
        <v>1668</v>
      </c>
      <c r="BW1517">
        <v>524</v>
      </c>
      <c r="BX1517" t="s">
        <v>1738</v>
      </c>
      <c r="BY1517">
        <v>242827</v>
      </c>
      <c r="BZ1517" t="s">
        <v>6166</v>
      </c>
      <c r="CA1517">
        <v>1</v>
      </c>
      <c r="CB1517" t="b">
        <v>1</v>
      </c>
      <c r="CC1517">
        <v>0</v>
      </c>
      <c r="CD1517" t="b">
        <v>0</v>
      </c>
      <c r="CE1517" t="b">
        <v>0</v>
      </c>
      <c r="CF1517" t="b">
        <v>0</v>
      </c>
      <c r="CG1517">
        <v>2610886</v>
      </c>
      <c r="CH1517" t="s">
        <v>1681</v>
      </c>
      <c r="CI1517" s="10">
        <v>395000</v>
      </c>
      <c r="CJ1517" s="7">
        <v>38548</v>
      </c>
    </row>
    <row r="1518" spans="1:90">
      <c r="A1518">
        <v>28023629</v>
      </c>
      <c r="B1518" s="2" t="str">
        <f>HYPERLINK("http://www.redfin.com/stingray/do/printable-listing?listing-id=1464415","Active")</f>
        <v>Active</v>
      </c>
      <c r="D1518" t="s">
        <v>42</v>
      </c>
      <c r="E1518" t="s">
        <v>2778</v>
      </c>
      <c r="F1518">
        <v>297500</v>
      </c>
      <c r="G1518">
        <v>1943</v>
      </c>
      <c r="H1518">
        <v>630</v>
      </c>
      <c r="I1518">
        <v>7900</v>
      </c>
      <c r="J1518">
        <v>2</v>
      </c>
      <c r="K1518">
        <v>1</v>
      </c>
      <c r="M1518" s="2" t="str">
        <f>HYPERLINK("http://maps.live.com/default.aspx?v=2&amp;lvl=15&amp;sp=Point.47.711783_-122.329646_11346 Sunnyside Ave N&amp;cp=47.711783~-122.329646","Map")</f>
        <v>Map</v>
      </c>
      <c r="N1518" s="2" t="str">
        <f>HYPERLINK("http://i-0.rfimg.us/photo/1/bigphoto/629/28023629_0.jpg","Photo")</f>
        <v>Photo</v>
      </c>
      <c r="AG1518">
        <v>47.711782999999997</v>
      </c>
      <c r="AH1518">
        <v>-122.329646</v>
      </c>
      <c r="AI1518" t="s">
        <v>66</v>
      </c>
      <c r="AJ1518">
        <v>98133</v>
      </c>
      <c r="BC1518" s="22">
        <v>39486.369085648148</v>
      </c>
      <c r="BI1518" s="22">
        <v>39549.294907407406</v>
      </c>
      <c r="BL1518">
        <v>5925</v>
      </c>
      <c r="BM1518">
        <v>1464415</v>
      </c>
      <c r="BN1518" t="s">
        <v>2777</v>
      </c>
      <c r="BO1518" s="17">
        <f t="shared" ca="1" si="23"/>
        <v>62.940320370369591</v>
      </c>
      <c r="BP1518" t="b">
        <v>0</v>
      </c>
      <c r="BQ1518">
        <v>1</v>
      </c>
      <c r="BR1518" t="s">
        <v>1667</v>
      </c>
      <c r="BS1518" t="s">
        <v>2427</v>
      </c>
      <c r="BT1518" t="b">
        <v>0</v>
      </c>
      <c r="BV1518" t="s">
        <v>1668</v>
      </c>
      <c r="BW1518">
        <v>11346</v>
      </c>
      <c r="BX1518" t="s">
        <v>1712</v>
      </c>
      <c r="BY1518">
        <v>103937</v>
      </c>
      <c r="BZ1518" t="s">
        <v>1813</v>
      </c>
      <c r="CA1518">
        <v>1</v>
      </c>
      <c r="CB1518" t="b">
        <v>1</v>
      </c>
      <c r="CC1518">
        <v>0</v>
      </c>
      <c r="CD1518" t="b">
        <v>1</v>
      </c>
      <c r="CE1518" t="b">
        <v>0</v>
      </c>
      <c r="CF1518" t="b">
        <v>0</v>
      </c>
      <c r="CG1518">
        <v>2473662</v>
      </c>
      <c r="CH1518" t="s">
        <v>1681</v>
      </c>
      <c r="CI1518" s="10">
        <v>297500</v>
      </c>
    </row>
    <row r="1519" spans="1:90">
      <c r="A1519">
        <v>28023673</v>
      </c>
      <c r="B1519" s="2" t="str">
        <f>HYPERLINK("http://www.redfin.com/stingray/do/printable-listing?listing-id=1464559","Active")</f>
        <v>Active</v>
      </c>
      <c r="D1519" t="s">
        <v>1152</v>
      </c>
      <c r="E1519" t="s">
        <v>3115</v>
      </c>
      <c r="F1519">
        <v>1395000</v>
      </c>
      <c r="G1519">
        <v>1994</v>
      </c>
      <c r="H1519">
        <v>3650</v>
      </c>
      <c r="I1519">
        <v>6600</v>
      </c>
      <c r="J1519">
        <v>5</v>
      </c>
      <c r="K1519">
        <v>3.5</v>
      </c>
      <c r="M1519" s="2" t="str">
        <f>HYPERLINK("http://maps.live.com/default.aspx?v=2&amp;lvl=15&amp;sp=Point.47.67476_-122.276905_6056 Wellesley Way NE&amp;cp=47.67476~-122.276905","Map")</f>
        <v>Map</v>
      </c>
      <c r="N1519" s="2" t="str">
        <f>HYPERLINK("http://i-0.rfimg.us/photo/1/bigphoto/673/28023673_0.jpg","Photo")</f>
        <v>Photo</v>
      </c>
      <c r="AG1519">
        <v>47.674759999999999</v>
      </c>
      <c r="AH1519">
        <v>-122.276905</v>
      </c>
      <c r="AI1519" t="s">
        <v>66</v>
      </c>
      <c r="AJ1519">
        <v>98115</v>
      </c>
      <c r="AN1519">
        <v>258612</v>
      </c>
      <c r="BC1519" s="22">
        <v>39486.411087962966</v>
      </c>
      <c r="BI1519" s="22">
        <v>39549.294907407406</v>
      </c>
      <c r="BL1519">
        <v>27900</v>
      </c>
      <c r="BM1519">
        <v>1464559</v>
      </c>
      <c r="BN1519" t="s">
        <v>2777</v>
      </c>
      <c r="BO1519" s="17">
        <f t="shared" ca="1" si="23"/>
        <v>62.898317939812841</v>
      </c>
      <c r="BP1519" t="b">
        <v>0</v>
      </c>
      <c r="BQ1519">
        <v>1</v>
      </c>
      <c r="BR1519" t="s">
        <v>2463</v>
      </c>
      <c r="BS1519" t="s">
        <v>3116</v>
      </c>
      <c r="BT1519" t="b">
        <v>0</v>
      </c>
      <c r="BV1519" t="s">
        <v>1668</v>
      </c>
      <c r="BW1519">
        <v>6056</v>
      </c>
      <c r="BX1519" t="s">
        <v>1738</v>
      </c>
      <c r="BY1519">
        <v>320239</v>
      </c>
      <c r="BZ1519" t="s">
        <v>1701</v>
      </c>
      <c r="CA1519">
        <v>1</v>
      </c>
      <c r="CB1519" t="b">
        <v>1</v>
      </c>
      <c r="CC1519">
        <v>0</v>
      </c>
      <c r="CD1519" t="b">
        <v>0</v>
      </c>
      <c r="CE1519" t="b">
        <v>0</v>
      </c>
      <c r="CF1519" t="b">
        <v>0</v>
      </c>
      <c r="CG1519">
        <v>2709804</v>
      </c>
      <c r="CH1519" t="s">
        <v>1681</v>
      </c>
      <c r="CI1519" s="10">
        <v>1395000</v>
      </c>
      <c r="CJ1519" s="7">
        <v>33070</v>
      </c>
    </row>
    <row r="1520" spans="1:90">
      <c r="A1520">
        <v>28023704</v>
      </c>
      <c r="B1520" s="2" t="str">
        <f>HYPERLINK("http://www.redfin.com/stingray/do/printable-listing?listing-id=1467103","Active")</f>
        <v>Active</v>
      </c>
      <c r="D1520" t="s">
        <v>3839</v>
      </c>
      <c r="E1520" t="s">
        <v>3840</v>
      </c>
      <c r="F1520">
        <v>929000</v>
      </c>
      <c r="G1520">
        <v>2008</v>
      </c>
      <c r="H1520">
        <v>4094</v>
      </c>
      <c r="I1520">
        <v>8400</v>
      </c>
      <c r="J1520">
        <v>4</v>
      </c>
      <c r="K1520">
        <v>3.5</v>
      </c>
      <c r="M1520" s="2" t="str">
        <f>HYPERLINK("http://maps.live.com/default.aspx?v=2&amp;lvl=15&amp;sp=adr.1810 Kitsap Pl NE nLot 4 (Unable to map),98059","Map")</f>
        <v>Map</v>
      </c>
      <c r="N1520" s="2" t="str">
        <f>HYPERLINK("http://i-0.rfimg.us/photo/1/bigphoto/704/28023704_4.jpg","Photo")</f>
        <v>Photo</v>
      </c>
      <c r="AI1520" t="s">
        <v>1077</v>
      </c>
      <c r="AJ1520">
        <v>98059</v>
      </c>
      <c r="AM1520" t="s">
        <v>3841</v>
      </c>
      <c r="BC1520" s="22">
        <v>39486.6950462963</v>
      </c>
      <c r="BI1520" s="22">
        <v>39549.294907407406</v>
      </c>
      <c r="BL1520">
        <v>18580</v>
      </c>
      <c r="BM1520">
        <v>1467103</v>
      </c>
      <c r="BN1520" t="s">
        <v>3236</v>
      </c>
      <c r="BO1520" s="17">
        <f t="shared" ca="1" si="23"/>
        <v>62.614359606479411</v>
      </c>
      <c r="BP1520" t="b">
        <v>0</v>
      </c>
      <c r="BQ1520">
        <v>1</v>
      </c>
      <c r="BR1520" t="s">
        <v>1842</v>
      </c>
      <c r="BS1520" t="s">
        <v>3842</v>
      </c>
      <c r="BT1520" t="b">
        <v>0</v>
      </c>
      <c r="BV1520" t="s">
        <v>1668</v>
      </c>
      <c r="BW1520">
        <v>1810</v>
      </c>
      <c r="BX1520" t="s">
        <v>1738</v>
      </c>
      <c r="BY1520">
        <v>0</v>
      </c>
      <c r="BZ1520" t="s">
        <v>3843</v>
      </c>
      <c r="CA1520">
        <v>1</v>
      </c>
      <c r="CB1520" t="b">
        <v>1</v>
      </c>
      <c r="CC1520">
        <v>0</v>
      </c>
      <c r="CD1520" t="b">
        <v>0</v>
      </c>
      <c r="CE1520" t="b">
        <v>0</v>
      </c>
      <c r="CF1520" t="b">
        <v>0</v>
      </c>
      <c r="CG1520" t="s">
        <v>1870</v>
      </c>
      <c r="CH1520" t="s">
        <v>1681</v>
      </c>
      <c r="CI1520" s="10">
        <v>929000</v>
      </c>
    </row>
    <row r="1521" spans="1:90">
      <c r="A1521">
        <v>28023714</v>
      </c>
      <c r="B1521" s="2" t="str">
        <f>HYPERLINK("http://www.redfin.com/stingray/do/printable-listing?listing-id=1467238","Active")</f>
        <v>Active</v>
      </c>
      <c r="D1521" t="s">
        <v>184</v>
      </c>
      <c r="E1521" t="s">
        <v>3045</v>
      </c>
      <c r="F1521" s="19">
        <v>334888</v>
      </c>
      <c r="G1521">
        <v>2008</v>
      </c>
      <c r="H1521">
        <v>1400</v>
      </c>
      <c r="I1521">
        <v>0</v>
      </c>
      <c r="J1521">
        <v>3</v>
      </c>
      <c r="K1521">
        <v>2</v>
      </c>
      <c r="M1521" s="2" t="str">
        <f>HYPERLINK("http://maps.live.com/default.aspx?v=2&amp;lvl=15&amp;sp=Point.47.717386_-122.317367_1015 NE 123rd St&amp;cp=47.717386~-122.317367","Map")</f>
        <v>Map</v>
      </c>
      <c r="N1521" s="2" t="str">
        <f>HYPERLINK("http://i-0.rfimg.us/photo/1/bigphoto/714/28023714_2.jpg","Photo")</f>
        <v>Photo</v>
      </c>
      <c r="AG1521">
        <v>47.717385999999998</v>
      </c>
      <c r="AH1521">
        <v>-122.317367</v>
      </c>
      <c r="AI1521" t="s">
        <v>66</v>
      </c>
      <c r="AJ1521">
        <v>98125</v>
      </c>
      <c r="AN1521">
        <v>344888</v>
      </c>
      <c r="BC1521" s="22">
        <v>39486.72587962963</v>
      </c>
      <c r="BI1521" s="22">
        <v>39549.294907407406</v>
      </c>
      <c r="BL1521">
        <v>6898</v>
      </c>
      <c r="BM1521">
        <v>1467238</v>
      </c>
      <c r="BN1521" t="s">
        <v>1746</v>
      </c>
      <c r="BO1521" s="17">
        <f t="shared" ca="1" si="23"/>
        <v>62.583526273148891</v>
      </c>
      <c r="BP1521" t="b">
        <v>0</v>
      </c>
      <c r="BQ1521">
        <v>1</v>
      </c>
      <c r="BR1521" t="s">
        <v>1686</v>
      </c>
      <c r="BS1521" t="s">
        <v>2882</v>
      </c>
      <c r="BT1521" t="b">
        <v>0</v>
      </c>
      <c r="BU1521" t="s">
        <v>1738</v>
      </c>
      <c r="BV1521" t="s">
        <v>1668</v>
      </c>
      <c r="BW1521">
        <v>1015</v>
      </c>
      <c r="BY1521">
        <v>106129</v>
      </c>
      <c r="BZ1521" t="s">
        <v>2340</v>
      </c>
      <c r="CA1521">
        <v>1</v>
      </c>
      <c r="CB1521" t="b">
        <v>1</v>
      </c>
      <c r="CC1521">
        <v>0</v>
      </c>
      <c r="CD1521" t="b">
        <v>0</v>
      </c>
      <c r="CE1521" t="b">
        <v>0</v>
      </c>
      <c r="CF1521" t="b">
        <v>0</v>
      </c>
      <c r="CG1521">
        <v>2719511</v>
      </c>
      <c r="CH1521" t="s">
        <v>1681</v>
      </c>
      <c r="CI1521" s="10">
        <v>344888</v>
      </c>
      <c r="CJ1521" s="7">
        <v>39486</v>
      </c>
    </row>
    <row r="1522" spans="1:90">
      <c r="A1522">
        <v>28023763</v>
      </c>
      <c r="B1522" s="2" t="str">
        <f>HYPERLINK("http://www.redfin.com/stingray/do/printable-listing?listing-id=1466479","Active")</f>
        <v>Active</v>
      </c>
      <c r="D1522" t="s">
        <v>1058</v>
      </c>
      <c r="E1522" t="s">
        <v>4435</v>
      </c>
      <c r="F1522">
        <v>399950</v>
      </c>
      <c r="G1522">
        <v>1983</v>
      </c>
      <c r="H1522">
        <v>2180</v>
      </c>
      <c r="I1522">
        <v>7405</v>
      </c>
      <c r="J1522">
        <v>4</v>
      </c>
      <c r="K1522">
        <v>2</v>
      </c>
      <c r="M1522" s="2" t="str">
        <f>HYPERLINK("http://maps.live.com/default.aspx?v=2&amp;lvl=15&amp;sp=Point.47.725132_-122.191569_13929 113th Ave NE&amp;cp=47.725132~-122.191569","Map")</f>
        <v>Map</v>
      </c>
      <c r="N1522" s="2" t="str">
        <f>HYPERLINK("http://i-0.rfimg.us/photo/1/bigphoto/763/28023763_8.jpg","Photo")</f>
        <v>Photo</v>
      </c>
      <c r="AG1522">
        <v>47.725132000000002</v>
      </c>
      <c r="AH1522">
        <v>-122.191569</v>
      </c>
      <c r="AI1522" t="s">
        <v>1058</v>
      </c>
      <c r="AJ1522">
        <v>98034</v>
      </c>
      <c r="AN1522">
        <v>305000</v>
      </c>
      <c r="BC1522" s="22">
        <v>39486.598819444444</v>
      </c>
      <c r="BI1522" s="22">
        <v>39549.294907407406</v>
      </c>
      <c r="BL1522">
        <v>7999</v>
      </c>
      <c r="BM1522">
        <v>1466479</v>
      </c>
      <c r="BN1522" t="s">
        <v>1674</v>
      </c>
      <c r="BO1522" s="17">
        <f t="shared" ca="1" si="23"/>
        <v>62.710586458335456</v>
      </c>
      <c r="BP1522" t="b">
        <v>0</v>
      </c>
      <c r="BQ1522">
        <v>1</v>
      </c>
      <c r="BR1522" t="s">
        <v>1667</v>
      </c>
      <c r="BS1522" t="s">
        <v>4394</v>
      </c>
      <c r="BT1522" t="b">
        <v>0</v>
      </c>
      <c r="BV1522" t="s">
        <v>1668</v>
      </c>
      <c r="BW1522">
        <v>13929</v>
      </c>
      <c r="BX1522" t="s">
        <v>1738</v>
      </c>
      <c r="BY1522">
        <v>456871</v>
      </c>
      <c r="BZ1522" t="s">
        <v>4436</v>
      </c>
      <c r="CA1522">
        <v>1</v>
      </c>
      <c r="CB1522" t="b">
        <v>1</v>
      </c>
      <c r="CC1522">
        <v>0</v>
      </c>
      <c r="CD1522" t="b">
        <v>0</v>
      </c>
      <c r="CE1522" t="b">
        <v>0</v>
      </c>
      <c r="CF1522" t="b">
        <v>0</v>
      </c>
      <c r="CG1522">
        <v>2541468</v>
      </c>
      <c r="CH1522" t="s">
        <v>1681</v>
      </c>
      <c r="CI1522" s="10">
        <v>399950</v>
      </c>
      <c r="CJ1522" s="7">
        <v>38166</v>
      </c>
    </row>
    <row r="1523" spans="1:90">
      <c r="A1523">
        <v>28023798</v>
      </c>
      <c r="B1523" s="2" t="str">
        <f>HYPERLINK("http://www.redfin.com/stingray/do/printable-listing?listing-id=1465507","Active")</f>
        <v>Active</v>
      </c>
      <c r="D1523" t="s">
        <v>5191</v>
      </c>
      <c r="E1523" t="s">
        <v>5511</v>
      </c>
      <c r="F1523" s="19">
        <v>849800</v>
      </c>
      <c r="G1523">
        <v>1961</v>
      </c>
      <c r="H1523">
        <v>3840</v>
      </c>
      <c r="I1523">
        <v>25430</v>
      </c>
      <c r="J1523">
        <v>4</v>
      </c>
      <c r="K1523">
        <v>3.75</v>
      </c>
      <c r="M1523" s="2" t="str">
        <f>HYPERLINK("http://maps.live.com/default.aspx?v=2&amp;lvl=15&amp;sp=Point.47.571871_-122.156766_13724 SE newport way&amp;cp=47.571871~-122.156766","Map")</f>
        <v>Map</v>
      </c>
      <c r="N1523" s="2" t="str">
        <f>HYPERLINK("http://i-0.rfimg.us/photo/1/bigphoto/798/28023798_0.jpg","Photo")</f>
        <v>Photo</v>
      </c>
      <c r="AG1523">
        <v>47.571871000000002</v>
      </c>
      <c r="AH1523">
        <v>-122.156766</v>
      </c>
      <c r="AI1523" t="s">
        <v>369</v>
      </c>
      <c r="AJ1523">
        <v>98006</v>
      </c>
      <c r="AN1523">
        <v>553000</v>
      </c>
      <c r="BC1523" s="22">
        <v>39486.484363425923</v>
      </c>
      <c r="BI1523" s="22">
        <v>39549.294907407406</v>
      </c>
      <c r="BL1523">
        <v>17980</v>
      </c>
      <c r="BM1523">
        <v>1465507</v>
      </c>
      <c r="BN1523" t="s">
        <v>1737</v>
      </c>
      <c r="BO1523" s="17">
        <f t="shared" ca="1" si="23"/>
        <v>62.825042476855742</v>
      </c>
      <c r="BP1523" t="b">
        <v>0</v>
      </c>
      <c r="BQ1523">
        <v>1</v>
      </c>
      <c r="BR1523" t="s">
        <v>5512</v>
      </c>
      <c r="BS1523" t="s">
        <v>5513</v>
      </c>
      <c r="BT1523" t="b">
        <v>0</v>
      </c>
      <c r="BU1523" t="s">
        <v>3856</v>
      </c>
      <c r="BV1523" t="s">
        <v>1668</v>
      </c>
      <c r="BW1523">
        <v>13724</v>
      </c>
      <c r="BY1523">
        <v>233832</v>
      </c>
      <c r="BZ1523" t="s">
        <v>1670</v>
      </c>
      <c r="CA1523">
        <v>1</v>
      </c>
      <c r="CB1523" t="b">
        <v>1</v>
      </c>
      <c r="CC1523">
        <v>0</v>
      </c>
      <c r="CD1523" t="b">
        <v>0</v>
      </c>
      <c r="CE1523" t="b">
        <v>0</v>
      </c>
      <c r="CF1523" t="b">
        <v>0</v>
      </c>
      <c r="CG1523">
        <v>2892194</v>
      </c>
      <c r="CH1523" t="s">
        <v>1681</v>
      </c>
      <c r="CI1523" s="10">
        <v>899000</v>
      </c>
      <c r="CJ1523" s="7">
        <v>38986</v>
      </c>
    </row>
    <row r="1524" spans="1:90">
      <c r="A1524">
        <v>28023803</v>
      </c>
      <c r="B1524" s="2" t="str">
        <f>HYPERLINK("http://www.redfin.com/stingray/do/printable-listing?listing-id=1465508","Active")</f>
        <v>Active</v>
      </c>
      <c r="D1524" t="s">
        <v>5926</v>
      </c>
      <c r="E1524" t="s">
        <v>6149</v>
      </c>
      <c r="F1524">
        <v>499950</v>
      </c>
      <c r="G1524">
        <v>1995</v>
      </c>
      <c r="H1524">
        <v>2850</v>
      </c>
      <c r="I1524">
        <v>17888</v>
      </c>
      <c r="J1524">
        <v>4</v>
      </c>
      <c r="K1524">
        <v>2.75</v>
      </c>
      <c r="M1524" s="2" t="str">
        <f>HYPERLINK("http://maps.live.com/default.aspx?v=2&amp;lvl=15&amp;sp=Point.47.51015_-122.195293_2010 Jones Ave NE&amp;cp=47.51015~-122.195293","Map")</f>
        <v>Map</v>
      </c>
      <c r="N1524" s="2" t="str">
        <f>HYPERLINK("http://i-0.rfimg.us/photo/1/bigphoto/803/28023803_0.jpg","Photo")</f>
        <v>Photo</v>
      </c>
      <c r="AG1524">
        <v>47.510150000000003</v>
      </c>
      <c r="AH1524">
        <v>-122.19529300000001</v>
      </c>
      <c r="AI1524" t="s">
        <v>1077</v>
      </c>
      <c r="AJ1524">
        <v>98056</v>
      </c>
      <c r="AN1524">
        <v>254900</v>
      </c>
      <c r="BC1524" s="22">
        <v>39486.484363425923</v>
      </c>
      <c r="BI1524" s="22">
        <v>39549.294907407406</v>
      </c>
      <c r="BL1524">
        <v>9999</v>
      </c>
      <c r="BM1524">
        <v>1465508</v>
      </c>
      <c r="BN1524" t="s">
        <v>1798</v>
      </c>
      <c r="BO1524" s="17">
        <f t="shared" ca="1" si="23"/>
        <v>62.825042476855742</v>
      </c>
      <c r="BP1524" t="b">
        <v>0</v>
      </c>
      <c r="BQ1524">
        <v>1</v>
      </c>
      <c r="BR1524" t="s">
        <v>1667</v>
      </c>
      <c r="BS1524" t="s">
        <v>6148</v>
      </c>
      <c r="BT1524" t="b">
        <v>0</v>
      </c>
      <c r="BV1524" t="s">
        <v>1668</v>
      </c>
      <c r="BW1524">
        <v>2010</v>
      </c>
      <c r="BX1524" t="s">
        <v>1738</v>
      </c>
      <c r="BY1524">
        <v>410883</v>
      </c>
      <c r="BZ1524" t="s">
        <v>1676</v>
      </c>
      <c r="CA1524">
        <v>1</v>
      </c>
      <c r="CB1524" t="b">
        <v>1</v>
      </c>
      <c r="CC1524">
        <v>0</v>
      </c>
      <c r="CD1524" t="b">
        <v>0</v>
      </c>
      <c r="CE1524" t="b">
        <v>0</v>
      </c>
      <c r="CF1524" t="b">
        <v>0</v>
      </c>
      <c r="CG1524">
        <v>2658434</v>
      </c>
      <c r="CH1524" t="s">
        <v>1681</v>
      </c>
      <c r="CI1524" s="10">
        <v>499950</v>
      </c>
      <c r="CJ1524" s="7">
        <v>36238</v>
      </c>
    </row>
    <row r="1525" spans="1:90">
      <c r="A1525">
        <v>28023841</v>
      </c>
      <c r="B1525" s="2" t="str">
        <f>HYPERLINK("http://www.redfin.com/stingray/do/printable-listing?listing-id=1465616","Active")</f>
        <v>Active</v>
      </c>
      <c r="D1525" t="s">
        <v>5198</v>
      </c>
      <c r="E1525" t="s">
        <v>5449</v>
      </c>
      <c r="F1525">
        <v>999888</v>
      </c>
      <c r="G1525">
        <v>1958</v>
      </c>
      <c r="H1525">
        <v>2610</v>
      </c>
      <c r="I1525">
        <v>10400</v>
      </c>
      <c r="J1525">
        <v>4</v>
      </c>
      <c r="K1525">
        <v>2.75</v>
      </c>
      <c r="M1525" s="2" t="str">
        <f>HYPERLINK("http://maps.live.com/default.aspx?v=2&amp;lvl=15&amp;sp=Point.47.586974_-122.114824_2618 169th Ave SE&amp;cp=47.586974~-122.114824","Map")</f>
        <v>Map</v>
      </c>
      <c r="N1525" s="2" t="str">
        <f>HYPERLINK("http://i-0.rfimg.us/photo/1/bigphoto/841/28023841_0.jpg","Photo")</f>
        <v>Photo</v>
      </c>
      <c r="AG1525">
        <v>47.586973999999998</v>
      </c>
      <c r="AH1525">
        <v>-122.114824</v>
      </c>
      <c r="AI1525" t="s">
        <v>369</v>
      </c>
      <c r="AJ1525">
        <v>98008</v>
      </c>
      <c r="BC1525" s="22">
        <v>39486.505196759259</v>
      </c>
      <c r="BI1525" s="22">
        <v>39549.294907407406</v>
      </c>
      <c r="BL1525">
        <v>19998</v>
      </c>
      <c r="BM1525">
        <v>1465616</v>
      </c>
      <c r="BN1525" t="s">
        <v>1674</v>
      </c>
      <c r="BO1525" s="17">
        <f t="shared" ca="1" si="23"/>
        <v>62.804209143519984</v>
      </c>
      <c r="BP1525" t="b">
        <v>0</v>
      </c>
      <c r="BQ1525">
        <v>1</v>
      </c>
      <c r="BR1525" t="s">
        <v>1667</v>
      </c>
      <c r="BS1525" t="s">
        <v>5110</v>
      </c>
      <c r="BT1525" t="b">
        <v>0</v>
      </c>
      <c r="BV1525" t="s">
        <v>1668</v>
      </c>
      <c r="BW1525">
        <v>2618</v>
      </c>
      <c r="BX1525" t="s">
        <v>3856</v>
      </c>
      <c r="BY1525">
        <v>428143</v>
      </c>
      <c r="BZ1525" t="s">
        <v>1713</v>
      </c>
      <c r="CA1525">
        <v>1</v>
      </c>
      <c r="CB1525" t="b">
        <v>1</v>
      </c>
      <c r="CC1525">
        <v>0</v>
      </c>
      <c r="CD1525" t="b">
        <v>0</v>
      </c>
      <c r="CE1525" t="b">
        <v>0</v>
      </c>
      <c r="CF1525" t="b">
        <v>0</v>
      </c>
      <c r="CG1525">
        <v>2650689</v>
      </c>
      <c r="CH1525" t="s">
        <v>1681</v>
      </c>
      <c r="CI1525" s="10">
        <v>999888</v>
      </c>
    </row>
    <row r="1526" spans="1:90">
      <c r="A1526">
        <v>28023849</v>
      </c>
      <c r="B1526" s="2" t="str">
        <f>HYPERLINK("http://www.redfin.com/stingray/do/printable-listing?listing-id=1466018","Active")</f>
        <v>Active</v>
      </c>
      <c r="D1526" t="s">
        <v>99</v>
      </c>
      <c r="E1526" t="s">
        <v>1224</v>
      </c>
      <c r="F1526" s="19">
        <v>550000</v>
      </c>
      <c r="G1526">
        <v>1940</v>
      </c>
      <c r="H1526">
        <v>1720</v>
      </c>
      <c r="I1526">
        <v>11653</v>
      </c>
      <c r="J1526">
        <v>3</v>
      </c>
      <c r="K1526">
        <v>1.5</v>
      </c>
      <c r="M1526" s="2" t="str">
        <f>HYPERLINK("http://maps.live.com/default.aspx?v=2&amp;lvl=15&amp;sp=Point.47.697081_-122.370303_9233 11th Ave NW&amp;cp=47.697081~-122.370303","Map")</f>
        <v>Map</v>
      </c>
      <c r="N1526" s="2" t="str">
        <f>HYPERLINK("http://i-0.rfimg.us/photo/1/bigphoto/849/28023849_0.jpg","Photo")</f>
        <v>Photo</v>
      </c>
      <c r="AG1526">
        <v>47.697080999999997</v>
      </c>
      <c r="AH1526">
        <v>-122.37030300000001</v>
      </c>
      <c r="AI1526" t="s">
        <v>66</v>
      </c>
      <c r="AJ1526">
        <v>98117</v>
      </c>
      <c r="BC1526" s="22">
        <v>39486.548171296294</v>
      </c>
      <c r="BI1526" s="22">
        <v>39549.294907407406</v>
      </c>
      <c r="BL1526">
        <v>12360</v>
      </c>
      <c r="BM1526">
        <v>1466018</v>
      </c>
      <c r="BN1526" t="s">
        <v>1790</v>
      </c>
      <c r="BO1526" s="17">
        <f t="shared" ca="1" si="23"/>
        <v>62.76123472222389</v>
      </c>
      <c r="BP1526" t="b">
        <v>0</v>
      </c>
      <c r="BQ1526">
        <v>1</v>
      </c>
      <c r="BR1526" t="s">
        <v>1667</v>
      </c>
      <c r="BS1526" t="s">
        <v>1792</v>
      </c>
      <c r="BT1526" t="b">
        <v>0</v>
      </c>
      <c r="BV1526" t="s">
        <v>1668</v>
      </c>
      <c r="BW1526">
        <v>9233</v>
      </c>
      <c r="BX1526" t="s">
        <v>1669</v>
      </c>
      <c r="BY1526">
        <v>12387421</v>
      </c>
      <c r="BZ1526" t="s">
        <v>1672</v>
      </c>
      <c r="CA1526">
        <v>1</v>
      </c>
      <c r="CB1526" t="b">
        <v>1</v>
      </c>
      <c r="CC1526">
        <v>0</v>
      </c>
      <c r="CD1526" t="b">
        <v>0</v>
      </c>
      <c r="CE1526" t="b">
        <v>0</v>
      </c>
      <c r="CF1526" t="b">
        <v>0</v>
      </c>
      <c r="CG1526">
        <v>15591169</v>
      </c>
      <c r="CH1526" t="s">
        <v>1681</v>
      </c>
      <c r="CI1526" s="10">
        <v>618000</v>
      </c>
    </row>
    <row r="1527" spans="1:90">
      <c r="A1527">
        <v>28024018</v>
      </c>
      <c r="B1527" s="2" t="str">
        <f>HYPERLINK("http://www.redfin.com/stingray/do/printable-listing?listing-id=1466724","Active")</f>
        <v>Active</v>
      </c>
      <c r="D1527" t="s">
        <v>55</v>
      </c>
      <c r="E1527" t="s">
        <v>357</v>
      </c>
      <c r="F1527">
        <v>379000</v>
      </c>
      <c r="G1527">
        <v>1989</v>
      </c>
      <c r="H1527">
        <v>1300</v>
      </c>
      <c r="I1527">
        <v>2751</v>
      </c>
      <c r="J1527">
        <v>3</v>
      </c>
      <c r="K1527">
        <v>2</v>
      </c>
      <c r="M1527" s="2" t="str">
        <f>HYPERLINK("http://maps.live.com/default.aspx?v=2&amp;lvl=15&amp;sp=Point.47.690067_-122.362242_336 NW 84th St&amp;cp=47.690067~-122.362242","Map")</f>
        <v>Map</v>
      </c>
      <c r="N1527" s="2" t="str">
        <f>HYPERLINK("http://i-0.rfimg.us/photo/1/bigphoto/018/28024018_1.jpg","Photo")</f>
        <v>Photo</v>
      </c>
      <c r="AG1527">
        <v>47.690066999999999</v>
      </c>
      <c r="AH1527">
        <v>-122.36224199999999</v>
      </c>
      <c r="AI1527" t="s">
        <v>66</v>
      </c>
      <c r="AJ1527">
        <v>98117</v>
      </c>
      <c r="AN1527">
        <v>138500</v>
      </c>
      <c r="BC1527" s="22">
        <v>39486.632152777776</v>
      </c>
      <c r="BI1527" s="7">
        <v>39513</v>
      </c>
      <c r="BL1527">
        <v>7580</v>
      </c>
      <c r="BM1527">
        <v>1466724</v>
      </c>
      <c r="BN1527" t="s">
        <v>1700</v>
      </c>
      <c r="BO1527" s="17">
        <f t="shared" ca="1" si="23"/>
        <v>62.677253240741265</v>
      </c>
      <c r="BP1527" t="b">
        <v>0</v>
      </c>
      <c r="BQ1527">
        <v>1</v>
      </c>
      <c r="BR1527" t="s">
        <v>1686</v>
      </c>
      <c r="BS1527" t="s">
        <v>1826</v>
      </c>
      <c r="BT1527" t="b">
        <v>0</v>
      </c>
      <c r="BU1527" t="s">
        <v>1669</v>
      </c>
      <c r="BV1527" t="s">
        <v>1668</v>
      </c>
      <c r="BW1527">
        <v>336</v>
      </c>
      <c r="BY1527">
        <v>498451</v>
      </c>
      <c r="BZ1527" t="s">
        <v>2065</v>
      </c>
      <c r="CA1527">
        <v>1</v>
      </c>
      <c r="CB1527" t="b">
        <v>1</v>
      </c>
      <c r="CC1527">
        <v>0</v>
      </c>
      <c r="CD1527" t="b">
        <v>0</v>
      </c>
      <c r="CE1527" t="b">
        <v>0</v>
      </c>
      <c r="CF1527" t="b">
        <v>0</v>
      </c>
      <c r="CG1527">
        <v>2682151</v>
      </c>
      <c r="CH1527" t="s">
        <v>1681</v>
      </c>
      <c r="CI1527" s="10">
        <v>379000</v>
      </c>
      <c r="CJ1527" s="7">
        <v>34761</v>
      </c>
    </row>
    <row r="1528" spans="1:90">
      <c r="A1528">
        <v>28024040</v>
      </c>
      <c r="B1528" s="2" t="str">
        <f>HYPERLINK("http://www.redfin.com/stingray/do/printable-listing?listing-id=1466806","Active")</f>
        <v>Active</v>
      </c>
      <c r="D1528" t="s">
        <v>1077</v>
      </c>
      <c r="E1528" t="s">
        <v>6036</v>
      </c>
      <c r="F1528">
        <v>774950</v>
      </c>
      <c r="G1528">
        <v>1997</v>
      </c>
      <c r="H1528">
        <v>3060</v>
      </c>
      <c r="I1528">
        <v>21853</v>
      </c>
      <c r="J1528">
        <v>4</v>
      </c>
      <c r="K1528">
        <v>2.5</v>
      </c>
      <c r="M1528" s="2" t="str">
        <f>HYPERLINK("http://maps.live.com/default.aspx?v=2&amp;lvl=15&amp;sp=Point.47.513013_-122.146697_2401 Lyons Ave NE&amp;cp=47.513013~-122.146697","Map")</f>
        <v>Map</v>
      </c>
      <c r="N1528" s="2" t="str">
        <f>HYPERLINK("http://i-0.rfimg.us/photo/1/bigphoto/040/28024040_1.jpg","Photo")</f>
        <v>Photo</v>
      </c>
      <c r="AG1528">
        <v>47.513013000000001</v>
      </c>
      <c r="AH1528">
        <v>-122.146697</v>
      </c>
      <c r="AI1528" t="s">
        <v>1077</v>
      </c>
      <c r="AJ1528">
        <v>98059</v>
      </c>
      <c r="AN1528">
        <v>539950</v>
      </c>
      <c r="BC1528" s="22">
        <v>39486.641631944447</v>
      </c>
      <c r="BI1528" s="22">
        <v>39549.294907407406</v>
      </c>
      <c r="BL1528">
        <v>15499</v>
      </c>
      <c r="BM1528">
        <v>1466806</v>
      </c>
      <c r="BN1528" t="s">
        <v>1680</v>
      </c>
      <c r="BO1528" s="17">
        <f t="shared" ca="1" si="23"/>
        <v>62.667773958331964</v>
      </c>
      <c r="BP1528" t="b">
        <v>0</v>
      </c>
      <c r="BQ1528">
        <v>1</v>
      </c>
      <c r="BR1528" t="s">
        <v>1667</v>
      </c>
      <c r="BS1528" t="s">
        <v>6037</v>
      </c>
      <c r="BT1528" t="b">
        <v>0</v>
      </c>
      <c r="BV1528" t="s">
        <v>1668</v>
      </c>
      <c r="BW1528">
        <v>2401</v>
      </c>
      <c r="BX1528" t="s">
        <v>1738</v>
      </c>
      <c r="BY1528">
        <v>411932</v>
      </c>
      <c r="BZ1528" t="s">
        <v>1704</v>
      </c>
      <c r="CA1528">
        <v>1</v>
      </c>
      <c r="CB1528" t="b">
        <v>1</v>
      </c>
      <c r="CC1528">
        <v>0</v>
      </c>
      <c r="CD1528" t="b">
        <v>0</v>
      </c>
      <c r="CE1528" t="b">
        <v>0</v>
      </c>
      <c r="CF1528" t="b">
        <v>0</v>
      </c>
      <c r="CG1528">
        <v>2688043</v>
      </c>
      <c r="CH1528" t="s">
        <v>1681</v>
      </c>
      <c r="CI1528" s="10">
        <v>774950</v>
      </c>
      <c r="CJ1528" s="7">
        <v>37671</v>
      </c>
    </row>
    <row r="1529" spans="1:90">
      <c r="A1529">
        <v>28024113</v>
      </c>
      <c r="B1529" s="2" t="str">
        <f>HYPERLINK("http://www.redfin.com/stingray/do/printable-listing?listing-id=1469097","Subject To Inspection")</f>
        <v>Subject To Inspection</v>
      </c>
      <c r="D1529" t="s">
        <v>192</v>
      </c>
      <c r="E1529" t="s">
        <v>728</v>
      </c>
      <c r="F1529">
        <v>429850</v>
      </c>
      <c r="G1529">
        <v>1942</v>
      </c>
      <c r="H1529">
        <v>1600</v>
      </c>
      <c r="I1529">
        <v>6380</v>
      </c>
      <c r="J1529">
        <v>3</v>
      </c>
      <c r="K1529">
        <v>1</v>
      </c>
      <c r="M1529" s="2" t="str">
        <f>HYPERLINK("http://maps.live.com/default.aspx?v=2&amp;lvl=15&amp;sp=Point.47.701954_-122.319613_819 NE 102 St&amp;cp=47.701954~-122.319613","Map")</f>
        <v>Map</v>
      </c>
      <c r="N1529" s="2" t="str">
        <f>HYPERLINK("http://i-0.rfimg.us/photo/1/bigphoto/113/28024113_B.jpg","Photo")</f>
        <v>Photo</v>
      </c>
      <c r="AG1529">
        <v>47.701954000000001</v>
      </c>
      <c r="AH1529">
        <v>-122.319613</v>
      </c>
      <c r="AI1529" t="s">
        <v>66</v>
      </c>
      <c r="AJ1529">
        <v>98125</v>
      </c>
      <c r="AN1529">
        <v>69700</v>
      </c>
      <c r="BC1529" s="22">
        <v>39487.58965277778</v>
      </c>
      <c r="BI1529" s="7">
        <v>39541</v>
      </c>
      <c r="BL1529">
        <v>8597</v>
      </c>
      <c r="BM1529">
        <v>1469097</v>
      </c>
      <c r="BN1529" t="s">
        <v>1768</v>
      </c>
      <c r="BO1529" s="17">
        <f t="shared" ca="1" si="23"/>
        <v>61.719753124998533</v>
      </c>
      <c r="BP1529" t="b">
        <v>0</v>
      </c>
      <c r="BQ1529">
        <v>2</v>
      </c>
      <c r="BR1529" t="s">
        <v>1686</v>
      </c>
      <c r="BS1529">
        <v>102</v>
      </c>
      <c r="BT1529" t="b">
        <v>0</v>
      </c>
      <c r="BU1529" t="s">
        <v>1738</v>
      </c>
      <c r="BV1529" t="s">
        <v>1668</v>
      </c>
      <c r="BW1529">
        <v>819</v>
      </c>
      <c r="BY1529">
        <v>109190</v>
      </c>
      <c r="BZ1529" t="s">
        <v>3035</v>
      </c>
      <c r="CA1529">
        <v>1</v>
      </c>
      <c r="CB1529" t="b">
        <v>1</v>
      </c>
      <c r="CC1529">
        <v>0</v>
      </c>
      <c r="CD1529" t="b">
        <v>0</v>
      </c>
      <c r="CE1529" t="b">
        <v>0</v>
      </c>
      <c r="CF1529" t="b">
        <v>0</v>
      </c>
      <c r="CG1529">
        <v>2937249</v>
      </c>
      <c r="CH1529" t="s">
        <v>1681</v>
      </c>
      <c r="CI1529" s="10">
        <v>429850</v>
      </c>
      <c r="CJ1529" s="7">
        <v>31125</v>
      </c>
    </row>
    <row r="1530" spans="1:90">
      <c r="A1530">
        <v>28024150</v>
      </c>
      <c r="B1530" s="15" t="str">
        <f>HYPERLINK("http://www.redfin.com/stingray/do/printable-listing?listing-id=1467109","Active")</f>
        <v>Active</v>
      </c>
      <c r="D1530" t="s">
        <v>184</v>
      </c>
      <c r="E1530" t="s">
        <v>2183</v>
      </c>
      <c r="F1530" s="19">
        <v>339999</v>
      </c>
      <c r="G1530">
        <v>1950</v>
      </c>
      <c r="H1530">
        <v>0</v>
      </c>
      <c r="I1530">
        <v>0</v>
      </c>
      <c r="J1530">
        <v>3</v>
      </c>
      <c r="K1530">
        <v>1</v>
      </c>
      <c r="M1530" s="2" t="str">
        <f>HYPERLINK("http://maps.live.com/default.aspx?v=2&amp;lvl=15&amp;sp=Point.47.717397_-122.319069_839 NE 123rd St&amp;cp=47.717397~-122.319069","Map")</f>
        <v>Map</v>
      </c>
      <c r="N1530" s="2" t="str">
        <f>HYPERLINK("http://i-0.rfimg.us/photo/1/bigphoto/150/28024150_1.jpg","Photo")</f>
        <v>Photo</v>
      </c>
      <c r="AG1530">
        <v>47.717396999999998</v>
      </c>
      <c r="AH1530">
        <v>-122.319069</v>
      </c>
      <c r="AI1530" t="s">
        <v>66</v>
      </c>
      <c r="AJ1530">
        <v>98125</v>
      </c>
      <c r="AN1530">
        <v>223300</v>
      </c>
      <c r="BC1530" s="22">
        <v>39486.695104166669</v>
      </c>
      <c r="BI1530" s="22">
        <v>39549.294907407406</v>
      </c>
      <c r="BL1530">
        <v>7000</v>
      </c>
      <c r="BM1530">
        <v>1467109</v>
      </c>
      <c r="BN1530" t="s">
        <v>2924</v>
      </c>
      <c r="BO1530" s="17">
        <f t="shared" ca="1" si="23"/>
        <v>62.614301736110065</v>
      </c>
      <c r="BP1530" t="b">
        <v>0</v>
      </c>
      <c r="BQ1530">
        <v>2</v>
      </c>
      <c r="BR1530" t="s">
        <v>1686</v>
      </c>
      <c r="BS1530" t="s">
        <v>2882</v>
      </c>
      <c r="BT1530" t="b">
        <v>0</v>
      </c>
      <c r="BU1530" t="s">
        <v>1738</v>
      </c>
      <c r="BV1530" t="s">
        <v>1668</v>
      </c>
      <c r="BW1530">
        <v>839</v>
      </c>
      <c r="BY1530">
        <v>105991</v>
      </c>
      <c r="BZ1530" t="s">
        <v>2925</v>
      </c>
      <c r="CA1530">
        <v>1</v>
      </c>
      <c r="CB1530" t="b">
        <v>1</v>
      </c>
      <c r="CC1530">
        <v>0</v>
      </c>
      <c r="CD1530" t="b">
        <v>0</v>
      </c>
      <c r="CE1530" t="b">
        <v>0</v>
      </c>
      <c r="CF1530" t="b">
        <v>0</v>
      </c>
      <c r="CG1530">
        <v>2854606</v>
      </c>
      <c r="CH1530" t="s">
        <v>1681</v>
      </c>
      <c r="CI1530" s="10">
        <v>349999</v>
      </c>
      <c r="CJ1530" s="7">
        <v>38481</v>
      </c>
    </row>
    <row r="1531" spans="1:90">
      <c r="A1531">
        <v>28024167</v>
      </c>
      <c r="B1531" s="2" t="str">
        <f>HYPERLINK("http://www.redfin.com/stingray/do/printable-listing?listing-id=1467158","Active")</f>
        <v>Active</v>
      </c>
      <c r="D1531" t="s">
        <v>99</v>
      </c>
      <c r="E1531" t="s">
        <v>291</v>
      </c>
      <c r="F1531" s="19">
        <v>394500</v>
      </c>
      <c r="G1531">
        <v>1951</v>
      </c>
      <c r="H1531">
        <v>1830</v>
      </c>
      <c r="I1531">
        <v>5423</v>
      </c>
      <c r="J1531">
        <v>4</v>
      </c>
      <c r="K1531">
        <v>2</v>
      </c>
      <c r="M1531" s="2" t="str">
        <f>HYPERLINK("http://maps.live.com/default.aspx?v=2&amp;lvl=15&amp;sp=Point.47.696637_-122.366425_9219 8th Ave NW&amp;cp=47.696637~-122.366425","Map")</f>
        <v>Map</v>
      </c>
      <c r="N1531" s="2" t="str">
        <f>HYPERLINK("http://i-0.rfimg.us/photo/1/bigphoto/167/28024167_2.jpg","Photo")</f>
        <v>Photo</v>
      </c>
      <c r="AG1531">
        <v>47.696637000000003</v>
      </c>
      <c r="AH1531">
        <v>-122.36642500000001</v>
      </c>
      <c r="AI1531" t="s">
        <v>66</v>
      </c>
      <c r="AJ1531">
        <v>98117</v>
      </c>
      <c r="BC1531" s="22">
        <v>39486.704004629632</v>
      </c>
      <c r="BI1531" s="22">
        <v>39549.294907407406</v>
      </c>
      <c r="BL1531">
        <v>8290</v>
      </c>
      <c r="BM1531">
        <v>1467158</v>
      </c>
      <c r="BN1531" t="s">
        <v>1850</v>
      </c>
      <c r="BO1531" s="17">
        <f t="shared" ca="1" si="23"/>
        <v>62.605401388886094</v>
      </c>
      <c r="BP1531" t="b">
        <v>0</v>
      </c>
      <c r="BQ1531">
        <v>1</v>
      </c>
      <c r="BR1531" t="s">
        <v>1667</v>
      </c>
      <c r="BS1531" t="s">
        <v>1723</v>
      </c>
      <c r="BT1531" t="b">
        <v>0</v>
      </c>
      <c r="BV1531" t="s">
        <v>1668</v>
      </c>
      <c r="BW1531">
        <v>9219</v>
      </c>
      <c r="BX1531" t="s">
        <v>1669</v>
      </c>
      <c r="BY1531">
        <v>100424</v>
      </c>
      <c r="BZ1531" t="s">
        <v>1851</v>
      </c>
      <c r="CA1531">
        <v>1</v>
      </c>
      <c r="CB1531" t="b">
        <v>1</v>
      </c>
      <c r="CC1531">
        <v>0</v>
      </c>
      <c r="CD1531" t="b">
        <v>0</v>
      </c>
      <c r="CE1531" t="b">
        <v>0</v>
      </c>
      <c r="CF1531" t="b">
        <v>0</v>
      </c>
      <c r="CG1531">
        <v>2359627</v>
      </c>
      <c r="CH1531" t="s">
        <v>1681</v>
      </c>
      <c r="CI1531" s="10">
        <v>414500</v>
      </c>
    </row>
    <row r="1532" spans="1:90">
      <c r="A1532">
        <v>28024179</v>
      </c>
      <c r="B1532" s="2" t="str">
        <f>HYPERLINK("http://www.redfin.com/stingray/do/printable-listing?listing-id=1467236","Subject To Inspection")</f>
        <v>Subject To Inspection</v>
      </c>
      <c r="D1532" t="s">
        <v>2552</v>
      </c>
      <c r="E1532" t="s">
        <v>3406</v>
      </c>
      <c r="F1532">
        <v>409900</v>
      </c>
      <c r="G1532">
        <v>1914</v>
      </c>
      <c r="H1532">
        <v>1920</v>
      </c>
      <c r="I1532">
        <v>2250</v>
      </c>
      <c r="J1532">
        <v>3</v>
      </c>
      <c r="K1532">
        <v>1.75</v>
      </c>
      <c r="M1532" s="2" t="str">
        <f>HYPERLINK("http://maps.live.com/default.aspx?v=2&amp;lvl=15&amp;sp=Point.47.651986_-122.38413_2217 Ruffner St&amp;cp=47.651986~-122.38413","Map")</f>
        <v>Map</v>
      </c>
      <c r="N1532" s="2" t="str">
        <f>HYPERLINK("http://i-0.rfimg.us/photo/1/bigphoto/179/28024179_0.jpg","Photo")</f>
        <v>Photo</v>
      </c>
      <c r="AG1532">
        <v>47.651986000000001</v>
      </c>
      <c r="AH1532">
        <v>-122.38413</v>
      </c>
      <c r="AI1532" t="s">
        <v>66</v>
      </c>
      <c r="AJ1532">
        <v>98199</v>
      </c>
      <c r="AN1532">
        <v>351000</v>
      </c>
      <c r="BC1532" s="22">
        <v>39486.725856481484</v>
      </c>
      <c r="BI1532" s="7">
        <v>39534</v>
      </c>
      <c r="BL1532">
        <v>8198</v>
      </c>
      <c r="BM1532">
        <v>1467236</v>
      </c>
      <c r="BN1532" t="s">
        <v>1768</v>
      </c>
      <c r="BO1532" s="17">
        <f t="shared" ca="1" si="23"/>
        <v>62.583549421295174</v>
      </c>
      <c r="BP1532" t="b">
        <v>0</v>
      </c>
      <c r="BQ1532">
        <v>2</v>
      </c>
      <c r="BR1532" t="s">
        <v>1686</v>
      </c>
      <c r="BS1532" t="s">
        <v>3407</v>
      </c>
      <c r="BT1532" t="b">
        <v>0</v>
      </c>
      <c r="BV1532" t="s">
        <v>1668</v>
      </c>
      <c r="BW1532">
        <v>2217</v>
      </c>
      <c r="BY1532">
        <v>123654</v>
      </c>
      <c r="BZ1532" t="s">
        <v>1672</v>
      </c>
      <c r="CA1532">
        <v>1</v>
      </c>
      <c r="CB1532" t="b">
        <v>1</v>
      </c>
      <c r="CC1532">
        <v>0</v>
      </c>
      <c r="CD1532" t="b">
        <v>0</v>
      </c>
      <c r="CE1532" t="b">
        <v>0</v>
      </c>
      <c r="CF1532" t="b">
        <v>0</v>
      </c>
      <c r="CG1532">
        <v>2526490</v>
      </c>
      <c r="CH1532" t="s">
        <v>1681</v>
      </c>
      <c r="CI1532" s="10">
        <v>409900</v>
      </c>
      <c r="CJ1532" s="7">
        <v>38401</v>
      </c>
    </row>
    <row r="1533" spans="1:90">
      <c r="A1533">
        <v>28024180</v>
      </c>
      <c r="B1533" s="2" t="str">
        <f>HYPERLINK("http://www.redfin.com/stingray/do/printable-listing?listing-id=1467822","Active")</f>
        <v>Active</v>
      </c>
      <c r="D1533" t="s">
        <v>5490</v>
      </c>
      <c r="E1533" t="s">
        <v>5891</v>
      </c>
      <c r="F1533" s="19">
        <v>699850</v>
      </c>
      <c r="G1533">
        <v>2004</v>
      </c>
      <c r="H1533">
        <v>2630</v>
      </c>
      <c r="I1533">
        <v>8395</v>
      </c>
      <c r="J1533">
        <v>4</v>
      </c>
      <c r="K1533">
        <v>2.5</v>
      </c>
      <c r="M1533" s="2" t="str">
        <f>HYPERLINK("http://maps.live.com/default.aspx?v=2&amp;lvl=15&amp;sp=Point.47.565639664561_-122.12393790333_4483 162nd Ct SE&amp;cp=47.565639664561~-122.12393790333","Map")</f>
        <v>Map</v>
      </c>
      <c r="N1533" s="2" t="str">
        <f>HYPERLINK("http://i-0.rfimg.us/photo/1/bigphoto/180/28024180_3.jpg","Photo")</f>
        <v>Photo</v>
      </c>
      <c r="AG1533">
        <v>47.565639664560997</v>
      </c>
      <c r="AH1533">
        <v>-122.12393790333</v>
      </c>
      <c r="AI1533" t="s">
        <v>5280</v>
      </c>
      <c r="AJ1533">
        <v>98027</v>
      </c>
      <c r="AN1533">
        <v>499737</v>
      </c>
      <c r="BC1533" s="22">
        <v>39486.931875000002</v>
      </c>
      <c r="BI1533" s="22">
        <v>39549.294907407406</v>
      </c>
      <c r="BL1533">
        <v>14500</v>
      </c>
      <c r="BM1533">
        <v>1467822</v>
      </c>
      <c r="BN1533" t="s">
        <v>5858</v>
      </c>
      <c r="BO1533" s="17">
        <f t="shared" ca="1" si="23"/>
        <v>62.377530902776925</v>
      </c>
      <c r="BP1533" t="b">
        <v>0</v>
      </c>
      <c r="BQ1533">
        <v>1</v>
      </c>
      <c r="BR1533" t="s">
        <v>3768</v>
      </c>
      <c r="BS1533" t="s">
        <v>5663</v>
      </c>
      <c r="BT1533" t="b">
        <v>0</v>
      </c>
      <c r="BV1533" t="s">
        <v>1668</v>
      </c>
      <c r="BW1533">
        <v>4483</v>
      </c>
      <c r="BX1533" t="s">
        <v>3856</v>
      </c>
      <c r="BY1533">
        <v>238501</v>
      </c>
      <c r="BZ1533" t="s">
        <v>5892</v>
      </c>
      <c r="CA1533">
        <v>1</v>
      </c>
      <c r="CB1533" t="b">
        <v>1</v>
      </c>
      <c r="CC1533">
        <v>0</v>
      </c>
      <c r="CD1533" t="b">
        <v>0</v>
      </c>
      <c r="CE1533" t="b">
        <v>0</v>
      </c>
      <c r="CF1533" t="b">
        <v>0</v>
      </c>
      <c r="CG1533">
        <v>2452754</v>
      </c>
      <c r="CH1533" t="s">
        <v>1681</v>
      </c>
      <c r="CI1533" s="10">
        <v>724990</v>
      </c>
      <c r="CJ1533" s="7">
        <v>38135</v>
      </c>
    </row>
    <row r="1534" spans="1:90">
      <c r="A1534">
        <v>28024282</v>
      </c>
      <c r="B1534" s="2" t="str">
        <f>HYPERLINK("http://www.redfin.com/stingray/do/printable-listing?listing-id=1467687","Active")</f>
        <v>Active</v>
      </c>
      <c r="D1534" t="s">
        <v>1058</v>
      </c>
      <c r="E1534" t="s">
        <v>4581</v>
      </c>
      <c r="F1534">
        <v>379950</v>
      </c>
      <c r="G1534">
        <v>1970</v>
      </c>
      <c r="H1534">
        <v>1300</v>
      </c>
      <c r="I1534">
        <v>0</v>
      </c>
      <c r="J1534">
        <v>4</v>
      </c>
      <c r="K1534">
        <v>1.75</v>
      </c>
      <c r="M1534" s="2" t="str">
        <f>HYPERLINK("http://maps.live.com/default.aspx?v=2&amp;lvl=15&amp;sp=Point.47.723859_-122.178658_13704 121st Ave NE&amp;cp=47.723859~-122.178658","Map")</f>
        <v>Map</v>
      </c>
      <c r="N1534" s="2" t="str">
        <f>HYPERLINK("http://i-0.rfimg.us/photo/1/bigphoto/282/28024282_5.jpg","Photo")</f>
        <v>Photo</v>
      </c>
      <c r="AG1534">
        <v>47.723858999999997</v>
      </c>
      <c r="AH1534">
        <v>-122.178658</v>
      </c>
      <c r="AI1534" t="s">
        <v>1058</v>
      </c>
      <c r="AJ1534">
        <v>98034</v>
      </c>
      <c r="AN1534">
        <v>234000</v>
      </c>
      <c r="BC1534" s="22">
        <v>39486.828379629631</v>
      </c>
      <c r="BI1534" s="22">
        <v>39549.294907407406</v>
      </c>
      <c r="BL1534">
        <v>7599</v>
      </c>
      <c r="BM1534">
        <v>1467687</v>
      </c>
      <c r="BN1534" t="s">
        <v>3171</v>
      </c>
      <c r="BO1534" s="17">
        <f t="shared" ca="1" si="23"/>
        <v>62.481026273148018</v>
      </c>
      <c r="BP1534" t="b">
        <v>0</v>
      </c>
      <c r="BQ1534">
        <v>1</v>
      </c>
      <c r="BR1534" t="s">
        <v>1667</v>
      </c>
      <c r="BS1534" t="s">
        <v>4414</v>
      </c>
      <c r="BT1534" t="b">
        <v>0</v>
      </c>
      <c r="BV1534" t="s">
        <v>1668</v>
      </c>
      <c r="BW1534">
        <v>13704</v>
      </c>
      <c r="BX1534" t="s">
        <v>1738</v>
      </c>
      <c r="BY1534">
        <v>455121</v>
      </c>
      <c r="BZ1534" t="s">
        <v>4582</v>
      </c>
      <c r="CA1534">
        <v>1</v>
      </c>
      <c r="CB1534" t="b">
        <v>1</v>
      </c>
      <c r="CC1534">
        <v>0</v>
      </c>
      <c r="CD1534" t="b">
        <v>0</v>
      </c>
      <c r="CE1534" t="b">
        <v>0</v>
      </c>
      <c r="CF1534" t="b">
        <v>0</v>
      </c>
      <c r="CG1534">
        <v>2508074</v>
      </c>
      <c r="CH1534" t="s">
        <v>1681</v>
      </c>
      <c r="CI1534" s="10">
        <v>379950</v>
      </c>
      <c r="CJ1534" s="7">
        <v>38330</v>
      </c>
    </row>
    <row r="1535" spans="1:90">
      <c r="A1535">
        <v>28024288</v>
      </c>
      <c r="B1535" s="2" t="str">
        <f>HYPERLINK("http://www.redfin.com/stingray/do/printable-listing?listing-id=1467699","Active")</f>
        <v>Active</v>
      </c>
      <c r="D1535" t="s">
        <v>218</v>
      </c>
      <c r="E1535" t="s">
        <v>1463</v>
      </c>
      <c r="F1535">
        <v>429000</v>
      </c>
      <c r="G1535">
        <v>1926</v>
      </c>
      <c r="H1535">
        <v>1700</v>
      </c>
      <c r="I1535">
        <v>4500</v>
      </c>
      <c r="J1535">
        <v>3</v>
      </c>
      <c r="K1535">
        <v>1.75</v>
      </c>
      <c r="M1535" s="2" t="str">
        <f>HYPERLINK("http://maps.live.com/default.aspx?v=2&amp;lvl=15&amp;sp=Point.47.671904_-122.300313_5762 25th Ave NE&amp;cp=47.671904~-122.300313","Map")</f>
        <v>Map</v>
      </c>
      <c r="N1535" s="2" t="str">
        <f>HYPERLINK("http://i-0.rfimg.us/photo/1/bigphoto/288/28024288_0.jpg","Photo")</f>
        <v>Photo</v>
      </c>
      <c r="AG1535">
        <v>47.671903999999998</v>
      </c>
      <c r="AH1535">
        <v>-122.300313</v>
      </c>
      <c r="AI1535" t="s">
        <v>66</v>
      </c>
      <c r="AJ1535">
        <v>98105</v>
      </c>
      <c r="AN1535">
        <v>102500</v>
      </c>
      <c r="BC1535" s="22">
        <v>39486.839108796295</v>
      </c>
      <c r="BI1535" s="22">
        <v>39549.294907407406</v>
      </c>
      <c r="BL1535">
        <v>8580</v>
      </c>
      <c r="BM1535">
        <v>1467699</v>
      </c>
      <c r="BN1535" t="s">
        <v>1680</v>
      </c>
      <c r="BO1535" s="17">
        <f t="shared" ca="1" si="23"/>
        <v>62.470297106483486</v>
      </c>
      <c r="BP1535" t="b">
        <v>0</v>
      </c>
      <c r="BQ1535">
        <v>1</v>
      </c>
      <c r="BR1535" t="s">
        <v>1667</v>
      </c>
      <c r="BS1535" t="s">
        <v>1819</v>
      </c>
      <c r="BT1535" t="b">
        <v>0</v>
      </c>
      <c r="BV1535" t="s">
        <v>1668</v>
      </c>
      <c r="BW1535">
        <v>5762</v>
      </c>
      <c r="BX1535" t="s">
        <v>1738</v>
      </c>
      <c r="BY1535">
        <v>312848</v>
      </c>
      <c r="BZ1535" t="s">
        <v>1762</v>
      </c>
      <c r="CA1535">
        <v>1</v>
      </c>
      <c r="CB1535" t="b">
        <v>1</v>
      </c>
      <c r="CC1535">
        <v>0</v>
      </c>
      <c r="CD1535" t="b">
        <v>1</v>
      </c>
      <c r="CE1535" t="b">
        <v>0</v>
      </c>
      <c r="CF1535" t="b">
        <v>0</v>
      </c>
      <c r="CG1535">
        <v>2741582</v>
      </c>
      <c r="CH1535" t="s">
        <v>1681</v>
      </c>
      <c r="CI1535" s="10">
        <v>429000</v>
      </c>
      <c r="CJ1535" s="7">
        <v>34043</v>
      </c>
      <c r="CL1535" t="s">
        <v>2204</v>
      </c>
    </row>
    <row r="1536" spans="1:90">
      <c r="A1536">
        <v>28024362</v>
      </c>
      <c r="B1536" s="2" t="str">
        <f>HYPERLINK("http://www.redfin.com/stingray/do/printable-listing?listing-id=1468739","Active")</f>
        <v>Active</v>
      </c>
      <c r="D1536" t="s">
        <v>100</v>
      </c>
      <c r="E1536" t="s">
        <v>3627</v>
      </c>
      <c r="F1536" s="19">
        <v>414500</v>
      </c>
      <c r="G1536">
        <v>2007</v>
      </c>
      <c r="H1536">
        <v>1230</v>
      </c>
      <c r="I1536">
        <v>0</v>
      </c>
      <c r="J1536">
        <v>2</v>
      </c>
      <c r="K1536">
        <v>2.5</v>
      </c>
      <c r="M1536" s="2" t="str">
        <f>HYPERLINK("http://maps.live.com/default.aspx?v=2&amp;lvl=15&amp;sp=Point.47.655732_-122.348319_4018 Linden Ave N nB&amp;cp=47.655732~-122.348319","Map")</f>
        <v>Map</v>
      </c>
      <c r="N1536" s="2" t="str">
        <f>HYPERLINK("http://i-0.rfimg.us/photo/1/bigphoto/362/28024362_0.jpg","Photo")</f>
        <v>Photo</v>
      </c>
      <c r="AG1536">
        <v>47.655732</v>
      </c>
      <c r="AH1536">
        <v>-122.348319</v>
      </c>
      <c r="AI1536" t="s">
        <v>66</v>
      </c>
      <c r="AJ1536">
        <v>98103</v>
      </c>
      <c r="AM1536" t="s">
        <v>1699</v>
      </c>
      <c r="BC1536" s="22">
        <v>39487.410416666666</v>
      </c>
      <c r="BI1536" s="22">
        <v>39549.294907407406</v>
      </c>
      <c r="BL1536">
        <v>8390</v>
      </c>
      <c r="BM1536">
        <v>1468739</v>
      </c>
      <c r="BN1536" t="s">
        <v>1773</v>
      </c>
      <c r="BO1536" s="17">
        <f t="shared" ca="1" si="23"/>
        <v>61.898989236113266</v>
      </c>
      <c r="BP1536" t="b">
        <v>0</v>
      </c>
      <c r="BQ1536">
        <v>1</v>
      </c>
      <c r="BR1536" t="s">
        <v>1667</v>
      </c>
      <c r="BS1536" t="s">
        <v>2439</v>
      </c>
      <c r="BT1536" t="b">
        <v>0</v>
      </c>
      <c r="BV1536" t="s">
        <v>1668</v>
      </c>
      <c r="BW1536">
        <v>4018</v>
      </c>
      <c r="BX1536" t="s">
        <v>1712</v>
      </c>
      <c r="BY1536">
        <v>12387775</v>
      </c>
      <c r="BZ1536" t="s">
        <v>3628</v>
      </c>
      <c r="CA1536">
        <v>1</v>
      </c>
      <c r="CB1536" t="b">
        <v>1</v>
      </c>
      <c r="CC1536">
        <v>0</v>
      </c>
      <c r="CD1536" t="b">
        <v>0</v>
      </c>
      <c r="CE1536" t="b">
        <v>0</v>
      </c>
      <c r="CF1536" t="b">
        <v>0</v>
      </c>
      <c r="CG1536">
        <v>15591523</v>
      </c>
      <c r="CH1536" t="s">
        <v>1681</v>
      </c>
      <c r="CI1536" s="10">
        <v>419500</v>
      </c>
    </row>
    <row r="1537" spans="1:90">
      <c r="A1537">
        <v>28024363</v>
      </c>
      <c r="B1537" s="2" t="str">
        <f>HYPERLINK("http://www.redfin.com/stingray/do/printable-listing?listing-id=1468752","Active")</f>
        <v>Active</v>
      </c>
      <c r="D1537" t="s">
        <v>3066</v>
      </c>
      <c r="E1537" t="s">
        <v>4718</v>
      </c>
      <c r="F1537">
        <v>879000</v>
      </c>
      <c r="G1537">
        <v>2007</v>
      </c>
      <c r="H1537">
        <v>3240</v>
      </c>
      <c r="I1537">
        <v>7009</v>
      </c>
      <c r="J1537">
        <v>4</v>
      </c>
      <c r="K1537">
        <v>2.75</v>
      </c>
      <c r="M1537" s="2" t="str">
        <f>HYPERLINK("http://maps.live.com/default.aspx?v=2&amp;lvl=15&amp;sp=Point.47.67499_-122.175851_7914 123rd Ave NE&amp;cp=47.67499~-122.175851","Map")</f>
        <v>Map</v>
      </c>
      <c r="N1537" s="2" t="str">
        <f>HYPERLINK("http://i-0.rfimg.us/photo/1/bigphoto/363/28024363_5.jpg","Photo")</f>
        <v>Photo</v>
      </c>
      <c r="AG1537">
        <v>47.674990000000001</v>
      </c>
      <c r="AH1537">
        <v>-122.17585099999999</v>
      </c>
      <c r="AI1537" t="s">
        <v>1058</v>
      </c>
      <c r="AJ1537">
        <v>98033</v>
      </c>
      <c r="AN1537">
        <v>131000</v>
      </c>
      <c r="BC1537" s="22">
        <v>39487.421805555554</v>
      </c>
      <c r="BI1537" s="22">
        <v>39549.294907407406</v>
      </c>
      <c r="BL1537">
        <v>17580</v>
      </c>
      <c r="BM1537">
        <v>1468752</v>
      </c>
      <c r="BN1537" t="s">
        <v>2419</v>
      </c>
      <c r="BO1537" s="17">
        <f t="shared" ca="1" si="23"/>
        <v>61.887600347225089</v>
      </c>
      <c r="BP1537" t="b">
        <v>0</v>
      </c>
      <c r="BQ1537">
        <v>1</v>
      </c>
      <c r="BR1537" t="s">
        <v>1667</v>
      </c>
      <c r="BS1537" t="s">
        <v>2882</v>
      </c>
      <c r="BT1537" t="b">
        <v>0</v>
      </c>
      <c r="BV1537" t="s">
        <v>1668</v>
      </c>
      <c r="BW1537">
        <v>7914</v>
      </c>
      <c r="BX1537" t="s">
        <v>1738</v>
      </c>
      <c r="BY1537">
        <v>517338</v>
      </c>
      <c r="BZ1537" t="s">
        <v>4719</v>
      </c>
      <c r="CA1537">
        <v>1</v>
      </c>
      <c r="CB1537" t="b">
        <v>1</v>
      </c>
      <c r="CC1537">
        <v>0</v>
      </c>
      <c r="CD1537" t="b">
        <v>0</v>
      </c>
      <c r="CE1537" t="b">
        <v>0</v>
      </c>
      <c r="CF1537" t="b">
        <v>0</v>
      </c>
      <c r="CG1537">
        <v>2469024</v>
      </c>
      <c r="CH1537" t="s">
        <v>1681</v>
      </c>
      <c r="CI1537" s="10">
        <v>879000</v>
      </c>
      <c r="CJ1537" s="7">
        <v>35559</v>
      </c>
    </row>
    <row r="1538" spans="1:90">
      <c r="A1538">
        <v>28024386</v>
      </c>
      <c r="B1538" s="2" t="str">
        <f>HYPERLINK("http://www.redfin.com/stingray/do/printable-listing?listing-id=1468789","Active")</f>
        <v>Active</v>
      </c>
      <c r="D1538" t="s">
        <v>101</v>
      </c>
      <c r="E1538" t="s">
        <v>1177</v>
      </c>
      <c r="F1538" s="19">
        <v>524500</v>
      </c>
      <c r="G1538">
        <v>1949</v>
      </c>
      <c r="H1538">
        <v>0</v>
      </c>
      <c r="I1538">
        <v>5000</v>
      </c>
      <c r="J1538">
        <v>3</v>
      </c>
      <c r="K1538">
        <v>1.75</v>
      </c>
      <c r="M1538" s="2" t="str">
        <f>HYPERLINK("http://maps.live.com/default.aspx?v=2&amp;lvl=15&amp;sp=Point.47.698631_-122.38876_9602 26th Ave NW&amp;cp=47.698631~-122.38876","Map")</f>
        <v>Map</v>
      </c>
      <c r="N1538" s="2" t="str">
        <f>HYPERLINK("http://i-0.rfimg.us/photo/1/bigphoto/386/28024386_0.jpg","Photo")</f>
        <v>Photo</v>
      </c>
      <c r="AG1538">
        <v>47.698630999999999</v>
      </c>
      <c r="AH1538">
        <v>-122.38876</v>
      </c>
      <c r="AI1538" t="s">
        <v>66</v>
      </c>
      <c r="AJ1538">
        <v>98117</v>
      </c>
      <c r="AN1538">
        <v>396000</v>
      </c>
      <c r="BC1538" s="22">
        <v>39487.441990740743</v>
      </c>
      <c r="BI1538" s="22">
        <v>39549.294907407406</v>
      </c>
      <c r="BL1538">
        <v>10790</v>
      </c>
      <c r="BM1538">
        <v>1468789</v>
      </c>
      <c r="BN1538" t="s">
        <v>1768</v>
      </c>
      <c r="BO1538" s="17">
        <f t="shared" ref="BO1538:BO1601" ca="1" si="24">NOW()-BC1538</f>
        <v>61.867415277774853</v>
      </c>
      <c r="BP1538" t="b">
        <v>0</v>
      </c>
      <c r="BQ1538">
        <v>1</v>
      </c>
      <c r="BR1538" t="s">
        <v>1667</v>
      </c>
      <c r="BS1538" t="s">
        <v>1769</v>
      </c>
      <c r="BT1538" t="b">
        <v>0</v>
      </c>
      <c r="BV1538" t="s">
        <v>1668</v>
      </c>
      <c r="BW1538">
        <v>9602</v>
      </c>
      <c r="BX1538" t="s">
        <v>1669</v>
      </c>
      <c r="BY1538">
        <v>289533</v>
      </c>
      <c r="BZ1538" t="s">
        <v>1741</v>
      </c>
      <c r="CA1538">
        <v>1</v>
      </c>
      <c r="CB1538" t="b">
        <v>1</v>
      </c>
      <c r="CC1538">
        <v>0</v>
      </c>
      <c r="CD1538" t="b">
        <v>0</v>
      </c>
      <c r="CE1538" t="b">
        <v>0</v>
      </c>
      <c r="CF1538" t="b">
        <v>0</v>
      </c>
      <c r="CG1538">
        <v>2959908</v>
      </c>
      <c r="CH1538" t="s">
        <v>1681</v>
      </c>
      <c r="CI1538" s="10">
        <v>539500</v>
      </c>
      <c r="CJ1538" s="7">
        <v>38079</v>
      </c>
    </row>
    <row r="1539" spans="1:90">
      <c r="A1539">
        <v>28024389</v>
      </c>
      <c r="B1539" s="2" t="str">
        <f>HYPERLINK("http://www.redfin.com/stingray/do/printable-listing?listing-id=1468819","Active")</f>
        <v>Active</v>
      </c>
      <c r="D1539" t="s">
        <v>4542</v>
      </c>
      <c r="E1539" t="s">
        <v>4831</v>
      </c>
      <c r="F1539">
        <v>710000</v>
      </c>
      <c r="G1539">
        <v>1922</v>
      </c>
      <c r="H1539">
        <v>1490</v>
      </c>
      <c r="I1539">
        <v>8126</v>
      </c>
      <c r="J1539">
        <v>3</v>
      </c>
      <c r="K1539">
        <v>1.75</v>
      </c>
      <c r="M1539" s="2" t="str">
        <f>HYPERLINK("http://maps.live.com/default.aspx?v=2&amp;lvl=15&amp;sp=Point.47.684751_-122.199719_1047 5TH St&amp;cp=47.684751~-122.199719","Map")</f>
        <v>Map</v>
      </c>
      <c r="N1539" s="2" t="str">
        <f>HYPERLINK("http://i-0.rfimg.us/photo/1/bigphoto/389/28024389_0.jpg","Photo")</f>
        <v>Photo</v>
      </c>
      <c r="AG1539">
        <v>47.684750999999999</v>
      </c>
      <c r="AH1539">
        <v>-122.199719</v>
      </c>
      <c r="AI1539" t="s">
        <v>1058</v>
      </c>
      <c r="AJ1539">
        <v>98033</v>
      </c>
      <c r="BC1539" s="22">
        <v>39487.452881944446</v>
      </c>
      <c r="BI1539" s="22">
        <v>39549.294907407406</v>
      </c>
      <c r="BL1539">
        <v>14200</v>
      </c>
      <c r="BM1539">
        <v>1468819</v>
      </c>
      <c r="BN1539" t="s">
        <v>1688</v>
      </c>
      <c r="BO1539" s="17">
        <f t="shared" ca="1" si="24"/>
        <v>61.856523958333128</v>
      </c>
      <c r="BP1539" t="b">
        <v>0</v>
      </c>
      <c r="BQ1539">
        <v>1</v>
      </c>
      <c r="BR1539" t="s">
        <v>1686</v>
      </c>
      <c r="BS1539" t="s">
        <v>4701</v>
      </c>
      <c r="BT1539" t="b">
        <v>0</v>
      </c>
      <c r="BV1539" t="s">
        <v>1668</v>
      </c>
      <c r="BW1539">
        <v>1047</v>
      </c>
      <c r="BY1539">
        <v>461166</v>
      </c>
      <c r="BZ1539" s="21">
        <v>0</v>
      </c>
      <c r="CA1539">
        <v>1</v>
      </c>
      <c r="CB1539" t="b">
        <v>1</v>
      </c>
      <c r="CC1539">
        <v>0</v>
      </c>
      <c r="CD1539" t="b">
        <v>0</v>
      </c>
      <c r="CE1539" t="b">
        <v>0</v>
      </c>
      <c r="CF1539" t="b">
        <v>0</v>
      </c>
      <c r="CG1539">
        <v>2408258</v>
      </c>
      <c r="CH1539" t="s">
        <v>1681</v>
      </c>
      <c r="CI1539" s="10">
        <v>710000</v>
      </c>
    </row>
    <row r="1540" spans="1:90">
      <c r="A1540">
        <v>28024476</v>
      </c>
      <c r="B1540" s="2" t="str">
        <f>HYPERLINK("http://www.redfin.com/stingray/do/printable-listing?listing-id=1469098","Active")</f>
        <v>Active</v>
      </c>
      <c r="D1540" t="s">
        <v>4710</v>
      </c>
      <c r="E1540" t="s">
        <v>4753</v>
      </c>
      <c r="F1540">
        <v>1249000</v>
      </c>
      <c r="G1540">
        <v>2007</v>
      </c>
      <c r="H1540">
        <v>3300</v>
      </c>
      <c r="I1540">
        <v>0</v>
      </c>
      <c r="J1540">
        <v>3</v>
      </c>
      <c r="K1540">
        <v>3.25</v>
      </c>
      <c r="M1540" s="2" t="str">
        <f>HYPERLINK("http://maps.live.com/default.aspx?v=2&amp;lvl=15&amp;sp=Point.47.6693_-122.202498_737 State St&amp;cp=47.6693~-122.202498","Map")</f>
        <v>Map</v>
      </c>
      <c r="N1540" s="2" t="str">
        <f>HYPERLINK("http://i-0.rfimg.us/photo/1/bigphoto/476/28024476_0.jpg","Photo")</f>
        <v>Photo</v>
      </c>
      <c r="AG1540">
        <v>47.6693</v>
      </c>
      <c r="AH1540">
        <v>-122.20249800000001</v>
      </c>
      <c r="AI1540" t="s">
        <v>1058</v>
      </c>
      <c r="AJ1540">
        <v>98033</v>
      </c>
      <c r="BC1540" s="22">
        <v>39487.58965277778</v>
      </c>
      <c r="BI1540" s="22">
        <v>39549.294907407406</v>
      </c>
      <c r="BL1540">
        <v>24980</v>
      </c>
      <c r="BM1540">
        <v>1469098</v>
      </c>
      <c r="BN1540" t="s">
        <v>1768</v>
      </c>
      <c r="BO1540" s="17">
        <f t="shared" ca="1" si="24"/>
        <v>61.719753124998533</v>
      </c>
      <c r="BP1540" t="b">
        <v>0</v>
      </c>
      <c r="BQ1540">
        <v>1</v>
      </c>
      <c r="BR1540" t="s">
        <v>1686</v>
      </c>
      <c r="BS1540" t="s">
        <v>1036</v>
      </c>
      <c r="BT1540" t="b">
        <v>0</v>
      </c>
      <c r="BV1540" t="s">
        <v>1668</v>
      </c>
      <c r="BW1540">
        <v>737</v>
      </c>
      <c r="BY1540">
        <v>11894985</v>
      </c>
      <c r="BZ1540" t="s">
        <v>1672</v>
      </c>
      <c r="CA1540">
        <v>1</v>
      </c>
      <c r="CB1540" t="b">
        <v>1</v>
      </c>
      <c r="CC1540">
        <v>0</v>
      </c>
      <c r="CD1540" t="b">
        <v>0</v>
      </c>
      <c r="CE1540" t="b">
        <v>0</v>
      </c>
      <c r="CF1540" t="b">
        <v>0</v>
      </c>
      <c r="CG1540">
        <v>15149210</v>
      </c>
      <c r="CH1540" t="s">
        <v>1681</v>
      </c>
      <c r="CI1540" s="10">
        <v>1249000</v>
      </c>
    </row>
    <row r="1541" spans="1:90">
      <c r="A1541">
        <v>28024509</v>
      </c>
      <c r="B1541" s="2" t="str">
        <f>HYPERLINK("http://www.redfin.com/stingray/do/printable-listing?listing-id=1470603","Active")</f>
        <v>Active</v>
      </c>
      <c r="D1541" t="s">
        <v>5565</v>
      </c>
      <c r="E1541" t="s">
        <v>5944</v>
      </c>
      <c r="F1541">
        <v>725000</v>
      </c>
      <c r="G1541">
        <v>2001</v>
      </c>
      <c r="H1541">
        <v>2970</v>
      </c>
      <c r="I1541">
        <v>6600</v>
      </c>
      <c r="J1541">
        <v>4</v>
      </c>
      <c r="K1541">
        <v>2.5</v>
      </c>
      <c r="M1541" s="2" t="str">
        <f>HYPERLINK("http://maps.live.com/default.aspx?v=2&amp;lvl=15&amp;sp=Point.47.546386967731_-122.19163324954_6225 112th Ave SE&amp;cp=47.546386967731~-122.19163324954","Map")</f>
        <v>Map</v>
      </c>
      <c r="N1541" s="2" t="str">
        <f>HYPERLINK("http://i-0.rfimg.us/photo/1/bigphoto/509/28024509_0.jpg","Photo")</f>
        <v>Photo</v>
      </c>
      <c r="AG1541">
        <v>47.546386967731003</v>
      </c>
      <c r="AH1541">
        <v>-122.19163324954</v>
      </c>
      <c r="AI1541" t="s">
        <v>369</v>
      </c>
      <c r="AJ1541">
        <v>98006</v>
      </c>
      <c r="AN1541">
        <v>489950</v>
      </c>
      <c r="BC1541" s="22">
        <v>39488.931493055556</v>
      </c>
      <c r="BI1541" s="22">
        <v>39549.294907407406</v>
      </c>
      <c r="BL1541">
        <v>14500</v>
      </c>
      <c r="BM1541">
        <v>1470603</v>
      </c>
      <c r="BN1541" t="s">
        <v>1768</v>
      </c>
      <c r="BO1541" s="17">
        <f t="shared" ca="1" si="24"/>
        <v>60.377912847223342</v>
      </c>
      <c r="BP1541" t="b">
        <v>0</v>
      </c>
      <c r="BQ1541">
        <v>1</v>
      </c>
      <c r="BR1541" t="s">
        <v>1667</v>
      </c>
      <c r="BS1541" t="s">
        <v>4382</v>
      </c>
      <c r="BT1541" t="b">
        <v>0</v>
      </c>
      <c r="BV1541" t="s">
        <v>1668</v>
      </c>
      <c r="BW1541">
        <v>6225</v>
      </c>
      <c r="BX1541" t="s">
        <v>3856</v>
      </c>
      <c r="BY1541">
        <v>417244</v>
      </c>
      <c r="BZ1541" t="s">
        <v>1672</v>
      </c>
      <c r="CA1541">
        <v>1</v>
      </c>
      <c r="CB1541" t="b">
        <v>1</v>
      </c>
      <c r="CC1541">
        <v>0</v>
      </c>
      <c r="CD1541" t="b">
        <v>0</v>
      </c>
      <c r="CE1541" t="b">
        <v>0</v>
      </c>
      <c r="CF1541" t="b">
        <v>0</v>
      </c>
      <c r="CG1541">
        <v>2515122</v>
      </c>
      <c r="CH1541" t="s">
        <v>1681</v>
      </c>
      <c r="CI1541" s="10">
        <v>725000</v>
      </c>
      <c r="CJ1541" s="7">
        <v>37309</v>
      </c>
    </row>
    <row r="1542" spans="1:90">
      <c r="A1542">
        <v>28024579</v>
      </c>
      <c r="B1542" s="2" t="str">
        <f>HYPERLINK("http://www.redfin.com/stingray/do/printable-listing?listing-id=1475918","Active")</f>
        <v>Active</v>
      </c>
      <c r="D1542" t="s">
        <v>3066</v>
      </c>
      <c r="E1542" t="s">
        <v>4868</v>
      </c>
      <c r="F1542" s="19">
        <v>519950</v>
      </c>
      <c r="G1542">
        <v>1987</v>
      </c>
      <c r="H1542">
        <v>1830</v>
      </c>
      <c r="I1542">
        <v>4127</v>
      </c>
      <c r="J1542">
        <v>2</v>
      </c>
      <c r="K1542">
        <v>2.5</v>
      </c>
      <c r="M1542" s="2" t="str">
        <f>HYPERLINK("http://maps.live.com/default.aspx?v=2&amp;lvl=15&amp;sp=Point.47.681168_-122.163335_8831 132nd Pl NE&amp;cp=47.681168~-122.163335","Map")</f>
        <v>Map</v>
      </c>
      <c r="N1542" s="2" t="str">
        <f>HYPERLINK("http://i-0.rfimg.us/photo/1/bigphoto/579/28024579_1.jpg","Photo")</f>
        <v>Photo</v>
      </c>
      <c r="AG1542">
        <v>47.681168</v>
      </c>
      <c r="AH1542">
        <v>-122.163335</v>
      </c>
      <c r="AI1542" t="s">
        <v>4363</v>
      </c>
      <c r="AJ1542">
        <v>98052</v>
      </c>
      <c r="AN1542">
        <v>415000</v>
      </c>
      <c r="BC1542" s="22">
        <v>39490.786458333336</v>
      </c>
      <c r="BI1542" s="22">
        <v>39549.294907407406</v>
      </c>
      <c r="BL1542">
        <v>10800</v>
      </c>
      <c r="BM1542">
        <v>1475918</v>
      </c>
      <c r="BN1542" t="s">
        <v>1674</v>
      </c>
      <c r="BO1542" s="17">
        <f t="shared" ca="1" si="24"/>
        <v>58.522947569443204</v>
      </c>
      <c r="BP1542" t="b">
        <v>0</v>
      </c>
      <c r="BQ1542">
        <v>1</v>
      </c>
      <c r="BR1542" t="s">
        <v>1842</v>
      </c>
      <c r="BS1542" t="s">
        <v>4362</v>
      </c>
      <c r="BT1542" t="b">
        <v>0</v>
      </c>
      <c r="BV1542" t="s">
        <v>1668</v>
      </c>
      <c r="BW1542">
        <v>8831</v>
      </c>
      <c r="BX1542" t="s">
        <v>1738</v>
      </c>
      <c r="BY1542">
        <v>511841</v>
      </c>
      <c r="BZ1542" t="s">
        <v>4869</v>
      </c>
      <c r="CA1542">
        <v>1</v>
      </c>
      <c r="CB1542" t="b">
        <v>1</v>
      </c>
      <c r="CC1542">
        <v>0</v>
      </c>
      <c r="CD1542" t="b">
        <v>0</v>
      </c>
      <c r="CE1542" t="b">
        <v>0</v>
      </c>
      <c r="CF1542" t="b">
        <v>0</v>
      </c>
      <c r="CG1542">
        <v>2366560</v>
      </c>
      <c r="CH1542" t="s">
        <v>1681</v>
      </c>
      <c r="CI1542" s="10">
        <v>540000</v>
      </c>
      <c r="CJ1542" s="7">
        <v>38505</v>
      </c>
    </row>
    <row r="1543" spans="1:90">
      <c r="A1543">
        <v>28024606</v>
      </c>
      <c r="B1543" s="2" t="str">
        <f>HYPERLINK("http://www.redfin.com/stingray/do/printable-listing?listing-id=1469590","Active")</f>
        <v>Active</v>
      </c>
      <c r="D1543" t="s">
        <v>1058</v>
      </c>
      <c r="E1543" t="s">
        <v>4428</v>
      </c>
      <c r="F1543">
        <v>370000</v>
      </c>
      <c r="G1543">
        <v>1969</v>
      </c>
      <c r="H1543">
        <v>1040</v>
      </c>
      <c r="I1543">
        <v>8640</v>
      </c>
      <c r="J1543">
        <v>4</v>
      </c>
      <c r="K1543">
        <v>1</v>
      </c>
      <c r="M1543" s="2" t="str">
        <f>HYPERLINK("http://maps.live.com/default.aspx?v=2&amp;lvl=15&amp;sp=Point.47.71979_-122.179192_13317 121 st Ave NE&amp;cp=47.71979~-122.179192","Map")</f>
        <v>Map</v>
      </c>
      <c r="N1543" s="2" t="str">
        <f>HYPERLINK("http://i-0.rfimg.us/photo/1/bigphoto/606/28024606_0.jpg","Photo")</f>
        <v>Photo</v>
      </c>
      <c r="AG1543">
        <v>47.719790000000003</v>
      </c>
      <c r="AH1543">
        <v>-122.179192</v>
      </c>
      <c r="AI1543" t="s">
        <v>1058</v>
      </c>
      <c r="AJ1543">
        <v>98034</v>
      </c>
      <c r="AN1543">
        <v>144950</v>
      </c>
      <c r="BC1543" s="22">
        <v>39487.923946759256</v>
      </c>
      <c r="BI1543" s="22">
        <v>39549.294907407406</v>
      </c>
      <c r="BL1543">
        <v>7400</v>
      </c>
      <c r="BM1543">
        <v>1469590</v>
      </c>
      <c r="BN1543" t="s">
        <v>1737</v>
      </c>
      <c r="BO1543" s="17">
        <f t="shared" ca="1" si="24"/>
        <v>61.385459143522894</v>
      </c>
      <c r="BP1543" t="b">
        <v>0</v>
      </c>
      <c r="BQ1543">
        <v>1</v>
      </c>
      <c r="BR1543" t="s">
        <v>1667</v>
      </c>
      <c r="BS1543" t="s">
        <v>4429</v>
      </c>
      <c r="BT1543" t="b">
        <v>0</v>
      </c>
      <c r="BV1543" t="s">
        <v>1668</v>
      </c>
      <c r="BW1543">
        <v>13317</v>
      </c>
      <c r="BX1543" t="s">
        <v>1738</v>
      </c>
      <c r="BY1543">
        <v>452977</v>
      </c>
      <c r="BZ1543" t="s">
        <v>1713</v>
      </c>
      <c r="CA1543">
        <v>1</v>
      </c>
      <c r="CB1543" t="b">
        <v>1</v>
      </c>
      <c r="CC1543">
        <v>0</v>
      </c>
      <c r="CD1543" t="b">
        <v>0</v>
      </c>
      <c r="CE1543" t="b">
        <v>0</v>
      </c>
      <c r="CF1543" t="b">
        <v>0</v>
      </c>
      <c r="CG1543">
        <v>2832869</v>
      </c>
      <c r="CH1543" t="s">
        <v>1681</v>
      </c>
      <c r="CI1543" s="10">
        <v>370000</v>
      </c>
      <c r="CJ1543" s="7">
        <v>35454</v>
      </c>
    </row>
    <row r="1544" spans="1:90">
      <c r="A1544">
        <v>28024609</v>
      </c>
      <c r="B1544" s="2" t="str">
        <f>HYPERLINK("http://www.redfin.com/stingray/do/printable-listing?listing-id=1470186","Active")</f>
        <v>Active</v>
      </c>
      <c r="D1544" t="s">
        <v>5204</v>
      </c>
      <c r="E1544" t="s">
        <v>5225</v>
      </c>
      <c r="F1544">
        <v>629600</v>
      </c>
      <c r="G1544">
        <v>1981</v>
      </c>
      <c r="H1544">
        <v>1740</v>
      </c>
      <c r="I1544">
        <v>7878</v>
      </c>
      <c r="J1544">
        <v>3</v>
      </c>
      <c r="K1544">
        <v>2.5</v>
      </c>
      <c r="M1544" s="2" t="str">
        <f>HYPERLINK("http://maps.live.com/default.aspx?v=2&amp;lvl=15&amp;sp=Point.47.602_-122.141717_14815 SE 9th Pl&amp;cp=47.602~-122.141717","Map")</f>
        <v>Map</v>
      </c>
      <c r="N1544" s="2" t="str">
        <f>HYPERLINK("http://i-0.rfimg.us/photo/1/bigphoto/609/28024609_0.jpg","Photo")</f>
        <v>Photo</v>
      </c>
      <c r="AG1544">
        <v>47.601999999999997</v>
      </c>
      <c r="AH1544">
        <v>-122.141717</v>
      </c>
      <c r="AI1544" t="s">
        <v>369</v>
      </c>
      <c r="AJ1544">
        <v>98007</v>
      </c>
      <c r="AN1544">
        <v>323600</v>
      </c>
      <c r="BC1544" s="22">
        <v>39488.546759259261</v>
      </c>
      <c r="BI1544" s="22">
        <v>39549.294907407406</v>
      </c>
      <c r="BL1544">
        <v>12592</v>
      </c>
      <c r="BM1544">
        <v>1470186</v>
      </c>
      <c r="BN1544" t="s">
        <v>3117</v>
      </c>
      <c r="BO1544" s="17">
        <f t="shared" ca="1" si="24"/>
        <v>60.762646643517655</v>
      </c>
      <c r="BP1544" t="b">
        <v>0</v>
      </c>
      <c r="BQ1544">
        <v>1</v>
      </c>
      <c r="BR1544" t="s">
        <v>1842</v>
      </c>
      <c r="BS1544" t="s">
        <v>1785</v>
      </c>
      <c r="BT1544" t="b">
        <v>0</v>
      </c>
      <c r="BU1544" t="s">
        <v>3856</v>
      </c>
      <c r="BV1544" t="s">
        <v>1668</v>
      </c>
      <c r="BW1544">
        <v>14815</v>
      </c>
      <c r="BY1544">
        <v>425676</v>
      </c>
      <c r="BZ1544" t="s">
        <v>1676</v>
      </c>
      <c r="CA1544">
        <v>1</v>
      </c>
      <c r="CB1544" t="b">
        <v>1</v>
      </c>
      <c r="CC1544">
        <v>0</v>
      </c>
      <c r="CD1544" t="b">
        <v>0</v>
      </c>
      <c r="CE1544" t="b">
        <v>0</v>
      </c>
      <c r="CF1544" t="b">
        <v>0</v>
      </c>
      <c r="CG1544">
        <v>2377989</v>
      </c>
      <c r="CH1544" t="s">
        <v>1681</v>
      </c>
      <c r="CI1544" s="10">
        <v>629600</v>
      </c>
      <c r="CJ1544" s="7">
        <v>37060</v>
      </c>
    </row>
    <row r="1545" spans="1:90">
      <c r="A1545">
        <v>28024610</v>
      </c>
      <c r="B1545" s="2" t="str">
        <f>HYPERLINK("http://www.redfin.com/stingray/do/printable-listing?listing-id=1469828","Active")</f>
        <v>Active</v>
      </c>
      <c r="D1545" t="s">
        <v>3924</v>
      </c>
      <c r="E1545" t="s">
        <v>4237</v>
      </c>
      <c r="F1545">
        <v>399950</v>
      </c>
      <c r="G1545">
        <v>1978</v>
      </c>
      <c r="H1545">
        <v>1540</v>
      </c>
      <c r="I1545">
        <v>47075</v>
      </c>
      <c r="J1545">
        <v>2</v>
      </c>
      <c r="K1545">
        <v>1.5</v>
      </c>
      <c r="M1545" s="2" t="str">
        <f>HYPERLINK("http://maps.live.com/default.aspx?v=2&amp;lvl=15&amp;sp=Point.47.621465_-122.29874_2563 E Madison St&amp;cp=47.621465~-122.29874","Map")</f>
        <v>Map</v>
      </c>
      <c r="N1545" s="2" t="str">
        <f>HYPERLINK("http://i-0.rfimg.us/photo/1/bigphoto/610/28024610_0.jpg","Photo")</f>
        <v>Photo</v>
      </c>
      <c r="AG1545">
        <v>47.621465000000001</v>
      </c>
      <c r="AH1545">
        <v>-122.29874</v>
      </c>
      <c r="AI1545" t="s">
        <v>66</v>
      </c>
      <c r="AJ1545">
        <v>98112</v>
      </c>
      <c r="BC1545" s="22">
        <v>39488.087835648148</v>
      </c>
      <c r="BI1545" s="22">
        <v>39549.294907407406</v>
      </c>
      <c r="BL1545">
        <v>7999</v>
      </c>
      <c r="BM1545">
        <v>1469828</v>
      </c>
      <c r="BN1545" t="s">
        <v>1710</v>
      </c>
      <c r="BO1545" s="17">
        <f t="shared" ca="1" si="24"/>
        <v>61.221570254630933</v>
      </c>
      <c r="BP1545" t="b">
        <v>0</v>
      </c>
      <c r="BQ1545">
        <v>1</v>
      </c>
      <c r="BR1545" t="s">
        <v>1686</v>
      </c>
      <c r="BS1545" t="s">
        <v>4238</v>
      </c>
      <c r="BT1545" t="b">
        <v>0</v>
      </c>
      <c r="BU1545" t="s">
        <v>2436</v>
      </c>
      <c r="BV1545" t="s">
        <v>1668</v>
      </c>
      <c r="BW1545">
        <v>2563</v>
      </c>
      <c r="BY1545">
        <v>12387904</v>
      </c>
      <c r="BZ1545" t="s">
        <v>1672</v>
      </c>
      <c r="CA1545">
        <v>1</v>
      </c>
      <c r="CB1545" t="b">
        <v>1</v>
      </c>
      <c r="CC1545">
        <v>0</v>
      </c>
      <c r="CD1545" t="b">
        <v>0</v>
      </c>
      <c r="CE1545" t="b">
        <v>0</v>
      </c>
      <c r="CF1545" t="b">
        <v>0</v>
      </c>
      <c r="CG1545">
        <v>15591652</v>
      </c>
      <c r="CH1545" t="s">
        <v>1681</v>
      </c>
      <c r="CI1545" s="10">
        <v>399950</v>
      </c>
    </row>
    <row r="1546" spans="1:90">
      <c r="A1546">
        <v>28024616</v>
      </c>
      <c r="B1546" s="2" t="str">
        <f>HYPERLINK("http://www.redfin.com/stingray/do/printable-listing?listing-id=1469892","Active")</f>
        <v>Active</v>
      </c>
      <c r="D1546" t="s">
        <v>3071</v>
      </c>
      <c r="E1546" t="s">
        <v>4560</v>
      </c>
      <c r="F1546">
        <v>419000</v>
      </c>
      <c r="G1546">
        <v>1971</v>
      </c>
      <c r="H1546">
        <v>1790</v>
      </c>
      <c r="I1546">
        <v>7740</v>
      </c>
      <c r="J1546">
        <v>3</v>
      </c>
      <c r="K1546">
        <v>1.5</v>
      </c>
      <c r="M1546" s="2" t="str">
        <f>HYPERLINK("http://maps.live.com/default.aspx?v=2&amp;lvl=15&amp;sp=Point.47.72167_-122.216973_13507 93 Ct NE&amp;cp=47.72167~-122.216973","Map")</f>
        <v>Map</v>
      </c>
      <c r="N1546" s="2" t="str">
        <f>HYPERLINK("http://i-0.rfimg.us/photo/1/bigphoto/616/28024616_6.jpg","Photo")</f>
        <v>Photo</v>
      </c>
      <c r="AG1546">
        <v>47.721670000000003</v>
      </c>
      <c r="AH1546">
        <v>-122.216973</v>
      </c>
      <c r="AI1546" t="s">
        <v>1058</v>
      </c>
      <c r="AJ1546">
        <v>98034</v>
      </c>
      <c r="BC1546" s="22">
        <v>39488.337708333333</v>
      </c>
      <c r="BI1546" s="22">
        <v>39549.294907407406</v>
      </c>
      <c r="BL1546">
        <v>8380</v>
      </c>
      <c r="BM1546">
        <v>1469892</v>
      </c>
      <c r="BN1546" t="s">
        <v>2494</v>
      </c>
      <c r="BO1546" s="17">
        <f t="shared" ca="1" si="24"/>
        <v>60.971697569446405</v>
      </c>
      <c r="BP1546" t="b">
        <v>0</v>
      </c>
      <c r="BQ1546">
        <v>1</v>
      </c>
      <c r="BR1546" t="s">
        <v>3768</v>
      </c>
      <c r="BS1546">
        <v>93</v>
      </c>
      <c r="BT1546" t="b">
        <v>0</v>
      </c>
      <c r="BV1546" t="s">
        <v>1668</v>
      </c>
      <c r="BW1546">
        <v>13507</v>
      </c>
      <c r="BX1546" t="s">
        <v>1738</v>
      </c>
      <c r="BY1546">
        <v>12387913</v>
      </c>
      <c r="BZ1546" t="s">
        <v>4561</v>
      </c>
      <c r="CA1546">
        <v>1</v>
      </c>
      <c r="CB1546" t="b">
        <v>1</v>
      </c>
      <c r="CC1546">
        <v>0</v>
      </c>
      <c r="CD1546" t="b">
        <v>0</v>
      </c>
      <c r="CE1546" t="b">
        <v>0</v>
      </c>
      <c r="CF1546" t="b">
        <v>0</v>
      </c>
      <c r="CG1546">
        <v>15591661</v>
      </c>
      <c r="CH1546" t="s">
        <v>1681</v>
      </c>
      <c r="CI1546" s="10">
        <v>419000</v>
      </c>
    </row>
    <row r="1547" spans="1:90">
      <c r="A1547">
        <v>28024660</v>
      </c>
      <c r="B1547" s="2" t="str">
        <f>HYPERLINK("http://www.redfin.com/stingray/do/printable-listing?listing-id=1470243","Active")</f>
        <v>Active</v>
      </c>
      <c r="D1547" t="s">
        <v>202</v>
      </c>
      <c r="E1547" t="s">
        <v>2950</v>
      </c>
      <c r="F1547">
        <v>549950</v>
      </c>
      <c r="G1547">
        <v>1948</v>
      </c>
      <c r="H1547">
        <v>920</v>
      </c>
      <c r="I1547">
        <v>20473</v>
      </c>
      <c r="J1547">
        <v>2</v>
      </c>
      <c r="K1547">
        <v>1</v>
      </c>
      <c r="M1547" s="2" t="str">
        <f>HYPERLINK("http://maps.live.com/default.aspx?v=2&amp;lvl=15&amp;sp=Point.47.707289_-122.311751_10720 15th Ave NE&amp;cp=47.707289~-122.311751","Map")</f>
        <v>Map</v>
      </c>
      <c r="N1547" s="2" t="str">
        <f>HYPERLINK("http://i-0.rfimg.us/photo/1/bigphoto/660/28024660_1.jpg","Photo")</f>
        <v>Photo</v>
      </c>
      <c r="AG1547">
        <v>47.707289000000003</v>
      </c>
      <c r="AH1547">
        <v>-122.311751</v>
      </c>
      <c r="AI1547" t="s">
        <v>66</v>
      </c>
      <c r="AJ1547">
        <v>98125</v>
      </c>
      <c r="BC1547" s="22">
        <v>39488.577499999999</v>
      </c>
      <c r="BI1547" s="22">
        <v>39549.294907407406</v>
      </c>
      <c r="BL1547">
        <v>10999</v>
      </c>
      <c r="BM1547">
        <v>1470243</v>
      </c>
      <c r="BN1547" t="s">
        <v>2949</v>
      </c>
      <c r="BO1547" s="17">
        <f t="shared" ca="1" si="24"/>
        <v>60.731905902779545</v>
      </c>
      <c r="BP1547" t="b">
        <v>0</v>
      </c>
      <c r="BQ1547">
        <v>1</v>
      </c>
      <c r="BR1547" t="s">
        <v>1667</v>
      </c>
      <c r="BS1547" t="s">
        <v>1838</v>
      </c>
      <c r="BT1547" t="b">
        <v>0</v>
      </c>
      <c r="BV1547" t="s">
        <v>1668</v>
      </c>
      <c r="BW1547">
        <v>10720</v>
      </c>
      <c r="BX1547" t="s">
        <v>1738</v>
      </c>
      <c r="BY1547">
        <v>107572</v>
      </c>
      <c r="BZ1547" t="s">
        <v>1709</v>
      </c>
      <c r="CA1547">
        <v>1</v>
      </c>
      <c r="CB1547" t="b">
        <v>1</v>
      </c>
      <c r="CC1547">
        <v>0</v>
      </c>
      <c r="CD1547" t="b">
        <v>0</v>
      </c>
      <c r="CE1547" t="b">
        <v>0</v>
      </c>
      <c r="CF1547" t="b">
        <v>0</v>
      </c>
      <c r="CG1547">
        <v>2690757</v>
      </c>
      <c r="CH1547" t="s">
        <v>1681</v>
      </c>
      <c r="CI1547" s="10">
        <v>549950</v>
      </c>
    </row>
    <row r="1548" spans="1:90">
      <c r="A1548">
        <v>28024708</v>
      </c>
      <c r="B1548" s="2" t="str">
        <f>HYPERLINK("http://www.redfin.com/stingray/do/printable-listing?listing-id=1470279","Active")</f>
        <v>Active</v>
      </c>
      <c r="D1548" t="s">
        <v>983</v>
      </c>
      <c r="E1548" t="s">
        <v>2997</v>
      </c>
      <c r="F1548">
        <v>689950</v>
      </c>
      <c r="G1548">
        <v>2008</v>
      </c>
      <c r="H1548">
        <v>2566</v>
      </c>
      <c r="I1548">
        <v>5000</v>
      </c>
      <c r="J1548">
        <v>4</v>
      </c>
      <c r="K1548">
        <v>2.5</v>
      </c>
      <c r="M1548" s="2" t="str">
        <f>HYPERLINK("http://maps.live.com/default.aspx?v=2&amp;lvl=15&amp;sp=Point.47.694517_-122.275009_9105 Matthews Pl NE&amp;cp=47.694517~-122.275009","Map")</f>
        <v>Map</v>
      </c>
      <c r="N1548" s="2" t="str">
        <f>HYPERLINK("http://i-0.rfimg.us/photo/1/bigphoto/708/28024708_0.jpg","Photo")</f>
        <v>Photo</v>
      </c>
      <c r="AG1548">
        <v>47.694516999999998</v>
      </c>
      <c r="AH1548">
        <v>-122.275009</v>
      </c>
      <c r="AI1548" t="s">
        <v>66</v>
      </c>
      <c r="AJ1548">
        <v>98115</v>
      </c>
      <c r="BC1548" s="22">
        <v>39488.609490740739</v>
      </c>
      <c r="BI1548" s="22">
        <v>39549.294907407406</v>
      </c>
      <c r="BL1548">
        <v>13799</v>
      </c>
      <c r="BM1548">
        <v>1470279</v>
      </c>
      <c r="BN1548" t="s">
        <v>1775</v>
      </c>
      <c r="BO1548" s="17">
        <f t="shared" ca="1" si="24"/>
        <v>60.69991516204027</v>
      </c>
      <c r="BP1548" t="b">
        <v>0</v>
      </c>
      <c r="BQ1548">
        <v>1</v>
      </c>
      <c r="BR1548" t="s">
        <v>1842</v>
      </c>
      <c r="BS1548" t="s">
        <v>2998</v>
      </c>
      <c r="BT1548" t="b">
        <v>0</v>
      </c>
      <c r="BV1548" t="s">
        <v>1668</v>
      </c>
      <c r="BW1548">
        <v>9105</v>
      </c>
      <c r="BX1548" t="s">
        <v>1738</v>
      </c>
      <c r="BY1548">
        <v>12387956</v>
      </c>
      <c r="BZ1548" s="21">
        <v>0</v>
      </c>
      <c r="CA1548">
        <v>1</v>
      </c>
      <c r="CB1548" t="b">
        <v>1</v>
      </c>
      <c r="CC1548">
        <v>0</v>
      </c>
      <c r="CD1548" t="b">
        <v>0</v>
      </c>
      <c r="CE1548" t="b">
        <v>0</v>
      </c>
      <c r="CF1548" t="b">
        <v>0</v>
      </c>
      <c r="CG1548">
        <v>15591704</v>
      </c>
      <c r="CH1548" t="s">
        <v>1681</v>
      </c>
      <c r="CI1548" s="10">
        <v>689950</v>
      </c>
    </row>
    <row r="1549" spans="1:90">
      <c r="A1549">
        <v>28024725</v>
      </c>
      <c r="B1549" s="15" t="str">
        <f>HYPERLINK("http://www.redfin.com/stingray/do/printable-listing?listing-id=1470331","Subject To Inspection")</f>
        <v>Subject To Inspection</v>
      </c>
      <c r="D1549" t="s">
        <v>88</v>
      </c>
      <c r="E1549" t="s">
        <v>2668</v>
      </c>
      <c r="F1549">
        <v>499950</v>
      </c>
      <c r="G1549">
        <v>2008</v>
      </c>
      <c r="H1549">
        <v>1694</v>
      </c>
      <c r="I1549">
        <v>0</v>
      </c>
      <c r="J1549">
        <v>2</v>
      </c>
      <c r="K1549">
        <v>2.5</v>
      </c>
      <c r="M1549" s="2" t="str">
        <f>HYPERLINK("http://maps.live.com/default.aspx?v=2&amp;lvl=15&amp;sp=Point.47.674762_-122.354603_6307 Phinney Ave N nA&amp;cp=47.674762~-122.354603","Map")</f>
        <v>Map</v>
      </c>
      <c r="N1549" s="2" t="str">
        <f>HYPERLINK("http://i-0.rfimg.us/photo/1/bigphoto/725/28024725_3.jpg","Photo")</f>
        <v>Photo</v>
      </c>
      <c r="AG1549">
        <v>47.674762000000001</v>
      </c>
      <c r="AH1549">
        <v>-122.354603</v>
      </c>
      <c r="AI1549" t="s">
        <v>66</v>
      </c>
      <c r="AJ1549">
        <v>98103</v>
      </c>
      <c r="AM1549" t="s">
        <v>1722</v>
      </c>
      <c r="BC1549" s="22">
        <v>39488.640555555554</v>
      </c>
      <c r="BI1549" s="22">
        <v>39549.294907407406</v>
      </c>
      <c r="BL1549">
        <v>9999</v>
      </c>
      <c r="BM1549">
        <v>1470331</v>
      </c>
      <c r="BN1549" t="s">
        <v>1700</v>
      </c>
      <c r="BO1549" s="17">
        <f t="shared" ca="1" si="24"/>
        <v>60.668850462963746</v>
      </c>
      <c r="BP1549" t="b">
        <v>0</v>
      </c>
      <c r="BQ1549">
        <v>1</v>
      </c>
      <c r="BR1549" t="s">
        <v>1667</v>
      </c>
      <c r="BS1549" t="s">
        <v>2475</v>
      </c>
      <c r="BT1549" t="b">
        <v>0</v>
      </c>
      <c r="BV1549" t="s">
        <v>1668</v>
      </c>
      <c r="BW1549">
        <v>6307</v>
      </c>
      <c r="BX1549" t="s">
        <v>1712</v>
      </c>
      <c r="BY1549">
        <v>12317137</v>
      </c>
      <c r="BZ1549" t="s">
        <v>2344</v>
      </c>
      <c r="CA1549">
        <v>1</v>
      </c>
      <c r="CB1549" t="b">
        <v>1</v>
      </c>
      <c r="CC1549">
        <v>0</v>
      </c>
      <c r="CD1549" t="b">
        <v>0</v>
      </c>
      <c r="CE1549" t="b">
        <v>0</v>
      </c>
      <c r="CF1549" t="b">
        <v>0</v>
      </c>
      <c r="CG1549">
        <v>15523542</v>
      </c>
      <c r="CH1549" t="s">
        <v>1681</v>
      </c>
      <c r="CI1549" s="10">
        <v>499950</v>
      </c>
    </row>
    <row r="1550" spans="1:90">
      <c r="A1550">
        <v>28024730</v>
      </c>
      <c r="B1550" s="2" t="str">
        <f>HYPERLINK("http://www.redfin.com/stingray/do/printable-listing?listing-id=1479235","Active")</f>
        <v>Active</v>
      </c>
      <c r="D1550" t="s">
        <v>1238</v>
      </c>
      <c r="E1550" t="s">
        <v>3780</v>
      </c>
      <c r="F1550">
        <v>1199000</v>
      </c>
      <c r="G1550">
        <v>1951</v>
      </c>
      <c r="H1550">
        <v>2600</v>
      </c>
      <c r="I1550">
        <v>4000</v>
      </c>
      <c r="J1550">
        <v>3</v>
      </c>
      <c r="K1550">
        <v>3</v>
      </c>
      <c r="M1550" s="2" t="str">
        <f>HYPERLINK("http://maps.live.com/default.aspx?v=2&amp;lvl=15&amp;sp=Point.47.636839_-122.319759_1928 10th Ave E&amp;cp=47.636839~-122.319759","Map")</f>
        <v>Map</v>
      </c>
      <c r="N1550" s="2" t="str">
        <f>HYPERLINK("http://i-0.rfimg.us/photo/1/bigphoto/730/28024730_2.jpg","Photo")</f>
        <v>Photo</v>
      </c>
      <c r="AG1550">
        <v>47.636839000000002</v>
      </c>
      <c r="AH1550">
        <v>-122.319759</v>
      </c>
      <c r="AI1550" t="s">
        <v>66</v>
      </c>
      <c r="AJ1550">
        <v>98102</v>
      </c>
      <c r="AN1550">
        <v>940000</v>
      </c>
      <c r="BC1550" s="22">
        <v>39491.931643518517</v>
      </c>
      <c r="BI1550" s="22">
        <v>39549.294907407406</v>
      </c>
      <c r="BL1550">
        <v>23980</v>
      </c>
      <c r="BM1550">
        <v>1479235</v>
      </c>
      <c r="BN1550" t="s">
        <v>1715</v>
      </c>
      <c r="BO1550" s="17">
        <f t="shared" ca="1" si="24"/>
        <v>57.377762384261587</v>
      </c>
      <c r="BP1550" t="b">
        <v>0</v>
      </c>
      <c r="BQ1550">
        <v>1</v>
      </c>
      <c r="BR1550" t="s">
        <v>1667</v>
      </c>
      <c r="BS1550" t="s">
        <v>1788</v>
      </c>
      <c r="BT1550" t="b">
        <v>0</v>
      </c>
      <c r="BV1550" t="s">
        <v>1668</v>
      </c>
      <c r="BW1550">
        <v>1928</v>
      </c>
      <c r="BX1550" t="s">
        <v>2436</v>
      </c>
      <c r="BY1550">
        <v>135552</v>
      </c>
      <c r="BZ1550" t="s">
        <v>1730</v>
      </c>
      <c r="CA1550">
        <v>1</v>
      </c>
      <c r="CB1550" t="b">
        <v>1</v>
      </c>
      <c r="CC1550">
        <v>0</v>
      </c>
      <c r="CD1550" t="b">
        <v>0</v>
      </c>
      <c r="CE1550" t="b">
        <v>0</v>
      </c>
      <c r="CF1550" t="b">
        <v>0</v>
      </c>
      <c r="CG1550">
        <v>2546217</v>
      </c>
      <c r="CH1550" t="s">
        <v>1681</v>
      </c>
      <c r="CI1550" s="10">
        <v>1199000</v>
      </c>
      <c r="CJ1550" s="7">
        <v>38665</v>
      </c>
    </row>
    <row r="1551" spans="1:90">
      <c r="A1551">
        <v>28024759</v>
      </c>
      <c r="B1551" s="2" t="str">
        <f>HYPERLINK("http://www.redfin.com/stingray/do/printable-listing?listing-id=1483485","Active")</f>
        <v>Active</v>
      </c>
      <c r="D1551" t="s">
        <v>5926</v>
      </c>
      <c r="E1551" t="s">
        <v>5992</v>
      </c>
      <c r="F1551">
        <v>599888</v>
      </c>
      <c r="G1551">
        <v>2008</v>
      </c>
      <c r="H1551">
        <v>2965</v>
      </c>
      <c r="I1551">
        <v>7350</v>
      </c>
      <c r="J1551">
        <v>4</v>
      </c>
      <c r="K1551">
        <v>2.5</v>
      </c>
      <c r="M1551" s="2" t="str">
        <f>HYPERLINK("http://maps.live.com/default.aspx?v=2&amp;lvl=15&amp;sp=adr.2120 NE 18th St (Unable to map),98056","Map")</f>
        <v>Map</v>
      </c>
      <c r="N1551" s="2" t="str">
        <f>HYPERLINK("http://i-0.rfimg.us/photo/1/bigphoto/759/28024759_2.jpg","Photo")</f>
        <v>Photo</v>
      </c>
      <c r="AI1551" t="s">
        <v>1077</v>
      </c>
      <c r="AJ1551">
        <v>98056</v>
      </c>
      <c r="BC1551" s="22">
        <v>39493.421446759261</v>
      </c>
      <c r="BI1551" s="22">
        <v>39549.294907407406</v>
      </c>
      <c r="BL1551">
        <v>11998</v>
      </c>
      <c r="BM1551">
        <v>1483485</v>
      </c>
      <c r="BN1551" t="s">
        <v>3907</v>
      </c>
      <c r="BO1551" s="17">
        <f t="shared" ca="1" si="24"/>
        <v>55.887959143517946</v>
      </c>
      <c r="BP1551" t="b">
        <v>0</v>
      </c>
      <c r="BQ1551">
        <v>1</v>
      </c>
      <c r="BR1551" t="s">
        <v>1686</v>
      </c>
      <c r="BS1551" t="s">
        <v>1909</v>
      </c>
      <c r="BT1551" t="b">
        <v>0</v>
      </c>
      <c r="BU1551" t="s">
        <v>1738</v>
      </c>
      <c r="BV1551" t="s">
        <v>1668</v>
      </c>
      <c r="BW1551">
        <v>2120</v>
      </c>
      <c r="BY1551">
        <v>0</v>
      </c>
      <c r="BZ1551" t="s">
        <v>5993</v>
      </c>
      <c r="CA1551">
        <v>1</v>
      </c>
      <c r="CB1551" t="b">
        <v>1</v>
      </c>
      <c r="CC1551">
        <v>0</v>
      </c>
      <c r="CD1551" t="b">
        <v>0</v>
      </c>
      <c r="CE1551" t="b">
        <v>0</v>
      </c>
      <c r="CF1551" t="b">
        <v>0</v>
      </c>
      <c r="CG1551" t="s">
        <v>1870</v>
      </c>
      <c r="CH1551" t="s">
        <v>1681</v>
      </c>
      <c r="CI1551" s="10">
        <v>599888</v>
      </c>
      <c r="CL1551" s="19" t="s">
        <v>6582</v>
      </c>
    </row>
    <row r="1552" spans="1:90">
      <c r="A1552">
        <v>28024781</v>
      </c>
      <c r="B1552" s="2" t="str">
        <f>HYPERLINK("http://www.redfin.com/stingray/do/printable-listing?listing-id=1470904","Active")</f>
        <v>Active</v>
      </c>
      <c r="D1552" t="s">
        <v>3066</v>
      </c>
      <c r="E1552" t="s">
        <v>4902</v>
      </c>
      <c r="F1552">
        <v>1025000</v>
      </c>
      <c r="G1552">
        <v>2008</v>
      </c>
      <c r="H1552">
        <v>3496</v>
      </c>
      <c r="I1552">
        <v>8840</v>
      </c>
      <c r="J1552">
        <v>4</v>
      </c>
      <c r="K1552">
        <v>3.5</v>
      </c>
      <c r="M1552" s="2" t="str">
        <f>HYPERLINK("http://maps.live.com/default.aspx?v=2&amp;lvl=15&amp;sp=Point.47.674878_-122.171795_7834 126th Ave NE&amp;cp=47.674878~-122.171795","Map")</f>
        <v>Map</v>
      </c>
      <c r="N1552" s="2" t="str">
        <f>HYPERLINK("http://i-0.rfimg.us/photo/1/bigphoto/781/28024781_2.jpg","Photo")</f>
        <v>Photo</v>
      </c>
      <c r="AG1552">
        <v>47.674878</v>
      </c>
      <c r="AH1552">
        <v>-122.171795</v>
      </c>
      <c r="AI1552" t="s">
        <v>1058</v>
      </c>
      <c r="AJ1552">
        <v>98033</v>
      </c>
      <c r="BC1552" s="22">
        <v>39489.33766203704</v>
      </c>
      <c r="BI1552" s="22">
        <v>39549.294907407406</v>
      </c>
      <c r="BL1552">
        <v>20500</v>
      </c>
      <c r="BM1552">
        <v>1470904</v>
      </c>
      <c r="BN1552" t="s">
        <v>1688</v>
      </c>
      <c r="BO1552" s="17">
        <f t="shared" ca="1" si="24"/>
        <v>59.971743865738972</v>
      </c>
      <c r="BP1552" t="b">
        <v>0</v>
      </c>
      <c r="BQ1552">
        <v>1</v>
      </c>
      <c r="BR1552" t="s">
        <v>1667</v>
      </c>
      <c r="BS1552" t="s">
        <v>4544</v>
      </c>
      <c r="BT1552" t="b">
        <v>0</v>
      </c>
      <c r="BV1552" t="s">
        <v>1668</v>
      </c>
      <c r="BW1552">
        <v>7834</v>
      </c>
      <c r="BX1552" t="s">
        <v>1738</v>
      </c>
      <c r="BY1552">
        <v>12388032</v>
      </c>
      <c r="BZ1552" t="s">
        <v>2577</v>
      </c>
      <c r="CA1552">
        <v>1</v>
      </c>
      <c r="CB1552" t="b">
        <v>1</v>
      </c>
      <c r="CC1552">
        <v>0</v>
      </c>
      <c r="CD1552" t="b">
        <v>0</v>
      </c>
      <c r="CE1552" t="b">
        <v>0</v>
      </c>
      <c r="CF1552" t="b">
        <v>0</v>
      </c>
      <c r="CG1552">
        <v>15591780</v>
      </c>
      <c r="CH1552" t="s">
        <v>1681</v>
      </c>
      <c r="CI1552" s="10">
        <v>1025000</v>
      </c>
    </row>
    <row r="1553" spans="1:90">
      <c r="A1553">
        <v>28024786</v>
      </c>
      <c r="B1553" s="2" t="str">
        <f>HYPERLINK("http://www.redfin.com/stingray/do/printable-listing?listing-id=1479947","Active")</f>
        <v>Active</v>
      </c>
      <c r="D1553" t="s">
        <v>5191</v>
      </c>
      <c r="E1553" t="s">
        <v>5596</v>
      </c>
      <c r="F1553" s="19">
        <v>599000</v>
      </c>
      <c r="G1553">
        <v>1981</v>
      </c>
      <c r="H1553">
        <v>0</v>
      </c>
      <c r="I1553">
        <v>10655</v>
      </c>
      <c r="J1553">
        <v>3</v>
      </c>
      <c r="K1553">
        <v>2.5</v>
      </c>
      <c r="M1553" s="2" t="str">
        <f>HYPERLINK("http://maps.live.com/default.aspx?v=2&amp;lvl=15&amp;sp=Point.47.547688_-122.147529_6121 145th Pl SE&amp;cp=47.547688~-122.147529","Map")</f>
        <v>Map</v>
      </c>
      <c r="N1553" s="2" t="str">
        <f>HYPERLINK("http://i-0.rfimg.us/photo/1/bigphoto/786/28024786_3.jpg","Photo")</f>
        <v>Photo</v>
      </c>
      <c r="AG1553">
        <v>47.547688000000001</v>
      </c>
      <c r="AH1553">
        <v>-122.14752900000001</v>
      </c>
      <c r="AI1553" t="s">
        <v>369</v>
      </c>
      <c r="AJ1553">
        <v>98006</v>
      </c>
      <c r="AN1553">
        <v>355000</v>
      </c>
      <c r="BC1553" s="22">
        <v>39492.275104166663</v>
      </c>
      <c r="BI1553" s="22">
        <v>39549.294907407406</v>
      </c>
      <c r="BL1553">
        <v>12200</v>
      </c>
      <c r="BM1553">
        <v>1479947</v>
      </c>
      <c r="BN1553" t="s">
        <v>1673</v>
      </c>
      <c r="BO1553" s="17">
        <f t="shared" ca="1" si="24"/>
        <v>57.034301736115594</v>
      </c>
      <c r="BP1553" t="b">
        <v>0</v>
      </c>
      <c r="BQ1553">
        <v>1</v>
      </c>
      <c r="BR1553" t="s">
        <v>1842</v>
      </c>
      <c r="BS1553" t="s">
        <v>4646</v>
      </c>
      <c r="BT1553" t="b">
        <v>0</v>
      </c>
      <c r="BV1553" t="s">
        <v>1668</v>
      </c>
      <c r="BW1553">
        <v>6121</v>
      </c>
      <c r="BX1553" t="s">
        <v>3856</v>
      </c>
      <c r="BY1553">
        <v>237192</v>
      </c>
      <c r="BZ1553" t="s">
        <v>4313</v>
      </c>
      <c r="CA1553">
        <v>1</v>
      </c>
      <c r="CB1553" t="b">
        <v>1</v>
      </c>
      <c r="CC1553">
        <v>0</v>
      </c>
      <c r="CD1553" t="b">
        <v>0</v>
      </c>
      <c r="CE1553" t="b">
        <v>0</v>
      </c>
      <c r="CF1553" t="b">
        <v>0</v>
      </c>
      <c r="CG1553">
        <v>2621624</v>
      </c>
      <c r="CH1553" t="s">
        <v>1681</v>
      </c>
      <c r="CI1553" s="10">
        <v>610000</v>
      </c>
      <c r="CJ1553" s="7">
        <v>37739</v>
      </c>
      <c r="CL1553" s="19" t="s">
        <v>2325</v>
      </c>
    </row>
    <row r="1554" spans="1:90">
      <c r="A1554">
        <v>28024794</v>
      </c>
      <c r="B1554" s="2" t="str">
        <f>HYPERLINK("http://www.redfin.com/stingray/do/printable-listing?listing-id=1470612","Active")</f>
        <v>Active</v>
      </c>
      <c r="D1554" t="s">
        <v>3066</v>
      </c>
      <c r="E1554" t="s">
        <v>4726</v>
      </c>
      <c r="F1554">
        <v>390000</v>
      </c>
      <c r="G1554">
        <v>1984</v>
      </c>
      <c r="H1554">
        <v>1450</v>
      </c>
      <c r="I1554">
        <v>2990</v>
      </c>
      <c r="J1554">
        <v>3</v>
      </c>
      <c r="K1554">
        <v>2.25</v>
      </c>
      <c r="M1554" s="2" t="str">
        <f>HYPERLINK("http://maps.live.com/default.aspx?v=2&amp;lvl=15&amp;sp=Point.47.679954_-122.155849_13725 NE 87th St&amp;cp=47.679954~-122.155849","Map")</f>
        <v>Map</v>
      </c>
      <c r="N1554" s="2" t="str">
        <f>HYPERLINK("http://i-0.rfimg.us/photo/1/bigphoto/794/28024794_0.jpg","Photo")</f>
        <v>Photo</v>
      </c>
      <c r="AG1554">
        <v>47.679954000000002</v>
      </c>
      <c r="AH1554">
        <v>-122.155849</v>
      </c>
      <c r="AI1554" t="s">
        <v>4363</v>
      </c>
      <c r="AJ1554">
        <v>98052</v>
      </c>
      <c r="AN1554">
        <v>293950</v>
      </c>
      <c r="BC1554" s="22">
        <v>39488.931608796294</v>
      </c>
      <c r="BI1554" s="22">
        <v>39549.294907407406</v>
      </c>
      <c r="BL1554">
        <v>7800</v>
      </c>
      <c r="BM1554">
        <v>1470612</v>
      </c>
      <c r="BN1554" t="s">
        <v>4725</v>
      </c>
      <c r="BO1554" s="17">
        <f t="shared" ca="1" si="24"/>
        <v>60.37779710648465</v>
      </c>
      <c r="BP1554" t="b">
        <v>0</v>
      </c>
      <c r="BQ1554">
        <v>1</v>
      </c>
      <c r="BR1554" t="s">
        <v>1686</v>
      </c>
      <c r="BS1554" t="s">
        <v>1856</v>
      </c>
      <c r="BT1554" t="b">
        <v>0</v>
      </c>
      <c r="BU1554" t="s">
        <v>1738</v>
      </c>
      <c r="BV1554" t="s">
        <v>1668</v>
      </c>
      <c r="BW1554">
        <v>13725</v>
      </c>
      <c r="BY1554">
        <v>513836</v>
      </c>
      <c r="BZ1554" t="s">
        <v>1672</v>
      </c>
      <c r="CA1554">
        <v>1</v>
      </c>
      <c r="CB1554" t="b">
        <v>1</v>
      </c>
      <c r="CC1554">
        <v>0</v>
      </c>
      <c r="CD1554" t="b">
        <v>0</v>
      </c>
      <c r="CE1554" t="b">
        <v>0</v>
      </c>
      <c r="CF1554" t="b">
        <v>0</v>
      </c>
      <c r="CG1554">
        <v>2606990</v>
      </c>
      <c r="CH1554" t="s">
        <v>1681</v>
      </c>
      <c r="CI1554" s="10">
        <v>390000</v>
      </c>
      <c r="CJ1554" s="7">
        <v>38189</v>
      </c>
    </row>
    <row r="1555" spans="1:90">
      <c r="A1555">
        <v>28024818</v>
      </c>
      <c r="B1555" s="2" t="str">
        <f>HYPERLINK("http://www.redfin.com/stingray/do/printable-listing?listing-id=1470905","Active")</f>
        <v>Active</v>
      </c>
      <c r="D1555" t="s">
        <v>70</v>
      </c>
      <c r="E1555" t="s">
        <v>2706</v>
      </c>
      <c r="F1555" s="19">
        <v>592000</v>
      </c>
      <c r="G1555">
        <v>1977</v>
      </c>
      <c r="H1555">
        <v>2370</v>
      </c>
      <c r="I1555">
        <v>7505</v>
      </c>
      <c r="J1555">
        <v>4</v>
      </c>
      <c r="K1555">
        <v>3</v>
      </c>
      <c r="M1555" s="2" t="str">
        <f>HYPERLINK("http://maps.live.com/default.aspx?v=2&amp;lvl=15&amp;sp=Point.47.713021_-122.360499_11520 3rd Ave NW&amp;cp=47.713021~-122.360499","Map")</f>
        <v>Map</v>
      </c>
      <c r="N1555" s="2" t="str">
        <f>HYPERLINK("http://i-0.rfimg.us/photo/1/bigphoto/818/28024818_3.jpg","Photo")</f>
        <v>Photo</v>
      </c>
      <c r="AG1555">
        <v>47.713020999999998</v>
      </c>
      <c r="AH1555">
        <v>-122.360499</v>
      </c>
      <c r="AI1555" t="s">
        <v>66</v>
      </c>
      <c r="AJ1555">
        <v>98177</v>
      </c>
      <c r="AN1555">
        <v>357000</v>
      </c>
      <c r="BC1555" s="22">
        <v>39489.337673611109</v>
      </c>
      <c r="BI1555" s="22">
        <v>39549.294907407406</v>
      </c>
      <c r="BL1555">
        <v>11999</v>
      </c>
      <c r="BM1555">
        <v>1470905</v>
      </c>
      <c r="BN1555" t="s">
        <v>1746</v>
      </c>
      <c r="BO1555" s="17">
        <f t="shared" ca="1" si="24"/>
        <v>59.971732407408126</v>
      </c>
      <c r="BP1555" t="b">
        <v>0</v>
      </c>
      <c r="BQ1555">
        <v>1</v>
      </c>
      <c r="BR1555" t="s">
        <v>1667</v>
      </c>
      <c r="BS1555" t="s">
        <v>1796</v>
      </c>
      <c r="BT1555" t="b">
        <v>0</v>
      </c>
      <c r="BV1555" t="s">
        <v>1668</v>
      </c>
      <c r="BW1555">
        <v>11520</v>
      </c>
      <c r="BX1555" t="s">
        <v>1669</v>
      </c>
      <c r="BY1555">
        <v>97293</v>
      </c>
      <c r="BZ1555" t="s">
        <v>2707</v>
      </c>
      <c r="CA1555">
        <v>1</v>
      </c>
      <c r="CB1555" t="b">
        <v>1</v>
      </c>
      <c r="CC1555">
        <v>0</v>
      </c>
      <c r="CD1555" t="b">
        <v>0</v>
      </c>
      <c r="CE1555" t="b">
        <v>0</v>
      </c>
      <c r="CF1555" t="b">
        <v>0</v>
      </c>
      <c r="CG1555">
        <v>2852476</v>
      </c>
      <c r="CH1555" t="s">
        <v>1681</v>
      </c>
      <c r="CI1555" s="10">
        <v>599950</v>
      </c>
      <c r="CJ1555" s="7">
        <v>38336</v>
      </c>
    </row>
    <row r="1556" spans="1:90">
      <c r="A1556">
        <v>28024868</v>
      </c>
      <c r="B1556" s="2" t="str">
        <f>HYPERLINK("http://www.redfin.com/stingray/do/printable-listing?listing-id=1470990","Active")</f>
        <v>Active</v>
      </c>
      <c r="D1556" t="s">
        <v>101</v>
      </c>
      <c r="E1556" t="s">
        <v>1230</v>
      </c>
      <c r="F1556">
        <v>659950</v>
      </c>
      <c r="G1556">
        <v>2007</v>
      </c>
      <c r="H1556">
        <v>2659</v>
      </c>
      <c r="I1556">
        <v>0</v>
      </c>
      <c r="J1556">
        <v>4</v>
      </c>
      <c r="K1556">
        <v>3.5</v>
      </c>
      <c r="M1556" s="2" t="str">
        <f>HYPERLINK("http://maps.live.com/default.aspx?v=2&amp;lvl=15&amp;sp=Point.47.694737_-122.393835_2852 NW 90th Pl&amp;cp=47.694737~-122.393835","Map")</f>
        <v>Map</v>
      </c>
      <c r="N1556" s="2" t="str">
        <f>HYPERLINK("http://i-0.rfimg.us/photo/1/bigphoto/868/28024868_1.jpg","Photo")</f>
        <v>Photo</v>
      </c>
      <c r="AG1556">
        <v>47.694737000000003</v>
      </c>
      <c r="AH1556">
        <v>-122.393835</v>
      </c>
      <c r="AI1556" t="s">
        <v>66</v>
      </c>
      <c r="AJ1556">
        <v>98117</v>
      </c>
      <c r="AN1556">
        <v>220000</v>
      </c>
      <c r="BC1556" s="22">
        <v>39489.37976851852</v>
      </c>
      <c r="BI1556" s="22">
        <v>39549.294907407406</v>
      </c>
      <c r="BL1556">
        <v>13199</v>
      </c>
      <c r="BM1556">
        <v>1470990</v>
      </c>
      <c r="BN1556" t="s">
        <v>1710</v>
      </c>
      <c r="BO1556" s="17">
        <f t="shared" ca="1" si="24"/>
        <v>59.929637499997625</v>
      </c>
      <c r="BP1556" t="b">
        <v>0</v>
      </c>
      <c r="BQ1556">
        <v>1</v>
      </c>
      <c r="BR1556" t="s">
        <v>1842</v>
      </c>
      <c r="BS1556" t="s">
        <v>1761</v>
      </c>
      <c r="BT1556" t="b">
        <v>0</v>
      </c>
      <c r="BU1556" t="s">
        <v>1669</v>
      </c>
      <c r="BV1556" t="s">
        <v>1668</v>
      </c>
      <c r="BW1556">
        <v>2852</v>
      </c>
      <c r="BY1556">
        <v>12299638</v>
      </c>
      <c r="BZ1556" t="s">
        <v>1935</v>
      </c>
      <c r="CA1556">
        <v>1</v>
      </c>
      <c r="CB1556" t="b">
        <v>1</v>
      </c>
      <c r="CC1556">
        <v>0</v>
      </c>
      <c r="CD1556" t="b">
        <v>0</v>
      </c>
      <c r="CE1556" t="b">
        <v>0</v>
      </c>
      <c r="CF1556" t="b">
        <v>0</v>
      </c>
      <c r="CG1556">
        <v>2683528</v>
      </c>
      <c r="CH1556" t="s">
        <v>1681</v>
      </c>
      <c r="CI1556" s="10">
        <v>659950</v>
      </c>
      <c r="CJ1556" s="7">
        <v>38566</v>
      </c>
    </row>
    <row r="1557" spans="1:90">
      <c r="A1557">
        <v>28024928</v>
      </c>
      <c r="B1557" s="2" t="str">
        <f>HYPERLINK("http://www.redfin.com/stingray/do/printable-listing?listing-id=1477240","Active")</f>
        <v>Active</v>
      </c>
      <c r="D1557" t="s">
        <v>369</v>
      </c>
      <c r="E1557" t="s">
        <v>5657</v>
      </c>
      <c r="F1557">
        <v>759900</v>
      </c>
      <c r="G1557">
        <v>1985</v>
      </c>
      <c r="H1557">
        <v>2670</v>
      </c>
      <c r="I1557">
        <v>9346</v>
      </c>
      <c r="J1557">
        <v>4</v>
      </c>
      <c r="K1557">
        <v>2.5</v>
      </c>
      <c r="M1557" s="2" t="str">
        <f>HYPERLINK("http://maps.live.com/default.aspx?v=2&amp;lvl=15&amp;sp=Point.47.563953_-122.131875_15611 SE 45th Pl&amp;cp=47.563953~-122.131875","Map")</f>
        <v>Map</v>
      </c>
      <c r="N1557" s="2" t="str">
        <f>HYPERLINK("http://i-0.rfimg.us/photo/1/bigphoto/928/28024928_1.jpg","Photo")</f>
        <v>Photo</v>
      </c>
      <c r="AG1557">
        <v>47.563952999999998</v>
      </c>
      <c r="AH1557">
        <v>-122.13187499999999</v>
      </c>
      <c r="AI1557" t="s">
        <v>369</v>
      </c>
      <c r="AJ1557">
        <v>98006</v>
      </c>
      <c r="AN1557">
        <v>173537</v>
      </c>
      <c r="BC1557" s="22">
        <v>39491.432511574072</v>
      </c>
      <c r="BI1557" s="22">
        <v>39549.294907407406</v>
      </c>
      <c r="BL1557">
        <v>15198</v>
      </c>
      <c r="BM1557">
        <v>1477240</v>
      </c>
      <c r="BN1557" t="s">
        <v>2203</v>
      </c>
      <c r="BO1557" s="17">
        <f t="shared" ca="1" si="24"/>
        <v>57.87689432870684</v>
      </c>
      <c r="BP1557" t="b">
        <v>0</v>
      </c>
      <c r="BQ1557">
        <v>1</v>
      </c>
      <c r="BR1557" t="s">
        <v>1842</v>
      </c>
      <c r="BS1557" t="s">
        <v>2667</v>
      </c>
      <c r="BT1557" t="b">
        <v>0</v>
      </c>
      <c r="BU1557" t="s">
        <v>3856</v>
      </c>
      <c r="BV1557" t="s">
        <v>1668</v>
      </c>
      <c r="BW1557">
        <v>15611</v>
      </c>
      <c r="BY1557">
        <v>238018</v>
      </c>
      <c r="BZ1557" t="s">
        <v>1704</v>
      </c>
      <c r="CA1557">
        <v>1</v>
      </c>
      <c r="CB1557" t="b">
        <v>1</v>
      </c>
      <c r="CC1557">
        <v>0</v>
      </c>
      <c r="CD1557" t="b">
        <v>0</v>
      </c>
      <c r="CE1557" t="b">
        <v>0</v>
      </c>
      <c r="CF1557" t="b">
        <v>0</v>
      </c>
      <c r="CG1557">
        <v>2356996</v>
      </c>
      <c r="CH1557" t="s">
        <v>1681</v>
      </c>
      <c r="CI1557" s="10">
        <v>759900</v>
      </c>
      <c r="CJ1557" s="7">
        <v>31310</v>
      </c>
    </row>
    <row r="1558" spans="1:90">
      <c r="A1558">
        <v>28024974</v>
      </c>
      <c r="B1558" s="2" t="str">
        <f>HYPERLINK("http://www.redfin.com/stingray/do/printable-listing?listing-id=1471861","Active")</f>
        <v>Active</v>
      </c>
      <c r="D1558" t="s">
        <v>5191</v>
      </c>
      <c r="E1558" t="s">
        <v>5827</v>
      </c>
      <c r="F1558" s="19">
        <v>581950</v>
      </c>
      <c r="G1558">
        <v>1969</v>
      </c>
      <c r="H1558">
        <v>2150</v>
      </c>
      <c r="I1558">
        <v>9050</v>
      </c>
      <c r="J1558">
        <v>3</v>
      </c>
      <c r="K1558">
        <v>2.75</v>
      </c>
      <c r="M1558" s="2" t="str">
        <f>HYPERLINK("http://maps.live.com/default.aspx?v=2&amp;lvl=15&amp;sp=Point.47.562601_-122.140828_14917 SE 46th Ct&amp;cp=47.562601~-122.140828","Map")</f>
        <v>Map</v>
      </c>
      <c r="N1558" s="2" t="str">
        <f>HYPERLINK("http://i-0.rfimg.us/photo/1/bigphoto/974/28024974_1.jpg","Photo")</f>
        <v>Photo</v>
      </c>
      <c r="AG1558">
        <v>47.562601000000001</v>
      </c>
      <c r="AH1558">
        <v>-122.140828</v>
      </c>
      <c r="AI1558" t="s">
        <v>369</v>
      </c>
      <c r="AJ1558">
        <v>98006</v>
      </c>
      <c r="BC1558" s="22">
        <v>39489.590763888889</v>
      </c>
      <c r="BI1558" s="22">
        <v>39549.294907407406</v>
      </c>
      <c r="BL1558">
        <v>11900</v>
      </c>
      <c r="BM1558">
        <v>1471861</v>
      </c>
      <c r="BN1558" t="s">
        <v>1688</v>
      </c>
      <c r="BO1558" s="17">
        <f t="shared" ca="1" si="24"/>
        <v>59.718642013889621</v>
      </c>
      <c r="BP1558" t="b">
        <v>0</v>
      </c>
      <c r="BQ1558">
        <v>1</v>
      </c>
      <c r="BR1558" t="s">
        <v>3768</v>
      </c>
      <c r="BS1558" t="s">
        <v>2471</v>
      </c>
      <c r="BT1558" t="b">
        <v>0</v>
      </c>
      <c r="BU1558" t="s">
        <v>3856</v>
      </c>
      <c r="BV1558" t="s">
        <v>1668</v>
      </c>
      <c r="BW1558">
        <v>14917</v>
      </c>
      <c r="BY1558">
        <v>236576</v>
      </c>
      <c r="BZ1558" t="s">
        <v>1845</v>
      </c>
      <c r="CA1558">
        <v>1</v>
      </c>
      <c r="CB1558" t="b">
        <v>1</v>
      </c>
      <c r="CC1558">
        <v>0</v>
      </c>
      <c r="CD1558" t="b">
        <v>0</v>
      </c>
      <c r="CE1558" t="b">
        <v>0</v>
      </c>
      <c r="CF1558" t="b">
        <v>0</v>
      </c>
      <c r="CG1558">
        <v>2668417</v>
      </c>
      <c r="CH1558" t="s">
        <v>1681</v>
      </c>
      <c r="CI1558" s="10">
        <v>595000</v>
      </c>
    </row>
    <row r="1559" spans="1:90">
      <c r="A1559">
        <v>28024995</v>
      </c>
      <c r="B1559" s="2" t="str">
        <f>HYPERLINK("http://www.redfin.com/stingray/do/printable-listing?listing-id=1484526","Active")</f>
        <v>Active</v>
      </c>
      <c r="D1559" t="s">
        <v>369</v>
      </c>
      <c r="E1559" t="s">
        <v>5399</v>
      </c>
      <c r="F1559" s="19">
        <v>785000</v>
      </c>
      <c r="G1559">
        <v>2001</v>
      </c>
      <c r="H1559">
        <v>2860</v>
      </c>
      <c r="I1559">
        <v>6970</v>
      </c>
      <c r="J1559">
        <v>4</v>
      </c>
      <c r="K1559">
        <v>2.75</v>
      </c>
      <c r="M1559" s="2" t="str">
        <f>HYPERLINK("http://maps.live.com/default.aspx?v=2&amp;lvl=15&amp;sp=Point.47.589858_-122.152797_2308 140th Way SE&amp;cp=47.589858~-122.152797","Map")</f>
        <v>Map</v>
      </c>
      <c r="N1559" s="2" t="str">
        <f>HYPERLINK("http://i-0.rfimg.us/photo/1/bigphoto/995/28024995_6.jpg","Photo")</f>
        <v>Photo</v>
      </c>
      <c r="AG1559">
        <v>47.589858</v>
      </c>
      <c r="AH1559">
        <v>-122.15279700000001</v>
      </c>
      <c r="AI1559" t="s">
        <v>369</v>
      </c>
      <c r="AJ1559">
        <v>98007</v>
      </c>
      <c r="AN1559">
        <v>550000</v>
      </c>
      <c r="BC1559" s="22">
        <v>39493.600254629629</v>
      </c>
      <c r="BI1559" s="22">
        <v>39549.294907407406</v>
      </c>
      <c r="BL1559">
        <v>15980</v>
      </c>
      <c r="BM1559">
        <v>1484526</v>
      </c>
      <c r="BN1559" t="s">
        <v>5398</v>
      </c>
      <c r="BO1559" s="17">
        <f t="shared" ca="1" si="24"/>
        <v>55.709151273149473</v>
      </c>
      <c r="BP1559" t="b">
        <v>0</v>
      </c>
      <c r="BQ1559">
        <v>1</v>
      </c>
      <c r="BR1559" t="s">
        <v>2463</v>
      </c>
      <c r="BS1559" t="s">
        <v>4434</v>
      </c>
      <c r="BT1559" t="b">
        <v>0</v>
      </c>
      <c r="BV1559" t="s">
        <v>1668</v>
      </c>
      <c r="BW1559">
        <v>2308</v>
      </c>
      <c r="BX1559" t="s">
        <v>3856</v>
      </c>
      <c r="BY1559">
        <v>508661</v>
      </c>
      <c r="BZ1559" t="s">
        <v>5400</v>
      </c>
      <c r="CA1559">
        <v>1</v>
      </c>
      <c r="CB1559" t="b">
        <v>1</v>
      </c>
      <c r="CC1559">
        <v>0</v>
      </c>
      <c r="CD1559" t="b">
        <v>0</v>
      </c>
      <c r="CE1559" t="b">
        <v>0</v>
      </c>
      <c r="CF1559" t="b">
        <v>0</v>
      </c>
      <c r="CG1559">
        <v>2908213</v>
      </c>
      <c r="CH1559" t="s">
        <v>1681</v>
      </c>
      <c r="CI1559" s="10">
        <v>799000</v>
      </c>
      <c r="CJ1559" s="7">
        <v>38121</v>
      </c>
    </row>
    <row r="1560" spans="1:90">
      <c r="A1560">
        <v>28025004</v>
      </c>
      <c r="B1560" s="2" t="str">
        <f>HYPERLINK("http://www.redfin.com/stingray/do/printable-listing?listing-id=1471339","Active")</f>
        <v>Active</v>
      </c>
      <c r="D1560" t="s">
        <v>369</v>
      </c>
      <c r="E1560" t="s">
        <v>5366</v>
      </c>
      <c r="F1560">
        <v>574950</v>
      </c>
      <c r="G1560">
        <v>1958</v>
      </c>
      <c r="H1560">
        <v>1490</v>
      </c>
      <c r="I1560">
        <v>16200</v>
      </c>
      <c r="J1560">
        <v>3</v>
      </c>
      <c r="K1560">
        <v>1.75</v>
      </c>
      <c r="M1560" s="2" t="str">
        <f>HYPERLINK("http://maps.live.com/default.aspx?v=2&amp;lvl=15&amp;sp=Point.47.591876_-122.174839_2042 123rd Ave SE&amp;cp=47.591876~-122.174839","Map")</f>
        <v>Map</v>
      </c>
      <c r="N1560" s="2" t="str">
        <f>HYPERLINK("http://i-0.rfimg.us/photo/1/bigphoto/004/28025004_0.jpg","Photo")</f>
        <v>Photo</v>
      </c>
      <c r="AG1560">
        <v>47.591875999999999</v>
      </c>
      <c r="AH1560">
        <v>-122.17483900000001</v>
      </c>
      <c r="AI1560" t="s">
        <v>369</v>
      </c>
      <c r="AJ1560">
        <v>98005</v>
      </c>
      <c r="BC1560" s="22">
        <v>39489.474374999998</v>
      </c>
      <c r="BI1560" s="22">
        <v>39549.294907407406</v>
      </c>
      <c r="BL1560">
        <v>11499</v>
      </c>
      <c r="BM1560">
        <v>1471339</v>
      </c>
      <c r="BN1560" t="s">
        <v>1768</v>
      </c>
      <c r="BO1560" s="17">
        <f t="shared" ca="1" si="24"/>
        <v>59.835030902781</v>
      </c>
      <c r="BP1560" t="b">
        <v>0</v>
      </c>
      <c r="BQ1560">
        <v>1</v>
      </c>
      <c r="BR1560" t="s">
        <v>1667</v>
      </c>
      <c r="BS1560" t="s">
        <v>2882</v>
      </c>
      <c r="BT1560" t="b">
        <v>0</v>
      </c>
      <c r="BV1560" t="s">
        <v>1668</v>
      </c>
      <c r="BW1560">
        <v>2042</v>
      </c>
      <c r="BX1560" t="s">
        <v>3856</v>
      </c>
      <c r="BY1560">
        <v>509051</v>
      </c>
      <c r="BZ1560" t="s">
        <v>1672</v>
      </c>
      <c r="CA1560">
        <v>1</v>
      </c>
      <c r="CB1560" t="b">
        <v>1</v>
      </c>
      <c r="CC1560">
        <v>0</v>
      </c>
      <c r="CD1560" t="b">
        <v>0</v>
      </c>
      <c r="CE1560" t="b">
        <v>0</v>
      </c>
      <c r="CF1560" t="b">
        <v>1</v>
      </c>
      <c r="CG1560">
        <v>2445637</v>
      </c>
      <c r="CH1560" t="s">
        <v>1681</v>
      </c>
      <c r="CI1560" s="10">
        <v>574950</v>
      </c>
    </row>
    <row r="1561" spans="1:90">
      <c r="A1561">
        <v>28025011</v>
      </c>
      <c r="B1561" s="15" t="str">
        <f>HYPERLINK("http://www.redfin.com/stingray/do/printable-listing?listing-id=1471340","Subject To Inspection")</f>
        <v>Subject To Inspection</v>
      </c>
      <c r="D1561" t="s">
        <v>63</v>
      </c>
      <c r="E1561" t="s">
        <v>277</v>
      </c>
      <c r="F1561" s="19">
        <v>459000</v>
      </c>
      <c r="G1561">
        <v>1942</v>
      </c>
      <c r="H1561">
        <v>1760</v>
      </c>
      <c r="I1561">
        <v>4479</v>
      </c>
      <c r="J1561">
        <v>2</v>
      </c>
      <c r="K1561">
        <v>1</v>
      </c>
      <c r="M1561" s="2" t="str">
        <f>HYPERLINK("http://maps.live.com/default.aspx?v=2&amp;lvl=15&amp;sp=Point.47.689586_-122.378614_8326 17th Ave NW&amp;cp=47.689586~-122.378614","Map")</f>
        <v>Map</v>
      </c>
      <c r="N1561" s="2" t="str">
        <f>HYPERLINK("http://i-0.rfimg.us/photo/1/bigphoto/011/28025011_0.jpg","Photo")</f>
        <v>Photo</v>
      </c>
      <c r="AG1561">
        <v>47.689585999999998</v>
      </c>
      <c r="AH1561">
        <v>-122.378614</v>
      </c>
      <c r="AI1561" t="s">
        <v>66</v>
      </c>
      <c r="AJ1561">
        <v>98117</v>
      </c>
      <c r="AN1561">
        <v>395000</v>
      </c>
      <c r="BC1561" s="22">
        <v>39489.474386574075</v>
      </c>
      <c r="BI1561" s="7">
        <v>39533</v>
      </c>
      <c r="BL1561">
        <v>9399</v>
      </c>
      <c r="BM1561">
        <v>1471340</v>
      </c>
      <c r="BN1561" t="s">
        <v>1700</v>
      </c>
      <c r="BO1561" s="17">
        <f t="shared" ca="1" si="24"/>
        <v>59.835019444442878</v>
      </c>
      <c r="BP1561" t="b">
        <v>0</v>
      </c>
      <c r="BQ1561">
        <v>1</v>
      </c>
      <c r="BR1561" t="s">
        <v>1667</v>
      </c>
      <c r="BS1561" t="s">
        <v>1683</v>
      </c>
      <c r="BT1561" t="b">
        <v>0</v>
      </c>
      <c r="BV1561" t="s">
        <v>1668</v>
      </c>
      <c r="BW1561">
        <v>8326</v>
      </c>
      <c r="BX1561" t="s">
        <v>1669</v>
      </c>
      <c r="BY1561">
        <v>166071</v>
      </c>
      <c r="BZ1561" t="s">
        <v>1701</v>
      </c>
      <c r="CA1561">
        <v>1</v>
      </c>
      <c r="CB1561" t="b">
        <v>1</v>
      </c>
      <c r="CC1561">
        <v>0</v>
      </c>
      <c r="CD1561" t="b">
        <v>0</v>
      </c>
      <c r="CE1561" t="b">
        <v>0</v>
      </c>
      <c r="CF1561" t="b">
        <v>0</v>
      </c>
      <c r="CG1561">
        <v>2411669</v>
      </c>
      <c r="CH1561" t="s">
        <v>1681</v>
      </c>
      <c r="CI1561" s="10">
        <v>469950</v>
      </c>
      <c r="CJ1561" s="7">
        <v>38693</v>
      </c>
      <c r="CK1561" t="s">
        <v>2273</v>
      </c>
    </row>
    <row r="1562" spans="1:90">
      <c r="A1562">
        <v>28025038</v>
      </c>
      <c r="B1562" s="2" t="str">
        <f>HYPERLINK("http://www.redfin.com/stingray/do/printable-listing?listing-id=1471703","Active")</f>
        <v>Active</v>
      </c>
      <c r="D1562" t="s">
        <v>3249</v>
      </c>
      <c r="E1562" t="s">
        <v>3637</v>
      </c>
      <c r="F1562">
        <v>1695000</v>
      </c>
      <c r="G1562">
        <v>2005</v>
      </c>
      <c r="H1562">
        <v>4750</v>
      </c>
      <c r="I1562">
        <v>0</v>
      </c>
      <c r="J1562">
        <v>5</v>
      </c>
      <c r="K1562">
        <v>4.5</v>
      </c>
      <c r="M1562" s="2" t="str">
        <f>HYPERLINK("http://maps.live.com/default.aspx?v=2&amp;lvl=15&amp;sp=Point.47.633713_-122.347512_1617 5th Ave N&amp;cp=47.633713~-122.347512","Map")</f>
        <v>Map</v>
      </c>
      <c r="N1562" s="2" t="str">
        <f>HYPERLINK("http://i-0.rfimg.us/photo/1/bigphoto/038/28025038_3.jpg","Photo")</f>
        <v>Photo</v>
      </c>
      <c r="AG1562">
        <v>47.633713</v>
      </c>
      <c r="AH1562">
        <v>-122.34751199999999</v>
      </c>
      <c r="AI1562" t="s">
        <v>66</v>
      </c>
      <c r="AJ1562">
        <v>98109</v>
      </c>
      <c r="AN1562">
        <v>295000</v>
      </c>
      <c r="BC1562" s="22">
        <v>39489.547638888886</v>
      </c>
      <c r="BI1562" s="22">
        <v>39549.294907407406</v>
      </c>
      <c r="BL1562">
        <v>33900</v>
      </c>
      <c r="BM1562">
        <v>1471703</v>
      </c>
      <c r="BN1562" t="s">
        <v>2766</v>
      </c>
      <c r="BO1562" s="17">
        <f t="shared" ca="1" si="24"/>
        <v>59.761767013893405</v>
      </c>
      <c r="BP1562" t="b">
        <v>0</v>
      </c>
      <c r="BQ1562">
        <v>1</v>
      </c>
      <c r="BR1562" t="s">
        <v>1667</v>
      </c>
      <c r="BS1562" t="s">
        <v>1832</v>
      </c>
      <c r="BT1562" t="b">
        <v>0</v>
      </c>
      <c r="BV1562" t="s">
        <v>1668</v>
      </c>
      <c r="BW1562">
        <v>1617</v>
      </c>
      <c r="BX1562" t="s">
        <v>1712</v>
      </c>
      <c r="BY1562">
        <v>134886</v>
      </c>
      <c r="BZ1562" t="s">
        <v>3638</v>
      </c>
      <c r="CA1562">
        <v>1</v>
      </c>
      <c r="CB1562" t="b">
        <v>1</v>
      </c>
      <c r="CC1562">
        <v>0</v>
      </c>
      <c r="CD1562" t="b">
        <v>0</v>
      </c>
      <c r="CE1562" t="b">
        <v>0</v>
      </c>
      <c r="CF1562" t="b">
        <v>0</v>
      </c>
      <c r="CG1562">
        <v>2682237</v>
      </c>
      <c r="CH1562" t="s">
        <v>1681</v>
      </c>
      <c r="CI1562" s="10">
        <v>1695000</v>
      </c>
      <c r="CJ1562" s="7">
        <v>34802</v>
      </c>
    </row>
    <row r="1563" spans="1:90">
      <c r="A1563">
        <v>28025044</v>
      </c>
      <c r="B1563" s="2" t="str">
        <f>HYPERLINK("http://www.redfin.com/stingray/do/printable-listing?listing-id=1471416","Active")</f>
        <v>Active</v>
      </c>
      <c r="D1563" t="s">
        <v>3924</v>
      </c>
      <c r="E1563" t="s">
        <v>4270</v>
      </c>
      <c r="F1563">
        <v>749950</v>
      </c>
      <c r="G1563">
        <v>2005</v>
      </c>
      <c r="H1563">
        <v>2788</v>
      </c>
      <c r="I1563">
        <v>4080</v>
      </c>
      <c r="J1563">
        <v>4</v>
      </c>
      <c r="K1563">
        <v>2.5</v>
      </c>
      <c r="M1563" s="2" t="str">
        <f>HYPERLINK("http://maps.live.com/default.aspx?v=2&amp;lvl=15&amp;sp=Point.47.618714_-122.295865_2803 E Denny Way&amp;cp=47.618714~-122.295865","Map")</f>
        <v>Map</v>
      </c>
      <c r="N1563" s="2" t="str">
        <f>HYPERLINK("http://i-0.rfimg.us/photo/1/bigphoto/044/28025044_2.jpg","Photo")</f>
        <v>Photo</v>
      </c>
      <c r="AG1563">
        <v>47.618713999999997</v>
      </c>
      <c r="AH1563">
        <v>-122.29586500000001</v>
      </c>
      <c r="AI1563" t="s">
        <v>66</v>
      </c>
      <c r="AJ1563">
        <v>98122</v>
      </c>
      <c r="AN1563">
        <v>460000</v>
      </c>
      <c r="BC1563" s="22">
        <v>39489.494687500002</v>
      </c>
      <c r="BI1563" s="22">
        <v>39549.294907407406</v>
      </c>
      <c r="BL1563">
        <v>14999</v>
      </c>
      <c r="BM1563">
        <v>1471416</v>
      </c>
      <c r="BN1563" t="s">
        <v>3028</v>
      </c>
      <c r="BO1563" s="17">
        <f t="shared" ca="1" si="24"/>
        <v>59.814718402776634</v>
      </c>
      <c r="BP1563" t="b">
        <v>0</v>
      </c>
      <c r="BQ1563">
        <v>1</v>
      </c>
      <c r="BR1563" t="s">
        <v>2463</v>
      </c>
      <c r="BS1563" t="s">
        <v>4085</v>
      </c>
      <c r="BT1563" t="b">
        <v>0</v>
      </c>
      <c r="BU1563" t="s">
        <v>2436</v>
      </c>
      <c r="BV1563" t="s">
        <v>1668</v>
      </c>
      <c r="BW1563">
        <v>2803</v>
      </c>
      <c r="BY1563">
        <v>145769</v>
      </c>
      <c r="BZ1563" t="s">
        <v>1730</v>
      </c>
      <c r="CA1563">
        <v>1</v>
      </c>
      <c r="CB1563" t="b">
        <v>1</v>
      </c>
      <c r="CC1563">
        <v>0</v>
      </c>
      <c r="CD1563" t="b">
        <v>0</v>
      </c>
      <c r="CE1563" t="b">
        <v>0</v>
      </c>
      <c r="CF1563" t="b">
        <v>0</v>
      </c>
      <c r="CG1563">
        <v>2720365</v>
      </c>
      <c r="CH1563" t="s">
        <v>1681</v>
      </c>
      <c r="CI1563" s="10">
        <v>749950</v>
      </c>
      <c r="CJ1563" s="7">
        <v>39087</v>
      </c>
    </row>
    <row r="1564" spans="1:90">
      <c r="A1564">
        <v>28025049</v>
      </c>
      <c r="B1564" s="2" t="str">
        <f>HYPERLINK("http://www.redfin.com/stingray/do/printable-listing?listing-id=1471412","Active")</f>
        <v>Active</v>
      </c>
      <c r="D1564" t="s">
        <v>2845</v>
      </c>
      <c r="E1564" t="s">
        <v>2860</v>
      </c>
      <c r="F1564" s="19">
        <v>979000</v>
      </c>
      <c r="G1564">
        <v>1990</v>
      </c>
      <c r="H1564">
        <v>2500</v>
      </c>
      <c r="I1564">
        <v>7000</v>
      </c>
      <c r="J1564">
        <v>3</v>
      </c>
      <c r="K1564">
        <v>2.5</v>
      </c>
      <c r="M1564" s="2" t="str">
        <f>HYPERLINK("http://maps.live.com/default.aspx?v=2&amp;lvl=15&amp;sp=Point.47.691877_-122.272354_5312 NE 86 St&amp;cp=47.691877~-122.272354","Map")</f>
        <v>Map</v>
      </c>
      <c r="N1564" s="2" t="str">
        <f>HYPERLINK("http://i-0.rfimg.us/photo/1/bigphoto/049/28025049_0.jpg","Photo")</f>
        <v>Photo</v>
      </c>
      <c r="AG1564">
        <v>47.691876999999998</v>
      </c>
      <c r="AH1564">
        <v>-122.27235400000001</v>
      </c>
      <c r="AI1564" t="s">
        <v>66</v>
      </c>
      <c r="AJ1564">
        <v>98115</v>
      </c>
      <c r="AN1564">
        <v>440000</v>
      </c>
      <c r="BC1564" s="22">
        <v>39489.494641203702</v>
      </c>
      <c r="BI1564" s="22">
        <v>39549.294907407406</v>
      </c>
      <c r="BL1564">
        <v>20580</v>
      </c>
      <c r="BM1564">
        <v>1471412</v>
      </c>
      <c r="BN1564" t="s">
        <v>1710</v>
      </c>
      <c r="BO1564" s="17">
        <f t="shared" ca="1" si="24"/>
        <v>59.814764699076477</v>
      </c>
      <c r="BP1564" t="b">
        <v>0</v>
      </c>
      <c r="BQ1564">
        <v>1</v>
      </c>
      <c r="BR1564" t="s">
        <v>1686</v>
      </c>
      <c r="BS1564">
        <v>86</v>
      </c>
      <c r="BT1564" t="b">
        <v>0</v>
      </c>
      <c r="BU1564" t="s">
        <v>1738</v>
      </c>
      <c r="BV1564" t="s">
        <v>1668</v>
      </c>
      <c r="BW1564">
        <v>5312</v>
      </c>
      <c r="BY1564">
        <v>322119</v>
      </c>
      <c r="BZ1564" t="s">
        <v>1672</v>
      </c>
      <c r="CA1564">
        <v>1</v>
      </c>
      <c r="CB1564" t="b">
        <v>1</v>
      </c>
      <c r="CC1564">
        <v>0</v>
      </c>
      <c r="CD1564" t="b">
        <v>0</v>
      </c>
      <c r="CE1564" t="b">
        <v>0</v>
      </c>
      <c r="CF1564" t="b">
        <v>0</v>
      </c>
      <c r="CG1564">
        <v>2618812</v>
      </c>
      <c r="CH1564" t="s">
        <v>1681</v>
      </c>
      <c r="CI1564" s="10">
        <v>1029000</v>
      </c>
      <c r="CJ1564" s="7">
        <v>34912</v>
      </c>
    </row>
    <row r="1565" spans="1:90">
      <c r="A1565">
        <v>28025060</v>
      </c>
      <c r="B1565" s="2" t="str">
        <f>HYPERLINK("http://www.redfin.com/stingray/do/printable-listing?listing-id=1489512","Active")</f>
        <v>Active</v>
      </c>
      <c r="D1565" t="s">
        <v>55</v>
      </c>
      <c r="E1565" t="s">
        <v>1335</v>
      </c>
      <c r="F1565">
        <v>349950</v>
      </c>
      <c r="G1565">
        <v>1943</v>
      </c>
      <c r="H1565">
        <v>860</v>
      </c>
      <c r="I1565">
        <v>6900</v>
      </c>
      <c r="J1565">
        <v>3</v>
      </c>
      <c r="K1565">
        <v>1</v>
      </c>
      <c r="M1565" s="2" t="str">
        <f>HYPERLINK("http://maps.live.com/default.aspx?v=2&amp;lvl=15&amp;sp=Point.47.698016_-122.360343_222 NW 95&amp;cp=47.698016~-122.360343","Map")</f>
        <v>Map</v>
      </c>
      <c r="N1565" s="2" t="str">
        <f>HYPERLINK("http://i-0.rfimg.us/photo/1/bigphoto/060/28025060_1.jpg","Photo")</f>
        <v>Photo</v>
      </c>
      <c r="AG1565">
        <v>47.698016000000003</v>
      </c>
      <c r="AH1565">
        <v>-122.360343</v>
      </c>
      <c r="AI1565" t="s">
        <v>66</v>
      </c>
      <c r="AJ1565">
        <v>98117</v>
      </c>
      <c r="AN1565">
        <v>271000</v>
      </c>
      <c r="BC1565" s="22">
        <v>39496.557708333334</v>
      </c>
      <c r="BI1565" s="22">
        <v>39549.294907407406</v>
      </c>
      <c r="BL1565">
        <v>6999</v>
      </c>
      <c r="BM1565">
        <v>1489512</v>
      </c>
      <c r="BN1565" t="s">
        <v>1753</v>
      </c>
      <c r="BO1565" s="17">
        <f t="shared" ca="1" si="24"/>
        <v>52.751697685183899</v>
      </c>
      <c r="BP1565" t="b">
        <v>0</v>
      </c>
      <c r="BQ1565">
        <v>1</v>
      </c>
      <c r="BS1565">
        <v>95</v>
      </c>
      <c r="BT1565" t="b">
        <v>0</v>
      </c>
      <c r="BU1565" t="s">
        <v>1669</v>
      </c>
      <c r="BV1565" t="s">
        <v>1668</v>
      </c>
      <c r="BW1565">
        <v>222</v>
      </c>
      <c r="BY1565">
        <v>100312</v>
      </c>
      <c r="BZ1565" t="s">
        <v>1797</v>
      </c>
      <c r="CA1565">
        <v>1</v>
      </c>
      <c r="CB1565" t="b">
        <v>1</v>
      </c>
      <c r="CC1565">
        <v>0</v>
      </c>
      <c r="CD1565" t="b">
        <v>0</v>
      </c>
      <c r="CE1565" t="b">
        <v>0</v>
      </c>
      <c r="CF1565" t="b">
        <v>0</v>
      </c>
      <c r="CG1565">
        <v>2919754</v>
      </c>
      <c r="CH1565" t="s">
        <v>1681</v>
      </c>
      <c r="CI1565" s="10">
        <v>349950</v>
      </c>
      <c r="CJ1565" s="7">
        <v>38328</v>
      </c>
    </row>
    <row r="1566" spans="1:90">
      <c r="A1566">
        <v>28025061</v>
      </c>
      <c r="B1566" s="15" t="str">
        <f>HYPERLINK("http://www.redfin.com/stingray/do/printable-listing?listing-id=1485386","Subject To Inspection")</f>
        <v>Subject To Inspection</v>
      </c>
      <c r="D1566" t="s">
        <v>5705</v>
      </c>
      <c r="E1566" t="s">
        <v>5720</v>
      </c>
      <c r="F1566">
        <v>849500</v>
      </c>
      <c r="G1566">
        <v>1964</v>
      </c>
      <c r="H1566">
        <v>1880</v>
      </c>
      <c r="I1566">
        <v>10716</v>
      </c>
      <c r="J1566">
        <v>4</v>
      </c>
      <c r="K1566">
        <v>2</v>
      </c>
      <c r="M1566" s="2" t="str">
        <f>HYPERLINK("http://maps.live.com/default.aspx?v=2&amp;lvl=15&amp;sp=Point.47.53771_-122.220215_8835 SE 72 Pl&amp;cp=47.53771~-122.220215","Map")</f>
        <v>Map</v>
      </c>
      <c r="N1566" s="2" t="str">
        <f>HYPERLINK("http://i-0.rfimg.us/photo/1/bigphoto/061/28025061_4.jpg","Photo")</f>
        <v>Photo</v>
      </c>
      <c r="AG1566">
        <v>47.537709999999997</v>
      </c>
      <c r="AH1566">
        <v>-122.220215</v>
      </c>
      <c r="AI1566" t="s">
        <v>5139</v>
      </c>
      <c r="AJ1566">
        <v>98040</v>
      </c>
      <c r="AN1566">
        <v>590000</v>
      </c>
      <c r="BC1566" s="22">
        <v>39493.776898148149</v>
      </c>
      <c r="BI1566" s="22">
        <v>39549.294907407406</v>
      </c>
      <c r="BL1566">
        <v>16990</v>
      </c>
      <c r="BM1566">
        <v>1485386</v>
      </c>
      <c r="BN1566" t="s">
        <v>1688</v>
      </c>
      <c r="BO1566" s="17">
        <f t="shared" ca="1" si="24"/>
        <v>55.532507754629478</v>
      </c>
      <c r="BP1566" t="b">
        <v>0</v>
      </c>
      <c r="BQ1566">
        <v>1</v>
      </c>
      <c r="BR1566" t="s">
        <v>1842</v>
      </c>
      <c r="BS1566">
        <v>72</v>
      </c>
      <c r="BT1566" t="b">
        <v>0</v>
      </c>
      <c r="BU1566" t="s">
        <v>3856</v>
      </c>
      <c r="BV1566" t="s">
        <v>1668</v>
      </c>
      <c r="BW1566">
        <v>8835</v>
      </c>
      <c r="BY1566">
        <v>255209</v>
      </c>
      <c r="BZ1566" t="s">
        <v>5721</v>
      </c>
      <c r="CA1566">
        <v>1</v>
      </c>
      <c r="CB1566" t="b">
        <v>1</v>
      </c>
      <c r="CC1566">
        <v>0</v>
      </c>
      <c r="CD1566" t="b">
        <v>0</v>
      </c>
      <c r="CE1566" t="b">
        <v>0</v>
      </c>
      <c r="CF1566" t="b">
        <v>0</v>
      </c>
      <c r="CG1566">
        <v>2948671</v>
      </c>
      <c r="CH1566" t="s">
        <v>1681</v>
      </c>
      <c r="CI1566" s="10">
        <v>849500</v>
      </c>
      <c r="CJ1566" s="7">
        <v>36630</v>
      </c>
    </row>
    <row r="1567" spans="1:90">
      <c r="A1567">
        <v>28025108</v>
      </c>
      <c r="B1567" s="2" t="str">
        <f>HYPERLINK("http://www.redfin.com/stingray/do/printable-listing?listing-id=1484991","Active")</f>
        <v>Active</v>
      </c>
      <c r="D1567" t="s">
        <v>5198</v>
      </c>
      <c r="E1567" t="s">
        <v>5264</v>
      </c>
      <c r="F1567">
        <v>945000</v>
      </c>
      <c r="G1567">
        <v>1999</v>
      </c>
      <c r="H1567">
        <v>3400</v>
      </c>
      <c r="I1567">
        <v>12900</v>
      </c>
      <c r="J1567">
        <v>4</v>
      </c>
      <c r="K1567">
        <v>2.75</v>
      </c>
      <c r="M1567" s="2" t="str">
        <f>HYPERLINK("http://maps.live.com/default.aspx?v=2&amp;lvl=15&amp;sp=Point.47.581258_-122.114443_16911 SE 32nd Pl&amp;cp=47.581258~-122.114443","Map")</f>
        <v>Map</v>
      </c>
      <c r="N1567" s="2" t="str">
        <f>HYPERLINK("http://i-0.rfimg.us/photo/1/bigphoto/108/28025108_1.jpg","Photo")</f>
        <v>Photo</v>
      </c>
      <c r="AG1567">
        <v>47.581257999999998</v>
      </c>
      <c r="AH1567">
        <v>-122.11444299999999</v>
      </c>
      <c r="AI1567" t="s">
        <v>369</v>
      </c>
      <c r="AJ1567">
        <v>98008</v>
      </c>
      <c r="AN1567">
        <v>619950</v>
      </c>
      <c r="BC1567" s="22">
        <v>39493.694189814814</v>
      </c>
      <c r="BI1567" s="22">
        <v>39549.294907407406</v>
      </c>
      <c r="BL1567">
        <v>18900</v>
      </c>
      <c r="BM1567">
        <v>1484991</v>
      </c>
      <c r="BN1567" t="s">
        <v>1674</v>
      </c>
      <c r="BO1567" s="17">
        <f t="shared" ca="1" si="24"/>
        <v>55.615216087964654</v>
      </c>
      <c r="BP1567" t="b">
        <v>0</v>
      </c>
      <c r="BQ1567">
        <v>1</v>
      </c>
      <c r="BR1567" t="s">
        <v>1842</v>
      </c>
      <c r="BS1567" t="s">
        <v>1733</v>
      </c>
      <c r="BT1567" t="b">
        <v>0</v>
      </c>
      <c r="BU1567" t="s">
        <v>3856</v>
      </c>
      <c r="BV1567" t="s">
        <v>1668</v>
      </c>
      <c r="BW1567">
        <v>16911</v>
      </c>
      <c r="BY1567">
        <v>429433</v>
      </c>
      <c r="BZ1567" t="s">
        <v>1704</v>
      </c>
      <c r="CA1567">
        <v>1</v>
      </c>
      <c r="CB1567" t="b">
        <v>1</v>
      </c>
      <c r="CC1567">
        <v>0</v>
      </c>
      <c r="CD1567" t="b">
        <v>0</v>
      </c>
      <c r="CE1567" t="b">
        <v>0</v>
      </c>
      <c r="CF1567" t="b">
        <v>0</v>
      </c>
      <c r="CG1567">
        <v>2675528</v>
      </c>
      <c r="CH1567" t="s">
        <v>1681</v>
      </c>
      <c r="CI1567" s="10">
        <v>945000</v>
      </c>
      <c r="CJ1567" s="7">
        <v>36381</v>
      </c>
    </row>
    <row r="1568" spans="1:90">
      <c r="A1568">
        <v>28025273</v>
      </c>
      <c r="B1568" s="2" t="str">
        <f>HYPERLINK("http://www.redfin.com/stingray/do/printable-listing?listing-id=1474028","Active")</f>
        <v>Active</v>
      </c>
      <c r="D1568" t="s">
        <v>3966</v>
      </c>
      <c r="E1568" t="s">
        <v>4298</v>
      </c>
      <c r="F1568">
        <v>499950</v>
      </c>
      <c r="G1568">
        <v>1977</v>
      </c>
      <c r="H1568">
        <v>1830</v>
      </c>
      <c r="I1568">
        <v>3000</v>
      </c>
      <c r="J1568">
        <v>3</v>
      </c>
      <c r="K1568">
        <v>1.75</v>
      </c>
      <c r="M1568" s="2" t="str">
        <f>HYPERLINK("http://maps.live.com/default.aspx?v=2&amp;lvl=15&amp;sp=Point.47.606935_-122.291872_603 32nd Ave&amp;cp=47.606935~-122.291872","Map")</f>
        <v>Map</v>
      </c>
      <c r="N1568" s="2" t="str">
        <f>HYPERLINK("http://i-0.rfimg.us/photo/1/bigphoto/273/28025273_1.jpg","Photo")</f>
        <v>Photo</v>
      </c>
      <c r="AG1568">
        <v>47.606935</v>
      </c>
      <c r="AH1568">
        <v>-122.291872</v>
      </c>
      <c r="AI1568" t="s">
        <v>66</v>
      </c>
      <c r="AJ1568">
        <v>98122</v>
      </c>
      <c r="BC1568" s="22">
        <v>39490.368993055556</v>
      </c>
      <c r="BI1568" s="22">
        <v>39549.294907407406</v>
      </c>
      <c r="BL1568">
        <v>9999</v>
      </c>
      <c r="BM1568">
        <v>1474028</v>
      </c>
      <c r="BN1568" t="s">
        <v>1810</v>
      </c>
      <c r="BO1568" s="17">
        <f t="shared" ca="1" si="24"/>
        <v>58.940412847223342</v>
      </c>
      <c r="BP1568" t="b">
        <v>0</v>
      </c>
      <c r="BQ1568">
        <v>1</v>
      </c>
      <c r="BR1568" t="s">
        <v>1667</v>
      </c>
      <c r="BS1568" t="s">
        <v>1733</v>
      </c>
      <c r="BT1568" t="b">
        <v>0</v>
      </c>
      <c r="BV1568" t="s">
        <v>1668</v>
      </c>
      <c r="BW1568">
        <v>603</v>
      </c>
      <c r="BY1568">
        <v>148674</v>
      </c>
      <c r="BZ1568" t="s">
        <v>1756</v>
      </c>
      <c r="CA1568">
        <v>1</v>
      </c>
      <c r="CB1568" t="b">
        <v>1</v>
      </c>
      <c r="CC1568">
        <v>0</v>
      </c>
      <c r="CD1568" t="b">
        <v>0</v>
      </c>
      <c r="CE1568" t="b">
        <v>0</v>
      </c>
      <c r="CF1568" t="b">
        <v>0</v>
      </c>
      <c r="CG1568">
        <v>2512250</v>
      </c>
      <c r="CH1568" t="s">
        <v>1681</v>
      </c>
      <c r="CI1568" s="10">
        <v>499950</v>
      </c>
    </row>
    <row r="1569" spans="1:89">
      <c r="A1569">
        <v>28025310</v>
      </c>
      <c r="B1569" s="2" t="str">
        <f>HYPERLINK("http://www.redfin.com/stingray/do/printable-listing?listing-id=1472588","Active")</f>
        <v>Active</v>
      </c>
      <c r="D1569" t="s">
        <v>5121</v>
      </c>
      <c r="E1569" t="s">
        <v>5370</v>
      </c>
      <c r="F1569" s="19">
        <v>1129000</v>
      </c>
      <c r="G1569">
        <v>2004</v>
      </c>
      <c r="H1569">
        <v>4440</v>
      </c>
      <c r="I1569">
        <v>13279</v>
      </c>
      <c r="J1569">
        <v>4</v>
      </c>
      <c r="K1569">
        <v>3.25</v>
      </c>
      <c r="M1569" s="2" t="str">
        <f>HYPERLINK("http://maps.live.com/default.aspx?v=2&amp;lvl=15&amp;sp=Point.47.585886_-122.19146_11047 SE 27th Pl&amp;cp=47.585886~-122.19146","Map")</f>
        <v>Map</v>
      </c>
      <c r="N1569" s="2" t="str">
        <f>HYPERLINK("http://i-0.rfimg.us/photo/1/bigphoto/310/28025310_4.jpg","Photo")</f>
        <v>Photo</v>
      </c>
      <c r="AG1569">
        <v>47.585886000000002</v>
      </c>
      <c r="AH1569">
        <v>-122.19146000000001</v>
      </c>
      <c r="AI1569" t="s">
        <v>369</v>
      </c>
      <c r="AJ1569">
        <v>98004</v>
      </c>
      <c r="AN1569">
        <v>159000</v>
      </c>
      <c r="BC1569" s="22">
        <v>39489.725277777776</v>
      </c>
      <c r="BI1569" s="22">
        <v>39546.925937499997</v>
      </c>
      <c r="BL1569">
        <v>23600</v>
      </c>
      <c r="BM1569">
        <v>1472588</v>
      </c>
      <c r="BN1569" t="s">
        <v>1735</v>
      </c>
      <c r="BO1569" s="17">
        <f t="shared" ca="1" si="24"/>
        <v>59.58412812500319</v>
      </c>
      <c r="BP1569" t="b">
        <v>0</v>
      </c>
      <c r="BQ1569">
        <v>1</v>
      </c>
      <c r="BR1569" t="s">
        <v>1842</v>
      </c>
      <c r="BS1569" t="s">
        <v>1751</v>
      </c>
      <c r="BT1569" t="b">
        <v>0</v>
      </c>
      <c r="BU1569" t="s">
        <v>3856</v>
      </c>
      <c r="BV1569" t="s">
        <v>1668</v>
      </c>
      <c r="BW1569">
        <v>11047</v>
      </c>
      <c r="BY1569">
        <v>511062</v>
      </c>
      <c r="BZ1569" t="s">
        <v>5371</v>
      </c>
      <c r="CA1569">
        <v>1</v>
      </c>
      <c r="CB1569" t="b">
        <v>1</v>
      </c>
      <c r="CC1569">
        <v>0</v>
      </c>
      <c r="CD1569" t="b">
        <v>0</v>
      </c>
      <c r="CE1569" t="b">
        <v>0</v>
      </c>
      <c r="CF1569" t="b">
        <v>0</v>
      </c>
      <c r="CG1569">
        <v>2348894</v>
      </c>
      <c r="CH1569" t="s">
        <v>1681</v>
      </c>
      <c r="CI1569" s="10">
        <v>1179990</v>
      </c>
      <c r="CJ1569" s="7">
        <v>33816</v>
      </c>
    </row>
    <row r="1570" spans="1:89">
      <c r="A1570">
        <v>28025319</v>
      </c>
      <c r="B1570" s="2" t="str">
        <f>HYPERLINK("http://www.redfin.com/stingray/do/printable-listing?listing-id=1484179","Active")</f>
        <v>Active</v>
      </c>
      <c r="D1570" t="s">
        <v>3071</v>
      </c>
      <c r="E1570" t="s">
        <v>4479</v>
      </c>
      <c r="F1570" s="19">
        <v>399900</v>
      </c>
      <c r="G1570">
        <v>2001</v>
      </c>
      <c r="H1570">
        <v>1797</v>
      </c>
      <c r="I1570">
        <v>0</v>
      </c>
      <c r="J1570">
        <v>3</v>
      </c>
      <c r="K1570">
        <v>2.5</v>
      </c>
      <c r="M1570" s="2" t="str">
        <f>HYPERLINK("http://maps.live.com/default.aspx?v=2&amp;lvl=15&amp;sp=Point.47.726363_-122.228904_8309 NE 140th St&amp;cp=47.726363~-122.228904","Map")</f>
        <v>Map</v>
      </c>
      <c r="N1570" s="2" t="str">
        <f>HYPERLINK("http://i-0.rfimg.us/photo/1/bigphoto/319/28025319_5.jpg","Photo")</f>
        <v>Photo</v>
      </c>
      <c r="AG1570">
        <v>47.726362999999999</v>
      </c>
      <c r="AH1570">
        <v>-122.228904</v>
      </c>
      <c r="AI1570" t="s">
        <v>4474</v>
      </c>
      <c r="AJ1570">
        <v>98011</v>
      </c>
      <c r="BC1570" s="22">
        <v>39493.53696759259</v>
      </c>
      <c r="BI1570" s="22">
        <v>39549.294907407406</v>
      </c>
      <c r="BL1570">
        <v>8358</v>
      </c>
      <c r="BM1570">
        <v>1484179</v>
      </c>
      <c r="BN1570" t="s">
        <v>2556</v>
      </c>
      <c r="BO1570" s="17">
        <f t="shared" ca="1" si="24"/>
        <v>55.772438310188591</v>
      </c>
      <c r="BP1570" t="b">
        <v>0</v>
      </c>
      <c r="BQ1570">
        <v>1</v>
      </c>
      <c r="BR1570" t="s">
        <v>1686</v>
      </c>
      <c r="BS1570" t="s">
        <v>4434</v>
      </c>
      <c r="BT1570" t="b">
        <v>0</v>
      </c>
      <c r="BU1570" t="s">
        <v>1738</v>
      </c>
      <c r="BV1570" t="s">
        <v>1668</v>
      </c>
      <c r="BW1570">
        <v>8309</v>
      </c>
      <c r="BY1570">
        <v>12169123</v>
      </c>
      <c r="BZ1570" t="s">
        <v>4480</v>
      </c>
      <c r="CA1570">
        <v>1</v>
      </c>
      <c r="CB1570" t="b">
        <v>1</v>
      </c>
      <c r="CC1570">
        <v>0</v>
      </c>
      <c r="CD1570" t="b">
        <v>0</v>
      </c>
      <c r="CE1570" t="b">
        <v>0</v>
      </c>
      <c r="CF1570" t="b">
        <v>0</v>
      </c>
      <c r="CG1570">
        <v>15399787</v>
      </c>
      <c r="CH1570" t="s">
        <v>1681</v>
      </c>
      <c r="CI1570" s="10">
        <v>417900</v>
      </c>
    </row>
    <row r="1571" spans="1:89">
      <c r="A1571">
        <v>28025419</v>
      </c>
      <c r="B1571" s="2" t="str">
        <f>HYPERLINK("http://www.redfin.com/stingray/do/printable-listing?listing-id=1472586","Active")</f>
        <v>Active</v>
      </c>
      <c r="D1571" t="s">
        <v>3071</v>
      </c>
      <c r="E1571" t="s">
        <v>4532</v>
      </c>
      <c r="F1571" s="19">
        <v>599950</v>
      </c>
      <c r="G1571">
        <v>1948</v>
      </c>
      <c r="H1571">
        <v>2500</v>
      </c>
      <c r="I1571">
        <v>15225</v>
      </c>
      <c r="J1571">
        <v>3</v>
      </c>
      <c r="K1571">
        <v>1</v>
      </c>
      <c r="M1571" s="2" t="str">
        <f>HYPERLINK("http://maps.live.com/default.aspx?v=2&amp;lvl=15&amp;sp=Point.47.7114_-122.234658_8005 NE 124th St&amp;cp=47.7114~-122.234658","Map")</f>
        <v>Map</v>
      </c>
      <c r="N1571" s="2" t="str">
        <f>HYPERLINK("http://i-0.rfimg.us/photo/1/bigphoto/419/28025419_0.jpg","Photo")</f>
        <v>Photo</v>
      </c>
      <c r="AG1571">
        <v>47.711399999999998</v>
      </c>
      <c r="AH1571">
        <v>-122.234658</v>
      </c>
      <c r="AI1571" t="s">
        <v>1058</v>
      </c>
      <c r="AJ1571">
        <v>98034</v>
      </c>
      <c r="AN1571">
        <v>118950</v>
      </c>
      <c r="BC1571" s="22">
        <v>39489.725266203706</v>
      </c>
      <c r="BI1571" s="22">
        <v>39549.294907407406</v>
      </c>
      <c r="BL1571">
        <v>12499</v>
      </c>
      <c r="BM1571">
        <v>1472586</v>
      </c>
      <c r="BN1571" t="s">
        <v>1674</v>
      </c>
      <c r="BO1571" s="17">
        <f t="shared" ca="1" si="24"/>
        <v>59.584139699072693</v>
      </c>
      <c r="BP1571" t="b">
        <v>0</v>
      </c>
      <c r="BQ1571">
        <v>1</v>
      </c>
      <c r="BR1571" t="s">
        <v>1686</v>
      </c>
      <c r="BS1571" t="s">
        <v>4507</v>
      </c>
      <c r="BT1571" t="b">
        <v>0</v>
      </c>
      <c r="BU1571" t="s">
        <v>1738</v>
      </c>
      <c r="BV1571" t="s">
        <v>1668</v>
      </c>
      <c r="BW1571">
        <v>8005</v>
      </c>
      <c r="BY1571">
        <v>281716</v>
      </c>
      <c r="BZ1571" t="s">
        <v>1745</v>
      </c>
      <c r="CA1571">
        <v>1</v>
      </c>
      <c r="CB1571" t="b">
        <v>1</v>
      </c>
      <c r="CC1571">
        <v>0</v>
      </c>
      <c r="CD1571" t="b">
        <v>0</v>
      </c>
      <c r="CE1571" t="b">
        <v>0</v>
      </c>
      <c r="CF1571" t="b">
        <v>0</v>
      </c>
      <c r="CG1571">
        <v>2771972</v>
      </c>
      <c r="CH1571" t="s">
        <v>1681</v>
      </c>
      <c r="CI1571" s="10">
        <v>624950</v>
      </c>
      <c r="CJ1571" s="7">
        <v>32659</v>
      </c>
    </row>
    <row r="1572" spans="1:89">
      <c r="A1572">
        <v>28025446</v>
      </c>
      <c r="B1572" s="2" t="str">
        <f>HYPERLINK("http://www.redfin.com/stingray/do/printable-listing?listing-id=1472621","Active")</f>
        <v>Active</v>
      </c>
      <c r="D1572" t="s">
        <v>3064</v>
      </c>
      <c r="E1572" t="s">
        <v>3950</v>
      </c>
      <c r="F1572">
        <v>529900</v>
      </c>
      <c r="G1572">
        <v>2008</v>
      </c>
      <c r="H1572">
        <v>2658</v>
      </c>
      <c r="I1572">
        <v>0</v>
      </c>
      <c r="J1572">
        <v>3</v>
      </c>
      <c r="K1572">
        <v>2.5</v>
      </c>
      <c r="M1572" s="2" t="str">
        <f>HYPERLINK("http://maps.live.com/default.aspx?v=2&amp;lvl=15&amp;sp=adr.5236 NE 9th Pl (Lot 314) (Unable to map),98059","Map")</f>
        <v>Map</v>
      </c>
      <c r="N1572" s="2" t="str">
        <f>HYPERLINK("http://i-0.rfimg.us/photo/1/bigphoto/446/28025446_1.jpg","Photo")</f>
        <v>Photo</v>
      </c>
      <c r="AI1572" t="s">
        <v>1077</v>
      </c>
      <c r="AJ1572">
        <v>98059</v>
      </c>
      <c r="BC1572" s="22">
        <v>39489.736840277779</v>
      </c>
      <c r="BI1572" s="22">
        <v>39549.294907407406</v>
      </c>
      <c r="BL1572">
        <v>10598</v>
      </c>
      <c r="BM1572">
        <v>1472621</v>
      </c>
      <c r="BN1572" t="s">
        <v>3236</v>
      </c>
      <c r="BO1572" s="17">
        <f t="shared" ca="1" si="24"/>
        <v>59.572565624999697</v>
      </c>
      <c r="BP1572" t="b">
        <v>0</v>
      </c>
      <c r="BQ1572">
        <v>1</v>
      </c>
      <c r="BS1572" t="s">
        <v>3951</v>
      </c>
      <c r="BT1572" t="b">
        <v>0</v>
      </c>
      <c r="BU1572" t="s">
        <v>1738</v>
      </c>
      <c r="BV1572" t="s">
        <v>1668</v>
      </c>
      <c r="BW1572">
        <v>5236</v>
      </c>
      <c r="BY1572">
        <v>0</v>
      </c>
      <c r="BZ1572" t="s">
        <v>1689</v>
      </c>
      <c r="CA1572">
        <v>1</v>
      </c>
      <c r="CB1572" t="b">
        <v>1</v>
      </c>
      <c r="CC1572">
        <v>0</v>
      </c>
      <c r="CD1572" t="b">
        <v>0</v>
      </c>
      <c r="CE1572" t="b">
        <v>0</v>
      </c>
      <c r="CF1572" t="b">
        <v>0</v>
      </c>
      <c r="CG1572" t="s">
        <v>1870</v>
      </c>
      <c r="CH1572" t="s">
        <v>1681</v>
      </c>
      <c r="CI1572" s="10">
        <v>529900</v>
      </c>
    </row>
    <row r="1573" spans="1:89">
      <c r="A1573">
        <v>28025452</v>
      </c>
      <c r="B1573" s="2" t="str">
        <f>HYPERLINK("http://www.redfin.com/stingray/do/printable-listing?listing-id=1472622","Active")</f>
        <v>Active</v>
      </c>
      <c r="D1573" t="s">
        <v>3064</v>
      </c>
      <c r="E1573" t="s">
        <v>3954</v>
      </c>
      <c r="F1573">
        <v>568900</v>
      </c>
      <c r="G1573">
        <v>2008</v>
      </c>
      <c r="H1573">
        <v>3200</v>
      </c>
      <c r="I1573">
        <v>0</v>
      </c>
      <c r="J1573">
        <v>5</v>
      </c>
      <c r="K1573">
        <v>2.5</v>
      </c>
      <c r="M1573" s="2" t="str">
        <f>HYPERLINK("http://maps.live.com/default.aspx?v=2&amp;lvl=15&amp;sp=adr.976 Jericho Pl NE (Lot 327) (Unable to map),98059","Map")</f>
        <v>Map</v>
      </c>
      <c r="N1573" s="2" t="str">
        <f>HYPERLINK("http://i-0.rfimg.us/photo/1/bigphoto/452/28025452_2.jpg","Photo")</f>
        <v>Photo</v>
      </c>
      <c r="AI1573" t="s">
        <v>1077</v>
      </c>
      <c r="AJ1573">
        <v>98059</v>
      </c>
      <c r="BC1573" s="22">
        <v>39489.736840277779</v>
      </c>
      <c r="BI1573" s="22">
        <v>39549.294907407406</v>
      </c>
      <c r="BL1573">
        <v>11378</v>
      </c>
      <c r="BM1573">
        <v>1472622</v>
      </c>
      <c r="BN1573" t="s">
        <v>3236</v>
      </c>
      <c r="BO1573" s="17">
        <f t="shared" ca="1" si="24"/>
        <v>59.572565624999697</v>
      </c>
      <c r="BP1573" t="b">
        <v>0</v>
      </c>
      <c r="BQ1573">
        <v>1</v>
      </c>
      <c r="BS1573" t="s">
        <v>3955</v>
      </c>
      <c r="BT1573" t="b">
        <v>0</v>
      </c>
      <c r="BV1573" t="s">
        <v>1668</v>
      </c>
      <c r="BW1573">
        <v>976</v>
      </c>
      <c r="BY1573">
        <v>0</v>
      </c>
      <c r="BZ1573" t="s">
        <v>2340</v>
      </c>
      <c r="CA1573">
        <v>1</v>
      </c>
      <c r="CB1573" t="b">
        <v>1</v>
      </c>
      <c r="CC1573">
        <v>0</v>
      </c>
      <c r="CD1573" t="b">
        <v>0</v>
      </c>
      <c r="CE1573" t="b">
        <v>0</v>
      </c>
      <c r="CF1573" t="b">
        <v>0</v>
      </c>
      <c r="CG1573" t="s">
        <v>1870</v>
      </c>
      <c r="CH1573" t="s">
        <v>1681</v>
      </c>
      <c r="CI1573" s="10">
        <v>568900</v>
      </c>
    </row>
    <row r="1574" spans="1:89">
      <c r="A1574">
        <v>28025500</v>
      </c>
      <c r="B1574" s="15" t="str">
        <f>HYPERLINK("http://www.redfin.com/stingray/do/printable-listing?listing-id=1475990","Subject To Inspection")</f>
        <v>Subject To Inspection</v>
      </c>
      <c r="D1574" t="s">
        <v>3739</v>
      </c>
      <c r="E1574" t="s">
        <v>3784</v>
      </c>
      <c r="F1574" s="19">
        <v>1225000</v>
      </c>
      <c r="G1574">
        <v>1909</v>
      </c>
      <c r="H1574">
        <v>3750</v>
      </c>
      <c r="I1574">
        <v>5500</v>
      </c>
      <c r="J1574">
        <v>4</v>
      </c>
      <c r="K1574">
        <v>2.5</v>
      </c>
      <c r="M1574" s="2" t="str">
        <f>HYPERLINK("http://maps.live.com/default.aspx?v=2&amp;lvl=15&amp;sp=Point.47.6462_-122.319964_2817 10th Ave E&amp;cp=47.6462~-122.319964","Map")</f>
        <v>Map</v>
      </c>
      <c r="N1574" s="2" t="str">
        <f>HYPERLINK("http://i-0.rfimg.us/photo/1/bigphoto/500/28025500_2.jpg","Photo")</f>
        <v>Photo</v>
      </c>
      <c r="AG1574">
        <v>47.6462</v>
      </c>
      <c r="AH1574">
        <v>-122.319964</v>
      </c>
      <c r="AI1574" t="s">
        <v>66</v>
      </c>
      <c r="AJ1574">
        <v>98102</v>
      </c>
      <c r="BC1574" s="22">
        <v>39490.839062500003</v>
      </c>
      <c r="BI1574" s="22">
        <v>39549.294907407406</v>
      </c>
      <c r="BL1574">
        <v>26500</v>
      </c>
      <c r="BM1574">
        <v>1475990</v>
      </c>
      <c r="BN1574" t="s">
        <v>1746</v>
      </c>
      <c r="BO1574" s="17">
        <f t="shared" ca="1" si="24"/>
        <v>58.470343402776052</v>
      </c>
      <c r="BP1574" t="b">
        <v>0</v>
      </c>
      <c r="BQ1574">
        <v>1</v>
      </c>
      <c r="BR1574" t="s">
        <v>1667</v>
      </c>
      <c r="BS1574" t="s">
        <v>1788</v>
      </c>
      <c r="BT1574" t="b">
        <v>0</v>
      </c>
      <c r="BV1574" t="s">
        <v>1668</v>
      </c>
      <c r="BW1574">
        <v>2817</v>
      </c>
      <c r="BX1574" t="s">
        <v>2436</v>
      </c>
      <c r="BY1574">
        <v>137173</v>
      </c>
      <c r="BZ1574" t="s">
        <v>2577</v>
      </c>
      <c r="CA1574">
        <v>1</v>
      </c>
      <c r="CB1574" t="b">
        <v>1</v>
      </c>
      <c r="CC1574">
        <v>0</v>
      </c>
      <c r="CD1574" t="b">
        <v>0</v>
      </c>
      <c r="CE1574" t="b">
        <v>0</v>
      </c>
      <c r="CF1574" t="b">
        <v>0</v>
      </c>
      <c r="CG1574">
        <v>2595762</v>
      </c>
      <c r="CH1574" t="s">
        <v>1681</v>
      </c>
      <c r="CI1574" s="10">
        <v>1325000</v>
      </c>
    </row>
    <row r="1575" spans="1:89">
      <c r="A1575">
        <v>28025529</v>
      </c>
      <c r="B1575" s="2" t="str">
        <f>HYPERLINK("http://www.redfin.com/stingray/do/printable-listing?listing-id=1473727","Active")</f>
        <v>Active</v>
      </c>
      <c r="D1575" t="s">
        <v>5130</v>
      </c>
      <c r="E1575" t="s">
        <v>5129</v>
      </c>
      <c r="F1575">
        <v>454750</v>
      </c>
      <c r="G1575">
        <v>1965</v>
      </c>
      <c r="H1575">
        <v>1250</v>
      </c>
      <c r="I1575">
        <v>7210</v>
      </c>
      <c r="J1575">
        <v>3</v>
      </c>
      <c r="K1575">
        <v>1.75</v>
      </c>
      <c r="M1575" s="2" t="str">
        <f>HYPERLINK("http://maps.live.com/default.aspx?v=2&amp;lvl=15&amp;sp=Point.47.627854_-122.116628_16719 NE 20th St&amp;cp=47.627854~-122.116628","Map")</f>
        <v>Map</v>
      </c>
      <c r="N1575" s="2" t="str">
        <f>HYPERLINK("http://i-0.rfimg.us/photo/1/bigphoto/529/28025529_0.jpg","Photo")</f>
        <v>Photo</v>
      </c>
      <c r="AG1575">
        <v>47.627853999999999</v>
      </c>
      <c r="AH1575">
        <v>-122.11662800000001</v>
      </c>
      <c r="AI1575" t="s">
        <v>369</v>
      </c>
      <c r="AJ1575">
        <v>98008</v>
      </c>
      <c r="AN1575">
        <v>337000</v>
      </c>
      <c r="BC1575" s="22">
        <v>39490.088020833333</v>
      </c>
      <c r="BI1575" s="7">
        <v>39538</v>
      </c>
      <c r="BL1575">
        <v>9095</v>
      </c>
      <c r="BM1575">
        <v>1473727</v>
      </c>
      <c r="BN1575" t="s">
        <v>1812</v>
      </c>
      <c r="BO1575" s="17">
        <f t="shared" ca="1" si="24"/>
        <v>59.221385069446114</v>
      </c>
      <c r="BP1575" t="b">
        <v>0</v>
      </c>
      <c r="BQ1575">
        <v>1</v>
      </c>
      <c r="BR1575" t="s">
        <v>1686</v>
      </c>
      <c r="BS1575" t="s">
        <v>1844</v>
      </c>
      <c r="BT1575" t="b">
        <v>0</v>
      </c>
      <c r="BU1575" t="s">
        <v>1738</v>
      </c>
      <c r="BV1575" t="s">
        <v>1668</v>
      </c>
      <c r="BW1575">
        <v>16719</v>
      </c>
      <c r="BY1575">
        <v>432176</v>
      </c>
      <c r="BZ1575" t="s">
        <v>1741</v>
      </c>
      <c r="CA1575">
        <v>1</v>
      </c>
      <c r="CB1575" t="b">
        <v>1</v>
      </c>
      <c r="CC1575">
        <v>0</v>
      </c>
      <c r="CD1575" t="b">
        <v>0</v>
      </c>
      <c r="CE1575" t="b">
        <v>0</v>
      </c>
      <c r="CF1575" t="b">
        <v>0</v>
      </c>
      <c r="CG1575">
        <v>2595059</v>
      </c>
      <c r="CH1575" t="s">
        <v>1681</v>
      </c>
      <c r="CI1575" s="10">
        <v>454750</v>
      </c>
      <c r="CJ1575" s="7">
        <v>38569</v>
      </c>
    </row>
    <row r="1576" spans="1:89">
      <c r="A1576">
        <v>28025545</v>
      </c>
      <c r="B1576" s="2" t="str">
        <f>HYPERLINK("http://www.redfin.com/stingray/do/printable-listing?listing-id=1480061","Active")</f>
        <v>Active</v>
      </c>
      <c r="D1576" t="s">
        <v>3681</v>
      </c>
      <c r="E1576" t="s">
        <v>3819</v>
      </c>
      <c r="F1576">
        <v>1320000</v>
      </c>
      <c r="G1576">
        <v>1929</v>
      </c>
      <c r="H1576">
        <v>3000</v>
      </c>
      <c r="I1576">
        <v>6370</v>
      </c>
      <c r="J1576">
        <v>4</v>
      </c>
      <c r="K1576">
        <v>3</v>
      </c>
      <c r="M1576" s="2" t="str">
        <f>HYPERLINK("http://maps.live.com/default.aspx?v=2&amp;lvl=15&amp;sp=Point.47.64038_-122.313_2330 14th Ave E&amp;cp=47.64038~-122.313","Map")</f>
        <v>Map</v>
      </c>
      <c r="N1576" s="2" t="str">
        <f>HYPERLINK("http://i-0.rfimg.us/photo/1/bigphoto/545/28025545_0.jpg","Photo")</f>
        <v>Photo</v>
      </c>
      <c r="AG1576">
        <v>47.64038</v>
      </c>
      <c r="AH1576">
        <v>-122.313</v>
      </c>
      <c r="AI1576" t="s">
        <v>66</v>
      </c>
      <c r="AJ1576">
        <v>98112</v>
      </c>
      <c r="AN1576">
        <v>579000</v>
      </c>
      <c r="BC1576" s="22">
        <v>39492.358611111114</v>
      </c>
      <c r="BI1576" s="22">
        <v>39549.294907407406</v>
      </c>
      <c r="BL1576">
        <v>26400</v>
      </c>
      <c r="BM1576">
        <v>1480061</v>
      </c>
      <c r="BN1576" t="s">
        <v>1715</v>
      </c>
      <c r="BO1576" s="17">
        <f t="shared" ca="1" si="24"/>
        <v>56.950794791664521</v>
      </c>
      <c r="BP1576" t="b">
        <v>0</v>
      </c>
      <c r="BQ1576">
        <v>1</v>
      </c>
      <c r="BR1576" t="s">
        <v>1667</v>
      </c>
      <c r="BS1576" t="s">
        <v>1900</v>
      </c>
      <c r="BT1576" t="b">
        <v>0</v>
      </c>
      <c r="BV1576" t="s">
        <v>1668</v>
      </c>
      <c r="BW1576">
        <v>2330</v>
      </c>
      <c r="BX1576" t="s">
        <v>2436</v>
      </c>
      <c r="BY1576">
        <v>138578</v>
      </c>
      <c r="BZ1576" t="s">
        <v>1672</v>
      </c>
      <c r="CA1576">
        <v>1</v>
      </c>
      <c r="CB1576" t="b">
        <v>1</v>
      </c>
      <c r="CC1576">
        <v>0</v>
      </c>
      <c r="CD1576" t="b">
        <v>0</v>
      </c>
      <c r="CE1576" t="b">
        <v>0</v>
      </c>
      <c r="CF1576" t="b">
        <v>0</v>
      </c>
      <c r="CG1576">
        <v>2626872</v>
      </c>
      <c r="CH1576" t="s">
        <v>1681</v>
      </c>
      <c r="CI1576" s="10">
        <v>1320000</v>
      </c>
      <c r="CJ1576" s="7">
        <v>37764</v>
      </c>
    </row>
    <row r="1577" spans="1:89">
      <c r="A1577">
        <v>28025594</v>
      </c>
      <c r="B1577" s="2" t="str">
        <f>HYPERLINK("http://www.redfin.com/stingray/do/printable-listing?listing-id=1474299","Active")</f>
        <v>Active</v>
      </c>
      <c r="D1577" t="s">
        <v>88</v>
      </c>
      <c r="E1577" t="s">
        <v>1228</v>
      </c>
      <c r="F1577" s="19">
        <v>575000</v>
      </c>
      <c r="G1577">
        <v>1909</v>
      </c>
      <c r="H1577">
        <v>3380</v>
      </c>
      <c r="I1577">
        <v>3750</v>
      </c>
      <c r="J1577">
        <v>4</v>
      </c>
      <c r="K1577">
        <v>2.5</v>
      </c>
      <c r="M1577" s="2" t="str">
        <f>HYPERLINK("http://maps.live.com/default.aspx?v=2&amp;lvl=15&amp;sp=Point.47.679743_-122.359652_202 NW 70th St&amp;cp=47.679743~-122.359652","Map")</f>
        <v>Map</v>
      </c>
      <c r="N1577" s="2" t="str">
        <f>HYPERLINK("http://i-0.rfimg.us/photo/1/bigphoto/594/28025594_0.jpg","Photo")</f>
        <v>Photo</v>
      </c>
      <c r="AG1577">
        <v>47.679743000000002</v>
      </c>
      <c r="AH1577">
        <v>-122.359652</v>
      </c>
      <c r="AI1577" t="s">
        <v>66</v>
      </c>
      <c r="AJ1577">
        <v>98117</v>
      </c>
      <c r="AN1577">
        <v>392500</v>
      </c>
      <c r="BC1577" s="22">
        <v>39490.453599537039</v>
      </c>
      <c r="BI1577" s="22">
        <v>39549.294907407406</v>
      </c>
      <c r="BL1577">
        <v>12500</v>
      </c>
      <c r="BM1577">
        <v>1474299</v>
      </c>
      <c r="BN1577" t="s">
        <v>1674</v>
      </c>
      <c r="BO1577" s="17">
        <f t="shared" ca="1" si="24"/>
        <v>58.855806481478794</v>
      </c>
      <c r="BP1577" t="b">
        <v>0</v>
      </c>
      <c r="BQ1577">
        <v>1</v>
      </c>
      <c r="BR1577" t="s">
        <v>1686</v>
      </c>
      <c r="BS1577" t="s">
        <v>1703</v>
      </c>
      <c r="BT1577" t="b">
        <v>0</v>
      </c>
      <c r="BU1577" t="s">
        <v>1669</v>
      </c>
      <c r="BV1577" t="s">
        <v>1668</v>
      </c>
      <c r="BW1577">
        <v>202</v>
      </c>
      <c r="BY1577">
        <v>498721</v>
      </c>
      <c r="BZ1577" t="s">
        <v>1672</v>
      </c>
      <c r="CA1577">
        <v>1</v>
      </c>
      <c r="CB1577" t="b">
        <v>1</v>
      </c>
      <c r="CC1577">
        <v>0</v>
      </c>
      <c r="CD1577" t="b">
        <v>0</v>
      </c>
      <c r="CE1577" t="b">
        <v>0</v>
      </c>
      <c r="CF1577" t="b">
        <v>0</v>
      </c>
      <c r="CG1577">
        <v>2374194</v>
      </c>
      <c r="CH1577" t="s">
        <v>1681</v>
      </c>
      <c r="CI1577" s="10">
        <v>625000</v>
      </c>
      <c r="CJ1577" s="7">
        <v>37125</v>
      </c>
      <c r="CK1577" t="s">
        <v>2339</v>
      </c>
    </row>
    <row r="1578" spans="1:89">
      <c r="A1578">
        <v>28025604</v>
      </c>
      <c r="B1578" s="2" t="str">
        <f>HYPERLINK("http://www.redfin.com/stingray/do/printable-listing?listing-id=1474143","Active")</f>
        <v>Active</v>
      </c>
      <c r="D1578" t="s">
        <v>63</v>
      </c>
      <c r="E1578" t="s">
        <v>276</v>
      </c>
      <c r="F1578" s="19">
        <v>464950</v>
      </c>
      <c r="G1578">
        <v>1916</v>
      </c>
      <c r="H1578">
        <v>1720</v>
      </c>
      <c r="I1578">
        <v>3676</v>
      </c>
      <c r="J1578">
        <v>3</v>
      </c>
      <c r="K1578">
        <v>1.5</v>
      </c>
      <c r="M1578" s="2" t="str">
        <f>HYPERLINK("http://maps.live.com/default.aspx?v=2&amp;lvl=15&amp;sp=Point.47.67781_-122.398685_6725 32nd Ave NW&amp;cp=47.67781~-122.398685","Map")</f>
        <v>Map</v>
      </c>
      <c r="N1578" s="2" t="str">
        <f>HYPERLINK("http://i-0.rfimg.us/photo/1/bigphoto/604/28025604_2.jpg","Photo")</f>
        <v>Photo</v>
      </c>
      <c r="AG1578">
        <v>47.677810000000001</v>
      </c>
      <c r="AH1578">
        <v>-122.398685</v>
      </c>
      <c r="AI1578" t="s">
        <v>66</v>
      </c>
      <c r="AJ1578">
        <v>98117</v>
      </c>
      <c r="AN1578">
        <v>249500</v>
      </c>
      <c r="BC1578" s="22">
        <v>39490.411261574074</v>
      </c>
      <c r="BI1578" s="7">
        <v>39533</v>
      </c>
      <c r="BL1578">
        <v>9500</v>
      </c>
      <c r="BM1578">
        <v>1474143</v>
      </c>
      <c r="BN1578" t="s">
        <v>1725</v>
      </c>
      <c r="BO1578" s="17">
        <f t="shared" ca="1" si="24"/>
        <v>58.89814444444346</v>
      </c>
      <c r="BP1578" t="b">
        <v>0</v>
      </c>
      <c r="BQ1578">
        <v>1</v>
      </c>
      <c r="BR1578" t="s">
        <v>1667</v>
      </c>
      <c r="BS1578" t="s">
        <v>1733</v>
      </c>
      <c r="BT1578" t="b">
        <v>0</v>
      </c>
      <c r="BV1578" t="s">
        <v>1668</v>
      </c>
      <c r="BW1578">
        <v>6725</v>
      </c>
      <c r="BX1578" t="s">
        <v>1669</v>
      </c>
      <c r="BY1578">
        <v>290117</v>
      </c>
      <c r="BZ1578" t="s">
        <v>1734</v>
      </c>
      <c r="CA1578">
        <v>1</v>
      </c>
      <c r="CB1578" t="b">
        <v>1</v>
      </c>
      <c r="CC1578">
        <v>0</v>
      </c>
      <c r="CD1578" t="b">
        <v>0</v>
      </c>
      <c r="CE1578" t="b">
        <v>0</v>
      </c>
      <c r="CF1578" t="b">
        <v>0</v>
      </c>
      <c r="CG1578">
        <v>2468770</v>
      </c>
      <c r="CH1578" t="s">
        <v>1681</v>
      </c>
      <c r="CI1578" s="10">
        <v>475000</v>
      </c>
      <c r="CJ1578" s="7">
        <v>36266</v>
      </c>
    </row>
    <row r="1579" spans="1:89">
      <c r="A1579">
        <v>28025719</v>
      </c>
      <c r="B1579" s="2" t="str">
        <f>HYPERLINK("http://www.redfin.com/stingray/do/printable-listing?listing-id=1474403","Active")</f>
        <v>Active</v>
      </c>
      <c r="D1579" t="s">
        <v>100</v>
      </c>
      <c r="E1579" t="s">
        <v>3319</v>
      </c>
      <c r="F1579">
        <v>639000</v>
      </c>
      <c r="G1579">
        <v>1999</v>
      </c>
      <c r="H1579">
        <v>1408</v>
      </c>
      <c r="I1579">
        <v>0</v>
      </c>
      <c r="J1579">
        <v>3</v>
      </c>
      <c r="K1579">
        <v>2.5</v>
      </c>
      <c r="M1579" s="2" t="str">
        <f>HYPERLINK("http://maps.live.com/default.aspx?v=2&amp;lvl=15&amp;sp=Point.47.653434_-122.351095_3824 Evanston Ave N&amp;cp=47.653434~-122.351095","Map")</f>
        <v>Map</v>
      </c>
      <c r="N1579" s="2" t="str">
        <f>HYPERLINK("http://i-0.rfimg.us/photo/1/bigphoto/719/28025719_0.jpg","Photo")</f>
        <v>Photo</v>
      </c>
      <c r="AG1579">
        <v>47.653433999999997</v>
      </c>
      <c r="AH1579">
        <v>-122.351095</v>
      </c>
      <c r="AI1579" t="s">
        <v>66</v>
      </c>
      <c r="AJ1579">
        <v>98103</v>
      </c>
      <c r="BC1579" s="22">
        <v>39490.474351851852</v>
      </c>
      <c r="BI1579" s="22">
        <v>39549.294907407406</v>
      </c>
      <c r="BL1579">
        <v>12780</v>
      </c>
      <c r="BM1579">
        <v>1474403</v>
      </c>
      <c r="BN1579" t="s">
        <v>1829</v>
      </c>
      <c r="BO1579" s="17">
        <f t="shared" ca="1" si="24"/>
        <v>58.835054050927283</v>
      </c>
      <c r="BP1579" t="b">
        <v>0</v>
      </c>
      <c r="BQ1579">
        <v>1</v>
      </c>
      <c r="BR1579" t="s">
        <v>1667</v>
      </c>
      <c r="BS1579" t="s">
        <v>2487</v>
      </c>
      <c r="BT1579" t="b">
        <v>0</v>
      </c>
      <c r="BV1579" t="s">
        <v>1668</v>
      </c>
      <c r="BW1579">
        <v>3824</v>
      </c>
      <c r="BX1579" t="s">
        <v>1712</v>
      </c>
      <c r="BY1579">
        <v>2095244</v>
      </c>
      <c r="BZ1579" t="s">
        <v>1745</v>
      </c>
      <c r="CA1579">
        <v>1</v>
      </c>
      <c r="CB1579" t="b">
        <v>1</v>
      </c>
      <c r="CC1579">
        <v>0</v>
      </c>
      <c r="CD1579" t="b">
        <v>0</v>
      </c>
      <c r="CE1579" t="b">
        <v>0</v>
      </c>
      <c r="CF1579" t="b">
        <v>0</v>
      </c>
      <c r="CG1579">
        <v>2953275</v>
      </c>
      <c r="CH1579" t="s">
        <v>1681</v>
      </c>
      <c r="CI1579" s="10">
        <v>639000</v>
      </c>
    </row>
    <row r="1580" spans="1:89">
      <c r="A1580">
        <v>28025807</v>
      </c>
      <c r="B1580" s="2" t="str">
        <f>HYPERLINK("http://www.redfin.com/stingray/do/printable-listing?listing-id=1477511","Active")</f>
        <v>Active</v>
      </c>
      <c r="D1580" t="s">
        <v>63</v>
      </c>
      <c r="E1580" t="s">
        <v>262</v>
      </c>
      <c r="F1580">
        <v>485000</v>
      </c>
      <c r="G1580">
        <v>1930</v>
      </c>
      <c r="H1580">
        <v>2100</v>
      </c>
      <c r="I1580">
        <v>4005</v>
      </c>
      <c r="J1580">
        <v>3</v>
      </c>
      <c r="K1580">
        <v>1</v>
      </c>
      <c r="M1580" s="2" t="str">
        <f>HYPERLINK("http://maps.live.com/default.aspx?v=2&amp;lvl=15&amp;sp=Point.47.69023_-122.37972_8352 18th Ave NW&amp;cp=47.69023~-122.37972","Map")</f>
        <v>Map</v>
      </c>
      <c r="N1580" s="2" t="str">
        <f>HYPERLINK("http://i-0.rfimg.us/photo/1/bigphoto/807/28025807_1.jpg","Photo")</f>
        <v>Photo</v>
      </c>
      <c r="AG1580">
        <v>47.69023</v>
      </c>
      <c r="AH1580">
        <v>-122.37972000000001</v>
      </c>
      <c r="AI1580" t="s">
        <v>66</v>
      </c>
      <c r="AJ1580">
        <v>98117</v>
      </c>
      <c r="AN1580">
        <v>135000</v>
      </c>
      <c r="BC1580" s="22">
        <v>39491.484675925924</v>
      </c>
      <c r="BI1580" s="7">
        <v>39522</v>
      </c>
      <c r="BL1580">
        <v>9700</v>
      </c>
      <c r="BM1580">
        <v>1477511</v>
      </c>
      <c r="BN1580" t="s">
        <v>1688</v>
      </c>
      <c r="BO1580" s="17">
        <f t="shared" ca="1" si="24"/>
        <v>57.824730092594109</v>
      </c>
      <c r="BP1580" t="b">
        <v>0</v>
      </c>
      <c r="BQ1580">
        <v>1</v>
      </c>
      <c r="BR1580" t="s">
        <v>1667</v>
      </c>
      <c r="BS1580" t="s">
        <v>1909</v>
      </c>
      <c r="BT1580" t="b">
        <v>0</v>
      </c>
      <c r="BV1580" t="s">
        <v>1668</v>
      </c>
      <c r="BW1580">
        <v>8352</v>
      </c>
      <c r="BX1580" t="s">
        <v>1669</v>
      </c>
      <c r="BY1580">
        <v>165786</v>
      </c>
      <c r="BZ1580" t="s">
        <v>1704</v>
      </c>
      <c r="CA1580">
        <v>1</v>
      </c>
      <c r="CB1580" t="b">
        <v>1</v>
      </c>
      <c r="CC1580">
        <v>0</v>
      </c>
      <c r="CD1580" t="b">
        <v>0</v>
      </c>
      <c r="CE1580" t="b">
        <v>0</v>
      </c>
      <c r="CF1580" t="b">
        <v>0</v>
      </c>
      <c r="CG1580">
        <v>2909139</v>
      </c>
      <c r="CH1580" t="s">
        <v>1681</v>
      </c>
      <c r="CI1580" s="10">
        <v>485000</v>
      </c>
      <c r="CJ1580" s="7">
        <v>33588</v>
      </c>
    </row>
    <row r="1581" spans="1:89">
      <c r="A1581">
        <v>28025815</v>
      </c>
      <c r="B1581" s="2" t="str">
        <f>HYPERLINK("http://www.redfin.com/stingray/do/printable-listing?listing-id=1477897","Active")</f>
        <v>Active</v>
      </c>
      <c r="D1581" t="s">
        <v>218</v>
      </c>
      <c r="E1581" t="s">
        <v>675</v>
      </c>
      <c r="F1581">
        <v>399000</v>
      </c>
      <c r="G1581">
        <v>1953</v>
      </c>
      <c r="H1581">
        <v>1093</v>
      </c>
      <c r="I1581">
        <v>4794</v>
      </c>
      <c r="J1581">
        <v>3</v>
      </c>
      <c r="K1581">
        <v>1</v>
      </c>
      <c r="M1581" s="2" t="str">
        <f>HYPERLINK("http://maps.live.com/default.aspx?v=2&amp;lvl=15&amp;sp=Point.47.679873_-122.301024_7015 25th Ave NE&amp;cp=47.679873~-122.301024","Map")</f>
        <v>Map</v>
      </c>
      <c r="N1581" s="2" t="str">
        <f>HYPERLINK("http://i-0.rfimg.us/photo/1/bigphoto/815/28025815_0.jpg","Photo")</f>
        <v>Photo</v>
      </c>
      <c r="AG1581">
        <v>47.679873000000001</v>
      </c>
      <c r="AH1581">
        <v>-122.301024</v>
      </c>
      <c r="AI1581" t="s">
        <v>66</v>
      </c>
      <c r="AJ1581">
        <v>98115</v>
      </c>
      <c r="AN1581">
        <v>136500</v>
      </c>
      <c r="BC1581" s="22">
        <v>39491.537581018521</v>
      </c>
      <c r="BI1581" s="22">
        <v>39549.294907407406</v>
      </c>
      <c r="BL1581">
        <v>7980</v>
      </c>
      <c r="BM1581">
        <v>1477897</v>
      </c>
      <c r="BN1581" t="s">
        <v>1783</v>
      </c>
      <c r="BO1581" s="17">
        <f t="shared" ca="1" si="24"/>
        <v>57.771824884257512</v>
      </c>
      <c r="BP1581" t="b">
        <v>0</v>
      </c>
      <c r="BQ1581">
        <v>1</v>
      </c>
      <c r="BR1581" t="s">
        <v>1667</v>
      </c>
      <c r="BS1581" t="s">
        <v>1819</v>
      </c>
      <c r="BT1581" t="b">
        <v>0</v>
      </c>
      <c r="BV1581" t="s">
        <v>1668</v>
      </c>
      <c r="BW1581">
        <v>7015</v>
      </c>
      <c r="BX1581" t="s">
        <v>1738</v>
      </c>
      <c r="BY1581">
        <v>311423</v>
      </c>
      <c r="BZ1581" t="s">
        <v>1676</v>
      </c>
      <c r="CA1581">
        <v>1</v>
      </c>
      <c r="CB1581" t="b">
        <v>1</v>
      </c>
      <c r="CC1581">
        <v>0</v>
      </c>
      <c r="CD1581" t="b">
        <v>0</v>
      </c>
      <c r="CE1581" t="b">
        <v>0</v>
      </c>
      <c r="CF1581" t="b">
        <v>0</v>
      </c>
      <c r="CG1581">
        <v>2523895</v>
      </c>
      <c r="CH1581" t="s">
        <v>1681</v>
      </c>
      <c r="CI1581" s="10">
        <v>399000</v>
      </c>
      <c r="CJ1581" s="7">
        <v>35685</v>
      </c>
    </row>
    <row r="1582" spans="1:89">
      <c r="A1582">
        <v>28025820</v>
      </c>
      <c r="B1582" s="2" t="str">
        <f>HYPERLINK("http://www.redfin.com/stingray/do/printable-listing?listing-id=1474642","Active")</f>
        <v>Active</v>
      </c>
      <c r="D1582" t="s">
        <v>4542</v>
      </c>
      <c r="E1582" t="s">
        <v>4791</v>
      </c>
      <c r="F1582" s="19">
        <v>599000</v>
      </c>
      <c r="G1582">
        <v>1941</v>
      </c>
      <c r="H1582">
        <v>2180</v>
      </c>
      <c r="I1582">
        <v>6750</v>
      </c>
      <c r="J1582">
        <v>3</v>
      </c>
      <c r="K1582">
        <v>1</v>
      </c>
      <c r="M1582" s="2" t="str">
        <f>HYPERLINK("http://maps.live.com/default.aspx?v=2&amp;lvl=15&amp;sp=Point.47.693811_-122.209732_2012 Market St&amp;cp=47.693811~-122.209732","Map")</f>
        <v>Map</v>
      </c>
      <c r="N1582" s="2" t="str">
        <f>HYPERLINK("http://i-0.rfimg.us/photo/1/bigphoto/820/28025820_0.jpg","Photo")</f>
        <v>Photo</v>
      </c>
      <c r="AG1582">
        <v>47.693810999999997</v>
      </c>
      <c r="AH1582">
        <v>-122.209732</v>
      </c>
      <c r="AI1582" t="s">
        <v>1058</v>
      </c>
      <c r="AJ1582">
        <v>98033</v>
      </c>
      <c r="AN1582">
        <v>489000</v>
      </c>
      <c r="BC1582" s="22">
        <v>39490.526608796295</v>
      </c>
      <c r="BI1582" s="22">
        <v>39549.294907407406</v>
      </c>
      <c r="BL1582">
        <v>12500</v>
      </c>
      <c r="BM1582">
        <v>1474642</v>
      </c>
      <c r="BN1582" t="s">
        <v>2372</v>
      </c>
      <c r="BO1582" s="17">
        <f t="shared" ca="1" si="24"/>
        <v>58.782797106483486</v>
      </c>
      <c r="BP1582" t="b">
        <v>0</v>
      </c>
      <c r="BQ1582">
        <v>1</v>
      </c>
      <c r="BR1582" t="s">
        <v>1686</v>
      </c>
      <c r="BS1582" t="s">
        <v>2555</v>
      </c>
      <c r="BT1582" t="b">
        <v>0</v>
      </c>
      <c r="BV1582" t="s">
        <v>1668</v>
      </c>
      <c r="BW1582">
        <v>2012</v>
      </c>
      <c r="BY1582">
        <v>463036</v>
      </c>
      <c r="BZ1582" t="s">
        <v>1747</v>
      </c>
      <c r="CA1582">
        <v>1</v>
      </c>
      <c r="CB1582" t="b">
        <v>1</v>
      </c>
      <c r="CC1582">
        <v>0</v>
      </c>
      <c r="CD1582" t="b">
        <v>0</v>
      </c>
      <c r="CE1582" t="b">
        <v>0</v>
      </c>
      <c r="CF1582" t="b">
        <v>0</v>
      </c>
      <c r="CG1582">
        <v>2524957</v>
      </c>
      <c r="CH1582" t="s">
        <v>1681</v>
      </c>
      <c r="CI1582" s="10">
        <v>625000</v>
      </c>
      <c r="CJ1582" s="7">
        <v>38607</v>
      </c>
    </row>
    <row r="1583" spans="1:89">
      <c r="A1583">
        <v>28025899</v>
      </c>
      <c r="B1583" s="2" t="str">
        <f>HYPERLINK("http://www.redfin.com/stingray/do/printable-listing?listing-id=1475152","Active")</f>
        <v>Active</v>
      </c>
      <c r="D1583" t="s">
        <v>60</v>
      </c>
      <c r="E1583" t="s">
        <v>2452</v>
      </c>
      <c r="F1583">
        <v>799500</v>
      </c>
      <c r="G1583">
        <v>1921</v>
      </c>
      <c r="H1583">
        <v>3140</v>
      </c>
      <c r="I1583">
        <v>5000</v>
      </c>
      <c r="J1583">
        <v>6</v>
      </c>
      <c r="K1583">
        <v>3</v>
      </c>
      <c r="M1583" s="2" t="str">
        <f>HYPERLINK("http://maps.live.com/default.aspx?v=2&amp;lvl=15&amp;sp=Point.47.663091_-122.347957_812 N 47th St&amp;cp=47.663091~-122.347957","Map")</f>
        <v>Map</v>
      </c>
      <c r="N1583" s="2" t="str">
        <f>HYPERLINK("http://i-0.rfimg.us/photo/1/bigphoto/899/28025899_0.jpg","Photo")</f>
        <v>Photo</v>
      </c>
      <c r="AG1583">
        <v>47.663091000000001</v>
      </c>
      <c r="AH1583">
        <v>-122.34795699999999</v>
      </c>
      <c r="AI1583" t="s">
        <v>66</v>
      </c>
      <c r="AJ1583">
        <v>98103</v>
      </c>
      <c r="AN1583">
        <v>210000</v>
      </c>
      <c r="BC1583" s="22">
        <v>39490.641261574077</v>
      </c>
      <c r="BI1583" s="22">
        <v>39549.294907407406</v>
      </c>
      <c r="BL1583">
        <v>15990</v>
      </c>
      <c r="BM1583">
        <v>1475152</v>
      </c>
      <c r="BN1583" t="s">
        <v>1737</v>
      </c>
      <c r="BO1583" s="17">
        <f t="shared" ca="1" si="24"/>
        <v>58.668144444440259</v>
      </c>
      <c r="BP1583" t="b">
        <v>0</v>
      </c>
      <c r="BQ1583">
        <v>1</v>
      </c>
      <c r="BR1583" t="s">
        <v>1686</v>
      </c>
      <c r="BS1583" t="s">
        <v>2453</v>
      </c>
      <c r="BT1583" t="b">
        <v>0</v>
      </c>
      <c r="BU1583" t="s">
        <v>1712</v>
      </c>
      <c r="BV1583" t="s">
        <v>1668</v>
      </c>
      <c r="BW1583">
        <v>812</v>
      </c>
      <c r="BY1583">
        <v>299132</v>
      </c>
      <c r="BZ1583" t="s">
        <v>1745</v>
      </c>
      <c r="CA1583">
        <v>1</v>
      </c>
      <c r="CB1583" t="b">
        <v>1</v>
      </c>
      <c r="CC1583">
        <v>0</v>
      </c>
      <c r="CD1583" t="b">
        <v>0</v>
      </c>
      <c r="CE1583" t="b">
        <v>0</v>
      </c>
      <c r="CF1583" t="b">
        <v>0</v>
      </c>
      <c r="CG1583">
        <v>2976210</v>
      </c>
      <c r="CH1583" t="s">
        <v>1681</v>
      </c>
      <c r="CI1583" s="10">
        <v>799500</v>
      </c>
      <c r="CJ1583" s="7">
        <v>35703</v>
      </c>
    </row>
    <row r="1584" spans="1:89">
      <c r="A1584">
        <v>28025913</v>
      </c>
      <c r="B1584" s="2" t="str">
        <f>HYPERLINK("http://www.redfin.com/stingray/do/printable-listing?listing-id=1480452","Active")</f>
        <v>Active</v>
      </c>
      <c r="D1584" t="s">
        <v>5629</v>
      </c>
      <c r="E1584" t="s">
        <v>5935</v>
      </c>
      <c r="F1584">
        <v>669999</v>
      </c>
      <c r="G1584">
        <v>1998</v>
      </c>
      <c r="H1584">
        <v>3010</v>
      </c>
      <c r="I1584">
        <v>7719</v>
      </c>
      <c r="J1584">
        <v>4</v>
      </c>
      <c r="K1584">
        <v>3</v>
      </c>
      <c r="M1584" s="2" t="str">
        <f>HYPERLINK("http://maps.live.com/default.aspx?v=2&amp;lvl=15&amp;sp=Point.47.530934_-122.172705_8026 126th Pl SE&amp;cp=47.530934~-122.172705","Map")</f>
        <v>Map</v>
      </c>
      <c r="N1584" s="2" t="str">
        <f>HYPERLINK("http://i-0.rfimg.us/photo/1/bigphoto/913/28025913_1.jpg","Photo")</f>
        <v>Photo</v>
      </c>
      <c r="AG1584">
        <v>47.530934000000002</v>
      </c>
      <c r="AH1584">
        <v>-122.17270499999999</v>
      </c>
      <c r="AI1584" t="s">
        <v>3885</v>
      </c>
      <c r="AJ1584">
        <v>98059</v>
      </c>
      <c r="AN1584">
        <v>211292</v>
      </c>
      <c r="BC1584" s="22">
        <v>39492.473622685182</v>
      </c>
      <c r="BI1584" s="22">
        <v>39549.294907407406</v>
      </c>
      <c r="BL1584">
        <v>13400</v>
      </c>
      <c r="BM1584">
        <v>1480452</v>
      </c>
      <c r="BN1584" t="s">
        <v>5934</v>
      </c>
      <c r="BO1584" s="17">
        <f t="shared" ca="1" si="24"/>
        <v>56.835783217597054</v>
      </c>
      <c r="BP1584" t="b">
        <v>0</v>
      </c>
      <c r="BQ1584">
        <v>1</v>
      </c>
      <c r="BR1584" t="s">
        <v>1842</v>
      </c>
      <c r="BS1584" t="s">
        <v>4544</v>
      </c>
      <c r="BT1584" t="b">
        <v>0</v>
      </c>
      <c r="BV1584" t="s">
        <v>1668</v>
      </c>
      <c r="BW1584">
        <v>8026</v>
      </c>
      <c r="BX1584" t="s">
        <v>3856</v>
      </c>
      <c r="BY1584">
        <v>413415</v>
      </c>
      <c r="BZ1584" t="s">
        <v>5936</v>
      </c>
      <c r="CA1584">
        <v>1</v>
      </c>
      <c r="CB1584" t="b">
        <v>1</v>
      </c>
      <c r="CC1584">
        <v>0</v>
      </c>
      <c r="CD1584" t="b">
        <v>0</v>
      </c>
      <c r="CE1584" t="b">
        <v>0</v>
      </c>
      <c r="CF1584" t="b">
        <v>0</v>
      </c>
      <c r="CG1584">
        <v>2929386</v>
      </c>
      <c r="CH1584" t="s">
        <v>1681</v>
      </c>
      <c r="CI1584" s="10">
        <v>669999</v>
      </c>
      <c r="CJ1584" s="7">
        <v>38761</v>
      </c>
    </row>
    <row r="1585" spans="1:88">
      <c r="A1585">
        <v>28025919</v>
      </c>
      <c r="B1585" s="2" t="str">
        <f>HYPERLINK("http://www.redfin.com/stingray/do/printable-listing?listing-id=1477189","Active")</f>
        <v>Active</v>
      </c>
      <c r="D1585" t="s">
        <v>5050</v>
      </c>
      <c r="E1585" t="s">
        <v>5076</v>
      </c>
      <c r="F1585">
        <v>540000</v>
      </c>
      <c r="G1585">
        <v>1963</v>
      </c>
      <c r="H1585">
        <v>1090</v>
      </c>
      <c r="I1585">
        <v>15580</v>
      </c>
      <c r="J1585">
        <v>2</v>
      </c>
      <c r="K1585">
        <v>0.75</v>
      </c>
      <c r="M1585" s="2" t="str">
        <f>HYPERLINK("http://maps.live.com/default.aspx?v=2&amp;lvl=15&amp;sp=Point.47.615648_-122.175395_605 124th Ave NE&amp;cp=47.615648~-122.175395","Map")</f>
        <v>Map</v>
      </c>
      <c r="N1585" s="2" t="str">
        <f>HYPERLINK("http://i-0.rfimg.us/photo/1/bigphoto/919/28025919_0.jpg","Photo")</f>
        <v>Photo</v>
      </c>
      <c r="AG1585">
        <v>47.615648</v>
      </c>
      <c r="AH1585">
        <v>-122.17539499999999</v>
      </c>
      <c r="AI1585" t="s">
        <v>369</v>
      </c>
      <c r="AJ1585">
        <v>98005</v>
      </c>
      <c r="AN1585">
        <v>392400</v>
      </c>
      <c r="BC1585" s="22">
        <v>39491.421388888892</v>
      </c>
      <c r="BI1585" s="22">
        <v>39549.294907407406</v>
      </c>
      <c r="BL1585">
        <v>10800</v>
      </c>
      <c r="BM1585">
        <v>1477189</v>
      </c>
      <c r="BN1585" t="s">
        <v>1768</v>
      </c>
      <c r="BO1585" s="17">
        <f t="shared" ca="1" si="24"/>
        <v>57.888017013887293</v>
      </c>
      <c r="BP1585" t="b">
        <v>0</v>
      </c>
      <c r="BQ1585">
        <v>1</v>
      </c>
      <c r="BR1585" t="s">
        <v>1667</v>
      </c>
      <c r="BS1585" t="s">
        <v>4507</v>
      </c>
      <c r="BT1585" t="b">
        <v>0</v>
      </c>
      <c r="BV1585" t="s">
        <v>1668</v>
      </c>
      <c r="BW1585">
        <v>605</v>
      </c>
      <c r="BX1585" t="s">
        <v>1738</v>
      </c>
      <c r="BY1585">
        <v>506981</v>
      </c>
      <c r="BZ1585" t="s">
        <v>1747</v>
      </c>
      <c r="CA1585">
        <v>1</v>
      </c>
      <c r="CB1585" t="b">
        <v>1</v>
      </c>
      <c r="CC1585">
        <v>0</v>
      </c>
      <c r="CD1585" t="b">
        <v>0</v>
      </c>
      <c r="CE1585" t="b">
        <v>0</v>
      </c>
      <c r="CF1585" t="b">
        <v>0</v>
      </c>
      <c r="CG1585">
        <v>2918365</v>
      </c>
      <c r="CH1585" t="s">
        <v>1681</v>
      </c>
      <c r="CI1585" s="10">
        <v>540000</v>
      </c>
      <c r="CJ1585" s="7">
        <v>38953</v>
      </c>
    </row>
    <row r="1586" spans="1:88">
      <c r="A1586">
        <v>28025939</v>
      </c>
      <c r="B1586" s="2" t="str">
        <f>HYPERLINK("http://www.redfin.com/stingray/do/printable-listing?listing-id=1474978","Active")</f>
        <v>Active</v>
      </c>
      <c r="D1586" t="s">
        <v>3704</v>
      </c>
      <c r="E1586" t="s">
        <v>4226</v>
      </c>
      <c r="F1586">
        <v>799000</v>
      </c>
      <c r="G1586">
        <v>1903</v>
      </c>
      <c r="H1586">
        <v>2850</v>
      </c>
      <c r="I1586">
        <v>4000</v>
      </c>
      <c r="J1586">
        <v>5</v>
      </c>
      <c r="K1586">
        <v>2</v>
      </c>
      <c r="M1586" s="2" t="str">
        <f>HYPERLINK("http://maps.live.com/default.aspx?v=2&amp;lvl=15&amp;sp=Point.47.627649_-122.301561_2314 E Ward St&amp;cp=47.627649~-122.301561","Map")</f>
        <v>Map</v>
      </c>
      <c r="N1586" s="2" t="str">
        <f>HYPERLINK("http://i-0.rfimg.us/photo/1/bigphoto/939/28025939_0.jpg","Photo")</f>
        <v>Photo</v>
      </c>
      <c r="AG1586">
        <v>47.627648999999998</v>
      </c>
      <c r="AH1586">
        <v>-122.30156100000001</v>
      </c>
      <c r="AI1586" t="s">
        <v>66</v>
      </c>
      <c r="AJ1586">
        <v>98112</v>
      </c>
      <c r="AN1586">
        <v>545000</v>
      </c>
      <c r="BC1586" s="22">
        <v>39490.598993055559</v>
      </c>
      <c r="BI1586" s="22">
        <v>39549.294907407406</v>
      </c>
      <c r="BL1586">
        <v>15980</v>
      </c>
      <c r="BM1586">
        <v>1474978</v>
      </c>
      <c r="BN1586" t="s">
        <v>2992</v>
      </c>
      <c r="BO1586" s="17">
        <f t="shared" ca="1" si="24"/>
        <v>58.710412847220141</v>
      </c>
      <c r="BP1586" t="b">
        <v>0</v>
      </c>
      <c r="BQ1586">
        <v>1</v>
      </c>
      <c r="BR1586" t="s">
        <v>1686</v>
      </c>
      <c r="BS1586" t="s">
        <v>4227</v>
      </c>
      <c r="BT1586" t="b">
        <v>0</v>
      </c>
      <c r="BU1586" t="s">
        <v>2436</v>
      </c>
      <c r="BV1586" t="s">
        <v>1668</v>
      </c>
      <c r="BW1586">
        <v>2314</v>
      </c>
      <c r="BY1586">
        <v>146778</v>
      </c>
      <c r="BZ1586" s="21">
        <v>0</v>
      </c>
      <c r="CA1586">
        <v>1</v>
      </c>
      <c r="CB1586" t="b">
        <v>1</v>
      </c>
      <c r="CC1586">
        <v>0</v>
      </c>
      <c r="CD1586" t="b">
        <v>0</v>
      </c>
      <c r="CE1586" t="b">
        <v>0</v>
      </c>
      <c r="CF1586" t="b">
        <v>0</v>
      </c>
      <c r="CG1586">
        <v>2933908</v>
      </c>
      <c r="CH1586" t="s">
        <v>1681</v>
      </c>
      <c r="CI1586" s="10">
        <v>799000</v>
      </c>
      <c r="CJ1586" s="7">
        <v>38348</v>
      </c>
    </row>
    <row r="1587" spans="1:88">
      <c r="A1587">
        <v>28026043</v>
      </c>
      <c r="B1587" s="2" t="str">
        <f>HYPERLINK("http://www.redfin.com/stingray/do/printable-listing?listing-id=1475258","Active")</f>
        <v>Active</v>
      </c>
      <c r="D1587" t="s">
        <v>66</v>
      </c>
      <c r="E1587" t="s">
        <v>3208</v>
      </c>
      <c r="F1587">
        <v>500000</v>
      </c>
      <c r="G1587">
        <v>2005</v>
      </c>
      <c r="H1587">
        <v>1520</v>
      </c>
      <c r="I1587">
        <v>0</v>
      </c>
      <c r="J1587">
        <v>3</v>
      </c>
      <c r="K1587">
        <v>2.5</v>
      </c>
      <c r="M1587" s="2" t="str">
        <f>HYPERLINK("http://maps.live.com/default.aspx?v=2&amp;lvl=15&amp;sp=Point.47.680063_-122.322541_509 NE 71st St&amp;cp=47.680063~-122.322541","Map")</f>
        <v>Map</v>
      </c>
      <c r="N1587" s="2" t="str">
        <f>HYPERLINK("http://i-0.rfimg.us/photo/1/bigphoto/043/28026043_1.jpg","Photo")</f>
        <v>Photo</v>
      </c>
      <c r="AG1587">
        <v>47.680062999999997</v>
      </c>
      <c r="AH1587">
        <v>-122.322541</v>
      </c>
      <c r="AI1587" t="s">
        <v>66</v>
      </c>
      <c r="AJ1587">
        <v>98115</v>
      </c>
      <c r="BC1587" s="22">
        <v>39490.662766203706</v>
      </c>
      <c r="BI1587" s="22">
        <v>39549.294907407406</v>
      </c>
      <c r="BL1587">
        <v>10000</v>
      </c>
      <c r="BM1587">
        <v>1475258</v>
      </c>
      <c r="BN1587" t="s">
        <v>2829</v>
      </c>
      <c r="BO1587" s="17">
        <f t="shared" ca="1" si="24"/>
        <v>58.646639699072693</v>
      </c>
      <c r="BP1587" t="b">
        <v>0</v>
      </c>
      <c r="BQ1587">
        <v>1</v>
      </c>
      <c r="BR1587" t="s">
        <v>1686</v>
      </c>
      <c r="BS1587" t="s">
        <v>1830</v>
      </c>
      <c r="BT1587" t="b">
        <v>0</v>
      </c>
      <c r="BU1587" t="s">
        <v>1738</v>
      </c>
      <c r="BV1587" t="s">
        <v>1668</v>
      </c>
      <c r="BW1587">
        <v>509</v>
      </c>
      <c r="BY1587">
        <v>12097987</v>
      </c>
      <c r="BZ1587" t="s">
        <v>1679</v>
      </c>
      <c r="CA1587">
        <v>1</v>
      </c>
      <c r="CB1587" t="b">
        <v>1</v>
      </c>
      <c r="CC1587">
        <v>0</v>
      </c>
      <c r="CD1587" t="b">
        <v>0</v>
      </c>
      <c r="CE1587" t="b">
        <v>0</v>
      </c>
      <c r="CF1587" t="b">
        <v>0</v>
      </c>
      <c r="CG1587">
        <v>15351539</v>
      </c>
      <c r="CH1587" t="s">
        <v>1681</v>
      </c>
      <c r="CI1587" s="10">
        <v>500000</v>
      </c>
    </row>
    <row r="1588" spans="1:88">
      <c r="A1588">
        <v>28026081</v>
      </c>
      <c r="B1588" s="2" t="str">
        <f>HYPERLINK("http://www.redfin.com/stingray/do/printable-listing?listing-id=1484359","Active")</f>
        <v>Active</v>
      </c>
      <c r="D1588" t="s">
        <v>3249</v>
      </c>
      <c r="E1588" t="s">
        <v>3565</v>
      </c>
      <c r="F1588">
        <v>1198000</v>
      </c>
      <c r="G1588">
        <v>1996</v>
      </c>
      <c r="H1588">
        <v>2554</v>
      </c>
      <c r="I1588">
        <v>3500</v>
      </c>
      <c r="J1588">
        <v>3</v>
      </c>
      <c r="K1588">
        <v>2.25</v>
      </c>
      <c r="M1588" s="2" t="str">
        <f>HYPERLINK("http://maps.live.com/default.aspx?v=2&amp;lvl=15&amp;sp=Point.47.639043_-122.368579_2142 9th Ave W&amp;cp=47.639043~-122.368579","Map")</f>
        <v>Map</v>
      </c>
      <c r="N1588" s="2" t="str">
        <f>HYPERLINK("http://i-0.rfimg.us/photo/1/bigphoto/081/28026081_3.jpg","Photo")</f>
        <v>Photo</v>
      </c>
      <c r="AG1588">
        <v>47.639043000000001</v>
      </c>
      <c r="AH1588">
        <v>-122.368579</v>
      </c>
      <c r="AI1588" t="s">
        <v>66</v>
      </c>
      <c r="AJ1588">
        <v>98119</v>
      </c>
      <c r="AN1588">
        <v>500000</v>
      </c>
      <c r="BC1588" s="22">
        <v>39493.568009259259</v>
      </c>
      <c r="BI1588" s="22">
        <v>39549.294907407406</v>
      </c>
      <c r="BL1588">
        <v>23960</v>
      </c>
      <c r="BM1588">
        <v>1484359</v>
      </c>
      <c r="BN1588" t="s">
        <v>1768</v>
      </c>
      <c r="BO1588" s="17">
        <f t="shared" ca="1" si="24"/>
        <v>55.741396643519693</v>
      </c>
      <c r="BP1588" t="b">
        <v>0</v>
      </c>
      <c r="BQ1588">
        <v>1</v>
      </c>
      <c r="BR1588" t="s">
        <v>1667</v>
      </c>
      <c r="BS1588" t="s">
        <v>1785</v>
      </c>
      <c r="BT1588" t="b">
        <v>0</v>
      </c>
      <c r="BV1588" t="s">
        <v>1668</v>
      </c>
      <c r="BW1588">
        <v>2142</v>
      </c>
      <c r="BX1588" t="s">
        <v>2423</v>
      </c>
      <c r="BY1588">
        <v>134828</v>
      </c>
      <c r="BZ1588" t="s">
        <v>1914</v>
      </c>
      <c r="CA1588">
        <v>1</v>
      </c>
      <c r="CB1588" t="b">
        <v>1</v>
      </c>
      <c r="CC1588">
        <v>0</v>
      </c>
      <c r="CD1588" t="b">
        <v>0</v>
      </c>
      <c r="CE1588" t="b">
        <v>0</v>
      </c>
      <c r="CF1588" t="b">
        <v>0</v>
      </c>
      <c r="CG1588">
        <v>2459144</v>
      </c>
      <c r="CH1588" t="s">
        <v>1681</v>
      </c>
      <c r="CI1588" s="10">
        <v>1198000</v>
      </c>
      <c r="CJ1588" s="7">
        <v>36797</v>
      </c>
    </row>
    <row r="1589" spans="1:88">
      <c r="A1589">
        <v>28026093</v>
      </c>
      <c r="B1589" s="2" t="str">
        <f>HYPERLINK("http://www.redfin.com/stingray/do/printable-listing?listing-id=1478097","Subject To Inspection")</f>
        <v>Subject To Inspection</v>
      </c>
      <c r="D1589" t="s">
        <v>3959</v>
      </c>
      <c r="E1589" t="s">
        <v>4051</v>
      </c>
      <c r="F1589">
        <v>412000</v>
      </c>
      <c r="G1589">
        <v>1918</v>
      </c>
      <c r="H1589">
        <v>1580</v>
      </c>
      <c r="I1589">
        <v>2560</v>
      </c>
      <c r="J1589">
        <v>2</v>
      </c>
      <c r="K1589">
        <v>1</v>
      </c>
      <c r="M1589" s="2" t="str">
        <f>HYPERLINK("http://maps.live.com/default.aspx?v=2&amp;lvl=15&amp;sp=Point.47.607252_-122.315923_1217 E James Ct&amp;cp=47.607252~-122.315923","Map")</f>
        <v>Map</v>
      </c>
      <c r="N1589" s="2" t="str">
        <f>HYPERLINK("http://i-0.rfimg.us/photo/1/bigphoto/093/28026093_8.jpg","Photo")</f>
        <v>Photo</v>
      </c>
      <c r="AG1589">
        <v>47.607252000000003</v>
      </c>
      <c r="AH1589">
        <v>-122.315923</v>
      </c>
      <c r="AI1589" t="s">
        <v>66</v>
      </c>
      <c r="AJ1589">
        <v>98122</v>
      </c>
      <c r="AN1589">
        <v>220000</v>
      </c>
      <c r="BC1589" s="22">
        <v>39491.5784375</v>
      </c>
      <c r="BI1589" s="7">
        <v>39533</v>
      </c>
      <c r="BL1589">
        <v>8240</v>
      </c>
      <c r="BM1589">
        <v>1478097</v>
      </c>
      <c r="BN1589" t="s">
        <v>1766</v>
      </c>
      <c r="BO1589" s="17">
        <f t="shared" ca="1" si="24"/>
        <v>57.730968402778672</v>
      </c>
      <c r="BP1589" t="b">
        <v>0</v>
      </c>
      <c r="BQ1589">
        <v>2</v>
      </c>
      <c r="BR1589" t="s">
        <v>3768</v>
      </c>
      <c r="BS1589" t="s">
        <v>4052</v>
      </c>
      <c r="BT1589" t="b">
        <v>0</v>
      </c>
      <c r="BU1589" t="s">
        <v>2436</v>
      </c>
      <c r="BV1589" t="s">
        <v>1668</v>
      </c>
      <c r="BW1589">
        <v>1217</v>
      </c>
      <c r="BY1589">
        <v>144867</v>
      </c>
      <c r="BZ1589" t="s">
        <v>4053</v>
      </c>
      <c r="CA1589">
        <v>1</v>
      </c>
      <c r="CB1589" t="b">
        <v>1</v>
      </c>
      <c r="CC1589">
        <v>0</v>
      </c>
      <c r="CD1589" t="b">
        <v>0</v>
      </c>
      <c r="CE1589" t="b">
        <v>0</v>
      </c>
      <c r="CF1589" t="b">
        <v>0</v>
      </c>
      <c r="CG1589">
        <v>2416377</v>
      </c>
      <c r="CH1589" t="s">
        <v>1681</v>
      </c>
      <c r="CI1589" s="10">
        <v>412000</v>
      </c>
      <c r="CJ1589" s="7">
        <v>37733</v>
      </c>
    </row>
    <row r="1590" spans="1:88">
      <c r="A1590">
        <v>28026101</v>
      </c>
      <c r="B1590" s="2" t="str">
        <f>HYPERLINK("http://www.redfin.com/stingray/do/printable-listing?listing-id=1476269","Active")</f>
        <v>Active</v>
      </c>
      <c r="D1590" t="s">
        <v>5490</v>
      </c>
      <c r="E1590" t="s">
        <v>5669</v>
      </c>
      <c r="F1590">
        <v>669000</v>
      </c>
      <c r="G1590">
        <v>1987</v>
      </c>
      <c r="H1590">
        <v>2200</v>
      </c>
      <c r="I1590">
        <v>15980</v>
      </c>
      <c r="J1590">
        <v>3</v>
      </c>
      <c r="K1590">
        <v>2.5</v>
      </c>
      <c r="M1590" s="2" t="str">
        <f>HYPERLINK("http://maps.live.com/default.aspx?v=2&amp;lvl=15&amp;sp=Point.47.562835_-122.120023_16511 SE 46th St&amp;cp=47.562835~-122.120023","Map")</f>
        <v>Map</v>
      </c>
      <c r="N1590" s="2" t="str">
        <f>HYPERLINK("http://i-0.rfimg.us/photo/1/bigphoto/101/28026101_1.jpg","Photo")</f>
        <v>Photo</v>
      </c>
      <c r="AG1590">
        <v>47.562835</v>
      </c>
      <c r="AH1590">
        <v>-122.120023</v>
      </c>
      <c r="AI1590" t="s">
        <v>5280</v>
      </c>
      <c r="AJ1590">
        <v>98027</v>
      </c>
      <c r="AN1590">
        <v>577000</v>
      </c>
      <c r="BC1590" s="22">
        <v>39490.931643518517</v>
      </c>
      <c r="BI1590" s="22">
        <v>39549.294907407406</v>
      </c>
      <c r="BL1590">
        <v>13380</v>
      </c>
      <c r="BM1590">
        <v>1476269</v>
      </c>
      <c r="BN1590" t="s">
        <v>1688</v>
      </c>
      <c r="BO1590" s="17">
        <f t="shared" ca="1" si="24"/>
        <v>58.377762384261587</v>
      </c>
      <c r="BP1590" t="b">
        <v>0</v>
      </c>
      <c r="BQ1590">
        <v>1</v>
      </c>
      <c r="BR1590" t="s">
        <v>1686</v>
      </c>
      <c r="BS1590" t="s">
        <v>2471</v>
      </c>
      <c r="BT1590" t="b">
        <v>0</v>
      </c>
      <c r="BU1590" t="s">
        <v>3856</v>
      </c>
      <c r="BV1590" t="s">
        <v>1668</v>
      </c>
      <c r="BW1590">
        <v>16511</v>
      </c>
      <c r="BY1590">
        <v>239889</v>
      </c>
      <c r="BZ1590" t="s">
        <v>1679</v>
      </c>
      <c r="CA1590">
        <v>1</v>
      </c>
      <c r="CB1590" t="b">
        <v>1</v>
      </c>
      <c r="CC1590">
        <v>0</v>
      </c>
      <c r="CD1590" t="b">
        <v>0</v>
      </c>
      <c r="CE1590" t="b">
        <v>0</v>
      </c>
      <c r="CF1590" t="b">
        <v>0</v>
      </c>
      <c r="CG1590">
        <v>2651759</v>
      </c>
      <c r="CH1590" t="s">
        <v>1681</v>
      </c>
      <c r="CI1590" s="10">
        <v>669000</v>
      </c>
      <c r="CJ1590" s="7">
        <v>38454</v>
      </c>
    </row>
    <row r="1591" spans="1:88">
      <c r="A1591">
        <v>28026119</v>
      </c>
      <c r="B1591" s="2" t="str">
        <f>HYPERLINK("http://www.redfin.com/stingray/do/printable-listing?listing-id=1475412","Active")</f>
        <v>Active</v>
      </c>
      <c r="D1591" t="s">
        <v>3966</v>
      </c>
      <c r="E1591" t="s">
        <v>4253</v>
      </c>
      <c r="F1591" s="19">
        <v>631000</v>
      </c>
      <c r="G1591">
        <v>1908</v>
      </c>
      <c r="H1591">
        <v>1850</v>
      </c>
      <c r="I1591">
        <v>4000</v>
      </c>
      <c r="J1591">
        <v>4</v>
      </c>
      <c r="K1591">
        <v>2</v>
      </c>
      <c r="M1591" s="2" t="str">
        <f>HYPERLINK("http://maps.live.com/default.aspx?v=2&amp;lvl=15&amp;sp=Point.47.61446_-122.291672_1511 32nd Ave&amp;cp=47.61446~-122.291672","Map")</f>
        <v>Map</v>
      </c>
      <c r="N1591" s="2" t="str">
        <f>HYPERLINK("http://i-0.rfimg.us/photo/1/bigphoto/119/28026119_0.jpg","Photo")</f>
        <v>Photo</v>
      </c>
      <c r="AG1591">
        <v>47.614460000000001</v>
      </c>
      <c r="AH1591">
        <v>-122.29167200000001</v>
      </c>
      <c r="AI1591" t="s">
        <v>66</v>
      </c>
      <c r="AJ1591">
        <v>98122</v>
      </c>
      <c r="AN1591">
        <v>282000</v>
      </c>
      <c r="BC1591" s="22">
        <v>39490.704421296294</v>
      </c>
      <c r="BI1591" s="22">
        <v>39549.294907407406</v>
      </c>
      <c r="BL1591">
        <v>12980</v>
      </c>
      <c r="BM1591">
        <v>1475412</v>
      </c>
      <c r="BN1591" t="s">
        <v>1768</v>
      </c>
      <c r="BO1591" s="17">
        <f t="shared" ca="1" si="24"/>
        <v>58.604984606485232</v>
      </c>
      <c r="BP1591" t="b">
        <v>0</v>
      </c>
      <c r="BQ1591">
        <v>1</v>
      </c>
      <c r="BR1591" t="s">
        <v>1667</v>
      </c>
      <c r="BS1591" t="s">
        <v>1733</v>
      </c>
      <c r="BT1591" t="b">
        <v>0</v>
      </c>
      <c r="BV1591" t="s">
        <v>1668</v>
      </c>
      <c r="BW1591">
        <v>1511</v>
      </c>
      <c r="BY1591">
        <v>147959</v>
      </c>
      <c r="BZ1591" t="s">
        <v>1745</v>
      </c>
      <c r="CA1591">
        <v>1</v>
      </c>
      <c r="CB1591" t="b">
        <v>1</v>
      </c>
      <c r="CC1591">
        <v>0</v>
      </c>
      <c r="CD1591" t="b">
        <v>0</v>
      </c>
      <c r="CE1591" t="b">
        <v>0</v>
      </c>
      <c r="CF1591" t="b">
        <v>0</v>
      </c>
      <c r="CG1591">
        <v>2899906</v>
      </c>
      <c r="CH1591" t="s">
        <v>1681</v>
      </c>
      <c r="CI1591" s="10">
        <v>649000</v>
      </c>
      <c r="CJ1591" s="7">
        <v>37215</v>
      </c>
    </row>
    <row r="1592" spans="1:88">
      <c r="A1592">
        <v>28026142</v>
      </c>
      <c r="B1592" s="2" t="str">
        <f>HYPERLINK("http://www.redfin.com/stingray/do/printable-listing?listing-id=1475411","Active")</f>
        <v>Active</v>
      </c>
      <c r="D1592" t="s">
        <v>4596</v>
      </c>
      <c r="E1592" t="s">
        <v>4633</v>
      </c>
      <c r="F1592">
        <v>729900</v>
      </c>
      <c r="G1592">
        <v>2008</v>
      </c>
      <c r="H1592">
        <v>3016</v>
      </c>
      <c r="I1592">
        <v>6249</v>
      </c>
      <c r="J1592">
        <v>3</v>
      </c>
      <c r="K1592">
        <v>2.5</v>
      </c>
      <c r="M1592" s="2" t="str">
        <f>HYPERLINK("http://maps.live.com/default.aspx?v=2&amp;lvl=15&amp;sp=adr.16764 86th Ct NE (Unable to map),98052","Map")</f>
        <v>Map</v>
      </c>
      <c r="N1592" s="2" t="str">
        <f>HYPERLINK("http://i-0.rfimg.us/photo/1/bigphoto/142/28026142_0.jpg","Photo")</f>
        <v>Photo</v>
      </c>
      <c r="AI1592" t="s">
        <v>4363</v>
      </c>
      <c r="AJ1592">
        <v>98052</v>
      </c>
      <c r="BC1592" s="22">
        <v>39490.704421296294</v>
      </c>
      <c r="BI1592" s="22">
        <v>39549.294907407406</v>
      </c>
      <c r="BL1592">
        <v>14598</v>
      </c>
      <c r="BM1592">
        <v>1475411</v>
      </c>
      <c r="BN1592" t="s">
        <v>1798</v>
      </c>
      <c r="BO1592" s="17">
        <f t="shared" ca="1" si="24"/>
        <v>58.604984606485232</v>
      </c>
      <c r="BP1592" t="b">
        <v>0</v>
      </c>
      <c r="BQ1592">
        <v>1</v>
      </c>
      <c r="BR1592" t="s">
        <v>3768</v>
      </c>
      <c r="BS1592" t="s">
        <v>2866</v>
      </c>
      <c r="BT1592" t="b">
        <v>0</v>
      </c>
      <c r="BV1592" t="s">
        <v>1668</v>
      </c>
      <c r="BW1592">
        <v>16764</v>
      </c>
      <c r="BX1592" t="s">
        <v>1738</v>
      </c>
      <c r="BY1592">
        <v>0</v>
      </c>
      <c r="BZ1592" s="21">
        <v>0</v>
      </c>
      <c r="CA1592">
        <v>1</v>
      </c>
      <c r="CB1592" t="b">
        <v>1</v>
      </c>
      <c r="CC1592">
        <v>0</v>
      </c>
      <c r="CD1592" t="b">
        <v>0</v>
      </c>
      <c r="CE1592" t="b">
        <v>0</v>
      </c>
      <c r="CF1592" t="b">
        <v>0</v>
      </c>
      <c r="CG1592" t="s">
        <v>1870</v>
      </c>
      <c r="CH1592" t="s">
        <v>1681</v>
      </c>
      <c r="CI1592" s="10">
        <v>729900</v>
      </c>
    </row>
    <row r="1593" spans="1:88">
      <c r="A1593">
        <v>28026148</v>
      </c>
      <c r="B1593" s="2" t="str">
        <f>HYPERLINK("http://www.redfin.com/stingray/do/printable-listing?listing-id=1481088","Active")</f>
        <v>Active</v>
      </c>
      <c r="D1593" t="s">
        <v>2850</v>
      </c>
      <c r="E1593" t="s">
        <v>4455</v>
      </c>
      <c r="F1593" s="19">
        <v>700000</v>
      </c>
      <c r="G1593">
        <v>1999</v>
      </c>
      <c r="H1593">
        <v>3740</v>
      </c>
      <c r="I1593">
        <v>4356</v>
      </c>
      <c r="J1593">
        <v>5</v>
      </c>
      <c r="K1593">
        <v>3.5</v>
      </c>
      <c r="M1593" s="2" t="str">
        <f>HYPERLINK("http://maps.live.com/default.aspx?v=2&amp;lvl=15&amp;sp=Point.47.703379_-122.235425_11433 80th Ave NE&amp;cp=47.703379~-122.235425","Map")</f>
        <v>Map</v>
      </c>
      <c r="N1593" s="2" t="str">
        <f>HYPERLINK("http://i-0.rfimg.us/photo/1/bigphoto/148/28026148_1.jpg","Photo")</f>
        <v>Photo</v>
      </c>
      <c r="AG1593">
        <v>47.703378999999998</v>
      </c>
      <c r="AH1593">
        <v>-122.23542500000001</v>
      </c>
      <c r="AI1593" t="s">
        <v>1058</v>
      </c>
      <c r="AJ1593">
        <v>98034</v>
      </c>
      <c r="AN1593">
        <v>695000</v>
      </c>
      <c r="BC1593" s="22">
        <v>39492.588541666664</v>
      </c>
      <c r="BI1593" s="22">
        <v>39549.294907407406</v>
      </c>
      <c r="BL1593">
        <v>15000</v>
      </c>
      <c r="BM1593">
        <v>1481088</v>
      </c>
      <c r="BN1593" t="s">
        <v>2006</v>
      </c>
      <c r="BO1593" s="17">
        <f t="shared" ca="1" si="24"/>
        <v>56.720864236114721</v>
      </c>
      <c r="BP1593" t="b">
        <v>0</v>
      </c>
      <c r="BQ1593">
        <v>1</v>
      </c>
      <c r="BR1593" t="s">
        <v>1667</v>
      </c>
      <c r="BS1593" t="s">
        <v>1711</v>
      </c>
      <c r="BT1593" t="b">
        <v>0</v>
      </c>
      <c r="BV1593" t="s">
        <v>1668</v>
      </c>
      <c r="BW1593">
        <v>11433</v>
      </c>
      <c r="BX1593" t="s">
        <v>1738</v>
      </c>
      <c r="BY1593">
        <v>281311</v>
      </c>
      <c r="BZ1593" t="s">
        <v>3562</v>
      </c>
      <c r="CA1593">
        <v>1</v>
      </c>
      <c r="CB1593" t="b">
        <v>1</v>
      </c>
      <c r="CC1593">
        <v>0</v>
      </c>
      <c r="CD1593" t="b">
        <v>0</v>
      </c>
      <c r="CE1593" t="b">
        <v>0</v>
      </c>
      <c r="CF1593" t="b">
        <v>0</v>
      </c>
      <c r="CG1593">
        <v>2690526</v>
      </c>
      <c r="CH1593" t="s">
        <v>1681</v>
      </c>
      <c r="CI1593" s="10">
        <v>750000</v>
      </c>
      <c r="CJ1593" s="7">
        <v>38603</v>
      </c>
    </row>
    <row r="1594" spans="1:88">
      <c r="A1594">
        <v>28026159</v>
      </c>
      <c r="B1594" s="2" t="str">
        <f>HYPERLINK("http://www.redfin.com/stingray/do/printable-listing?listing-id=1475424","Active")</f>
        <v>Active</v>
      </c>
      <c r="D1594" t="s">
        <v>4596</v>
      </c>
      <c r="E1594" t="s">
        <v>4634</v>
      </c>
      <c r="F1594">
        <v>749900</v>
      </c>
      <c r="G1594">
        <v>2008</v>
      </c>
      <c r="H1594">
        <v>3335</v>
      </c>
      <c r="I1594">
        <v>6010</v>
      </c>
      <c r="J1594">
        <v>4</v>
      </c>
      <c r="K1594">
        <v>2.5</v>
      </c>
      <c r="M1594" s="2" t="str">
        <f>HYPERLINK("http://maps.live.com/default.aspx?v=2&amp;lvl=15&amp;sp=adr.16780 86th Ct NE (Unable to map),98052","Map")</f>
        <v>Map</v>
      </c>
      <c r="N1594" s="2" t="str">
        <f>HYPERLINK("http://i-0.rfimg.us/photo/1/bigphoto/159/28026159_0.jpg","Photo")</f>
        <v>Photo</v>
      </c>
      <c r="AI1594" t="s">
        <v>4363</v>
      </c>
      <c r="AJ1594">
        <v>98052</v>
      </c>
      <c r="BC1594" s="22">
        <v>39490.715590277781</v>
      </c>
      <c r="BI1594" s="22">
        <v>39549.294907407406</v>
      </c>
      <c r="BL1594">
        <v>14998</v>
      </c>
      <c r="BM1594">
        <v>1475424</v>
      </c>
      <c r="BN1594" t="s">
        <v>1798</v>
      </c>
      <c r="BO1594" s="17">
        <f t="shared" ca="1" si="24"/>
        <v>58.59381562499766</v>
      </c>
      <c r="BP1594" t="b">
        <v>0</v>
      </c>
      <c r="BQ1594">
        <v>1</v>
      </c>
      <c r="BR1594" t="s">
        <v>3768</v>
      </c>
      <c r="BS1594" t="s">
        <v>2866</v>
      </c>
      <c r="BT1594" t="b">
        <v>0</v>
      </c>
      <c r="BV1594" t="s">
        <v>1668</v>
      </c>
      <c r="BW1594">
        <v>16780</v>
      </c>
      <c r="BX1594" t="s">
        <v>1738</v>
      </c>
      <c r="BY1594">
        <v>0</v>
      </c>
      <c r="BZ1594" s="21">
        <v>0</v>
      </c>
      <c r="CA1594">
        <v>1</v>
      </c>
      <c r="CB1594" t="b">
        <v>1</v>
      </c>
      <c r="CC1594">
        <v>0</v>
      </c>
      <c r="CD1594" t="b">
        <v>0</v>
      </c>
      <c r="CE1594" t="b">
        <v>0</v>
      </c>
      <c r="CF1594" t="b">
        <v>0</v>
      </c>
      <c r="CG1594" t="s">
        <v>1870</v>
      </c>
      <c r="CH1594" t="s">
        <v>1681</v>
      </c>
      <c r="CI1594" s="10">
        <v>749900</v>
      </c>
    </row>
    <row r="1595" spans="1:88">
      <c r="A1595">
        <v>28026167</v>
      </c>
      <c r="B1595" s="2" t="str">
        <f>HYPERLINK("http://www.redfin.com/stingray/do/printable-listing?listing-id=1475493","Active")</f>
        <v>Active</v>
      </c>
      <c r="D1595" t="s">
        <v>194</v>
      </c>
      <c r="E1595" t="s">
        <v>1133</v>
      </c>
      <c r="F1595">
        <v>439950</v>
      </c>
      <c r="G1595">
        <v>1941</v>
      </c>
      <c r="H1595">
        <v>990</v>
      </c>
      <c r="I1595">
        <v>6393</v>
      </c>
      <c r="J1595">
        <v>2</v>
      </c>
      <c r="K1595">
        <v>1</v>
      </c>
      <c r="M1595" s="2" t="str">
        <f>HYPERLINK("http://maps.live.com/default.aspx?v=2&amp;lvl=15&amp;sp=Point.47.699997_-122.291156_3261 NE 98th&amp;cp=47.699997~-122.291156","Map")</f>
        <v>Map</v>
      </c>
      <c r="N1595" s="2" t="str">
        <f>HYPERLINK("http://i-0.rfimg.us/photo/1/bigphoto/167/28026167_1.jpg","Photo")</f>
        <v>Photo</v>
      </c>
      <c r="AG1595">
        <v>47.699997000000003</v>
      </c>
      <c r="AH1595">
        <v>-122.291156</v>
      </c>
      <c r="AI1595" t="s">
        <v>66</v>
      </c>
      <c r="AJ1595">
        <v>98115</v>
      </c>
      <c r="AN1595">
        <v>132500</v>
      </c>
      <c r="BC1595" s="22">
        <v>39490.726168981484</v>
      </c>
      <c r="BI1595" s="7">
        <v>39539</v>
      </c>
      <c r="BL1595">
        <v>8799</v>
      </c>
      <c r="BM1595">
        <v>1475493</v>
      </c>
      <c r="BN1595" t="s">
        <v>1702</v>
      </c>
      <c r="BO1595" s="17">
        <f t="shared" ca="1" si="24"/>
        <v>58.583236921294883</v>
      </c>
      <c r="BP1595" t="b">
        <v>0</v>
      </c>
      <c r="BQ1595">
        <v>1</v>
      </c>
      <c r="BS1595" t="s">
        <v>3007</v>
      </c>
      <c r="BT1595" t="b">
        <v>0</v>
      </c>
      <c r="BU1595" t="s">
        <v>1738</v>
      </c>
      <c r="BV1595" t="s">
        <v>1668</v>
      </c>
      <c r="BW1595">
        <v>3261</v>
      </c>
      <c r="BY1595">
        <v>112932</v>
      </c>
      <c r="BZ1595" t="s">
        <v>2429</v>
      </c>
      <c r="CA1595">
        <v>1</v>
      </c>
      <c r="CB1595" t="b">
        <v>1</v>
      </c>
      <c r="CC1595">
        <v>0</v>
      </c>
      <c r="CD1595" t="b">
        <v>0</v>
      </c>
      <c r="CE1595" t="b">
        <v>0</v>
      </c>
      <c r="CF1595" t="b">
        <v>0</v>
      </c>
      <c r="CG1595">
        <v>2920018</v>
      </c>
      <c r="CH1595" t="s">
        <v>1681</v>
      </c>
      <c r="CI1595" s="10">
        <v>439950</v>
      </c>
      <c r="CJ1595" s="7">
        <v>35053</v>
      </c>
    </row>
    <row r="1596" spans="1:88">
      <c r="A1596">
        <v>28026193</v>
      </c>
      <c r="B1596" s="15" t="str">
        <f>HYPERLINK("http://www.redfin.com/stingray/do/printable-listing?listing-id=1486575","Subject To Inspection")</f>
        <v>Subject To Inspection</v>
      </c>
      <c r="D1596" t="s">
        <v>369</v>
      </c>
      <c r="E1596" t="s">
        <v>5946</v>
      </c>
      <c r="F1596">
        <v>786000</v>
      </c>
      <c r="G1596">
        <v>1988</v>
      </c>
      <c r="H1596">
        <v>2780</v>
      </c>
      <c r="I1596">
        <v>12433</v>
      </c>
      <c r="J1596">
        <v>5</v>
      </c>
      <c r="K1596">
        <v>3</v>
      </c>
      <c r="M1596" s="2" t="str">
        <f>HYPERLINK("http://maps.live.com/default.aspx?v=2&amp;lvl=15&amp;sp=Point.47.547258_-122.15394_14056 SE 63 St&amp;cp=47.547258~-122.15394","Map")</f>
        <v>Map</v>
      </c>
      <c r="N1596" s="2" t="str">
        <f>HYPERLINK("http://i-0.rfimg.us/photo/1/bigphoto/193/28026193_1.jpg","Photo")</f>
        <v>Photo</v>
      </c>
      <c r="AG1596">
        <v>47.547257999999999</v>
      </c>
      <c r="AH1596">
        <v>-122.15394000000001</v>
      </c>
      <c r="AI1596" t="s">
        <v>369</v>
      </c>
      <c r="AJ1596">
        <v>98006</v>
      </c>
      <c r="AN1596">
        <v>333000</v>
      </c>
      <c r="BC1596" s="22">
        <v>39494.348113425927</v>
      </c>
      <c r="BI1596" s="22">
        <v>39549.294907407406</v>
      </c>
      <c r="BL1596">
        <v>15720</v>
      </c>
      <c r="BM1596">
        <v>1486575</v>
      </c>
      <c r="BN1596" t="s">
        <v>1674</v>
      </c>
      <c r="BO1596" s="17">
        <f t="shared" ca="1" si="24"/>
        <v>54.961292476851668</v>
      </c>
      <c r="BP1596" t="b">
        <v>0</v>
      </c>
      <c r="BQ1596">
        <v>1</v>
      </c>
      <c r="BR1596" t="s">
        <v>1686</v>
      </c>
      <c r="BS1596">
        <v>63</v>
      </c>
      <c r="BT1596" t="b">
        <v>0</v>
      </c>
      <c r="BU1596" t="s">
        <v>3856</v>
      </c>
      <c r="BV1596" t="s">
        <v>1668</v>
      </c>
      <c r="BW1596">
        <v>14056</v>
      </c>
      <c r="BY1596">
        <v>237925</v>
      </c>
      <c r="BZ1596" t="s">
        <v>1756</v>
      </c>
      <c r="CA1596">
        <v>1</v>
      </c>
      <c r="CB1596" t="b">
        <v>1</v>
      </c>
      <c r="CC1596">
        <v>0</v>
      </c>
      <c r="CD1596" t="b">
        <v>0</v>
      </c>
      <c r="CE1596" t="b">
        <v>0</v>
      </c>
      <c r="CF1596" t="b">
        <v>0</v>
      </c>
      <c r="CG1596">
        <v>2440622</v>
      </c>
      <c r="CH1596" t="s">
        <v>1681</v>
      </c>
      <c r="CI1596" s="10">
        <v>786000</v>
      </c>
      <c r="CJ1596" s="7">
        <v>34584</v>
      </c>
    </row>
    <row r="1597" spans="1:88">
      <c r="A1597">
        <v>28026233</v>
      </c>
      <c r="B1597" s="2" t="str">
        <f>HYPERLINK("http://www.redfin.com/stingray/do/printable-listing?listing-id=1476003","Active")</f>
        <v>Active</v>
      </c>
      <c r="D1597" t="s">
        <v>3959</v>
      </c>
      <c r="E1597" t="s">
        <v>3988</v>
      </c>
      <c r="F1597">
        <v>305000</v>
      </c>
      <c r="G1597">
        <v>2005</v>
      </c>
      <c r="H1597">
        <v>840</v>
      </c>
      <c r="I1597">
        <v>0</v>
      </c>
      <c r="J1597">
        <v>2</v>
      </c>
      <c r="K1597">
        <v>1.5</v>
      </c>
      <c r="M1597" s="2" t="str">
        <f>HYPERLINK("http://maps.live.com/default.aspx?v=2&amp;lvl=15&amp;sp=Point.47.599837_-122.306095_306 20 Ave S nB&amp;cp=47.599837~-122.306095","Map")</f>
        <v>Map</v>
      </c>
      <c r="N1597" s="2" t="str">
        <f>HYPERLINK("http://i-0.rfimg.us/photo/1/bigphoto/233/28026233_2.jpg","Photo")</f>
        <v>Photo</v>
      </c>
      <c r="AG1597">
        <v>47.599837000000001</v>
      </c>
      <c r="AH1597">
        <v>-122.306095</v>
      </c>
      <c r="AI1597" t="s">
        <v>66</v>
      </c>
      <c r="AJ1597">
        <v>98144</v>
      </c>
      <c r="AM1597" t="s">
        <v>1699</v>
      </c>
      <c r="BC1597" s="22">
        <v>39490.848958333336</v>
      </c>
      <c r="BI1597" s="22">
        <v>39549.294907407406</v>
      </c>
      <c r="BL1597">
        <v>6100</v>
      </c>
      <c r="BM1597">
        <v>1476003</v>
      </c>
      <c r="BN1597" t="s">
        <v>1817</v>
      </c>
      <c r="BO1597" s="17">
        <f t="shared" ca="1" si="24"/>
        <v>58.460447569443204</v>
      </c>
      <c r="BP1597" t="b">
        <v>0</v>
      </c>
      <c r="BQ1597">
        <v>1</v>
      </c>
      <c r="BR1597" t="s">
        <v>1667</v>
      </c>
      <c r="BS1597">
        <v>20</v>
      </c>
      <c r="BT1597" t="b">
        <v>0</v>
      </c>
      <c r="BV1597" t="s">
        <v>1668</v>
      </c>
      <c r="BW1597">
        <v>306</v>
      </c>
      <c r="BX1597" t="s">
        <v>1881</v>
      </c>
      <c r="BY1597">
        <v>12404358</v>
      </c>
      <c r="BZ1597" t="s">
        <v>3989</v>
      </c>
      <c r="CA1597">
        <v>1</v>
      </c>
      <c r="CB1597" t="b">
        <v>1</v>
      </c>
      <c r="CC1597">
        <v>0</v>
      </c>
      <c r="CD1597" t="b">
        <v>0</v>
      </c>
      <c r="CE1597" t="b">
        <v>0</v>
      </c>
      <c r="CF1597" t="b">
        <v>0</v>
      </c>
      <c r="CG1597">
        <v>15608106</v>
      </c>
      <c r="CH1597" t="s">
        <v>1681</v>
      </c>
      <c r="CI1597" s="10">
        <v>305000</v>
      </c>
    </row>
    <row r="1598" spans="1:88">
      <c r="A1598">
        <v>28026291</v>
      </c>
      <c r="B1598" s="2" t="str">
        <f>HYPERLINK("http://www.redfin.com/stingray/do/printable-listing?listing-id=1480018","Active")</f>
        <v>Active</v>
      </c>
      <c r="D1598" t="s">
        <v>3249</v>
      </c>
      <c r="E1598" t="s">
        <v>3547</v>
      </c>
      <c r="F1598">
        <v>699000</v>
      </c>
      <c r="G1598">
        <v>1912</v>
      </c>
      <c r="H1598">
        <v>2450</v>
      </c>
      <c r="I1598">
        <v>4000</v>
      </c>
      <c r="J1598">
        <v>2</v>
      </c>
      <c r="K1598">
        <v>1.75</v>
      </c>
      <c r="M1598" s="2" t="str">
        <f>HYPERLINK("http://maps.live.com/default.aspx?v=2&amp;lvl=15&amp;sp=Point.47.646631_-122.352698_2935 Mayfair Ave N&amp;cp=47.646631~-122.352698","Map")</f>
        <v>Map</v>
      </c>
      <c r="N1598" s="2" t="str">
        <f>HYPERLINK("http://i-0.rfimg.us/photo/1/bigphoto/291/28026291_0.jpg","Photo")</f>
        <v>Photo</v>
      </c>
      <c r="AG1598">
        <v>47.646630999999999</v>
      </c>
      <c r="AH1598">
        <v>-122.352698</v>
      </c>
      <c r="AI1598" t="s">
        <v>66</v>
      </c>
      <c r="AJ1598">
        <v>98109</v>
      </c>
      <c r="AN1598">
        <v>215000</v>
      </c>
      <c r="BC1598" s="22">
        <v>39492.337789351855</v>
      </c>
      <c r="BI1598" s="22">
        <v>39549.294907407406</v>
      </c>
      <c r="BL1598">
        <v>13980</v>
      </c>
      <c r="BM1598">
        <v>1480018</v>
      </c>
      <c r="BN1598" t="s">
        <v>1678</v>
      </c>
      <c r="BO1598" s="17">
        <f t="shared" ca="1" si="24"/>
        <v>56.9716165509235</v>
      </c>
      <c r="BP1598" t="b">
        <v>0</v>
      </c>
      <c r="BQ1598">
        <v>1</v>
      </c>
      <c r="BR1598" t="s">
        <v>1667</v>
      </c>
      <c r="BS1598" t="s">
        <v>3548</v>
      </c>
      <c r="BT1598" t="b">
        <v>0</v>
      </c>
      <c r="BV1598" t="s">
        <v>1668</v>
      </c>
      <c r="BW1598">
        <v>2935</v>
      </c>
      <c r="BX1598" t="s">
        <v>1712</v>
      </c>
      <c r="BY1598">
        <v>130039</v>
      </c>
      <c r="BZ1598" t="s">
        <v>1672</v>
      </c>
      <c r="CA1598">
        <v>1</v>
      </c>
      <c r="CB1598" t="b">
        <v>1</v>
      </c>
      <c r="CC1598">
        <v>0</v>
      </c>
      <c r="CD1598" t="b">
        <v>0</v>
      </c>
      <c r="CE1598" t="b">
        <v>0</v>
      </c>
      <c r="CF1598" t="b">
        <v>0</v>
      </c>
      <c r="CG1598">
        <v>2659376</v>
      </c>
      <c r="CH1598" t="s">
        <v>1681</v>
      </c>
      <c r="CI1598" s="10">
        <v>699000</v>
      </c>
      <c r="CJ1598" s="7">
        <v>36164</v>
      </c>
    </row>
    <row r="1599" spans="1:88">
      <c r="A1599">
        <v>28026301</v>
      </c>
      <c r="B1599" s="2" t="str">
        <f>HYPERLINK("http://www.redfin.com/stingray/do/printable-listing?listing-id=1477034","Active")</f>
        <v>Active</v>
      </c>
      <c r="D1599" t="s">
        <v>3249</v>
      </c>
      <c r="E1599" t="s">
        <v>3516</v>
      </c>
      <c r="F1599">
        <v>599950</v>
      </c>
      <c r="G1599">
        <v>2008</v>
      </c>
      <c r="H1599">
        <v>0</v>
      </c>
      <c r="I1599">
        <v>0</v>
      </c>
      <c r="J1599">
        <v>3</v>
      </c>
      <c r="K1599">
        <v>2.75</v>
      </c>
      <c r="M1599" s="2" t="str">
        <f>HYPERLINK("http://maps.live.com/default.aspx?v=2&amp;lvl=15&amp;sp=Point.47.646113_-122.375103_2851 14th Ave W&amp;cp=47.646113~-122.375103","Map")</f>
        <v>Map</v>
      </c>
      <c r="N1599" s="2" t="str">
        <f>HYPERLINK("http://i-0.rfimg.us/photo/1/bigphoto/301/28026301_0.jpg","Photo")</f>
        <v>Photo</v>
      </c>
      <c r="AG1599">
        <v>47.646113</v>
      </c>
      <c r="AH1599">
        <v>-122.375103</v>
      </c>
      <c r="AI1599" t="s">
        <v>66</v>
      </c>
      <c r="AJ1599">
        <v>98119</v>
      </c>
      <c r="BC1599" s="22">
        <v>39491.358981481484</v>
      </c>
      <c r="BI1599" s="22">
        <v>39549.294907407406</v>
      </c>
      <c r="BL1599">
        <v>11999</v>
      </c>
      <c r="BM1599">
        <v>1477034</v>
      </c>
      <c r="BN1599" t="s">
        <v>1846</v>
      </c>
      <c r="BO1599" s="17">
        <f t="shared" ca="1" si="24"/>
        <v>57.950424421294883</v>
      </c>
      <c r="BP1599" t="b">
        <v>0</v>
      </c>
      <c r="BQ1599">
        <v>1</v>
      </c>
      <c r="BR1599" t="s">
        <v>1667</v>
      </c>
      <c r="BS1599" t="s">
        <v>1900</v>
      </c>
      <c r="BT1599" t="b">
        <v>0</v>
      </c>
      <c r="BV1599" t="s">
        <v>1668</v>
      </c>
      <c r="BW1599">
        <v>2851</v>
      </c>
      <c r="BX1599" t="s">
        <v>2423</v>
      </c>
      <c r="BY1599">
        <v>2093186</v>
      </c>
      <c r="BZ1599" t="s">
        <v>1741</v>
      </c>
      <c r="CA1599">
        <v>1</v>
      </c>
      <c r="CB1599" t="b">
        <v>1</v>
      </c>
      <c r="CC1599">
        <v>0</v>
      </c>
      <c r="CD1599" t="b">
        <v>0</v>
      </c>
      <c r="CE1599" t="b">
        <v>0</v>
      </c>
      <c r="CF1599" t="b">
        <v>0</v>
      </c>
      <c r="CG1599">
        <v>2945528</v>
      </c>
      <c r="CH1599" t="s">
        <v>1681</v>
      </c>
      <c r="CI1599" s="10">
        <v>599950</v>
      </c>
    </row>
    <row r="1600" spans="1:88">
      <c r="A1600">
        <v>28026314</v>
      </c>
      <c r="B1600" s="2" t="str">
        <f>HYPERLINK("http://www.redfin.com/stingray/do/printable-listing?listing-id=1478200","Active")</f>
        <v>Active</v>
      </c>
      <c r="D1600" t="s">
        <v>1058</v>
      </c>
      <c r="E1600" t="s">
        <v>4585</v>
      </c>
      <c r="F1600">
        <v>575000</v>
      </c>
      <c r="G1600">
        <v>2003</v>
      </c>
      <c r="H1600">
        <v>2190</v>
      </c>
      <c r="I1600">
        <v>3832</v>
      </c>
      <c r="J1600">
        <v>3</v>
      </c>
      <c r="K1600">
        <v>2.5</v>
      </c>
      <c r="M1600" s="2" t="str">
        <f>HYPERLINK("http://maps.live.com/default.aspx?v=2&amp;lvl=15&amp;sp=Point.47.724445_-122.164777_13142 NE 138th Pl&amp;cp=47.724445~-122.164777","Map")</f>
        <v>Map</v>
      </c>
      <c r="N1600" s="2" t="str">
        <f>HYPERLINK("http://i-0.rfimg.us/photo/1/bigphoto/314/28026314_0.jpg","Photo")</f>
        <v>Photo</v>
      </c>
      <c r="AG1600">
        <v>47.724445000000003</v>
      </c>
      <c r="AH1600">
        <v>-122.164777</v>
      </c>
      <c r="AI1600" t="s">
        <v>1058</v>
      </c>
      <c r="AJ1600">
        <v>98034</v>
      </c>
      <c r="AN1600">
        <v>495000</v>
      </c>
      <c r="BC1600" s="22">
        <v>39491.613819444443</v>
      </c>
      <c r="BI1600" s="22">
        <v>39549.294907407406</v>
      </c>
      <c r="BL1600">
        <v>11500</v>
      </c>
      <c r="BM1600">
        <v>1478200</v>
      </c>
      <c r="BN1600" t="s">
        <v>1688</v>
      </c>
      <c r="BO1600" s="17">
        <f t="shared" ca="1" si="24"/>
        <v>57.695586458336038</v>
      </c>
      <c r="BP1600" t="b">
        <v>0</v>
      </c>
      <c r="BQ1600">
        <v>1</v>
      </c>
      <c r="BR1600" t="s">
        <v>1842</v>
      </c>
      <c r="BS1600" t="s">
        <v>4421</v>
      </c>
      <c r="BT1600" t="b">
        <v>0</v>
      </c>
      <c r="BU1600" t="s">
        <v>1738</v>
      </c>
      <c r="BV1600" t="s">
        <v>1668</v>
      </c>
      <c r="BW1600">
        <v>13142</v>
      </c>
      <c r="BY1600">
        <v>453103</v>
      </c>
      <c r="BZ1600" t="s">
        <v>1745</v>
      </c>
      <c r="CA1600">
        <v>1</v>
      </c>
      <c r="CB1600" t="b">
        <v>1</v>
      </c>
      <c r="CC1600">
        <v>0</v>
      </c>
      <c r="CD1600" t="b">
        <v>0</v>
      </c>
      <c r="CE1600" t="b">
        <v>0</v>
      </c>
      <c r="CF1600" t="b">
        <v>0</v>
      </c>
      <c r="CG1600">
        <v>2559525</v>
      </c>
      <c r="CH1600" t="s">
        <v>1681</v>
      </c>
      <c r="CI1600" s="10">
        <v>575000</v>
      </c>
      <c r="CJ1600" s="7">
        <v>38632</v>
      </c>
    </row>
    <row r="1601" spans="1:90">
      <c r="A1601">
        <v>28026320</v>
      </c>
      <c r="B1601" s="2" t="str">
        <f>HYPERLINK("http://www.redfin.com/stingray/do/printable-listing?listing-id=1478722","Active")</f>
        <v>Active</v>
      </c>
      <c r="D1601" t="s">
        <v>4542</v>
      </c>
      <c r="E1601" t="s">
        <v>4669</v>
      </c>
      <c r="F1601">
        <v>565000</v>
      </c>
      <c r="G1601">
        <v>1917</v>
      </c>
      <c r="H1601">
        <v>1470</v>
      </c>
      <c r="I1601">
        <v>8157</v>
      </c>
      <c r="J1601">
        <v>2</v>
      </c>
      <c r="K1601">
        <v>1.5</v>
      </c>
      <c r="M1601" s="2" t="str">
        <f>HYPERLINK("http://maps.live.com/default.aspx?v=2&amp;lvl=15&amp;sp=Point.47.687866_-122.198553_526 15th Ave&amp;cp=47.687866~-122.198553","Map")</f>
        <v>Map</v>
      </c>
      <c r="N1601" s="2" t="str">
        <f>HYPERLINK("http://i-0.rfimg.us/photo/1/bigphoto/320/28026320_0.jpg","Photo")</f>
        <v>Photo</v>
      </c>
      <c r="AG1601">
        <v>47.687866</v>
      </c>
      <c r="AH1601">
        <v>-122.198553</v>
      </c>
      <c r="AI1601" t="s">
        <v>1058</v>
      </c>
      <c r="AJ1601">
        <v>98033</v>
      </c>
      <c r="AN1601">
        <v>375100</v>
      </c>
      <c r="BC1601" s="22">
        <v>39491.704108796293</v>
      </c>
      <c r="BI1601" s="22">
        <v>39549.294907407406</v>
      </c>
      <c r="BL1601">
        <v>11300</v>
      </c>
      <c r="BM1601">
        <v>1478722</v>
      </c>
      <c r="BN1601" t="s">
        <v>2735</v>
      </c>
      <c r="BO1601" s="17">
        <f t="shared" ca="1" si="24"/>
        <v>57.605297106485523</v>
      </c>
      <c r="BP1601" t="b">
        <v>0</v>
      </c>
      <c r="BQ1601">
        <v>1</v>
      </c>
      <c r="BR1601" t="s">
        <v>1667</v>
      </c>
      <c r="BS1601" t="s">
        <v>1838</v>
      </c>
      <c r="BT1601" t="b">
        <v>0</v>
      </c>
      <c r="BV1601" t="s">
        <v>1668</v>
      </c>
      <c r="BW1601">
        <v>526</v>
      </c>
      <c r="BY1601">
        <v>463995</v>
      </c>
      <c r="BZ1601" t="s">
        <v>1745</v>
      </c>
      <c r="CA1601">
        <v>1</v>
      </c>
      <c r="CB1601" t="b">
        <v>1</v>
      </c>
      <c r="CC1601">
        <v>0</v>
      </c>
      <c r="CD1601" t="b">
        <v>0</v>
      </c>
      <c r="CE1601" t="b">
        <v>0</v>
      </c>
      <c r="CF1601" t="b">
        <v>0</v>
      </c>
      <c r="CG1601">
        <v>2821266</v>
      </c>
      <c r="CH1601" t="s">
        <v>1681</v>
      </c>
      <c r="CI1601" s="10">
        <v>565000</v>
      </c>
      <c r="CJ1601" s="7">
        <v>38306</v>
      </c>
    </row>
    <row r="1602" spans="1:90">
      <c r="A1602">
        <v>28026322</v>
      </c>
      <c r="B1602" s="2" t="str">
        <f>HYPERLINK("http://www.redfin.com/stingray/do/printable-listing?listing-id=1483927","Active")</f>
        <v>Active</v>
      </c>
      <c r="D1602" t="s">
        <v>184</v>
      </c>
      <c r="E1602" t="s">
        <v>611</v>
      </c>
      <c r="F1602" s="19">
        <v>389500</v>
      </c>
      <c r="G1602">
        <v>1947</v>
      </c>
      <c r="H1602">
        <v>1390</v>
      </c>
      <c r="I1602">
        <v>7000</v>
      </c>
      <c r="J1602">
        <v>3</v>
      </c>
      <c r="K1602">
        <v>1</v>
      </c>
      <c r="M1602" s="2" t="str">
        <f>HYPERLINK("http://maps.live.com/default.aspx?v=2&amp;lvl=15&amp;sp=Point.47.713528_-122.301364_11550 25th Ave NE&amp;cp=47.713528~-122.301364","Map")</f>
        <v>Map</v>
      </c>
      <c r="N1602" s="2" t="str">
        <f>HYPERLINK("http://i-0.rfimg.us/photo/1/bigphoto/322/28026322_0.jpg","Photo")</f>
        <v>Photo</v>
      </c>
      <c r="AG1602">
        <v>47.713527999999997</v>
      </c>
      <c r="AH1602">
        <v>-122.30136400000001</v>
      </c>
      <c r="AI1602" t="s">
        <v>66</v>
      </c>
      <c r="AJ1602">
        <v>98125</v>
      </c>
      <c r="AN1602">
        <v>292000</v>
      </c>
      <c r="BC1602" s="22">
        <v>39493.494942129626</v>
      </c>
      <c r="BI1602" s="22">
        <v>39549.294907407406</v>
      </c>
      <c r="BL1602">
        <v>7970</v>
      </c>
      <c r="BM1602">
        <v>1483927</v>
      </c>
      <c r="BN1602" t="s">
        <v>1671</v>
      </c>
      <c r="BO1602" s="17">
        <f t="shared" ref="BO1602:BO1665" ca="1" si="25">NOW()-BC1602</f>
        <v>55.814463773152966</v>
      </c>
      <c r="BP1602" t="b">
        <v>0</v>
      </c>
      <c r="BQ1602">
        <v>1</v>
      </c>
      <c r="BR1602" t="s">
        <v>1667</v>
      </c>
      <c r="BS1602" t="s">
        <v>1819</v>
      </c>
      <c r="BT1602" t="b">
        <v>0</v>
      </c>
      <c r="BV1602" t="s">
        <v>1668</v>
      </c>
      <c r="BW1602">
        <v>11550</v>
      </c>
      <c r="BX1602" t="s">
        <v>1738</v>
      </c>
      <c r="BY1602">
        <v>117094</v>
      </c>
      <c r="BZ1602" t="s">
        <v>1713</v>
      </c>
      <c r="CA1602">
        <v>1</v>
      </c>
      <c r="CB1602" t="b">
        <v>1</v>
      </c>
      <c r="CC1602">
        <v>0</v>
      </c>
      <c r="CD1602" t="b">
        <v>0</v>
      </c>
      <c r="CE1602" t="b">
        <v>0</v>
      </c>
      <c r="CF1602" t="b">
        <v>0</v>
      </c>
      <c r="CG1602">
        <v>2989728</v>
      </c>
      <c r="CH1602" t="s">
        <v>1681</v>
      </c>
      <c r="CI1602" s="10">
        <v>398500</v>
      </c>
      <c r="CJ1602" s="7">
        <v>38282</v>
      </c>
    </row>
    <row r="1603" spans="1:90">
      <c r="A1603">
        <v>28026327</v>
      </c>
      <c r="B1603" s="2" t="str">
        <f>HYPERLINK("http://www.redfin.com/stingray/do/printable-listing?listing-id=1477111","Active")</f>
        <v>Active</v>
      </c>
      <c r="D1603" t="s">
        <v>3885</v>
      </c>
      <c r="E1603" t="s">
        <v>5974</v>
      </c>
      <c r="F1603">
        <v>1095000</v>
      </c>
      <c r="G1603">
        <v>2001</v>
      </c>
      <c r="H1603">
        <v>3400</v>
      </c>
      <c r="I1603">
        <v>11642</v>
      </c>
      <c r="J1603">
        <v>4</v>
      </c>
      <c r="K1603">
        <v>3.5</v>
      </c>
      <c r="M1603" s="2" t="str">
        <f>HYPERLINK("http://maps.live.com/default.aspx?v=2&amp;lvl=15&amp;sp=Point.47.519299_-122.156378_13809 SE 92nd St&amp;cp=47.519299~-122.156378","Map")</f>
        <v>Map</v>
      </c>
      <c r="N1603" s="2" t="str">
        <f>HYPERLINK("http://i-0.rfimg.us/photo/1/bigphoto/327/28026327_0.jpg","Photo")</f>
        <v>Photo</v>
      </c>
      <c r="AG1603">
        <v>47.519298999999997</v>
      </c>
      <c r="AH1603">
        <v>-122.156378</v>
      </c>
      <c r="AI1603" t="s">
        <v>3885</v>
      </c>
      <c r="AJ1603">
        <v>98059</v>
      </c>
      <c r="AN1603">
        <v>775000</v>
      </c>
      <c r="BC1603" s="22">
        <v>39491.400462962964</v>
      </c>
      <c r="BI1603" s="22">
        <v>39549.294907407406</v>
      </c>
      <c r="BL1603">
        <v>21900</v>
      </c>
      <c r="BM1603">
        <v>1477111</v>
      </c>
      <c r="BN1603" t="s">
        <v>4593</v>
      </c>
      <c r="BO1603" s="17">
        <f t="shared" ca="1" si="25"/>
        <v>57.908942939815461</v>
      </c>
      <c r="BP1603" t="b">
        <v>0</v>
      </c>
      <c r="BQ1603">
        <v>1</v>
      </c>
      <c r="BR1603" t="s">
        <v>1686</v>
      </c>
      <c r="BS1603" t="s">
        <v>2726</v>
      </c>
      <c r="BT1603" t="b">
        <v>0</v>
      </c>
      <c r="BU1603" t="s">
        <v>3856</v>
      </c>
      <c r="BV1603" t="s">
        <v>1668</v>
      </c>
      <c r="BW1603">
        <v>13809</v>
      </c>
      <c r="BY1603">
        <v>417421</v>
      </c>
      <c r="BZ1603" t="s">
        <v>1672</v>
      </c>
      <c r="CA1603">
        <v>1</v>
      </c>
      <c r="CB1603" t="b">
        <v>1</v>
      </c>
      <c r="CC1603">
        <v>0</v>
      </c>
      <c r="CD1603" t="b">
        <v>0</v>
      </c>
      <c r="CE1603" t="b">
        <v>0</v>
      </c>
      <c r="CF1603" t="b">
        <v>1</v>
      </c>
      <c r="CG1603">
        <v>2850390</v>
      </c>
      <c r="CH1603" t="s">
        <v>1681</v>
      </c>
      <c r="CI1603" s="10">
        <v>1095000</v>
      </c>
      <c r="CJ1603" s="7">
        <v>38426</v>
      </c>
    </row>
    <row r="1604" spans="1:90">
      <c r="A1604">
        <v>28026336</v>
      </c>
      <c r="B1604" s="2" t="str">
        <f>HYPERLINK("http://www.redfin.com/stingray/do/printable-listing?listing-id=1481741","Active")</f>
        <v>Active</v>
      </c>
      <c r="D1604" t="s">
        <v>5586</v>
      </c>
      <c r="E1604" t="s">
        <v>5833</v>
      </c>
      <c r="F1604">
        <v>824950</v>
      </c>
      <c r="G1604">
        <v>1988</v>
      </c>
      <c r="H1604">
        <v>2640</v>
      </c>
      <c r="I1604">
        <v>17153</v>
      </c>
      <c r="J1604">
        <v>4</v>
      </c>
      <c r="K1604">
        <v>2.5</v>
      </c>
      <c r="M1604" s="2" t="str">
        <f>HYPERLINK("http://maps.live.com/default.aspx?v=2&amp;lvl=15&amp;sp=Point.47.544218_-122.147009_14647 SE 66th St&amp;cp=47.544218~-122.147009","Map")</f>
        <v>Map</v>
      </c>
      <c r="N1604" s="2" t="str">
        <f>HYPERLINK("http://i-0.rfimg.us/photo/1/bigphoto/336/28026336_2.jpg","Photo")</f>
        <v>Photo</v>
      </c>
      <c r="AG1604">
        <v>47.544218000000001</v>
      </c>
      <c r="AH1604">
        <v>-122.147009</v>
      </c>
      <c r="AI1604" t="s">
        <v>369</v>
      </c>
      <c r="AJ1604">
        <v>98006</v>
      </c>
      <c r="AN1604">
        <v>426500</v>
      </c>
      <c r="BC1604" s="22">
        <v>39492.703981481478</v>
      </c>
      <c r="BI1604" s="22">
        <v>39549.294907407406</v>
      </c>
      <c r="BL1604">
        <v>16499</v>
      </c>
      <c r="BM1604">
        <v>1481741</v>
      </c>
      <c r="BN1604" t="s">
        <v>1775</v>
      </c>
      <c r="BO1604" s="17">
        <f t="shared" ca="1" si="25"/>
        <v>56.605424421300995</v>
      </c>
      <c r="BP1604" t="b">
        <v>0</v>
      </c>
      <c r="BQ1604">
        <v>1</v>
      </c>
      <c r="BR1604" t="s">
        <v>1686</v>
      </c>
      <c r="BS1604" t="s">
        <v>1915</v>
      </c>
      <c r="BT1604" t="b">
        <v>0</v>
      </c>
      <c r="BU1604" t="s">
        <v>3856</v>
      </c>
      <c r="BV1604" t="s">
        <v>1668</v>
      </c>
      <c r="BW1604">
        <v>14647</v>
      </c>
      <c r="BY1604">
        <v>238675</v>
      </c>
      <c r="BZ1604" t="s">
        <v>1912</v>
      </c>
      <c r="CA1604">
        <v>1</v>
      </c>
      <c r="CB1604" t="b">
        <v>1</v>
      </c>
      <c r="CC1604">
        <v>0</v>
      </c>
      <c r="CD1604" t="b">
        <v>0</v>
      </c>
      <c r="CE1604" t="b">
        <v>0</v>
      </c>
      <c r="CF1604" t="b">
        <v>0</v>
      </c>
      <c r="CG1604">
        <v>2371111</v>
      </c>
      <c r="CH1604" t="s">
        <v>1681</v>
      </c>
      <c r="CI1604" s="10">
        <v>824950</v>
      </c>
      <c r="CJ1604" s="7">
        <v>36341</v>
      </c>
    </row>
    <row r="1605" spans="1:90">
      <c r="A1605">
        <v>28026345</v>
      </c>
      <c r="B1605" s="2" t="str">
        <f>HYPERLINK("http://www.redfin.com/stingray/do/printable-listing?listing-id=1477188","Active")</f>
        <v>Active</v>
      </c>
      <c r="D1605" t="s">
        <v>5119</v>
      </c>
      <c r="E1605" t="s">
        <v>5379</v>
      </c>
      <c r="F1605">
        <v>599950</v>
      </c>
      <c r="G1605">
        <v>1996</v>
      </c>
      <c r="H1605">
        <v>2057</v>
      </c>
      <c r="I1605">
        <v>0</v>
      </c>
      <c r="J1605">
        <v>4</v>
      </c>
      <c r="K1605">
        <v>3.25</v>
      </c>
      <c r="M1605" s="2" t="str">
        <f>HYPERLINK("http://maps.live.com/default.aspx?v=2&amp;lvl=15&amp;sp=Point.47.585106_-122.176514_2735 124 Ave SE&amp;cp=47.585106~-122.176514","Map")</f>
        <v>Map</v>
      </c>
      <c r="N1605" s="2" t="str">
        <f>HYPERLINK("http://i-0.rfimg.us/photo/1/bigphoto/345/28026345_1.jpg","Photo")</f>
        <v>Photo</v>
      </c>
      <c r="AG1605">
        <v>47.585106000000003</v>
      </c>
      <c r="AH1605">
        <v>-122.176514</v>
      </c>
      <c r="AI1605" t="s">
        <v>369</v>
      </c>
      <c r="AJ1605">
        <v>98005</v>
      </c>
      <c r="AN1605">
        <v>358500</v>
      </c>
      <c r="BC1605" s="22">
        <v>39491.421377314815</v>
      </c>
      <c r="BI1605" s="22">
        <v>39549.294907407406</v>
      </c>
      <c r="BL1605">
        <v>11999</v>
      </c>
      <c r="BM1605">
        <v>1477188</v>
      </c>
      <c r="BN1605" t="s">
        <v>1688</v>
      </c>
      <c r="BO1605" s="17">
        <f t="shared" ca="1" si="25"/>
        <v>57.888028587964072</v>
      </c>
      <c r="BP1605" t="b">
        <v>0</v>
      </c>
      <c r="BQ1605">
        <v>1</v>
      </c>
      <c r="BR1605" t="s">
        <v>1667</v>
      </c>
      <c r="BS1605">
        <v>124</v>
      </c>
      <c r="BT1605" t="b">
        <v>0</v>
      </c>
      <c r="BV1605" t="s">
        <v>1668</v>
      </c>
      <c r="BW1605">
        <v>2735</v>
      </c>
      <c r="BX1605" t="s">
        <v>3856</v>
      </c>
      <c r="BY1605">
        <v>507215</v>
      </c>
      <c r="BZ1605" t="s">
        <v>5380</v>
      </c>
      <c r="CA1605">
        <v>1</v>
      </c>
      <c r="CB1605" t="b">
        <v>1</v>
      </c>
      <c r="CC1605">
        <v>0</v>
      </c>
      <c r="CD1605" t="b">
        <v>0</v>
      </c>
      <c r="CE1605" t="b">
        <v>0</v>
      </c>
      <c r="CF1605" t="b">
        <v>0</v>
      </c>
      <c r="CG1605">
        <v>2462214</v>
      </c>
      <c r="CH1605" t="s">
        <v>1681</v>
      </c>
      <c r="CI1605" s="10">
        <v>599950</v>
      </c>
      <c r="CJ1605" s="7">
        <v>38037</v>
      </c>
    </row>
    <row r="1606" spans="1:90">
      <c r="A1606">
        <v>28026394</v>
      </c>
      <c r="B1606" s="2" t="str">
        <f>HYPERLINK("http://www.redfin.com/stingray/do/printable-listing?listing-id=1477269","Active")</f>
        <v>Active</v>
      </c>
      <c r="D1606" t="s">
        <v>5137</v>
      </c>
      <c r="E1606" t="s">
        <v>5369</v>
      </c>
      <c r="F1606">
        <v>1050000</v>
      </c>
      <c r="G1606">
        <v>2003</v>
      </c>
      <c r="H1606">
        <v>3610</v>
      </c>
      <c r="I1606">
        <v>7244</v>
      </c>
      <c r="J1606">
        <v>4</v>
      </c>
      <c r="K1606">
        <v>4</v>
      </c>
      <c r="M1606" s="2" t="str">
        <f>HYPERLINK("http://maps.live.com/default.aspx?v=2&amp;lvl=15&amp;sp=Point.47.577999_-122.178153_3554 120th Ave SE&amp;cp=47.577999~-122.178153","Map")</f>
        <v>Map</v>
      </c>
      <c r="N1606" s="2" t="str">
        <f>HYPERLINK("http://i-0.rfimg.us/photo/1/bigphoto/394/28026394_1.jpg","Photo")</f>
        <v>Photo</v>
      </c>
      <c r="AG1606">
        <v>47.577998999999998</v>
      </c>
      <c r="AH1606">
        <v>-122.17815299999999</v>
      </c>
      <c r="AI1606" t="s">
        <v>369</v>
      </c>
      <c r="AJ1606">
        <v>98006</v>
      </c>
      <c r="AN1606">
        <v>5850</v>
      </c>
      <c r="BC1606" s="22">
        <v>39491.443657407406</v>
      </c>
      <c r="BI1606" s="22">
        <v>39549.294907407406</v>
      </c>
      <c r="BL1606">
        <v>21000</v>
      </c>
      <c r="BM1606">
        <v>1477269</v>
      </c>
      <c r="BN1606" t="s">
        <v>5368</v>
      </c>
      <c r="BO1606" s="17">
        <f t="shared" ca="1" si="25"/>
        <v>57.865748495372827</v>
      </c>
      <c r="BP1606" t="b">
        <v>0</v>
      </c>
      <c r="BQ1606">
        <v>1</v>
      </c>
      <c r="BR1606" t="s">
        <v>1667</v>
      </c>
      <c r="BS1606" t="s">
        <v>2785</v>
      </c>
      <c r="BT1606" t="b">
        <v>0</v>
      </c>
      <c r="BV1606" t="s">
        <v>1668</v>
      </c>
      <c r="BW1606">
        <v>3554</v>
      </c>
      <c r="BX1606" t="s">
        <v>3856</v>
      </c>
      <c r="BY1606">
        <v>2062841</v>
      </c>
      <c r="BZ1606" t="s">
        <v>3113</v>
      </c>
      <c r="CA1606">
        <v>1</v>
      </c>
      <c r="CB1606" t="b">
        <v>1</v>
      </c>
      <c r="CC1606">
        <v>0</v>
      </c>
      <c r="CD1606" t="b">
        <v>0</v>
      </c>
      <c r="CE1606" t="b">
        <v>0</v>
      </c>
      <c r="CF1606" t="b">
        <v>0</v>
      </c>
      <c r="CG1606">
        <v>2413577</v>
      </c>
      <c r="CH1606" t="s">
        <v>1681</v>
      </c>
      <c r="CI1606" s="10">
        <v>1050000</v>
      </c>
      <c r="CJ1606" s="7">
        <v>37510</v>
      </c>
    </row>
    <row r="1607" spans="1:90">
      <c r="A1607">
        <v>28026404</v>
      </c>
      <c r="B1607" s="2" t="str">
        <f>HYPERLINK("http://www.redfin.com/stingray/do/printable-listing?listing-id=1478566","Active")</f>
        <v>Active</v>
      </c>
      <c r="D1607" t="s">
        <v>5341</v>
      </c>
      <c r="E1607" t="s">
        <v>5337</v>
      </c>
      <c r="F1607">
        <v>1195000</v>
      </c>
      <c r="G1607">
        <v>1972</v>
      </c>
      <c r="H1607">
        <v>2460</v>
      </c>
      <c r="I1607">
        <v>12750</v>
      </c>
      <c r="J1607">
        <v>3</v>
      </c>
      <c r="K1607">
        <v>2.25</v>
      </c>
      <c r="M1607" s="2" t="str">
        <f>HYPERLINK("http://maps.live.com/default.aspx?v=2&amp;lvl=15&amp;sp=Point.47.568942_-122.18481_30 Chelan Key&amp;cp=47.568942~-122.18481","Map")</f>
        <v>Map</v>
      </c>
      <c r="N1607" s="2" t="str">
        <f>HYPERLINK("http://i-0.rfimg.us/photo/1/bigphoto/404/28026404_2.jpg","Photo")</f>
        <v>Photo</v>
      </c>
      <c r="AG1607">
        <v>47.568942</v>
      </c>
      <c r="AH1607">
        <v>-122.18481</v>
      </c>
      <c r="AI1607" t="s">
        <v>369</v>
      </c>
      <c r="AJ1607">
        <v>98006</v>
      </c>
      <c r="AN1607">
        <v>768000</v>
      </c>
      <c r="BC1607" s="22">
        <v>39491.661747685182</v>
      </c>
      <c r="BI1607" s="22">
        <v>39549.294907407406</v>
      </c>
      <c r="BL1607">
        <v>23900</v>
      </c>
      <c r="BM1607">
        <v>1478566</v>
      </c>
      <c r="BN1607" t="s">
        <v>1768</v>
      </c>
      <c r="BO1607" s="17">
        <f t="shared" ca="1" si="25"/>
        <v>57.647658217596472</v>
      </c>
      <c r="BP1607" t="b">
        <v>0</v>
      </c>
      <c r="BQ1607">
        <v>1</v>
      </c>
      <c r="BR1607" t="s">
        <v>5338</v>
      </c>
      <c r="BS1607" t="s">
        <v>5339</v>
      </c>
      <c r="BT1607" t="b">
        <v>0</v>
      </c>
      <c r="BV1607" t="s">
        <v>1668</v>
      </c>
      <c r="BW1607">
        <v>30</v>
      </c>
      <c r="BY1607">
        <v>409094</v>
      </c>
      <c r="BZ1607" t="s">
        <v>5340</v>
      </c>
      <c r="CA1607">
        <v>1</v>
      </c>
      <c r="CB1607" t="b">
        <v>1</v>
      </c>
      <c r="CC1607">
        <v>0</v>
      </c>
      <c r="CD1607" t="b">
        <v>0</v>
      </c>
      <c r="CE1607" t="b">
        <v>0</v>
      </c>
      <c r="CF1607" t="b">
        <v>0</v>
      </c>
      <c r="CG1607">
        <v>2815684</v>
      </c>
      <c r="CH1607" t="s">
        <v>1681</v>
      </c>
      <c r="CI1607" s="10">
        <v>1195000</v>
      </c>
      <c r="CJ1607" s="7">
        <v>38624</v>
      </c>
    </row>
    <row r="1608" spans="1:90">
      <c r="A1608">
        <v>28026423</v>
      </c>
      <c r="B1608" s="2" t="str">
        <f>HYPERLINK("http://www.redfin.com/stingray/do/printable-listing?listing-id=1478534","Active")</f>
        <v>Active</v>
      </c>
      <c r="D1608" t="s">
        <v>3966</v>
      </c>
      <c r="E1608" t="s">
        <v>4297</v>
      </c>
      <c r="F1608">
        <v>499999</v>
      </c>
      <c r="G1608">
        <v>1957</v>
      </c>
      <c r="H1608">
        <v>1010</v>
      </c>
      <c r="I1608">
        <v>4800</v>
      </c>
      <c r="J1608">
        <v>3</v>
      </c>
      <c r="K1608">
        <v>1</v>
      </c>
      <c r="M1608" s="2" t="str">
        <f>HYPERLINK("http://maps.live.com/default.aspx?v=2&amp;lvl=15&amp;sp=Point.47.616591_-122.294472_2902 E Olive St&amp;cp=47.616591~-122.294472","Map")</f>
        <v>Map</v>
      </c>
      <c r="N1608" s="2" t="str">
        <f>HYPERLINK("http://i-0.rfimg.us/photo/1/bigphoto/423/28026423_4.jpg","Photo")</f>
        <v>Photo</v>
      </c>
      <c r="AG1608">
        <v>47.616591</v>
      </c>
      <c r="AH1608">
        <v>-122.294472</v>
      </c>
      <c r="AI1608" t="s">
        <v>66</v>
      </c>
      <c r="AJ1608">
        <v>98122</v>
      </c>
      <c r="BC1608" s="22">
        <v>39491.652673611112</v>
      </c>
      <c r="BI1608" s="22">
        <v>39549.294907407406</v>
      </c>
      <c r="BL1608">
        <v>10000</v>
      </c>
      <c r="BM1608">
        <v>1478534</v>
      </c>
      <c r="BN1608" t="s">
        <v>4296</v>
      </c>
      <c r="BO1608" s="17">
        <f t="shared" ca="1" si="25"/>
        <v>57.65673229166714</v>
      </c>
      <c r="BP1608" t="b">
        <v>0</v>
      </c>
      <c r="BQ1608">
        <v>1</v>
      </c>
      <c r="BR1608" t="s">
        <v>1686</v>
      </c>
      <c r="BS1608" t="s">
        <v>4029</v>
      </c>
      <c r="BT1608" t="b">
        <v>0</v>
      </c>
      <c r="BU1608" t="s">
        <v>2436</v>
      </c>
      <c r="BV1608" t="s">
        <v>1668</v>
      </c>
      <c r="BW1608">
        <v>2902</v>
      </c>
      <c r="BY1608">
        <v>146325</v>
      </c>
      <c r="BZ1608" t="s">
        <v>2679</v>
      </c>
      <c r="CA1608">
        <v>1</v>
      </c>
      <c r="CB1608" t="b">
        <v>1</v>
      </c>
      <c r="CC1608">
        <v>0</v>
      </c>
      <c r="CD1608" t="b">
        <v>0</v>
      </c>
      <c r="CE1608" t="b">
        <v>0</v>
      </c>
      <c r="CF1608" t="b">
        <v>0</v>
      </c>
      <c r="CG1608">
        <v>2808558</v>
      </c>
      <c r="CH1608" t="s">
        <v>1681</v>
      </c>
      <c r="CI1608" s="10">
        <v>499999</v>
      </c>
    </row>
    <row r="1609" spans="1:90">
      <c r="A1609">
        <v>28026507</v>
      </c>
      <c r="B1609" s="2" t="str">
        <f>HYPERLINK("http://www.redfin.com/stingray/do/printable-listing?listing-id=1477695","Active")</f>
        <v>Active</v>
      </c>
      <c r="D1609" t="s">
        <v>3704</v>
      </c>
      <c r="E1609" t="s">
        <v>3779</v>
      </c>
      <c r="F1609" s="19">
        <v>1080800</v>
      </c>
      <c r="G1609">
        <v>1913</v>
      </c>
      <c r="H1609">
        <v>4110</v>
      </c>
      <c r="I1609">
        <v>4000</v>
      </c>
      <c r="J1609">
        <v>4</v>
      </c>
      <c r="K1609">
        <v>3.5</v>
      </c>
      <c r="M1609" s="2" t="str">
        <f>HYPERLINK("http://maps.live.com/default.aspx?v=2&amp;lvl=15&amp;sp=Point.47.635683_-122.320819_907 Howe St&amp;cp=47.635683~-122.320819","Map")</f>
        <v>Map</v>
      </c>
      <c r="N1609" s="2" t="str">
        <f>HYPERLINK("http://i-0.rfimg.us/photo/1/bigphoto/507/28026507_0.jpg","Photo")</f>
        <v>Photo</v>
      </c>
      <c r="AG1609">
        <v>47.635683</v>
      </c>
      <c r="AH1609">
        <v>-122.320819</v>
      </c>
      <c r="AI1609" t="s">
        <v>66</v>
      </c>
      <c r="AJ1609">
        <v>98102</v>
      </c>
      <c r="AN1609">
        <v>975000</v>
      </c>
      <c r="BC1609" s="22">
        <v>39491.516145833331</v>
      </c>
      <c r="BI1609" s="22">
        <v>39549.294907407406</v>
      </c>
      <c r="BL1609">
        <v>22980</v>
      </c>
      <c r="BM1609">
        <v>1477695</v>
      </c>
      <c r="BN1609" t="s">
        <v>2014</v>
      </c>
      <c r="BO1609" s="17">
        <f t="shared" ca="1" si="25"/>
        <v>57.79326006944757</v>
      </c>
      <c r="BP1609" t="b">
        <v>0</v>
      </c>
      <c r="BQ1609">
        <v>1</v>
      </c>
      <c r="BR1609" t="s">
        <v>1686</v>
      </c>
      <c r="BS1609" t="s">
        <v>3343</v>
      </c>
      <c r="BT1609" t="b">
        <v>0</v>
      </c>
      <c r="BU1609" t="s">
        <v>2436</v>
      </c>
      <c r="BV1609" t="s">
        <v>1668</v>
      </c>
      <c r="BW1609">
        <v>907</v>
      </c>
      <c r="BY1609">
        <v>136604</v>
      </c>
      <c r="BZ1609" t="s">
        <v>1672</v>
      </c>
      <c r="CA1609">
        <v>1</v>
      </c>
      <c r="CB1609" t="b">
        <v>1</v>
      </c>
      <c r="CC1609">
        <v>0</v>
      </c>
      <c r="CD1609" t="b">
        <v>0</v>
      </c>
      <c r="CE1609" t="b">
        <v>0</v>
      </c>
      <c r="CF1609" t="b">
        <v>0</v>
      </c>
      <c r="CG1609">
        <v>2574354</v>
      </c>
      <c r="CH1609" t="s">
        <v>1681</v>
      </c>
      <c r="CI1609" s="10">
        <v>1149000</v>
      </c>
      <c r="CJ1609" s="7">
        <v>39254</v>
      </c>
    </row>
    <row r="1610" spans="1:90">
      <c r="A1610">
        <v>28026569</v>
      </c>
      <c r="B1610" s="2" t="str">
        <f>HYPERLINK("http://www.redfin.com/stingray/do/printable-listing?listing-id=1484070","Active")</f>
        <v>Active</v>
      </c>
      <c r="D1610" t="s">
        <v>2850</v>
      </c>
      <c r="E1610" t="s">
        <v>4390</v>
      </c>
      <c r="F1610" s="19">
        <v>819000</v>
      </c>
      <c r="G1610">
        <v>1959</v>
      </c>
      <c r="H1610">
        <v>2940</v>
      </c>
      <c r="I1610">
        <v>10748</v>
      </c>
      <c r="J1610">
        <v>3</v>
      </c>
      <c r="K1610">
        <v>2.5</v>
      </c>
      <c r="M1610" s="2" t="str">
        <f>HYPERLINK("http://maps.live.com/default.aspx?v=2&amp;lvl=15&amp;sp=Point.47.699487_-122.207574_11026 100th Ave NE&amp;cp=47.699487~-122.207574","Map")</f>
        <v>Map</v>
      </c>
      <c r="N1610" s="2" t="str">
        <f>HYPERLINK("http://i-0.rfimg.us/photo/1/bigphoto/569/28026569_1.jpg","Photo")</f>
        <v>Photo</v>
      </c>
      <c r="AG1610">
        <v>47.699486999999998</v>
      </c>
      <c r="AH1610">
        <v>-122.20757399999999</v>
      </c>
      <c r="AI1610" t="s">
        <v>1058</v>
      </c>
      <c r="AJ1610">
        <v>98033</v>
      </c>
      <c r="AN1610">
        <v>739950</v>
      </c>
      <c r="BC1610" s="22">
        <v>39493.527465277781</v>
      </c>
      <c r="BI1610" s="22">
        <v>39549.294907407406</v>
      </c>
      <c r="BL1610">
        <v>16980</v>
      </c>
      <c r="BM1610">
        <v>1484070</v>
      </c>
      <c r="BN1610" t="s">
        <v>1735</v>
      </c>
      <c r="BO1610" s="17">
        <f t="shared" ca="1" si="25"/>
        <v>55.781940624998242</v>
      </c>
      <c r="BP1610" t="b">
        <v>0</v>
      </c>
      <c r="BQ1610">
        <v>1</v>
      </c>
      <c r="BR1610" t="s">
        <v>1667</v>
      </c>
      <c r="BS1610" t="s">
        <v>2806</v>
      </c>
      <c r="BT1610" t="b">
        <v>0</v>
      </c>
      <c r="BV1610" t="s">
        <v>1668</v>
      </c>
      <c r="BW1610">
        <v>11026</v>
      </c>
      <c r="BX1610" t="s">
        <v>1738</v>
      </c>
      <c r="BY1610">
        <v>464145</v>
      </c>
      <c r="BZ1610" t="s">
        <v>1704</v>
      </c>
      <c r="CA1610">
        <v>1</v>
      </c>
      <c r="CB1610" t="b">
        <v>1</v>
      </c>
      <c r="CC1610">
        <v>0</v>
      </c>
      <c r="CD1610" t="b">
        <v>0</v>
      </c>
      <c r="CE1610" t="b">
        <v>0</v>
      </c>
      <c r="CF1610" t="b">
        <v>0</v>
      </c>
      <c r="CG1610">
        <v>2384917</v>
      </c>
      <c r="CH1610" t="s">
        <v>1681</v>
      </c>
      <c r="CI1610" s="10">
        <v>849000</v>
      </c>
      <c r="CJ1610" s="7">
        <v>38817</v>
      </c>
      <c r="CL1610" t="s">
        <v>4389</v>
      </c>
    </row>
    <row r="1611" spans="1:90">
      <c r="A1611">
        <v>28026581</v>
      </c>
      <c r="B1611" s="2" t="str">
        <f>HYPERLINK("http://www.redfin.com/stingray/do/printable-listing?listing-id=1478011","Active")</f>
        <v>Active</v>
      </c>
      <c r="D1611" t="s">
        <v>1022</v>
      </c>
      <c r="E1611" t="s">
        <v>2112</v>
      </c>
      <c r="F1611">
        <v>369950</v>
      </c>
      <c r="G1611">
        <v>2007</v>
      </c>
      <c r="H1611">
        <v>1272</v>
      </c>
      <c r="I1611">
        <v>0</v>
      </c>
      <c r="J1611">
        <v>3</v>
      </c>
      <c r="K1611">
        <v>2.5</v>
      </c>
      <c r="M1611" s="2" t="str">
        <f>HYPERLINK("http://maps.live.com/default.aspx?v=2&amp;lvl=15&amp;sp=Point.47.690252_-122.370603_8355 11th Ave NW&amp;cp=47.690252~-122.370603","Map")</f>
        <v>Map</v>
      </c>
      <c r="N1611" s="2" t="str">
        <f>HYPERLINK("http://i-0.rfimg.us/photo/1/bigphoto/581/28026581_1.jpg","Photo")</f>
        <v>Photo</v>
      </c>
      <c r="AG1611">
        <v>47.690252000000001</v>
      </c>
      <c r="AH1611">
        <v>-122.370603</v>
      </c>
      <c r="AI1611" t="s">
        <v>66</v>
      </c>
      <c r="AJ1611">
        <v>98117</v>
      </c>
      <c r="BC1611" s="22">
        <v>39491.569143518522</v>
      </c>
      <c r="BI1611" s="7">
        <v>39514</v>
      </c>
      <c r="BL1611">
        <v>7399</v>
      </c>
      <c r="BM1611">
        <v>1478011</v>
      </c>
      <c r="BN1611" t="s">
        <v>1710</v>
      </c>
      <c r="BO1611" s="17">
        <f t="shared" ca="1" si="25"/>
        <v>57.740262499995879</v>
      </c>
      <c r="BP1611" t="b">
        <v>0</v>
      </c>
      <c r="BQ1611">
        <v>1</v>
      </c>
      <c r="BR1611" t="s">
        <v>1667</v>
      </c>
      <c r="BS1611" t="s">
        <v>1792</v>
      </c>
      <c r="BT1611" t="b">
        <v>0</v>
      </c>
      <c r="BV1611" t="s">
        <v>1668</v>
      </c>
      <c r="BW1611">
        <v>8355</v>
      </c>
      <c r="BX1611" t="s">
        <v>1669</v>
      </c>
      <c r="BY1611">
        <v>12330185</v>
      </c>
      <c r="BZ1611" t="s">
        <v>1709</v>
      </c>
      <c r="CA1611">
        <v>1</v>
      </c>
      <c r="CB1611" t="b">
        <v>1</v>
      </c>
      <c r="CC1611">
        <v>0</v>
      </c>
      <c r="CD1611" t="b">
        <v>0</v>
      </c>
      <c r="CE1611" t="b">
        <v>0</v>
      </c>
      <c r="CF1611" t="b">
        <v>0</v>
      </c>
      <c r="CG1611">
        <v>15536187</v>
      </c>
      <c r="CH1611" t="s">
        <v>1681</v>
      </c>
      <c r="CI1611" s="10">
        <v>369950</v>
      </c>
    </row>
    <row r="1612" spans="1:90">
      <c r="A1612">
        <v>28026586</v>
      </c>
      <c r="B1612" s="2" t="str">
        <f>HYPERLINK("http://www.redfin.com/stingray/do/printable-listing?listing-id=1478726","Active")</f>
        <v>Active</v>
      </c>
      <c r="D1612" t="s">
        <v>2850</v>
      </c>
      <c r="E1612" t="s">
        <v>4464</v>
      </c>
      <c r="F1612">
        <v>363000</v>
      </c>
      <c r="G1612">
        <v>1965</v>
      </c>
      <c r="H1612">
        <v>0</v>
      </c>
      <c r="I1612">
        <v>11250</v>
      </c>
      <c r="J1612">
        <v>3</v>
      </c>
      <c r="K1612">
        <v>1.75</v>
      </c>
      <c r="M1612" s="2" t="str">
        <f>HYPERLINK("http://maps.live.com/default.aspx?v=2&amp;lvl=15&amp;sp=Point.47.724929_-122.228472_8416 NE 138th St&amp;cp=47.724929~-122.228472","Map")</f>
        <v>Map</v>
      </c>
      <c r="N1612" s="2" t="str">
        <f>HYPERLINK("http://i-0.rfimg.us/photo/1/bigphoto/586/28026586_2.jpg","Photo")</f>
        <v>Photo</v>
      </c>
      <c r="AG1612">
        <v>47.724929000000003</v>
      </c>
      <c r="AH1612">
        <v>-122.228472</v>
      </c>
      <c r="AI1612" t="s">
        <v>1058</v>
      </c>
      <c r="AJ1612">
        <v>98034</v>
      </c>
      <c r="AN1612">
        <v>348000</v>
      </c>
      <c r="BC1612" s="22">
        <v>39491.714907407404</v>
      </c>
      <c r="BI1612" s="7">
        <v>39540</v>
      </c>
      <c r="BL1612">
        <v>7260</v>
      </c>
      <c r="BM1612">
        <v>1478726</v>
      </c>
      <c r="BN1612" t="s">
        <v>1798</v>
      </c>
      <c r="BO1612" s="17">
        <f t="shared" ca="1" si="25"/>
        <v>57.594498495374864</v>
      </c>
      <c r="BP1612" t="b">
        <v>0</v>
      </c>
      <c r="BQ1612">
        <v>1</v>
      </c>
      <c r="BR1612" t="s">
        <v>1686</v>
      </c>
      <c r="BS1612" t="s">
        <v>4421</v>
      </c>
      <c r="BT1612" t="b">
        <v>0</v>
      </c>
      <c r="BU1612" t="s">
        <v>1738</v>
      </c>
      <c r="BV1612" t="s">
        <v>1668</v>
      </c>
      <c r="BW1612">
        <v>8416</v>
      </c>
      <c r="BY1612">
        <v>279310</v>
      </c>
      <c r="BZ1612" t="s">
        <v>3136</v>
      </c>
      <c r="CA1612">
        <v>1</v>
      </c>
      <c r="CB1612" t="b">
        <v>1</v>
      </c>
      <c r="CC1612">
        <v>0</v>
      </c>
      <c r="CD1612" t="b">
        <v>0</v>
      </c>
      <c r="CE1612" t="b">
        <v>0</v>
      </c>
      <c r="CF1612" t="b">
        <v>0</v>
      </c>
      <c r="CG1612">
        <v>2454402</v>
      </c>
      <c r="CH1612" t="s">
        <v>1681</v>
      </c>
      <c r="CI1612" s="10">
        <v>363000</v>
      </c>
      <c r="CJ1612" s="7">
        <v>38926</v>
      </c>
    </row>
    <row r="1613" spans="1:90">
      <c r="A1613">
        <v>28026587</v>
      </c>
      <c r="B1613" s="2" t="str">
        <f>HYPERLINK("http://www.redfin.com/stingray/do/printable-listing?listing-id=1478096","Active")</f>
        <v>Active</v>
      </c>
      <c r="D1613" t="s">
        <v>1058</v>
      </c>
      <c r="E1613" t="s">
        <v>2670</v>
      </c>
      <c r="F1613">
        <v>7900000</v>
      </c>
      <c r="G1613">
        <v>2006</v>
      </c>
      <c r="H1613">
        <v>9930</v>
      </c>
      <c r="I1613">
        <v>29400</v>
      </c>
      <c r="J1613">
        <v>6</v>
      </c>
      <c r="K1613">
        <v>7</v>
      </c>
      <c r="M1613" s="2" t="str">
        <f>HYPERLINK("http://maps.live.com/default.aspx?v=2&amp;lvl=15&amp;sp=adr.0 Undisclosed nXXX (Unable to map),98033","Map")</f>
        <v>Map</v>
      </c>
      <c r="N1613" s="2" t="str">
        <f>HYPERLINK("http://i-0.rfimg.us/photo/1/bigphoto/587/28026587_0.jpg","Photo")</f>
        <v>Photo</v>
      </c>
      <c r="AI1613" t="s">
        <v>1058</v>
      </c>
      <c r="AJ1613">
        <v>98033</v>
      </c>
      <c r="AM1613" t="s">
        <v>2671</v>
      </c>
      <c r="BC1613" s="22">
        <v>39491.578425925924</v>
      </c>
      <c r="BI1613" s="22">
        <v>39549.294907407406</v>
      </c>
      <c r="BL1613">
        <v>158000</v>
      </c>
      <c r="BM1613">
        <v>1478096</v>
      </c>
      <c r="BN1613" t="s">
        <v>1768</v>
      </c>
      <c r="BO1613" s="17">
        <f t="shared" ca="1" si="25"/>
        <v>57.730979976855451</v>
      </c>
      <c r="BP1613" t="b">
        <v>0</v>
      </c>
      <c r="BQ1613">
        <v>1</v>
      </c>
      <c r="BS1613" t="s">
        <v>1657</v>
      </c>
      <c r="BT1613" t="b">
        <v>0</v>
      </c>
      <c r="BV1613" t="s">
        <v>1668</v>
      </c>
      <c r="BW1613">
        <v>0</v>
      </c>
      <c r="BY1613">
        <v>0</v>
      </c>
      <c r="BZ1613" t="s">
        <v>1676</v>
      </c>
      <c r="CA1613">
        <v>1</v>
      </c>
      <c r="CB1613" t="b">
        <v>1</v>
      </c>
      <c r="CC1613">
        <v>0</v>
      </c>
      <c r="CD1613" t="b">
        <v>0</v>
      </c>
      <c r="CE1613" t="b">
        <v>0</v>
      </c>
      <c r="CF1613" t="b">
        <v>0</v>
      </c>
      <c r="CG1613" t="s">
        <v>1870</v>
      </c>
      <c r="CH1613" t="s">
        <v>1681</v>
      </c>
      <c r="CI1613" s="10">
        <v>7900000</v>
      </c>
    </row>
    <row r="1614" spans="1:90">
      <c r="A1614">
        <v>28026594</v>
      </c>
      <c r="B1614" s="2" t="str">
        <f>HYPERLINK("http://www.redfin.com/stingray/do/printable-listing?listing-id=1478098","Active")</f>
        <v>Active</v>
      </c>
      <c r="D1614" t="s">
        <v>2552</v>
      </c>
      <c r="E1614" t="s">
        <v>3471</v>
      </c>
      <c r="F1614" s="19">
        <v>419950</v>
      </c>
      <c r="G1614">
        <v>2008</v>
      </c>
      <c r="H1614">
        <v>0</v>
      </c>
      <c r="I1614">
        <v>0</v>
      </c>
      <c r="J1614">
        <v>3</v>
      </c>
      <c r="K1614">
        <v>3.5</v>
      </c>
      <c r="M1614" s="2" t="str">
        <f>HYPERLINK("http://maps.live.com/default.aspx?v=2&amp;lvl=15&amp;sp=Point.47.659263_-122.391415_2717 W Jameson St nA&amp;cp=47.659263~-122.391415","Map")</f>
        <v>Map</v>
      </c>
      <c r="N1614" s="2" t="str">
        <f>HYPERLINK("http://i-0.rfimg.us/photo/1/bigphoto/594/28026594_1.jpg","Photo")</f>
        <v>Photo</v>
      </c>
      <c r="AG1614">
        <v>47.659263000000003</v>
      </c>
      <c r="AH1614">
        <v>-122.39141499999999</v>
      </c>
      <c r="AI1614" t="s">
        <v>66</v>
      </c>
      <c r="AJ1614">
        <v>98199</v>
      </c>
      <c r="AM1614" t="s">
        <v>1722</v>
      </c>
      <c r="BC1614" s="22">
        <v>39491.5784375</v>
      </c>
      <c r="BI1614" s="22">
        <v>39549.294907407406</v>
      </c>
      <c r="BL1614">
        <v>8780</v>
      </c>
      <c r="BM1614">
        <v>1478098</v>
      </c>
      <c r="BN1614" t="s">
        <v>1710</v>
      </c>
      <c r="BO1614" s="17">
        <f t="shared" ca="1" si="25"/>
        <v>57.730968402778672</v>
      </c>
      <c r="BP1614" t="b">
        <v>0</v>
      </c>
      <c r="BQ1614">
        <v>1</v>
      </c>
      <c r="BR1614" t="s">
        <v>1686</v>
      </c>
      <c r="BS1614" t="s">
        <v>3472</v>
      </c>
      <c r="BT1614" t="b">
        <v>0</v>
      </c>
      <c r="BU1614" t="s">
        <v>2423</v>
      </c>
      <c r="BV1614" t="s">
        <v>1668</v>
      </c>
      <c r="BW1614">
        <v>2717</v>
      </c>
      <c r="BY1614">
        <v>12385593</v>
      </c>
      <c r="BZ1614" t="s">
        <v>1704</v>
      </c>
      <c r="CA1614">
        <v>1</v>
      </c>
      <c r="CB1614" t="b">
        <v>1</v>
      </c>
      <c r="CC1614">
        <v>0</v>
      </c>
      <c r="CD1614" t="b">
        <v>0</v>
      </c>
      <c r="CE1614" t="b">
        <v>0</v>
      </c>
      <c r="CF1614" t="b">
        <v>0</v>
      </c>
      <c r="CG1614">
        <v>15589341</v>
      </c>
      <c r="CH1614" t="s">
        <v>1681</v>
      </c>
      <c r="CI1614" s="10">
        <v>439000</v>
      </c>
    </row>
    <row r="1615" spans="1:90">
      <c r="A1615">
        <v>28026657</v>
      </c>
      <c r="B1615" s="2" t="str">
        <f>HYPERLINK("http://www.redfin.com/stingray/do/printable-listing?listing-id=1478301","Active")</f>
        <v>Active</v>
      </c>
      <c r="D1615" t="s">
        <v>3249</v>
      </c>
      <c r="E1615" t="s">
        <v>3580</v>
      </c>
      <c r="F1615">
        <v>785000</v>
      </c>
      <c r="G1615">
        <v>2007</v>
      </c>
      <c r="H1615">
        <v>1550</v>
      </c>
      <c r="I1615">
        <v>1200</v>
      </c>
      <c r="J1615">
        <v>3</v>
      </c>
      <c r="K1615">
        <v>2.5</v>
      </c>
      <c r="M1615" s="2" t="str">
        <f>HYPERLINK("http://maps.live.com/default.aspx?v=2&amp;lvl=15&amp;sp=Point.47.631263_-122.359575_219 W Lee St&amp;cp=47.631263~-122.359575","Map")</f>
        <v>Map</v>
      </c>
      <c r="N1615" s="2" t="str">
        <f>HYPERLINK("http://i-0.rfimg.us/photo/1/bigphoto/657/28026657_0.jpg","Photo")</f>
        <v>Photo</v>
      </c>
      <c r="AG1615">
        <v>47.631262999999997</v>
      </c>
      <c r="AH1615">
        <v>-122.35957500000001</v>
      </c>
      <c r="AI1615" t="s">
        <v>66</v>
      </c>
      <c r="AJ1615">
        <v>98119</v>
      </c>
      <c r="BC1615" s="22">
        <v>39491.630798611113</v>
      </c>
      <c r="BI1615" s="7">
        <v>39539</v>
      </c>
      <c r="BL1615">
        <v>15700</v>
      </c>
      <c r="BM1615">
        <v>1478301</v>
      </c>
      <c r="BN1615" t="s">
        <v>1766</v>
      </c>
      <c r="BO1615" s="17">
        <f t="shared" ca="1" si="25"/>
        <v>57.678607291665685</v>
      </c>
      <c r="BP1615" t="b">
        <v>0</v>
      </c>
      <c r="BQ1615">
        <v>1</v>
      </c>
      <c r="BR1615" t="s">
        <v>1686</v>
      </c>
      <c r="BS1615" t="s">
        <v>3567</v>
      </c>
      <c r="BT1615" t="b">
        <v>0</v>
      </c>
      <c r="BU1615" t="s">
        <v>2423</v>
      </c>
      <c r="BV1615" t="s">
        <v>1668</v>
      </c>
      <c r="BW1615">
        <v>219</v>
      </c>
      <c r="BY1615">
        <v>134570</v>
      </c>
      <c r="BZ1615" t="s">
        <v>1670</v>
      </c>
      <c r="CA1615">
        <v>1</v>
      </c>
      <c r="CB1615" t="b">
        <v>1</v>
      </c>
      <c r="CC1615">
        <v>0</v>
      </c>
      <c r="CD1615" t="b">
        <v>0</v>
      </c>
      <c r="CE1615" t="b">
        <v>0</v>
      </c>
      <c r="CF1615" t="b">
        <v>0</v>
      </c>
      <c r="CG1615">
        <v>2813248</v>
      </c>
      <c r="CH1615" t="s">
        <v>1681</v>
      </c>
      <c r="CI1615" s="10">
        <v>785000</v>
      </c>
    </row>
    <row r="1616" spans="1:90">
      <c r="A1616">
        <v>28026670</v>
      </c>
      <c r="B1616" s="2" t="str">
        <f>HYPERLINK("http://www.redfin.com/stingray/do/printable-listing?listing-id=1478661","Active")</f>
        <v>Active</v>
      </c>
      <c r="D1616" t="s">
        <v>5490</v>
      </c>
      <c r="E1616" t="s">
        <v>5873</v>
      </c>
      <c r="F1616">
        <v>1199950</v>
      </c>
      <c r="G1616">
        <v>2008</v>
      </c>
      <c r="H1616">
        <v>4132</v>
      </c>
      <c r="I1616">
        <v>18379</v>
      </c>
      <c r="J1616">
        <v>4</v>
      </c>
      <c r="K1616">
        <v>3.5</v>
      </c>
      <c r="M1616" s="2" t="str">
        <f>HYPERLINK("http://maps.live.com/default.aspx?v=2&amp;lvl=15&amp;sp=Point.47.541903_-122.12114_16401 SE Cougar Mountain Way&amp;cp=47.541903~-122.12114","Map")</f>
        <v>Map</v>
      </c>
      <c r="N1616" s="2" t="str">
        <f>HYPERLINK("http://i-0.rfimg.us/photo/1/bigphoto/670/28026670_4.jpg","Photo")</f>
        <v>Photo</v>
      </c>
      <c r="AG1616">
        <v>47.541902999999998</v>
      </c>
      <c r="AH1616">
        <v>-122.12114</v>
      </c>
      <c r="AI1616" t="s">
        <v>369</v>
      </c>
      <c r="AJ1616">
        <v>98006</v>
      </c>
      <c r="BC1616" s="22">
        <v>39491.682939814818</v>
      </c>
      <c r="BI1616" s="22">
        <v>39549.294907407406</v>
      </c>
      <c r="BL1616">
        <v>23999</v>
      </c>
      <c r="BM1616">
        <v>1478661</v>
      </c>
      <c r="BN1616" t="s">
        <v>1768</v>
      </c>
      <c r="BO1616" s="17">
        <f t="shared" ca="1" si="25"/>
        <v>57.62646608796058</v>
      </c>
      <c r="BP1616" t="b">
        <v>0</v>
      </c>
      <c r="BQ1616">
        <v>1</v>
      </c>
      <c r="BR1616" t="s">
        <v>2463</v>
      </c>
      <c r="BS1616" t="s">
        <v>5291</v>
      </c>
      <c r="BT1616" t="b">
        <v>0</v>
      </c>
      <c r="BU1616" t="s">
        <v>3856</v>
      </c>
      <c r="BV1616" t="s">
        <v>1668</v>
      </c>
      <c r="BW1616">
        <v>16401</v>
      </c>
      <c r="BY1616">
        <v>8188922</v>
      </c>
      <c r="BZ1616" t="s">
        <v>5874</v>
      </c>
      <c r="CA1616">
        <v>1</v>
      </c>
      <c r="CB1616" t="b">
        <v>1</v>
      </c>
      <c r="CC1616">
        <v>0</v>
      </c>
      <c r="CD1616" t="b">
        <v>0</v>
      </c>
      <c r="CE1616" t="b">
        <v>0</v>
      </c>
      <c r="CF1616" t="b">
        <v>0</v>
      </c>
      <c r="CG1616">
        <v>3023741</v>
      </c>
      <c r="CH1616" t="s">
        <v>1681</v>
      </c>
      <c r="CI1616" s="10">
        <v>1199950</v>
      </c>
    </row>
    <row r="1617" spans="1:89">
      <c r="A1617">
        <v>28026678</v>
      </c>
      <c r="B1617" s="2" t="str">
        <f>HYPERLINK("http://www.redfin.com/stingray/do/printable-listing?listing-id=1478304","Active")</f>
        <v>Active</v>
      </c>
      <c r="D1617" t="s">
        <v>2850</v>
      </c>
      <c r="E1617" t="s">
        <v>4524</v>
      </c>
      <c r="F1617">
        <v>439000</v>
      </c>
      <c r="G1617">
        <v>1974</v>
      </c>
      <c r="H1617">
        <v>1390</v>
      </c>
      <c r="I1617">
        <v>0</v>
      </c>
      <c r="J1617">
        <v>3</v>
      </c>
      <c r="K1617">
        <v>1.5</v>
      </c>
      <c r="M1617" s="2" t="str">
        <f>HYPERLINK("http://maps.live.com/default.aspx?v=2&amp;lvl=15&amp;sp=Point.47.715298_-122.210298_12815 98th Pl NE&amp;cp=47.715298~-122.210298","Map")</f>
        <v>Map</v>
      </c>
      <c r="N1617" s="2" t="str">
        <f>HYPERLINK("http://i-0.rfimg.us/photo/1/bigphoto/678/28026678_0.jpg","Photo")</f>
        <v>Photo</v>
      </c>
      <c r="AG1617">
        <v>47.715297999999997</v>
      </c>
      <c r="AH1617">
        <v>-122.21029799999999</v>
      </c>
      <c r="AI1617" t="s">
        <v>1058</v>
      </c>
      <c r="AJ1617">
        <v>98034</v>
      </c>
      <c r="AN1617">
        <v>133000</v>
      </c>
      <c r="BC1617" s="22">
        <v>39491.63082175926</v>
      </c>
      <c r="BI1617" s="22">
        <v>39549.294907407406</v>
      </c>
      <c r="BL1617">
        <v>8780</v>
      </c>
      <c r="BM1617">
        <v>1478304</v>
      </c>
      <c r="BN1617" t="s">
        <v>2066</v>
      </c>
      <c r="BO1617" s="17">
        <f t="shared" ca="1" si="25"/>
        <v>57.678584143519402</v>
      </c>
      <c r="BP1617" t="b">
        <v>0</v>
      </c>
      <c r="BQ1617">
        <v>1</v>
      </c>
      <c r="BR1617" t="s">
        <v>1842</v>
      </c>
      <c r="BS1617" t="s">
        <v>3007</v>
      </c>
      <c r="BT1617" t="b">
        <v>0</v>
      </c>
      <c r="BV1617" t="s">
        <v>1668</v>
      </c>
      <c r="BW1617">
        <v>12815</v>
      </c>
      <c r="BX1617" t="s">
        <v>1738</v>
      </c>
      <c r="BY1617">
        <v>278150</v>
      </c>
      <c r="BZ1617" t="s">
        <v>1713</v>
      </c>
      <c r="CA1617">
        <v>1</v>
      </c>
      <c r="CB1617" t="b">
        <v>1</v>
      </c>
      <c r="CC1617">
        <v>0</v>
      </c>
      <c r="CD1617" t="b">
        <v>0</v>
      </c>
      <c r="CE1617" t="b">
        <v>0</v>
      </c>
      <c r="CF1617" t="b">
        <v>0</v>
      </c>
      <c r="CG1617">
        <v>2949440</v>
      </c>
      <c r="CH1617" t="s">
        <v>1681</v>
      </c>
      <c r="CI1617" s="10">
        <v>439000</v>
      </c>
      <c r="CJ1617" s="7">
        <v>34180</v>
      </c>
    </row>
    <row r="1618" spans="1:89">
      <c r="A1618">
        <v>28026683</v>
      </c>
      <c r="B1618" s="2" t="str">
        <f>HYPERLINK("http://www.redfin.com/stingray/do/printable-listing?listing-id=1478312","Subject To Inspection")</f>
        <v>Subject To Inspection</v>
      </c>
      <c r="D1618" t="s">
        <v>2552</v>
      </c>
      <c r="E1618" t="s">
        <v>3530</v>
      </c>
      <c r="F1618">
        <v>625000</v>
      </c>
      <c r="G1618">
        <v>2006</v>
      </c>
      <c r="H1618">
        <v>1680</v>
      </c>
      <c r="I1618">
        <v>1472</v>
      </c>
      <c r="J1618">
        <v>2</v>
      </c>
      <c r="K1618">
        <v>2.5</v>
      </c>
      <c r="M1618" s="2" t="str">
        <f>HYPERLINK("http://maps.live.com/default.aspx?v=2&amp;lvl=15&amp;sp=Point.47.647256_-122.395901_3027 30 Ave W&amp;cp=47.647256~-122.395901","Map")</f>
        <v>Map</v>
      </c>
      <c r="N1618" s="2" t="str">
        <f>HYPERLINK("http://i-0.rfimg.us/photo/1/bigphoto/683/28026683_0.jpg","Photo")</f>
        <v>Photo</v>
      </c>
      <c r="AG1618">
        <v>47.647255999999999</v>
      </c>
      <c r="AH1618">
        <v>-122.39590099999999</v>
      </c>
      <c r="AI1618" t="s">
        <v>66</v>
      </c>
      <c r="AJ1618">
        <v>98199</v>
      </c>
      <c r="BC1618" s="22">
        <v>39491.632256944446</v>
      </c>
      <c r="BI1618" s="7">
        <v>39542</v>
      </c>
      <c r="BL1618">
        <v>12500</v>
      </c>
      <c r="BM1618">
        <v>1478312</v>
      </c>
      <c r="BN1618" t="s">
        <v>1674</v>
      </c>
      <c r="BO1618" s="17">
        <f t="shared" ca="1" si="25"/>
        <v>57.677148958333419</v>
      </c>
      <c r="BP1618" t="b">
        <v>0</v>
      </c>
      <c r="BQ1618">
        <v>2</v>
      </c>
      <c r="BR1618" t="s">
        <v>1667</v>
      </c>
      <c r="BS1618">
        <v>30</v>
      </c>
      <c r="BT1618" t="b">
        <v>0</v>
      </c>
      <c r="BV1618" t="s">
        <v>1668</v>
      </c>
      <c r="BW1618">
        <v>3027</v>
      </c>
      <c r="BX1618" t="s">
        <v>2423</v>
      </c>
      <c r="BY1618">
        <v>12095974</v>
      </c>
      <c r="BZ1618" t="s">
        <v>1672</v>
      </c>
      <c r="CA1618">
        <v>1</v>
      </c>
      <c r="CB1618" t="b">
        <v>1</v>
      </c>
      <c r="CC1618">
        <v>0</v>
      </c>
      <c r="CD1618" t="b">
        <v>0</v>
      </c>
      <c r="CE1618" t="b">
        <v>0</v>
      </c>
      <c r="CF1618" t="b">
        <v>0</v>
      </c>
      <c r="CG1618">
        <v>15349526</v>
      </c>
      <c r="CH1618" t="s">
        <v>1681</v>
      </c>
      <c r="CI1618" s="10">
        <v>625000</v>
      </c>
    </row>
    <row r="1619" spans="1:89">
      <c r="A1619">
        <v>28026706</v>
      </c>
      <c r="B1619" s="2" t="str">
        <f>HYPERLINK("http://www.redfin.com/stingray/do/printable-listing?listing-id=1485049","Active")</f>
        <v>Active</v>
      </c>
      <c r="D1619" t="s">
        <v>4710</v>
      </c>
      <c r="E1619" t="s">
        <v>4818</v>
      </c>
      <c r="F1619">
        <v>1049000</v>
      </c>
      <c r="G1619">
        <v>2001</v>
      </c>
      <c r="H1619">
        <v>3532</v>
      </c>
      <c r="I1619">
        <v>4489</v>
      </c>
      <c r="J1619">
        <v>4</v>
      </c>
      <c r="K1619">
        <v>2.5</v>
      </c>
      <c r="M1619" s="2" t="str">
        <f>HYPERLINK("http://maps.live.com/default.aspx?v=2&amp;lvl=15&amp;sp=Point.47.671663_-122.201895_313 5th Ave S&amp;cp=47.671663~-122.201895","Map")</f>
        <v>Map</v>
      </c>
      <c r="N1619" s="2" t="str">
        <f>HYPERLINK("http://i-0.rfimg.us/photo/1/bigphoto/706/28026706_0.jpg","Photo")</f>
        <v>Photo</v>
      </c>
      <c r="AG1619">
        <v>47.671663000000002</v>
      </c>
      <c r="AH1619">
        <v>-122.20189499999999</v>
      </c>
      <c r="AI1619" t="s">
        <v>1058</v>
      </c>
      <c r="AJ1619">
        <v>98033</v>
      </c>
      <c r="AN1619">
        <v>765000</v>
      </c>
      <c r="BC1619" s="22">
        <v>39493.703842592593</v>
      </c>
      <c r="BI1619" s="22">
        <v>39549.294907407406</v>
      </c>
      <c r="BL1619">
        <v>20980</v>
      </c>
      <c r="BM1619">
        <v>1485049</v>
      </c>
      <c r="BN1619" t="s">
        <v>1735</v>
      </c>
      <c r="BO1619" s="17">
        <f t="shared" ca="1" si="25"/>
        <v>55.605563310185971</v>
      </c>
      <c r="BP1619" t="b">
        <v>0</v>
      </c>
      <c r="BQ1619">
        <v>1</v>
      </c>
      <c r="BR1619" t="s">
        <v>1667</v>
      </c>
      <c r="BS1619" t="s">
        <v>1832</v>
      </c>
      <c r="BT1619" t="b">
        <v>0</v>
      </c>
      <c r="BV1619" t="s">
        <v>1668</v>
      </c>
      <c r="BW1619">
        <v>313</v>
      </c>
      <c r="BX1619" t="s">
        <v>1881</v>
      </c>
      <c r="BY1619">
        <v>461255</v>
      </c>
      <c r="BZ1619" t="s">
        <v>1672</v>
      </c>
      <c r="CA1619">
        <v>1</v>
      </c>
      <c r="CB1619" t="b">
        <v>1</v>
      </c>
      <c r="CC1619">
        <v>0</v>
      </c>
      <c r="CD1619" t="b">
        <v>0</v>
      </c>
      <c r="CE1619" t="b">
        <v>0</v>
      </c>
      <c r="CF1619" t="b">
        <v>0</v>
      </c>
      <c r="CG1619">
        <v>2362015</v>
      </c>
      <c r="CH1619" t="s">
        <v>1681</v>
      </c>
      <c r="CI1619" s="10">
        <v>1049000</v>
      </c>
      <c r="CJ1619" s="7">
        <v>37942</v>
      </c>
    </row>
    <row r="1620" spans="1:89">
      <c r="A1620">
        <v>28026720</v>
      </c>
      <c r="B1620" s="2" t="str">
        <f>HYPERLINK("http://www.redfin.com/stingray/do/printable-listing?listing-id=1478531","Active")</f>
        <v>Active</v>
      </c>
      <c r="D1620" t="s">
        <v>3249</v>
      </c>
      <c r="E1620" t="s">
        <v>3579</v>
      </c>
      <c r="F1620">
        <v>699000</v>
      </c>
      <c r="G1620">
        <v>1926</v>
      </c>
      <c r="H1620">
        <v>2370</v>
      </c>
      <c r="I1620">
        <v>3390</v>
      </c>
      <c r="J1620">
        <v>5</v>
      </c>
      <c r="K1620">
        <v>3</v>
      </c>
      <c r="M1620" s="2" t="str">
        <f>HYPERLINK("http://maps.live.com/default.aspx?v=2&amp;lvl=15&amp;sp=Point.47.646911_-122.361265_3005 3rd Ave W&amp;cp=47.646911~-122.361265","Map")</f>
        <v>Map</v>
      </c>
      <c r="N1620" s="2" t="str">
        <f>HYPERLINK("http://i-0.rfimg.us/photo/1/bigphoto/720/28026720_0.jpg","Photo")</f>
        <v>Photo</v>
      </c>
      <c r="AG1620">
        <v>47.646911000000003</v>
      </c>
      <c r="AH1620">
        <v>-122.361265</v>
      </c>
      <c r="AI1620" t="s">
        <v>66</v>
      </c>
      <c r="AJ1620">
        <v>98119</v>
      </c>
      <c r="AN1620">
        <v>68079</v>
      </c>
      <c r="BC1620" s="22">
        <v>39491.652650462966</v>
      </c>
      <c r="BI1620" s="22">
        <v>39549.294907407406</v>
      </c>
      <c r="BL1620">
        <v>13980</v>
      </c>
      <c r="BM1620">
        <v>1478531</v>
      </c>
      <c r="BN1620" t="s">
        <v>1929</v>
      </c>
      <c r="BO1620" s="17">
        <f t="shared" ca="1" si="25"/>
        <v>57.656755439813423</v>
      </c>
      <c r="BP1620" t="b">
        <v>0</v>
      </c>
      <c r="BQ1620">
        <v>1</v>
      </c>
      <c r="BR1620" t="s">
        <v>1667</v>
      </c>
      <c r="BS1620" t="s">
        <v>1796</v>
      </c>
      <c r="BT1620" t="b">
        <v>0</v>
      </c>
      <c r="BV1620" t="s">
        <v>1668</v>
      </c>
      <c r="BW1620">
        <v>3005</v>
      </c>
      <c r="BX1620" t="s">
        <v>2423</v>
      </c>
      <c r="BY1620">
        <v>130849</v>
      </c>
      <c r="BZ1620" s="21">
        <v>0</v>
      </c>
      <c r="CA1620">
        <v>1</v>
      </c>
      <c r="CB1620" t="b">
        <v>1</v>
      </c>
      <c r="CC1620">
        <v>0</v>
      </c>
      <c r="CD1620" t="b">
        <v>0</v>
      </c>
      <c r="CE1620" t="b">
        <v>0</v>
      </c>
      <c r="CF1620" t="b">
        <v>0</v>
      </c>
      <c r="CG1620">
        <v>2488036</v>
      </c>
      <c r="CH1620" t="s">
        <v>1681</v>
      </c>
      <c r="CI1620" s="10">
        <v>699000</v>
      </c>
      <c r="CJ1620" s="7">
        <v>38657</v>
      </c>
    </row>
    <row r="1621" spans="1:89">
      <c r="A1621">
        <v>28026758</v>
      </c>
      <c r="B1621" s="2" t="str">
        <f>HYPERLINK("http://www.redfin.com/stingray/do/printable-listing?listing-id=1495127","Active")</f>
        <v>Active</v>
      </c>
      <c r="D1621" t="s">
        <v>2745</v>
      </c>
      <c r="E1621" t="s">
        <v>2751</v>
      </c>
      <c r="F1621">
        <v>2450000</v>
      </c>
      <c r="G1621">
        <v>1950</v>
      </c>
      <c r="H1621">
        <v>3800</v>
      </c>
      <c r="I1621">
        <v>17371</v>
      </c>
      <c r="J1621">
        <v>4</v>
      </c>
      <c r="K1621">
        <v>2.25</v>
      </c>
      <c r="M1621" s="2" t="str">
        <f>HYPERLINK("http://maps.live.com/default.aspx?v=2&amp;lvl=15&amp;sp=Point.47.702118_-122.38935_2444 NW Blue Ridge Dr&amp;cp=47.702118~-122.38935","Map")</f>
        <v>Map</v>
      </c>
      <c r="N1621" s="2" t="str">
        <f>HYPERLINK("http://i-0.rfimg.us/photo/1/bigphoto/758/28026758_3.jpg","Photo")</f>
        <v>Photo</v>
      </c>
      <c r="AG1621">
        <v>47.702117999999999</v>
      </c>
      <c r="AH1621">
        <v>-122.38934999999999</v>
      </c>
      <c r="AI1621" t="s">
        <v>66</v>
      </c>
      <c r="AJ1621">
        <v>98177</v>
      </c>
      <c r="BC1621" s="22">
        <v>39498.58934027778</v>
      </c>
      <c r="BI1621" s="22">
        <v>39549.294907407406</v>
      </c>
      <c r="BL1621">
        <v>49000</v>
      </c>
      <c r="BM1621">
        <v>1495127</v>
      </c>
      <c r="BN1621" t="s">
        <v>2593</v>
      </c>
      <c r="BO1621" s="17">
        <f t="shared" ca="1" si="25"/>
        <v>50.720065624998824</v>
      </c>
      <c r="BP1621" t="b">
        <v>0</v>
      </c>
      <c r="BQ1621">
        <v>1</v>
      </c>
      <c r="BR1621" t="s">
        <v>1816</v>
      </c>
      <c r="BS1621" t="s">
        <v>2745</v>
      </c>
      <c r="BT1621" t="b">
        <v>0</v>
      </c>
      <c r="BU1621" t="s">
        <v>1669</v>
      </c>
      <c r="BV1621" t="s">
        <v>1668</v>
      </c>
      <c r="BW1621">
        <v>2444</v>
      </c>
      <c r="BY1621">
        <v>288151</v>
      </c>
      <c r="BZ1621" t="s">
        <v>2752</v>
      </c>
      <c r="CA1621">
        <v>1</v>
      </c>
      <c r="CB1621" t="b">
        <v>1</v>
      </c>
      <c r="CC1621">
        <v>0</v>
      </c>
      <c r="CD1621" t="b">
        <v>0</v>
      </c>
      <c r="CE1621" t="b">
        <v>0</v>
      </c>
      <c r="CF1621" t="b">
        <v>0</v>
      </c>
      <c r="CG1621">
        <v>2451677</v>
      </c>
      <c r="CH1621" t="s">
        <v>1681</v>
      </c>
      <c r="CI1621" s="10">
        <v>2450000</v>
      </c>
    </row>
    <row r="1622" spans="1:89">
      <c r="A1622">
        <v>28026772</v>
      </c>
      <c r="B1622" s="2" t="str">
        <f>HYPERLINK("http://www.redfin.com/stingray/do/printable-listing?listing-id=1494381","Active")</f>
        <v>Active</v>
      </c>
      <c r="D1622" t="s">
        <v>3885</v>
      </c>
      <c r="E1622" t="s">
        <v>5852</v>
      </c>
      <c r="F1622">
        <v>475000</v>
      </c>
      <c r="G1622">
        <v>1961</v>
      </c>
      <c r="H1622">
        <v>1880</v>
      </c>
      <c r="I1622">
        <v>10977</v>
      </c>
      <c r="J1622">
        <v>3</v>
      </c>
      <c r="K1622">
        <v>1.75</v>
      </c>
      <c r="M1622" s="2" t="str">
        <f>HYPERLINK("http://maps.live.com/default.aspx?v=2&amp;lvl=15&amp;sp=Point.47.54037_-122.17947_12103 SE 70th St&amp;cp=47.54037~-122.17947","Map")</f>
        <v>Map</v>
      </c>
      <c r="N1622" s="2" t="str">
        <f>HYPERLINK("http://i-0.rfimg.us/photo/1/bigphoto/772/28026772_0.jpg","Photo")</f>
        <v>Photo</v>
      </c>
      <c r="AG1622">
        <v>47.540370000000003</v>
      </c>
      <c r="AH1622">
        <v>-122.17946999999999</v>
      </c>
      <c r="AI1622" t="s">
        <v>3885</v>
      </c>
      <c r="AJ1622">
        <v>98056</v>
      </c>
      <c r="AN1622">
        <v>371000</v>
      </c>
      <c r="BC1622" s="22">
        <v>39498.411354166667</v>
      </c>
      <c r="BI1622" s="22">
        <v>39549.294907407406</v>
      </c>
      <c r="BL1622">
        <v>9500</v>
      </c>
      <c r="BM1622">
        <v>1494381</v>
      </c>
      <c r="BN1622" t="s">
        <v>2593</v>
      </c>
      <c r="BO1622" s="17">
        <f t="shared" ca="1" si="25"/>
        <v>50.898051736112393</v>
      </c>
      <c r="BP1622" t="b">
        <v>0</v>
      </c>
      <c r="BQ1622">
        <v>1</v>
      </c>
      <c r="BR1622" t="s">
        <v>1686</v>
      </c>
      <c r="BS1622" t="s">
        <v>1703</v>
      </c>
      <c r="BT1622" t="b">
        <v>0</v>
      </c>
      <c r="BU1622" t="s">
        <v>3856</v>
      </c>
      <c r="BV1622" t="s">
        <v>1668</v>
      </c>
      <c r="BW1622">
        <v>12103</v>
      </c>
      <c r="BY1622">
        <v>413027</v>
      </c>
      <c r="BZ1622" t="s">
        <v>1713</v>
      </c>
      <c r="CA1622">
        <v>1</v>
      </c>
      <c r="CB1622" t="b">
        <v>1</v>
      </c>
      <c r="CC1622">
        <v>0</v>
      </c>
      <c r="CD1622" t="b">
        <v>0</v>
      </c>
      <c r="CE1622" t="b">
        <v>0</v>
      </c>
      <c r="CF1622" t="b">
        <v>0</v>
      </c>
      <c r="CG1622">
        <v>2726824</v>
      </c>
      <c r="CH1622" t="s">
        <v>1681</v>
      </c>
      <c r="CI1622" s="10">
        <v>475000</v>
      </c>
      <c r="CJ1622" s="7">
        <v>38526</v>
      </c>
    </row>
    <row r="1623" spans="1:89">
      <c r="A1623">
        <v>28026818</v>
      </c>
      <c r="B1623" s="2" t="str">
        <f>HYPERLINK("http://www.redfin.com/stingray/do/printable-listing?listing-id=1484766","Active")</f>
        <v>Active</v>
      </c>
      <c r="D1623" t="s">
        <v>3885</v>
      </c>
      <c r="E1623" t="s">
        <v>5929</v>
      </c>
      <c r="F1623">
        <v>699950</v>
      </c>
      <c r="G1623">
        <v>2000</v>
      </c>
      <c r="H1623">
        <v>3293</v>
      </c>
      <c r="I1623">
        <v>18548</v>
      </c>
      <c r="J1623">
        <v>5</v>
      </c>
      <c r="K1623">
        <v>3</v>
      </c>
      <c r="M1623" s="2" t="str">
        <f>HYPERLINK("http://maps.live.com/default.aspx?v=2&amp;lvl=15&amp;sp=Point.47.522711_-122.162679_8933 133rd Ave SE&amp;cp=47.522711~-122.162679","Map")</f>
        <v>Map</v>
      </c>
      <c r="N1623" s="2" t="str">
        <f>HYPERLINK("http://i-0.rfimg.us/photo/1/bigphoto/818/28026818_0.jpg","Photo")</f>
        <v>Photo</v>
      </c>
      <c r="AG1623">
        <v>47.522711000000001</v>
      </c>
      <c r="AH1623">
        <v>-122.162679</v>
      </c>
      <c r="AI1623" t="s">
        <v>3885</v>
      </c>
      <c r="AJ1623">
        <v>98059</v>
      </c>
      <c r="BC1623" s="22">
        <v>39493.653506944444</v>
      </c>
      <c r="BI1623" s="22">
        <v>39549.294907407406</v>
      </c>
      <c r="BL1623">
        <v>13999</v>
      </c>
      <c r="BM1623">
        <v>1484766</v>
      </c>
      <c r="BN1623" t="s">
        <v>4097</v>
      </c>
      <c r="BO1623" s="17">
        <f t="shared" ca="1" si="25"/>
        <v>55.655898958335456</v>
      </c>
      <c r="BP1623" t="b">
        <v>0</v>
      </c>
      <c r="BQ1623">
        <v>1</v>
      </c>
      <c r="BR1623" t="s">
        <v>1667</v>
      </c>
      <c r="BS1623" t="s">
        <v>4416</v>
      </c>
      <c r="BT1623" t="b">
        <v>0</v>
      </c>
      <c r="BV1623" t="s">
        <v>1668</v>
      </c>
      <c r="BW1623">
        <v>8933</v>
      </c>
      <c r="BX1623" t="s">
        <v>3856</v>
      </c>
      <c r="BY1623">
        <v>12415620</v>
      </c>
      <c r="BZ1623" t="s">
        <v>1713</v>
      </c>
      <c r="CA1623">
        <v>1</v>
      </c>
      <c r="CB1623" t="b">
        <v>1</v>
      </c>
      <c r="CC1623">
        <v>0</v>
      </c>
      <c r="CD1623" t="b">
        <v>0</v>
      </c>
      <c r="CE1623" t="b">
        <v>0</v>
      </c>
      <c r="CF1623" t="b">
        <v>0</v>
      </c>
      <c r="CG1623">
        <v>15619368</v>
      </c>
      <c r="CH1623" t="s">
        <v>1681</v>
      </c>
      <c r="CI1623" s="10">
        <v>699950</v>
      </c>
    </row>
    <row r="1624" spans="1:89">
      <c r="A1624">
        <v>28026946</v>
      </c>
      <c r="B1624" s="2" t="str">
        <f>HYPERLINK("http://www.redfin.com/stingray/do/printable-listing?listing-id=1480245","Active")</f>
        <v>Active</v>
      </c>
      <c r="D1624" t="s">
        <v>3704</v>
      </c>
      <c r="E1624" t="s">
        <v>4070</v>
      </c>
      <c r="F1624" s="19">
        <v>839900</v>
      </c>
      <c r="G1624">
        <v>1900</v>
      </c>
      <c r="H1624">
        <v>2400</v>
      </c>
      <c r="I1624">
        <v>3200</v>
      </c>
      <c r="J1624">
        <v>4</v>
      </c>
      <c r="K1624">
        <v>2.5</v>
      </c>
      <c r="M1624" s="2" t="str">
        <f>HYPERLINK("http://maps.live.com/default.aspx?v=2&amp;lvl=15&amp;sp=Point.47.610125_-122.313123_831 15th Ave&amp;cp=47.610125~-122.313123","Map")</f>
        <v>Map</v>
      </c>
      <c r="N1624" s="2" t="str">
        <f>HYPERLINK("http://i-0.rfimg.us/photo/1/bigphoto/946/28026946_1.jpg","Photo")</f>
        <v>Photo</v>
      </c>
      <c r="AG1624">
        <v>47.610124999999996</v>
      </c>
      <c r="AH1624">
        <v>-122.313123</v>
      </c>
      <c r="AI1624" t="s">
        <v>66</v>
      </c>
      <c r="AJ1624">
        <v>98122</v>
      </c>
      <c r="AN1624">
        <v>685000</v>
      </c>
      <c r="BC1624" s="22">
        <v>39492.421249999999</v>
      </c>
      <c r="BI1624" s="22">
        <v>39549.294907407406</v>
      </c>
      <c r="BL1624">
        <v>16998</v>
      </c>
      <c r="BM1624">
        <v>1480245</v>
      </c>
      <c r="BN1624" t="s">
        <v>1715</v>
      </c>
      <c r="BO1624" s="17">
        <f t="shared" ca="1" si="25"/>
        <v>56.888155902779545</v>
      </c>
      <c r="BP1624" t="b">
        <v>0</v>
      </c>
      <c r="BQ1624">
        <v>1</v>
      </c>
      <c r="BR1624" t="s">
        <v>1667</v>
      </c>
      <c r="BS1624" t="s">
        <v>1838</v>
      </c>
      <c r="BT1624" t="b">
        <v>0</v>
      </c>
      <c r="BV1624" t="s">
        <v>1668</v>
      </c>
      <c r="BW1624">
        <v>831</v>
      </c>
      <c r="BY1624">
        <v>143972</v>
      </c>
      <c r="BZ1624" t="s">
        <v>1709</v>
      </c>
      <c r="CA1624">
        <v>1</v>
      </c>
      <c r="CB1624" t="b">
        <v>1</v>
      </c>
      <c r="CC1624">
        <v>0</v>
      </c>
      <c r="CD1624" t="b">
        <v>0</v>
      </c>
      <c r="CE1624" t="b">
        <v>0</v>
      </c>
      <c r="CF1624" t="b">
        <v>0</v>
      </c>
      <c r="CG1624">
        <v>2360259</v>
      </c>
      <c r="CH1624" t="s">
        <v>1681</v>
      </c>
      <c r="CI1624" s="10">
        <v>849900</v>
      </c>
      <c r="CJ1624" s="7">
        <v>38457</v>
      </c>
    </row>
    <row r="1625" spans="1:89">
      <c r="A1625">
        <v>28026953</v>
      </c>
      <c r="B1625" s="2" t="str">
        <f>HYPERLINK("http://www.redfin.com/stingray/do/printable-listing?listing-id=1484605","Active")</f>
        <v>Active</v>
      </c>
      <c r="D1625" t="s">
        <v>5198</v>
      </c>
      <c r="E1625" t="s">
        <v>5212</v>
      </c>
      <c r="F1625">
        <v>439950</v>
      </c>
      <c r="G1625">
        <v>1968</v>
      </c>
      <c r="H1625">
        <v>1960</v>
      </c>
      <c r="I1625">
        <v>0</v>
      </c>
      <c r="J1625">
        <v>3</v>
      </c>
      <c r="K1625">
        <v>2.5</v>
      </c>
      <c r="M1625" s="2" t="str">
        <f>HYPERLINK("http://maps.live.com/default.aspx?v=2&amp;lvl=15&amp;sp=Point.47.611669_-122.116446_211 168th Ave NE&amp;cp=47.611669~-122.116446","Map")</f>
        <v>Map</v>
      </c>
      <c r="N1625" s="2" t="str">
        <f>HYPERLINK("http://i-0.rfimg.us/photo/1/bigphoto/953/28026953_0.jpg","Photo")</f>
        <v>Photo</v>
      </c>
      <c r="AG1625">
        <v>47.611668999999999</v>
      </c>
      <c r="AH1625">
        <v>-122.116446</v>
      </c>
      <c r="AI1625" t="s">
        <v>369</v>
      </c>
      <c r="AJ1625">
        <v>98008</v>
      </c>
      <c r="AN1625">
        <v>200000</v>
      </c>
      <c r="BC1625" s="22">
        <v>39493.621377314812</v>
      </c>
      <c r="BI1625" s="22">
        <v>39549.294907407406</v>
      </c>
      <c r="BL1625">
        <v>8799</v>
      </c>
      <c r="BM1625">
        <v>1484605</v>
      </c>
      <c r="BN1625" t="s">
        <v>1688</v>
      </c>
      <c r="BO1625" s="17">
        <f t="shared" ca="1" si="25"/>
        <v>55.688028587966983</v>
      </c>
      <c r="BP1625" t="b">
        <v>0</v>
      </c>
      <c r="BQ1625">
        <v>1</v>
      </c>
      <c r="BR1625" t="s">
        <v>1667</v>
      </c>
      <c r="BS1625" t="s">
        <v>5213</v>
      </c>
      <c r="BT1625" t="b">
        <v>0</v>
      </c>
      <c r="BV1625" t="s">
        <v>1668</v>
      </c>
      <c r="BW1625">
        <v>211</v>
      </c>
      <c r="BX1625" t="s">
        <v>1738</v>
      </c>
      <c r="BY1625">
        <v>500894</v>
      </c>
      <c r="BZ1625" t="s">
        <v>1672</v>
      </c>
      <c r="CA1625">
        <v>1</v>
      </c>
      <c r="CB1625" t="b">
        <v>1</v>
      </c>
      <c r="CC1625">
        <v>0</v>
      </c>
      <c r="CD1625" t="b">
        <v>0</v>
      </c>
      <c r="CE1625" t="b">
        <v>0</v>
      </c>
      <c r="CF1625" t="b">
        <v>0</v>
      </c>
      <c r="CG1625">
        <v>2729098</v>
      </c>
      <c r="CH1625" t="s">
        <v>1681</v>
      </c>
      <c r="CI1625" s="10">
        <v>439950</v>
      </c>
      <c r="CJ1625" s="7">
        <v>36857</v>
      </c>
    </row>
    <row r="1626" spans="1:89">
      <c r="A1626">
        <v>28026968</v>
      </c>
      <c r="B1626" s="2" t="str">
        <f>HYPERLINK("http://www.redfin.com/stingray/do/printable-listing?listing-id=1480303","Active")</f>
        <v>Active</v>
      </c>
      <c r="D1626" t="s">
        <v>88</v>
      </c>
      <c r="E1626" t="s">
        <v>1294</v>
      </c>
      <c r="F1626">
        <v>1149000</v>
      </c>
      <c r="G1626">
        <v>2007</v>
      </c>
      <c r="H1626">
        <v>4240</v>
      </c>
      <c r="I1626">
        <v>6180</v>
      </c>
      <c r="J1626">
        <v>5</v>
      </c>
      <c r="K1626">
        <v>3.5</v>
      </c>
      <c r="M1626" s="2" t="str">
        <f>HYPERLINK("http://maps.live.com/default.aspx?v=2&amp;lvl=15&amp;sp=Point.47.683503_-122.359315_128 NW 75th St&amp;cp=47.683503~-122.359315","Map")</f>
        <v>Map</v>
      </c>
      <c r="N1626" s="2" t="str">
        <f>HYPERLINK("http://i-0.rfimg.us/photo/1/bigphoto/968/28026968_0.jpg","Photo")</f>
        <v>Photo</v>
      </c>
      <c r="AG1626">
        <v>47.683503000000002</v>
      </c>
      <c r="AH1626">
        <v>-122.359315</v>
      </c>
      <c r="AI1626" t="s">
        <v>66</v>
      </c>
      <c r="AJ1626">
        <v>98117</v>
      </c>
      <c r="AN1626">
        <v>400000</v>
      </c>
      <c r="BC1626" s="22">
        <v>39492.442349537036</v>
      </c>
      <c r="BI1626" s="7">
        <v>39534</v>
      </c>
      <c r="BL1626">
        <v>22980</v>
      </c>
      <c r="BM1626">
        <v>1480303</v>
      </c>
      <c r="BN1626" t="s">
        <v>1725</v>
      </c>
      <c r="BO1626" s="17">
        <f t="shared" ca="1" si="25"/>
        <v>56.867056481481995</v>
      </c>
      <c r="BP1626" t="b">
        <v>0</v>
      </c>
      <c r="BQ1626">
        <v>1</v>
      </c>
      <c r="BR1626" t="s">
        <v>1686</v>
      </c>
      <c r="BS1626" t="s">
        <v>1837</v>
      </c>
      <c r="BT1626" t="b">
        <v>0</v>
      </c>
      <c r="BU1626" t="s">
        <v>1669</v>
      </c>
      <c r="BV1626" t="s">
        <v>1668</v>
      </c>
      <c r="BW1626">
        <v>128</v>
      </c>
      <c r="BY1626">
        <v>496129</v>
      </c>
      <c r="BZ1626" t="s">
        <v>1713</v>
      </c>
      <c r="CA1626">
        <v>1</v>
      </c>
      <c r="CB1626" t="b">
        <v>1</v>
      </c>
      <c r="CC1626">
        <v>0</v>
      </c>
      <c r="CD1626" t="b">
        <v>0</v>
      </c>
      <c r="CE1626" t="b">
        <v>0</v>
      </c>
      <c r="CF1626" t="b">
        <v>0</v>
      </c>
      <c r="CG1626">
        <v>2944674</v>
      </c>
      <c r="CH1626" t="s">
        <v>1681</v>
      </c>
      <c r="CI1626" s="10">
        <v>1149000</v>
      </c>
      <c r="CJ1626" s="7">
        <v>38758</v>
      </c>
      <c r="CK1626" t="s">
        <v>1995</v>
      </c>
    </row>
    <row r="1627" spans="1:89">
      <c r="A1627">
        <v>28027072</v>
      </c>
      <c r="B1627" s="2" t="str">
        <f>HYPERLINK("http://www.redfin.com/stingray/do/printable-listing?listing-id=1480483","Active")</f>
        <v>Active</v>
      </c>
      <c r="D1627" t="s">
        <v>5119</v>
      </c>
      <c r="E1627" t="s">
        <v>5117</v>
      </c>
      <c r="F1627">
        <v>649950</v>
      </c>
      <c r="G1627">
        <v>1968</v>
      </c>
      <c r="H1627">
        <v>2990</v>
      </c>
      <c r="I1627">
        <v>15850</v>
      </c>
      <c r="J1627">
        <v>5</v>
      </c>
      <c r="K1627">
        <v>3</v>
      </c>
      <c r="M1627" s="2" t="str">
        <f>HYPERLINK("http://maps.live.com/default.aspx?v=2&amp;lvl=15&amp;sp=Point.47.601814_-122.17911_12026 SE 10th St&amp;cp=47.601814~-122.17911","Map")</f>
        <v>Map</v>
      </c>
      <c r="N1627" s="2" t="str">
        <f>HYPERLINK("http://i-0.rfimg.us/photo/1/bigphoto/072/28027072_3.jpg","Photo")</f>
        <v>Photo</v>
      </c>
      <c r="AG1627">
        <v>47.601813999999997</v>
      </c>
      <c r="AH1627">
        <v>-122.17910999999999</v>
      </c>
      <c r="AI1627" t="s">
        <v>369</v>
      </c>
      <c r="AJ1627">
        <v>98005</v>
      </c>
      <c r="AN1627">
        <v>475000</v>
      </c>
      <c r="BC1627" s="22">
        <v>39492.484293981484</v>
      </c>
      <c r="BI1627" s="22">
        <v>39549.294907407406</v>
      </c>
      <c r="BL1627">
        <v>12999</v>
      </c>
      <c r="BM1627">
        <v>1480483</v>
      </c>
      <c r="BN1627" t="s">
        <v>5116</v>
      </c>
      <c r="BO1627" s="17">
        <f t="shared" ca="1" si="25"/>
        <v>56.825111921294592</v>
      </c>
      <c r="BP1627" t="b">
        <v>0</v>
      </c>
      <c r="BQ1627">
        <v>1</v>
      </c>
      <c r="BR1627" t="s">
        <v>1686</v>
      </c>
      <c r="BS1627" t="s">
        <v>1788</v>
      </c>
      <c r="BT1627" t="b">
        <v>0</v>
      </c>
      <c r="BU1627" t="s">
        <v>3856</v>
      </c>
      <c r="BV1627" t="s">
        <v>1668</v>
      </c>
      <c r="BW1627">
        <v>12026</v>
      </c>
      <c r="BY1627">
        <v>509428</v>
      </c>
      <c r="BZ1627" t="s">
        <v>5118</v>
      </c>
      <c r="CA1627">
        <v>1</v>
      </c>
      <c r="CB1627" t="b">
        <v>1</v>
      </c>
      <c r="CC1627">
        <v>0</v>
      </c>
      <c r="CD1627" t="b">
        <v>0</v>
      </c>
      <c r="CE1627" t="b">
        <v>0</v>
      </c>
      <c r="CF1627" t="b">
        <v>0</v>
      </c>
      <c r="CG1627">
        <v>2647419</v>
      </c>
      <c r="CH1627" t="s">
        <v>1681</v>
      </c>
      <c r="CI1627" s="10">
        <v>649950</v>
      </c>
      <c r="CJ1627" s="7">
        <v>39286</v>
      </c>
    </row>
    <row r="1628" spans="1:89">
      <c r="A1628">
        <v>28027086</v>
      </c>
      <c r="B1628" s="2" t="str">
        <f>HYPERLINK("http://www.redfin.com/stingray/do/printable-listing?listing-id=1480570","Active")</f>
        <v>Active</v>
      </c>
      <c r="D1628" t="s">
        <v>3064</v>
      </c>
      <c r="E1628" t="s">
        <v>6077</v>
      </c>
      <c r="F1628">
        <v>519950</v>
      </c>
      <c r="G1628">
        <v>2008</v>
      </c>
      <c r="H1628">
        <v>3100</v>
      </c>
      <c r="I1628">
        <v>0</v>
      </c>
      <c r="J1628">
        <v>4</v>
      </c>
      <c r="K1628">
        <v>3.5</v>
      </c>
      <c r="M1628" s="2" t="str">
        <f>HYPERLINK("http://maps.live.com/default.aspx?v=2&amp;lvl=15&amp;sp=Point.47.5041_-122.1618_4813 NE 13th Pl&amp;cp=47.5041~-122.1618","Map")</f>
        <v>Map</v>
      </c>
      <c r="N1628" s="2" t="str">
        <f>HYPERLINK("http://i-0.rfimg.us/photo/1/bigphoto/086/28027086_1.jpg","Photo")</f>
        <v>Photo</v>
      </c>
      <c r="AG1628">
        <v>47.504100000000001</v>
      </c>
      <c r="AH1628">
        <v>-122.1618</v>
      </c>
      <c r="AI1628" t="s">
        <v>1077</v>
      </c>
      <c r="AJ1628">
        <v>98059</v>
      </c>
      <c r="BC1628" s="22">
        <v>39492.505127314813</v>
      </c>
      <c r="BI1628" s="22">
        <v>39549.294907407406</v>
      </c>
      <c r="BL1628">
        <v>10399</v>
      </c>
      <c r="BM1628">
        <v>1480570</v>
      </c>
      <c r="BN1628" t="s">
        <v>6076</v>
      </c>
      <c r="BO1628" s="17">
        <f t="shared" ca="1" si="25"/>
        <v>56.80427858796611</v>
      </c>
      <c r="BP1628" t="b">
        <v>0</v>
      </c>
      <c r="BQ1628">
        <v>1</v>
      </c>
      <c r="BR1628" t="s">
        <v>1842</v>
      </c>
      <c r="BS1628" t="s">
        <v>1809</v>
      </c>
      <c r="BT1628" t="b">
        <v>0</v>
      </c>
      <c r="BU1628" t="s">
        <v>1738</v>
      </c>
      <c r="BV1628" t="s">
        <v>1668</v>
      </c>
      <c r="BW1628">
        <v>4813</v>
      </c>
      <c r="BY1628">
        <v>12412235</v>
      </c>
      <c r="BZ1628" t="s">
        <v>1836</v>
      </c>
      <c r="CA1628">
        <v>1</v>
      </c>
      <c r="CB1628" t="b">
        <v>1</v>
      </c>
      <c r="CC1628">
        <v>0</v>
      </c>
      <c r="CD1628" t="b">
        <v>0</v>
      </c>
      <c r="CE1628" t="b">
        <v>0</v>
      </c>
      <c r="CF1628" t="b">
        <v>0</v>
      </c>
      <c r="CG1628">
        <v>15550948</v>
      </c>
      <c r="CH1628" t="s">
        <v>1681</v>
      </c>
      <c r="CI1628" s="10">
        <v>519950</v>
      </c>
    </row>
    <row r="1629" spans="1:89">
      <c r="A1629">
        <v>28027089</v>
      </c>
      <c r="B1629" s="2" t="str">
        <f>HYPERLINK("http://www.redfin.com/stingray/do/printable-listing?listing-id=1480567","Active")</f>
        <v>Active</v>
      </c>
      <c r="D1629" t="s">
        <v>3064</v>
      </c>
      <c r="E1629" t="s">
        <v>6095</v>
      </c>
      <c r="F1629" s="19">
        <v>499950</v>
      </c>
      <c r="G1629">
        <v>2008</v>
      </c>
      <c r="H1629">
        <v>3100</v>
      </c>
      <c r="I1629">
        <v>0</v>
      </c>
      <c r="J1629">
        <v>4</v>
      </c>
      <c r="K1629">
        <v>3.5</v>
      </c>
      <c r="M1629" s="2" t="str">
        <f>HYPERLINK("http://maps.live.com/default.aspx?v=2&amp;lvl=15&amp;sp=Point.47.4912_-122.1541_1357 Elma Pl NE&amp;cp=47.4912~-122.1541","Map")</f>
        <v>Map</v>
      </c>
      <c r="N1629" s="2" t="str">
        <f>HYPERLINK("http://i-0.rfimg.us/photo/1/bigphoto/089/28027089_1.jpg","Photo")</f>
        <v>Photo</v>
      </c>
      <c r="AG1629">
        <v>47.491199999999999</v>
      </c>
      <c r="AH1629">
        <v>-122.1541</v>
      </c>
      <c r="AI1629" t="s">
        <v>1077</v>
      </c>
      <c r="AJ1629">
        <v>98059</v>
      </c>
      <c r="BC1629" s="22">
        <v>39492.505127314813</v>
      </c>
      <c r="BI1629" s="22">
        <v>39549.294907407406</v>
      </c>
      <c r="BL1629">
        <v>10399</v>
      </c>
      <c r="BM1629">
        <v>1480567</v>
      </c>
      <c r="BN1629" t="s">
        <v>6076</v>
      </c>
      <c r="BO1629" s="17">
        <f t="shared" ca="1" si="25"/>
        <v>56.80427858796611</v>
      </c>
      <c r="BP1629" t="b">
        <v>0</v>
      </c>
      <c r="BQ1629">
        <v>1</v>
      </c>
      <c r="BR1629" t="s">
        <v>1842</v>
      </c>
      <c r="BS1629" t="s">
        <v>6063</v>
      </c>
      <c r="BT1629" t="b">
        <v>0</v>
      </c>
      <c r="BV1629" t="s">
        <v>1668</v>
      </c>
      <c r="BW1629">
        <v>1357</v>
      </c>
      <c r="BX1629" t="s">
        <v>1738</v>
      </c>
      <c r="BY1629">
        <v>12412232</v>
      </c>
      <c r="BZ1629" t="s">
        <v>1836</v>
      </c>
      <c r="CA1629">
        <v>1</v>
      </c>
      <c r="CB1629" t="b">
        <v>1</v>
      </c>
      <c r="CC1629">
        <v>0</v>
      </c>
      <c r="CD1629" t="b">
        <v>0</v>
      </c>
      <c r="CE1629" t="b">
        <v>0</v>
      </c>
      <c r="CF1629" t="b">
        <v>0</v>
      </c>
      <c r="CG1629">
        <v>15550963</v>
      </c>
      <c r="CH1629" t="s">
        <v>1681</v>
      </c>
      <c r="CI1629" s="10">
        <v>519950</v>
      </c>
    </row>
    <row r="1630" spans="1:89">
      <c r="A1630">
        <v>28027097</v>
      </c>
      <c r="B1630" s="2" t="str">
        <f>HYPERLINK("http://www.redfin.com/stingray/do/printable-listing?listing-id=1480564","Active")</f>
        <v>Active</v>
      </c>
      <c r="D1630" t="s">
        <v>5626</v>
      </c>
      <c r="E1630" t="s">
        <v>5835</v>
      </c>
      <c r="F1630" s="19">
        <v>656000</v>
      </c>
      <c r="G1630">
        <v>1992</v>
      </c>
      <c r="H1630">
        <v>2550</v>
      </c>
      <c r="I1630">
        <v>7661</v>
      </c>
      <c r="J1630">
        <v>4</v>
      </c>
      <c r="K1630">
        <v>2.5</v>
      </c>
      <c r="M1630" s="2" t="str">
        <f>HYPERLINK("http://maps.live.com/default.aspx?v=2&amp;lvl=15&amp;sp=Point.47.530688_-122.148564_14430 SE 79th Dr&amp;cp=47.530688~-122.148564","Map")</f>
        <v>Map</v>
      </c>
      <c r="N1630" s="2" t="str">
        <f>HYPERLINK("http://i-0.rfimg.us/photo/1/bigphoto/097/28027097_3.jpg","Photo")</f>
        <v>Photo</v>
      </c>
      <c r="AG1630">
        <v>47.530687999999998</v>
      </c>
      <c r="AH1630">
        <v>-122.14856399999999</v>
      </c>
      <c r="AI1630" t="s">
        <v>3885</v>
      </c>
      <c r="AJ1630">
        <v>98059</v>
      </c>
      <c r="AN1630">
        <v>432500</v>
      </c>
      <c r="BC1630" s="22">
        <v>39492.50509259259</v>
      </c>
      <c r="BI1630" s="22">
        <v>39549.294907407406</v>
      </c>
      <c r="BL1630">
        <v>13750</v>
      </c>
      <c r="BM1630">
        <v>1480564</v>
      </c>
      <c r="BN1630" t="s">
        <v>2985</v>
      </c>
      <c r="BO1630" s="17">
        <f t="shared" ca="1" si="25"/>
        <v>56.804313310189173</v>
      </c>
      <c r="BP1630" t="b">
        <v>0</v>
      </c>
      <c r="BQ1630">
        <v>1</v>
      </c>
      <c r="BR1630" t="s">
        <v>1816</v>
      </c>
      <c r="BS1630" t="s">
        <v>3206</v>
      </c>
      <c r="BT1630" t="b">
        <v>0</v>
      </c>
      <c r="BU1630" t="s">
        <v>3856</v>
      </c>
      <c r="BV1630" t="s">
        <v>1668</v>
      </c>
      <c r="BW1630">
        <v>14430</v>
      </c>
      <c r="BY1630">
        <v>417187</v>
      </c>
      <c r="BZ1630" t="s">
        <v>5836</v>
      </c>
      <c r="CA1630">
        <v>1</v>
      </c>
      <c r="CB1630" t="b">
        <v>1</v>
      </c>
      <c r="CC1630">
        <v>0</v>
      </c>
      <c r="CD1630" t="b">
        <v>0</v>
      </c>
      <c r="CE1630" t="b">
        <v>0</v>
      </c>
      <c r="CF1630" t="b">
        <v>0</v>
      </c>
      <c r="CG1630">
        <v>2772749</v>
      </c>
      <c r="CH1630" t="s">
        <v>1681</v>
      </c>
      <c r="CI1630" s="10">
        <v>687500</v>
      </c>
      <c r="CJ1630" s="7">
        <v>37169</v>
      </c>
    </row>
    <row r="1631" spans="1:89">
      <c r="A1631">
        <v>28027127</v>
      </c>
      <c r="B1631" s="2" t="str">
        <f>HYPERLINK("http://www.redfin.com/stingray/do/printable-listing?listing-id=1480972","Active")</f>
        <v>Active</v>
      </c>
      <c r="D1631" t="s">
        <v>3924</v>
      </c>
      <c r="E1631" t="s">
        <v>4083</v>
      </c>
      <c r="F1631">
        <v>469950</v>
      </c>
      <c r="G1631">
        <v>2006</v>
      </c>
      <c r="H1631">
        <v>1580</v>
      </c>
      <c r="I1631">
        <v>0</v>
      </c>
      <c r="J1631">
        <v>3</v>
      </c>
      <c r="K1631">
        <v>2.25</v>
      </c>
      <c r="M1631" s="2" t="str">
        <f>HYPERLINK("http://maps.live.com/default.aspx?v=2&amp;lvl=15&amp;sp=Point.47.618183_-122.302349_1818 23rd Ave&amp;cp=47.618183~-122.302349","Map")</f>
        <v>Map</v>
      </c>
      <c r="N1631" s="2" t="str">
        <f>HYPERLINK("http://i-0.rfimg.us/photo/1/bigphoto/127/28027127_2.jpg","Photo")</f>
        <v>Photo</v>
      </c>
      <c r="AG1631">
        <v>47.618183000000002</v>
      </c>
      <c r="AH1631">
        <v>-122.30234900000001</v>
      </c>
      <c r="AI1631" t="s">
        <v>66</v>
      </c>
      <c r="AJ1631">
        <v>98122</v>
      </c>
      <c r="BC1631" s="22">
        <v>39492.557384259257</v>
      </c>
      <c r="BI1631" s="22">
        <v>39549.294907407406</v>
      </c>
      <c r="BL1631">
        <v>9399</v>
      </c>
      <c r="BM1631">
        <v>1480972</v>
      </c>
      <c r="BN1631" t="s">
        <v>1798</v>
      </c>
      <c r="BO1631" s="17">
        <f t="shared" ca="1" si="25"/>
        <v>56.752021643522312</v>
      </c>
      <c r="BP1631" t="b">
        <v>0</v>
      </c>
      <c r="BQ1631">
        <v>1</v>
      </c>
      <c r="BR1631" t="s">
        <v>1667</v>
      </c>
      <c r="BS1631" t="s">
        <v>1839</v>
      </c>
      <c r="BT1631" t="b">
        <v>0</v>
      </c>
      <c r="BV1631" t="s">
        <v>1668</v>
      </c>
      <c r="BW1631">
        <v>1818</v>
      </c>
      <c r="BY1631">
        <v>12412274</v>
      </c>
      <c r="BZ1631" t="s">
        <v>3510</v>
      </c>
      <c r="CA1631">
        <v>1</v>
      </c>
      <c r="CB1631" t="b">
        <v>1</v>
      </c>
      <c r="CC1631">
        <v>0</v>
      </c>
      <c r="CD1631" t="b">
        <v>0</v>
      </c>
      <c r="CE1631" t="b">
        <v>0</v>
      </c>
      <c r="CF1631" t="b">
        <v>0</v>
      </c>
      <c r="CG1631">
        <v>15616022</v>
      </c>
      <c r="CH1631" t="s">
        <v>1681</v>
      </c>
      <c r="CI1631" s="10">
        <v>469950</v>
      </c>
    </row>
    <row r="1632" spans="1:89">
      <c r="A1632">
        <v>28027141</v>
      </c>
      <c r="B1632" s="2" t="str">
        <f>HYPERLINK("http://www.redfin.com/stingray/do/printable-listing?listing-id=1480973","Active")</f>
        <v>Active</v>
      </c>
      <c r="D1632" t="s">
        <v>5490</v>
      </c>
      <c r="E1632" t="s">
        <v>5679</v>
      </c>
      <c r="F1632">
        <v>739950</v>
      </c>
      <c r="G1632">
        <v>2000</v>
      </c>
      <c r="H1632">
        <v>2950</v>
      </c>
      <c r="I1632">
        <v>6239</v>
      </c>
      <c r="J1632">
        <v>4</v>
      </c>
      <c r="K1632">
        <v>2.5</v>
      </c>
      <c r="M1632" s="2" t="str">
        <f>HYPERLINK("http://maps.live.com/default.aspx?v=2&amp;lvl=15&amp;sp=Point.47.544103_-122.119887_6420 165th Pl SE&amp;cp=47.544103~-122.119887","Map")</f>
        <v>Map</v>
      </c>
      <c r="N1632" s="2" t="str">
        <f>HYPERLINK("http://i-0.rfimg.us/photo/1/bigphoto/141/28027141_2.jpg","Photo")</f>
        <v>Photo</v>
      </c>
      <c r="AG1632">
        <v>47.544103</v>
      </c>
      <c r="AH1632">
        <v>-122.11988700000001</v>
      </c>
      <c r="AI1632" t="s">
        <v>369</v>
      </c>
      <c r="AJ1632">
        <v>98006</v>
      </c>
      <c r="AN1632">
        <v>499950</v>
      </c>
      <c r="BC1632" s="22">
        <v>39492.557395833333</v>
      </c>
      <c r="BI1632" s="22">
        <v>39549.294907407406</v>
      </c>
      <c r="BL1632">
        <v>14799</v>
      </c>
      <c r="BM1632">
        <v>1480973</v>
      </c>
      <c r="BN1632" t="s">
        <v>1725</v>
      </c>
      <c r="BO1632" s="17">
        <f t="shared" ca="1" si="25"/>
        <v>56.752010069445532</v>
      </c>
      <c r="BP1632" t="b">
        <v>0</v>
      </c>
      <c r="BQ1632">
        <v>1</v>
      </c>
      <c r="BR1632" t="s">
        <v>1842</v>
      </c>
      <c r="BS1632" t="s">
        <v>5256</v>
      </c>
      <c r="BT1632" t="b">
        <v>0</v>
      </c>
      <c r="BV1632" t="s">
        <v>1668</v>
      </c>
      <c r="BW1632">
        <v>6420</v>
      </c>
      <c r="BX1632" t="s">
        <v>3856</v>
      </c>
      <c r="BY1632">
        <v>418281</v>
      </c>
      <c r="BZ1632" t="s">
        <v>5680</v>
      </c>
      <c r="CA1632">
        <v>1</v>
      </c>
      <c r="CB1632" t="b">
        <v>1</v>
      </c>
      <c r="CC1632">
        <v>0</v>
      </c>
      <c r="CD1632" t="b">
        <v>0</v>
      </c>
      <c r="CE1632" t="b">
        <v>0</v>
      </c>
      <c r="CF1632" t="b">
        <v>0</v>
      </c>
      <c r="CG1632">
        <v>2565354</v>
      </c>
      <c r="CH1632" t="s">
        <v>1681</v>
      </c>
      <c r="CI1632" s="10">
        <v>739950</v>
      </c>
      <c r="CJ1632" s="7">
        <v>37047</v>
      </c>
    </row>
    <row r="1633" spans="1:88">
      <c r="A1633">
        <v>28027165</v>
      </c>
      <c r="B1633" s="2" t="str">
        <f>HYPERLINK("http://www.redfin.com/stingray/do/printable-listing?listing-id=1481008","Subject To Inspection")</f>
        <v>Subject To Inspection</v>
      </c>
      <c r="D1633" t="s">
        <v>1058</v>
      </c>
      <c r="E1633" t="s">
        <v>4591</v>
      </c>
      <c r="F1633">
        <v>779990</v>
      </c>
      <c r="G1633">
        <v>2008</v>
      </c>
      <c r="H1633">
        <v>2116</v>
      </c>
      <c r="I1633">
        <v>0</v>
      </c>
      <c r="J1633">
        <v>3</v>
      </c>
      <c r="K1633">
        <v>2.5</v>
      </c>
      <c r="M1633" s="2" t="str">
        <f>HYPERLINK("http://maps.live.com/default.aspx?v=2&amp;lvl=15&amp;sp=Point.47.703071_-122.208271_11412 99th Pl NE&amp;cp=47.703071~-122.208271","Map")</f>
        <v>Map</v>
      </c>
      <c r="N1633" s="2" t="str">
        <f>HYPERLINK("http://i-0.rfimg.us/photo/1/bigphoto/165/28027165_6.jpg","Photo")</f>
        <v>Photo</v>
      </c>
      <c r="AG1633">
        <v>47.703071000000001</v>
      </c>
      <c r="AH1633">
        <v>-122.208271</v>
      </c>
      <c r="AI1633" t="s">
        <v>1058</v>
      </c>
      <c r="AJ1633">
        <v>98033</v>
      </c>
      <c r="BC1633" s="22">
        <v>39492.568101851852</v>
      </c>
      <c r="BI1633" s="22">
        <v>39549.294907407406</v>
      </c>
      <c r="BL1633">
        <v>15600</v>
      </c>
      <c r="BM1633">
        <v>1481008</v>
      </c>
      <c r="BN1633" t="s">
        <v>1768</v>
      </c>
      <c r="BO1633" s="17">
        <f t="shared" ca="1" si="25"/>
        <v>56.741304050927283</v>
      </c>
      <c r="BP1633" t="b">
        <v>0</v>
      </c>
      <c r="BQ1633">
        <v>2</v>
      </c>
      <c r="BR1633" t="s">
        <v>1842</v>
      </c>
      <c r="BS1633" t="s">
        <v>4451</v>
      </c>
      <c r="BT1633" t="b">
        <v>0</v>
      </c>
      <c r="BV1633" t="s">
        <v>1668</v>
      </c>
      <c r="BW1633">
        <v>11412</v>
      </c>
      <c r="BX1633" t="s">
        <v>1738</v>
      </c>
      <c r="BY1633">
        <v>12308513</v>
      </c>
      <c r="BZ1633" s="21">
        <v>6.9444444444444447E-4</v>
      </c>
      <c r="CA1633">
        <v>1</v>
      </c>
      <c r="CB1633" t="b">
        <v>1</v>
      </c>
      <c r="CC1633">
        <v>0</v>
      </c>
      <c r="CD1633" t="b">
        <v>0</v>
      </c>
      <c r="CE1633" t="b">
        <v>0</v>
      </c>
      <c r="CF1633" t="b">
        <v>0</v>
      </c>
      <c r="CG1633">
        <v>15515391</v>
      </c>
      <c r="CH1633" t="s">
        <v>1681</v>
      </c>
      <c r="CI1633" s="10">
        <v>779990</v>
      </c>
    </row>
    <row r="1634" spans="1:88">
      <c r="A1634">
        <v>28027200</v>
      </c>
      <c r="B1634" s="2" t="str">
        <f>HYPERLINK("http://www.redfin.com/stingray/do/printable-listing?listing-id=1481162","Active")</f>
        <v>Active</v>
      </c>
      <c r="D1634" t="s">
        <v>1058</v>
      </c>
      <c r="E1634" t="s">
        <v>4592</v>
      </c>
      <c r="F1634">
        <v>769990</v>
      </c>
      <c r="G1634">
        <v>2008</v>
      </c>
      <c r="H1634">
        <v>1952</v>
      </c>
      <c r="I1634">
        <v>0</v>
      </c>
      <c r="J1634">
        <v>3</v>
      </c>
      <c r="K1634">
        <v>3.25</v>
      </c>
      <c r="M1634" s="2" t="str">
        <f>HYPERLINK("http://maps.live.com/default.aspx?v=2&amp;lvl=15&amp;sp=Point.47.70308_-122.208278_11414 99th Pl NE&amp;cp=47.70308~-122.208278","Map")</f>
        <v>Map</v>
      </c>
      <c r="N1634" s="2" t="str">
        <f>HYPERLINK("http://i-0.rfimg.us/photo/1/bigphoto/200/28027200_1.jpg","Photo")</f>
        <v>Photo</v>
      </c>
      <c r="AG1634">
        <v>47.70308</v>
      </c>
      <c r="AH1634">
        <v>-122.20827800000001</v>
      </c>
      <c r="AI1634" t="s">
        <v>1058</v>
      </c>
      <c r="AJ1634">
        <v>98033</v>
      </c>
      <c r="BC1634" s="22">
        <v>39492.601273148146</v>
      </c>
      <c r="BI1634" s="22">
        <v>39549.294907407406</v>
      </c>
      <c r="BL1634">
        <v>15400</v>
      </c>
      <c r="BM1634">
        <v>1481162</v>
      </c>
      <c r="BN1634" t="s">
        <v>1768</v>
      </c>
      <c r="BO1634" s="17">
        <f t="shared" ca="1" si="25"/>
        <v>56.70813275463297</v>
      </c>
      <c r="BP1634" t="b">
        <v>0</v>
      </c>
      <c r="BQ1634">
        <v>1</v>
      </c>
      <c r="BR1634" t="s">
        <v>1842</v>
      </c>
      <c r="BS1634" t="s">
        <v>4451</v>
      </c>
      <c r="BT1634" t="b">
        <v>0</v>
      </c>
      <c r="BV1634" t="s">
        <v>1668</v>
      </c>
      <c r="BW1634">
        <v>11414</v>
      </c>
      <c r="BX1634" t="s">
        <v>1738</v>
      </c>
      <c r="BY1634">
        <v>12317744</v>
      </c>
      <c r="BZ1634" t="s">
        <v>1935</v>
      </c>
      <c r="CA1634">
        <v>1</v>
      </c>
      <c r="CB1634" t="b">
        <v>1</v>
      </c>
      <c r="CC1634">
        <v>0</v>
      </c>
      <c r="CD1634" t="b">
        <v>0</v>
      </c>
      <c r="CE1634" t="b">
        <v>0</v>
      </c>
      <c r="CF1634" t="b">
        <v>0</v>
      </c>
      <c r="CG1634">
        <v>3027470</v>
      </c>
      <c r="CH1634" t="s">
        <v>1681</v>
      </c>
      <c r="CI1634" s="10">
        <v>769990</v>
      </c>
    </row>
    <row r="1635" spans="1:88">
      <c r="A1635">
        <v>28027218</v>
      </c>
      <c r="B1635" s="2" t="str">
        <f>HYPERLINK("http://www.redfin.com/stingray/do/printable-listing?listing-id=1481244","Active")</f>
        <v>Active</v>
      </c>
      <c r="D1635" t="s">
        <v>4359</v>
      </c>
      <c r="E1635" t="s">
        <v>4357</v>
      </c>
      <c r="F1635">
        <v>529900</v>
      </c>
      <c r="G1635">
        <v>1976</v>
      </c>
      <c r="H1635">
        <v>1460</v>
      </c>
      <c r="I1635">
        <v>7013</v>
      </c>
      <c r="J1635">
        <v>3</v>
      </c>
      <c r="K1635">
        <v>1.75</v>
      </c>
      <c r="M1635" s="2" t="str">
        <f>HYPERLINK("http://maps.live.com/default.aspx?v=2&amp;lvl=15&amp;sp=Point.47.69676_-122.167776_12846 NE 107th Pl&amp;cp=47.69676~-122.167776","Map")</f>
        <v>Map</v>
      </c>
      <c r="N1635" s="2" t="str">
        <f>HYPERLINK("http://i-0.rfimg.us/photo/1/bigphoto/218/28027218_4.jpg","Photo")</f>
        <v>Photo</v>
      </c>
      <c r="AG1635">
        <v>47.696759999999998</v>
      </c>
      <c r="AH1635">
        <v>-122.167776</v>
      </c>
      <c r="AI1635" t="s">
        <v>1058</v>
      </c>
      <c r="AJ1635">
        <v>98033</v>
      </c>
      <c r="AN1635">
        <v>230000</v>
      </c>
      <c r="BC1635" s="22">
        <v>39492.621435185189</v>
      </c>
      <c r="BI1635" s="22">
        <v>39549.294907407406</v>
      </c>
      <c r="BL1635">
        <v>10598</v>
      </c>
      <c r="BM1635">
        <v>1481244</v>
      </c>
      <c r="BN1635" t="s">
        <v>1824</v>
      </c>
      <c r="BO1635" s="17">
        <f t="shared" ca="1" si="25"/>
        <v>56.68797071759036</v>
      </c>
      <c r="BP1635" t="b">
        <v>0</v>
      </c>
      <c r="BQ1635">
        <v>1</v>
      </c>
      <c r="BR1635" t="s">
        <v>1842</v>
      </c>
      <c r="BS1635" t="s">
        <v>2678</v>
      </c>
      <c r="BT1635" t="b">
        <v>0</v>
      </c>
      <c r="BU1635" t="s">
        <v>1738</v>
      </c>
      <c r="BV1635" t="s">
        <v>1668</v>
      </c>
      <c r="BW1635">
        <v>12846</v>
      </c>
      <c r="BY1635">
        <v>511713</v>
      </c>
      <c r="BZ1635" t="s">
        <v>4358</v>
      </c>
      <c r="CA1635">
        <v>1</v>
      </c>
      <c r="CB1635" t="b">
        <v>1</v>
      </c>
      <c r="CC1635">
        <v>0</v>
      </c>
      <c r="CD1635" t="b">
        <v>0</v>
      </c>
      <c r="CE1635" t="b">
        <v>0</v>
      </c>
      <c r="CF1635" t="b">
        <v>0</v>
      </c>
      <c r="CG1635">
        <v>2518830</v>
      </c>
      <c r="CH1635" t="s">
        <v>1681</v>
      </c>
      <c r="CI1635" s="10">
        <v>529900</v>
      </c>
      <c r="CJ1635" s="7">
        <v>36972</v>
      </c>
    </row>
    <row r="1636" spans="1:88">
      <c r="A1636">
        <v>28027240</v>
      </c>
      <c r="B1636" s="15" t="str">
        <f>HYPERLINK("http://www.redfin.com/stingray/do/printable-listing?listing-id=1481197","Subject To Inspection")</f>
        <v>Subject To Inspection</v>
      </c>
      <c r="D1636" t="s">
        <v>100</v>
      </c>
      <c r="E1636" t="s">
        <v>689</v>
      </c>
      <c r="F1636" s="19">
        <v>399950</v>
      </c>
      <c r="G1636">
        <v>2007</v>
      </c>
      <c r="H1636">
        <v>0</v>
      </c>
      <c r="I1636">
        <v>0</v>
      </c>
      <c r="J1636">
        <v>2</v>
      </c>
      <c r="K1636">
        <v>1.5</v>
      </c>
      <c r="M1636" s="2" t="str">
        <f>HYPERLINK("http://maps.live.com/default.aspx?v=2&amp;lvl=15&amp;sp=Point.47.653381_-122.355803_3653 Greenwood Ave N&amp;cp=47.653381~-122.355803","Map")</f>
        <v>Map</v>
      </c>
      <c r="N1636" s="2" t="str">
        <f>HYPERLINK("http://i-0.rfimg.us/photo/1/bigphoto/240/28027240_3.jpg","Photo")</f>
        <v>Photo</v>
      </c>
      <c r="AG1636">
        <v>47.653381000000003</v>
      </c>
      <c r="AH1636">
        <v>-122.35580299999999</v>
      </c>
      <c r="AI1636" t="s">
        <v>66</v>
      </c>
      <c r="AJ1636">
        <v>98103</v>
      </c>
      <c r="BC1636" s="22">
        <v>39492.61041666667</v>
      </c>
      <c r="BI1636" s="22">
        <v>39549.294907407406</v>
      </c>
      <c r="BL1636">
        <v>8199</v>
      </c>
      <c r="BM1636">
        <v>1481197</v>
      </c>
      <c r="BN1636" t="s">
        <v>1693</v>
      </c>
      <c r="BO1636" s="17">
        <f t="shared" ca="1" si="25"/>
        <v>56.698989236108901</v>
      </c>
      <c r="BP1636" t="b">
        <v>0</v>
      </c>
      <c r="BQ1636">
        <v>1</v>
      </c>
      <c r="BR1636" t="s">
        <v>1667</v>
      </c>
      <c r="BS1636" t="s">
        <v>55</v>
      </c>
      <c r="BT1636" t="b">
        <v>0</v>
      </c>
      <c r="BV1636" t="s">
        <v>1668</v>
      </c>
      <c r="BW1636">
        <v>3653</v>
      </c>
      <c r="BX1636" t="s">
        <v>1712</v>
      </c>
      <c r="BY1636">
        <v>12412296</v>
      </c>
      <c r="BZ1636" t="s">
        <v>2013</v>
      </c>
      <c r="CA1636">
        <v>1</v>
      </c>
      <c r="CB1636" t="b">
        <v>1</v>
      </c>
      <c r="CC1636">
        <v>0</v>
      </c>
      <c r="CD1636" t="b">
        <v>0</v>
      </c>
      <c r="CE1636" t="b">
        <v>0</v>
      </c>
      <c r="CF1636" t="b">
        <v>0</v>
      </c>
      <c r="CG1636">
        <v>15616044</v>
      </c>
      <c r="CH1636" t="s">
        <v>1681</v>
      </c>
      <c r="CI1636" s="10">
        <v>409950</v>
      </c>
    </row>
    <row r="1637" spans="1:88">
      <c r="A1637">
        <v>28027272</v>
      </c>
      <c r="B1637" s="15" t="str">
        <f>HYPERLINK("http://www.redfin.com/stingray/do/printable-listing?listing-id=1481325","Subject To Inspection")</f>
        <v>Subject To Inspection</v>
      </c>
      <c r="D1637" t="s">
        <v>63</v>
      </c>
      <c r="E1637" t="s">
        <v>2589</v>
      </c>
      <c r="F1637">
        <v>669950</v>
      </c>
      <c r="G1637">
        <v>1953</v>
      </c>
      <c r="H1637">
        <v>2960</v>
      </c>
      <c r="I1637">
        <v>5000</v>
      </c>
      <c r="J1637">
        <v>4</v>
      </c>
      <c r="K1637">
        <v>2</v>
      </c>
      <c r="M1637" s="2" t="str">
        <f>HYPERLINK("http://maps.live.com/default.aspx?v=2&amp;lvl=15&amp;sp=Point.47.673063_-122.361524_6020 4th Ave NW&amp;cp=47.673063~-122.361524","Map")</f>
        <v>Map</v>
      </c>
      <c r="N1637" s="2" t="str">
        <f>HYPERLINK("http://i-0.rfimg.us/photo/1/bigphoto/272/28027272_2.jpg","Photo")</f>
        <v>Photo</v>
      </c>
      <c r="AG1637">
        <v>47.673062999999999</v>
      </c>
      <c r="AH1637">
        <v>-122.361524</v>
      </c>
      <c r="AI1637" t="s">
        <v>66</v>
      </c>
      <c r="AJ1637">
        <v>98107</v>
      </c>
      <c r="BC1637" s="22">
        <v>39492.641689814816</v>
      </c>
      <c r="BI1637" s="22">
        <v>39545.917314814818</v>
      </c>
      <c r="BL1637">
        <v>13399</v>
      </c>
      <c r="BM1637">
        <v>1481325</v>
      </c>
      <c r="BN1637" t="s">
        <v>2588</v>
      </c>
      <c r="BO1637" s="17">
        <f t="shared" ca="1" si="25"/>
        <v>56.667716203701275</v>
      </c>
      <c r="BP1637" t="b">
        <v>0</v>
      </c>
      <c r="BQ1637">
        <v>1</v>
      </c>
      <c r="BR1637" t="s">
        <v>1667</v>
      </c>
      <c r="BS1637" t="s">
        <v>1724</v>
      </c>
      <c r="BT1637" t="b">
        <v>0</v>
      </c>
      <c r="BV1637" t="s">
        <v>1668</v>
      </c>
      <c r="BW1637">
        <v>6020</v>
      </c>
      <c r="BX1637" t="s">
        <v>1669</v>
      </c>
      <c r="BY1637">
        <v>493977</v>
      </c>
      <c r="BZ1637" t="s">
        <v>1730</v>
      </c>
      <c r="CA1637">
        <v>1</v>
      </c>
      <c r="CB1637" t="b">
        <v>1</v>
      </c>
      <c r="CC1637">
        <v>0</v>
      </c>
      <c r="CD1637" t="b">
        <v>0</v>
      </c>
      <c r="CE1637" t="b">
        <v>0</v>
      </c>
      <c r="CF1637" t="b">
        <v>0</v>
      </c>
      <c r="CG1637">
        <v>2532595</v>
      </c>
      <c r="CH1637" t="s">
        <v>1681</v>
      </c>
      <c r="CI1637" s="10">
        <v>669950</v>
      </c>
    </row>
    <row r="1638" spans="1:88">
      <c r="A1638">
        <v>28027313</v>
      </c>
      <c r="B1638" s="2" t="str">
        <f>HYPERLINK("http://www.redfin.com/stingray/do/printable-listing?listing-id=1483363","Active")</f>
        <v>Active</v>
      </c>
      <c r="D1638" t="s">
        <v>5191</v>
      </c>
      <c r="E1638" t="s">
        <v>5849</v>
      </c>
      <c r="F1638">
        <v>869000</v>
      </c>
      <c r="G1638">
        <v>1978</v>
      </c>
      <c r="H1638">
        <v>3300</v>
      </c>
      <c r="I1638">
        <v>10019</v>
      </c>
      <c r="J1638">
        <v>5</v>
      </c>
      <c r="K1638">
        <v>2.75</v>
      </c>
      <c r="M1638" s="2" t="str">
        <f>HYPERLINK("http://maps.live.com/default.aspx?v=2&amp;lvl=15&amp;sp=Point.47.560894_-122.143663_4721 147th Pl SE&amp;cp=47.560894~-122.143663","Map")</f>
        <v>Map</v>
      </c>
      <c r="N1638" s="2" t="str">
        <f>HYPERLINK("http://i-0.rfimg.us/photo/1/bigphoto/313/28027313_5.jpg","Photo")</f>
        <v>Photo</v>
      </c>
      <c r="AG1638">
        <v>47.560893999999998</v>
      </c>
      <c r="AH1638">
        <v>-122.143663</v>
      </c>
      <c r="AI1638" t="s">
        <v>369</v>
      </c>
      <c r="AJ1638">
        <v>98006</v>
      </c>
      <c r="AN1638">
        <v>615000</v>
      </c>
      <c r="BC1638" s="22">
        <v>39493.401342592595</v>
      </c>
      <c r="BI1638" s="22">
        <v>39549.294907407406</v>
      </c>
      <c r="BL1638">
        <v>17380</v>
      </c>
      <c r="BM1638">
        <v>1483363</v>
      </c>
      <c r="BN1638" t="s">
        <v>1768</v>
      </c>
      <c r="BO1638" s="17">
        <f t="shared" ca="1" si="25"/>
        <v>55.908063310183934</v>
      </c>
      <c r="BP1638" t="b">
        <v>0</v>
      </c>
      <c r="BQ1638">
        <v>1</v>
      </c>
      <c r="BR1638" t="s">
        <v>1842</v>
      </c>
      <c r="BS1638" t="s">
        <v>4610</v>
      </c>
      <c r="BT1638" t="b">
        <v>0</v>
      </c>
      <c r="BV1638" t="s">
        <v>1668</v>
      </c>
      <c r="BW1638">
        <v>4721</v>
      </c>
      <c r="BX1638" t="s">
        <v>3856</v>
      </c>
      <c r="BY1638">
        <v>235072</v>
      </c>
      <c r="BZ1638" t="s">
        <v>5850</v>
      </c>
      <c r="CA1638">
        <v>1</v>
      </c>
      <c r="CB1638" t="b">
        <v>1</v>
      </c>
      <c r="CC1638">
        <v>0</v>
      </c>
      <c r="CD1638" t="b">
        <v>0</v>
      </c>
      <c r="CE1638" t="b">
        <v>0</v>
      </c>
      <c r="CF1638" t="b">
        <v>0</v>
      </c>
      <c r="CG1638">
        <v>2637017</v>
      </c>
      <c r="CH1638" t="s">
        <v>1681</v>
      </c>
      <c r="CI1638" s="10">
        <v>869000</v>
      </c>
      <c r="CJ1638" s="7">
        <v>38471</v>
      </c>
    </row>
    <row r="1639" spans="1:88">
      <c r="A1639">
        <v>28027322</v>
      </c>
      <c r="B1639" s="2" t="str">
        <f>HYPERLINK("http://www.redfin.com/stingray/do/printable-listing?listing-id=1481499","Active")</f>
        <v>Active</v>
      </c>
      <c r="D1639" t="s">
        <v>3066</v>
      </c>
      <c r="E1639" t="s">
        <v>4889</v>
      </c>
      <c r="F1639">
        <v>1095000</v>
      </c>
      <c r="G1639">
        <v>2007</v>
      </c>
      <c r="H1639">
        <v>3232</v>
      </c>
      <c r="I1639">
        <v>9690</v>
      </c>
      <c r="J1639">
        <v>4</v>
      </c>
      <c r="K1639">
        <v>2.75</v>
      </c>
      <c r="M1639" s="2" t="str">
        <f>HYPERLINK("http://maps.live.com/default.aspx?v=2&amp;lvl=15&amp;sp=Point.47.676103_-122.177995_8002 122nd Ave NE&amp;cp=47.676103~-122.177995","Map")</f>
        <v>Map</v>
      </c>
      <c r="N1639" s="2" t="str">
        <f>HYPERLINK("http://i-0.rfimg.us/photo/1/bigphoto/322/28027322_1.jpg","Photo")</f>
        <v>Photo</v>
      </c>
      <c r="AG1639">
        <v>47.676102999999998</v>
      </c>
      <c r="AH1639">
        <v>-122.177995</v>
      </c>
      <c r="AI1639" t="s">
        <v>1058</v>
      </c>
      <c r="AJ1639">
        <v>98033</v>
      </c>
      <c r="BC1639" s="22">
        <v>39492.651875000003</v>
      </c>
      <c r="BI1639" s="22">
        <v>39549.294907407406</v>
      </c>
      <c r="BL1639">
        <v>21900</v>
      </c>
      <c r="BM1639">
        <v>1481499</v>
      </c>
      <c r="BN1639" t="s">
        <v>1674</v>
      </c>
      <c r="BO1639" s="17">
        <f t="shared" ca="1" si="25"/>
        <v>56.657530902775761</v>
      </c>
      <c r="BP1639" t="b">
        <v>0</v>
      </c>
      <c r="BQ1639">
        <v>1</v>
      </c>
      <c r="BR1639" t="s">
        <v>1667</v>
      </c>
      <c r="BS1639" t="s">
        <v>2672</v>
      </c>
      <c r="BT1639" t="b">
        <v>0</v>
      </c>
      <c r="BV1639" t="s">
        <v>1668</v>
      </c>
      <c r="BW1639">
        <v>8002</v>
      </c>
      <c r="BX1639" t="s">
        <v>1738</v>
      </c>
      <c r="BY1639">
        <v>12412487</v>
      </c>
      <c r="BZ1639" t="s">
        <v>2989</v>
      </c>
      <c r="CA1639">
        <v>1</v>
      </c>
      <c r="CB1639" t="b">
        <v>1</v>
      </c>
      <c r="CC1639">
        <v>0</v>
      </c>
      <c r="CD1639" t="b">
        <v>0</v>
      </c>
      <c r="CE1639" t="b">
        <v>0</v>
      </c>
      <c r="CF1639" t="b">
        <v>0</v>
      </c>
      <c r="CG1639">
        <v>15616235</v>
      </c>
      <c r="CH1639" t="s">
        <v>1681</v>
      </c>
      <c r="CI1639" s="10">
        <v>1095000</v>
      </c>
    </row>
    <row r="1640" spans="1:88">
      <c r="A1640">
        <v>28027326</v>
      </c>
      <c r="B1640" s="2" t="str">
        <f>HYPERLINK("http://www.redfin.com/stingray/do/printable-listing?listing-id=1481558","Active")</f>
        <v>Active</v>
      </c>
      <c r="D1640" t="s">
        <v>1058</v>
      </c>
      <c r="E1640" t="s">
        <v>4453</v>
      </c>
      <c r="F1640">
        <v>799990</v>
      </c>
      <c r="G1640">
        <v>2008</v>
      </c>
      <c r="H1640">
        <v>2395</v>
      </c>
      <c r="I1640">
        <v>0</v>
      </c>
      <c r="J1640">
        <v>3</v>
      </c>
      <c r="K1640">
        <v>3.5</v>
      </c>
      <c r="M1640" s="2" t="str">
        <f>HYPERLINK("http://maps.live.com/default.aspx?v=2&amp;lvl=15&amp;sp=Point.47.703089_-122.208284_11416 99th Pl NE&amp;cp=47.703089~-122.208284","Map")</f>
        <v>Map</v>
      </c>
      <c r="N1640" s="2" t="str">
        <f>HYPERLINK("http://i-0.rfimg.us/photo/1/bigphoto/326/28027326_2.jpg","Photo")</f>
        <v>Photo</v>
      </c>
      <c r="AG1640">
        <v>47.703088999999999</v>
      </c>
      <c r="AH1640">
        <v>-122.20828400000001</v>
      </c>
      <c r="AI1640" t="s">
        <v>1058</v>
      </c>
      <c r="AJ1640">
        <v>98033</v>
      </c>
      <c r="BC1640" s="22">
        <v>39492.662511574075</v>
      </c>
      <c r="BI1640" s="22">
        <v>39549.294907407406</v>
      </c>
      <c r="BL1640">
        <v>16000</v>
      </c>
      <c r="BM1640">
        <v>1481558</v>
      </c>
      <c r="BN1640" t="s">
        <v>1768</v>
      </c>
      <c r="BO1640" s="17">
        <f t="shared" ca="1" si="25"/>
        <v>56.646894328703638</v>
      </c>
      <c r="BP1640" t="b">
        <v>0</v>
      </c>
      <c r="BQ1640">
        <v>1</v>
      </c>
      <c r="BR1640" t="s">
        <v>1842</v>
      </c>
      <c r="BS1640" t="s">
        <v>4451</v>
      </c>
      <c r="BT1640" t="b">
        <v>0</v>
      </c>
      <c r="BV1640" t="s">
        <v>1668</v>
      </c>
      <c r="BW1640">
        <v>11416</v>
      </c>
      <c r="BX1640" t="s">
        <v>1738</v>
      </c>
      <c r="BY1640">
        <v>12412502</v>
      </c>
      <c r="BZ1640" t="s">
        <v>2340</v>
      </c>
      <c r="CA1640">
        <v>1</v>
      </c>
      <c r="CB1640" t="b">
        <v>1</v>
      </c>
      <c r="CC1640">
        <v>0</v>
      </c>
      <c r="CD1640" t="b">
        <v>0</v>
      </c>
      <c r="CE1640" t="b">
        <v>0</v>
      </c>
      <c r="CF1640" t="b">
        <v>0</v>
      </c>
      <c r="CG1640">
        <v>15616250</v>
      </c>
      <c r="CH1640" t="s">
        <v>1681</v>
      </c>
      <c r="CI1640" s="10">
        <v>799990</v>
      </c>
    </row>
    <row r="1641" spans="1:88">
      <c r="A1641">
        <v>28027334</v>
      </c>
      <c r="B1641" s="2" t="str">
        <f>HYPERLINK("http://www.redfin.com/stingray/do/printable-listing?listing-id=1481559","Active")</f>
        <v>Active</v>
      </c>
      <c r="D1641" t="s">
        <v>1058</v>
      </c>
      <c r="E1641" t="s">
        <v>4450</v>
      </c>
      <c r="F1641">
        <v>819990</v>
      </c>
      <c r="G1641">
        <v>2008</v>
      </c>
      <c r="H1641">
        <v>2395</v>
      </c>
      <c r="I1641">
        <v>0</v>
      </c>
      <c r="J1641">
        <v>3</v>
      </c>
      <c r="K1641">
        <v>3.5</v>
      </c>
      <c r="M1641" s="2" t="str">
        <f>HYPERLINK("http://maps.live.com/default.aspx?v=2&amp;lvl=15&amp;sp=Point.47.703106_-122.208298_11420 99th Pl NE&amp;cp=47.703106~-122.208298","Map")</f>
        <v>Map</v>
      </c>
      <c r="N1641" s="2" t="str">
        <f>HYPERLINK("http://i-0.rfimg.us/photo/1/bigphoto/334/28027334_2.jpg","Photo")</f>
        <v>Photo</v>
      </c>
      <c r="AG1641">
        <v>47.703105999999998</v>
      </c>
      <c r="AH1641">
        <v>-122.208298</v>
      </c>
      <c r="AI1641" t="s">
        <v>1058</v>
      </c>
      <c r="AJ1641">
        <v>98033</v>
      </c>
      <c r="BC1641" s="22">
        <v>39492.662511574075</v>
      </c>
      <c r="BI1641" s="22">
        <v>39549.294907407406</v>
      </c>
      <c r="BL1641">
        <v>16400</v>
      </c>
      <c r="BM1641">
        <v>1481559</v>
      </c>
      <c r="BN1641" t="s">
        <v>1768</v>
      </c>
      <c r="BO1641" s="17">
        <f t="shared" ca="1" si="25"/>
        <v>56.646894328703638</v>
      </c>
      <c r="BP1641" t="b">
        <v>0</v>
      </c>
      <c r="BQ1641">
        <v>1</v>
      </c>
      <c r="BR1641" t="s">
        <v>1842</v>
      </c>
      <c r="BS1641" t="s">
        <v>4451</v>
      </c>
      <c r="BT1641" t="b">
        <v>0</v>
      </c>
      <c r="BV1641" t="s">
        <v>1668</v>
      </c>
      <c r="BW1641">
        <v>11420</v>
      </c>
      <c r="BX1641" t="s">
        <v>1738</v>
      </c>
      <c r="BY1641">
        <v>12412503</v>
      </c>
      <c r="BZ1641" t="s">
        <v>2340</v>
      </c>
      <c r="CA1641">
        <v>1</v>
      </c>
      <c r="CB1641" t="b">
        <v>1</v>
      </c>
      <c r="CC1641">
        <v>0</v>
      </c>
      <c r="CD1641" t="b">
        <v>0</v>
      </c>
      <c r="CE1641" t="b">
        <v>0</v>
      </c>
      <c r="CF1641" t="b">
        <v>0</v>
      </c>
      <c r="CG1641">
        <v>15616251</v>
      </c>
      <c r="CH1641" t="s">
        <v>1681</v>
      </c>
      <c r="CI1641" s="10">
        <v>819990</v>
      </c>
    </row>
    <row r="1642" spans="1:88">
      <c r="A1642">
        <v>28027362</v>
      </c>
      <c r="B1642" s="2" t="str">
        <f>HYPERLINK("http://www.redfin.com/stingray/do/printable-listing?listing-id=1483124","Active")</f>
        <v>Active</v>
      </c>
      <c r="D1642" t="s">
        <v>2552</v>
      </c>
      <c r="E1642" t="s">
        <v>3509</v>
      </c>
      <c r="F1642">
        <v>649950</v>
      </c>
      <c r="G1642">
        <v>1919</v>
      </c>
      <c r="H1642">
        <v>0</v>
      </c>
      <c r="I1642">
        <v>0</v>
      </c>
      <c r="J1642">
        <v>3</v>
      </c>
      <c r="K1642">
        <v>2</v>
      </c>
      <c r="M1642" s="2" t="str">
        <f>HYPERLINK("http://maps.live.com/default.aspx?v=2&amp;lvl=15&amp;sp=Point.47.639401_-122.392673_2306 28th Ave W&amp;cp=47.639401~-122.392673","Map")</f>
        <v>Map</v>
      </c>
      <c r="N1642" s="2" t="str">
        <f>HYPERLINK("http://i-0.rfimg.us/photo/1/bigphoto/362/28027362_2.jpg","Photo")</f>
        <v>Photo</v>
      </c>
      <c r="AG1642">
        <v>47.639400999999999</v>
      </c>
      <c r="AH1642">
        <v>-122.392673</v>
      </c>
      <c r="AI1642" t="s">
        <v>66</v>
      </c>
      <c r="AJ1642">
        <v>98199</v>
      </c>
      <c r="AN1642">
        <v>299000</v>
      </c>
      <c r="BC1642" s="22">
        <v>39493.306284722225</v>
      </c>
      <c r="BI1642" s="22">
        <v>39549.294907407406</v>
      </c>
      <c r="BL1642">
        <v>12999</v>
      </c>
      <c r="BM1642">
        <v>1483124</v>
      </c>
      <c r="BN1642" t="s">
        <v>3286</v>
      </c>
      <c r="BO1642" s="17">
        <f t="shared" ca="1" si="25"/>
        <v>56.003121180554444</v>
      </c>
      <c r="BP1642" t="b">
        <v>0</v>
      </c>
      <c r="BQ1642">
        <v>1</v>
      </c>
      <c r="BR1642" t="s">
        <v>1667</v>
      </c>
      <c r="BS1642" t="s">
        <v>1760</v>
      </c>
      <c r="BT1642" t="b">
        <v>0</v>
      </c>
      <c r="BV1642" t="s">
        <v>1668</v>
      </c>
      <c r="BW1642">
        <v>2306</v>
      </c>
      <c r="BX1642" t="s">
        <v>2423</v>
      </c>
      <c r="BY1642">
        <v>125048</v>
      </c>
      <c r="BZ1642" t="s">
        <v>3510</v>
      </c>
      <c r="CA1642">
        <v>1</v>
      </c>
      <c r="CB1642" t="b">
        <v>1</v>
      </c>
      <c r="CC1642">
        <v>0</v>
      </c>
      <c r="CD1642" t="b">
        <v>0</v>
      </c>
      <c r="CE1642" t="b">
        <v>0</v>
      </c>
      <c r="CF1642" t="b">
        <v>0</v>
      </c>
      <c r="CG1642">
        <v>2655679</v>
      </c>
      <c r="CH1642" t="s">
        <v>1681</v>
      </c>
      <c r="CI1642" s="10">
        <v>649950</v>
      </c>
      <c r="CJ1642" s="7">
        <v>37741</v>
      </c>
    </row>
    <row r="1643" spans="1:88">
      <c r="A1643">
        <v>28027424</v>
      </c>
      <c r="B1643" s="2" t="str">
        <f>HYPERLINK("http://www.redfin.com/stingray/do/printable-listing?listing-id=1481743","Active")</f>
        <v>Active</v>
      </c>
      <c r="D1643" t="s">
        <v>5490</v>
      </c>
      <c r="E1643" t="s">
        <v>5692</v>
      </c>
      <c r="F1643">
        <v>789950</v>
      </c>
      <c r="G1643">
        <v>2008</v>
      </c>
      <c r="H1643">
        <v>3393</v>
      </c>
      <c r="I1643">
        <v>4800</v>
      </c>
      <c r="J1643">
        <v>5</v>
      </c>
      <c r="K1643">
        <v>3.5</v>
      </c>
      <c r="M1643" s="2" t="str">
        <f>HYPERLINK("http://maps.live.com/default.aspx?v=2&amp;lvl=15&amp;sp=Point.47.55765_-122.122907_5079 164th Ave SE&amp;cp=47.55765~-122.122907","Map")</f>
        <v>Map</v>
      </c>
      <c r="N1643" s="2" t="str">
        <f>HYPERLINK("http://i-0.rfimg.us/photo/1/bigphoto/424/28027424_4.jpg","Photo")</f>
        <v>Photo</v>
      </c>
      <c r="AG1643">
        <v>47.557650000000002</v>
      </c>
      <c r="AH1643">
        <v>-122.122907</v>
      </c>
      <c r="AI1643" t="s">
        <v>369</v>
      </c>
      <c r="AJ1643">
        <v>98006</v>
      </c>
      <c r="BC1643" s="22">
        <v>39492.703993055555</v>
      </c>
      <c r="BI1643" s="22">
        <v>39549.294907407406</v>
      </c>
      <c r="BL1643">
        <v>15799</v>
      </c>
      <c r="BM1643">
        <v>1481743</v>
      </c>
      <c r="BN1643" t="s">
        <v>5691</v>
      </c>
      <c r="BO1643" s="17">
        <f t="shared" ca="1" si="25"/>
        <v>56.605412847224216</v>
      </c>
      <c r="BP1643" t="b">
        <v>0</v>
      </c>
      <c r="BQ1643">
        <v>1</v>
      </c>
      <c r="BR1643" t="s">
        <v>1667</v>
      </c>
      <c r="BS1643" t="s">
        <v>5306</v>
      </c>
      <c r="BT1643" t="b">
        <v>0</v>
      </c>
      <c r="BV1643" t="s">
        <v>1668</v>
      </c>
      <c r="BW1643">
        <v>5079</v>
      </c>
      <c r="BX1643" t="s">
        <v>3856</v>
      </c>
      <c r="BY1643">
        <v>12412547</v>
      </c>
      <c r="BZ1643" t="s">
        <v>5693</v>
      </c>
      <c r="CA1643">
        <v>1</v>
      </c>
      <c r="CB1643" t="b">
        <v>1</v>
      </c>
      <c r="CC1643">
        <v>0</v>
      </c>
      <c r="CD1643" t="b">
        <v>0</v>
      </c>
      <c r="CE1643" t="b">
        <v>0</v>
      </c>
      <c r="CF1643" t="b">
        <v>0</v>
      </c>
      <c r="CG1643">
        <v>15616295</v>
      </c>
      <c r="CH1643" t="s">
        <v>1681</v>
      </c>
      <c r="CI1643" s="10">
        <v>789950</v>
      </c>
    </row>
    <row r="1644" spans="1:88">
      <c r="A1644">
        <v>28027440</v>
      </c>
      <c r="B1644" s="2" t="str">
        <f>HYPERLINK("http://www.redfin.com/stingray/do/printable-listing?listing-id=1486923","Active")</f>
        <v>Active</v>
      </c>
      <c r="D1644" t="s">
        <v>5139</v>
      </c>
      <c r="E1644" t="s">
        <v>5482</v>
      </c>
      <c r="F1644" s="19">
        <v>829950</v>
      </c>
      <c r="G1644">
        <v>1952</v>
      </c>
      <c r="H1644">
        <v>3020</v>
      </c>
      <c r="I1644">
        <v>13939</v>
      </c>
      <c r="J1644">
        <v>5</v>
      </c>
      <c r="K1644">
        <v>3.25</v>
      </c>
      <c r="M1644" s="2" t="str">
        <f>HYPERLINK("http://maps.live.com/default.aspx?v=2&amp;lvl=15&amp;sp=Point.47.572167_-122.22652_4114 Island Crest Way&amp;cp=47.572167~-122.22652","Map")</f>
        <v>Map</v>
      </c>
      <c r="N1644" s="2" t="str">
        <f>HYPERLINK("http://i-0.rfimg.us/photo/1/bigphoto/440/28027440_0.jpg","Photo")</f>
        <v>Photo</v>
      </c>
      <c r="AG1644">
        <v>47.572167</v>
      </c>
      <c r="AH1644">
        <v>-122.22651999999999</v>
      </c>
      <c r="AI1644" t="s">
        <v>5139</v>
      </c>
      <c r="AJ1644">
        <v>98040</v>
      </c>
      <c r="AN1644">
        <v>299500</v>
      </c>
      <c r="BC1644" s="22">
        <v>39494.525983796295</v>
      </c>
      <c r="BI1644" s="22">
        <v>39549.294907407406</v>
      </c>
      <c r="BL1644">
        <v>17000</v>
      </c>
      <c r="BM1644">
        <v>1486923</v>
      </c>
      <c r="BN1644" t="s">
        <v>1688</v>
      </c>
      <c r="BO1644" s="17">
        <f t="shared" ca="1" si="25"/>
        <v>54.783422106484068</v>
      </c>
      <c r="BP1644" t="b">
        <v>0</v>
      </c>
      <c r="BQ1644">
        <v>1</v>
      </c>
      <c r="BR1644" t="s">
        <v>2463</v>
      </c>
      <c r="BS1644" t="s">
        <v>5349</v>
      </c>
      <c r="BT1644" t="b">
        <v>0</v>
      </c>
      <c r="BV1644" t="s">
        <v>1668</v>
      </c>
      <c r="BW1644">
        <v>4114</v>
      </c>
      <c r="BY1644">
        <v>256632</v>
      </c>
      <c r="BZ1644" t="s">
        <v>1676</v>
      </c>
      <c r="CA1644">
        <v>1</v>
      </c>
      <c r="CB1644" t="b">
        <v>1</v>
      </c>
      <c r="CC1644">
        <v>0</v>
      </c>
      <c r="CD1644" t="b">
        <v>0</v>
      </c>
      <c r="CE1644" t="b">
        <v>0</v>
      </c>
      <c r="CF1644" t="b">
        <v>0</v>
      </c>
      <c r="CG1644">
        <v>2889631</v>
      </c>
      <c r="CH1644" t="s">
        <v>1681</v>
      </c>
      <c r="CI1644" s="10">
        <v>850000</v>
      </c>
      <c r="CJ1644" s="7">
        <v>36287</v>
      </c>
    </row>
    <row r="1645" spans="1:88">
      <c r="A1645">
        <v>28027442</v>
      </c>
      <c r="B1645" s="2" t="str">
        <f>HYPERLINK("http://www.redfin.com/stingray/do/printable-listing?listing-id=1484451","Active")</f>
        <v>Active</v>
      </c>
      <c r="D1645" t="s">
        <v>3961</v>
      </c>
      <c r="E1645" t="s">
        <v>4000</v>
      </c>
      <c r="F1645">
        <v>799999</v>
      </c>
      <c r="G1645">
        <v>1955</v>
      </c>
      <c r="H1645">
        <v>1840</v>
      </c>
      <c r="I1645">
        <v>5491</v>
      </c>
      <c r="J1645">
        <v>3</v>
      </c>
      <c r="K1645">
        <v>2</v>
      </c>
      <c r="M1645" s="2" t="str">
        <f>HYPERLINK("http://maps.live.com/default.aspx?v=2&amp;lvl=15&amp;sp=Point.47.605248_-122.284401_3802 E Terrace St&amp;cp=47.605248~-122.284401","Map")</f>
        <v>Map</v>
      </c>
      <c r="N1645" s="2" t="str">
        <f>HYPERLINK("http://i-0.rfimg.us/photo/1/bigphoto/442/28027442_0.jpg","Photo")</f>
        <v>Photo</v>
      </c>
      <c r="AG1645">
        <v>47.605248000000003</v>
      </c>
      <c r="AH1645">
        <v>-122.284401</v>
      </c>
      <c r="AI1645" t="s">
        <v>66</v>
      </c>
      <c r="AJ1645">
        <v>98122</v>
      </c>
      <c r="AN1645">
        <v>285000</v>
      </c>
      <c r="BC1645" s="22">
        <v>39493.589513888888</v>
      </c>
      <c r="BI1645" s="22">
        <v>39549.294907407406</v>
      </c>
      <c r="BL1645">
        <v>16000</v>
      </c>
      <c r="BM1645">
        <v>1484451</v>
      </c>
      <c r="BN1645" t="s">
        <v>3999</v>
      </c>
      <c r="BO1645" s="17">
        <f t="shared" ca="1" si="25"/>
        <v>55.719892013890785</v>
      </c>
      <c r="BP1645" t="b">
        <v>0</v>
      </c>
      <c r="BQ1645">
        <v>1</v>
      </c>
      <c r="BR1645" t="s">
        <v>1686</v>
      </c>
      <c r="BS1645" t="s">
        <v>4001</v>
      </c>
      <c r="BT1645" t="b">
        <v>0</v>
      </c>
      <c r="BU1645" t="s">
        <v>2436</v>
      </c>
      <c r="BV1645" t="s">
        <v>1668</v>
      </c>
      <c r="BW1645">
        <v>3802</v>
      </c>
      <c r="BY1645">
        <v>141238</v>
      </c>
      <c r="BZ1645" t="s">
        <v>1762</v>
      </c>
      <c r="CA1645">
        <v>1</v>
      </c>
      <c r="CB1645" t="b">
        <v>1</v>
      </c>
      <c r="CC1645">
        <v>0</v>
      </c>
      <c r="CD1645" t="b">
        <v>0</v>
      </c>
      <c r="CE1645" t="b">
        <v>0</v>
      </c>
      <c r="CF1645" t="b">
        <v>0</v>
      </c>
      <c r="CG1645">
        <v>2647747</v>
      </c>
      <c r="CH1645" t="s">
        <v>1681</v>
      </c>
      <c r="CI1645" s="10">
        <v>799999</v>
      </c>
      <c r="CJ1645" s="7">
        <v>37424</v>
      </c>
    </row>
    <row r="1646" spans="1:88">
      <c r="A1646">
        <v>28027450</v>
      </c>
      <c r="B1646" s="2" t="str">
        <f>HYPERLINK("http://www.redfin.com/stingray/do/printable-listing?listing-id=1482340","Active")</f>
        <v>Active</v>
      </c>
      <c r="D1646" t="s">
        <v>1202</v>
      </c>
      <c r="E1646" t="s">
        <v>1251</v>
      </c>
      <c r="F1646">
        <v>700000</v>
      </c>
      <c r="G1646">
        <v>1954</v>
      </c>
      <c r="H1646">
        <v>2550</v>
      </c>
      <c r="I1646">
        <v>7440</v>
      </c>
      <c r="J1646">
        <v>3</v>
      </c>
      <c r="K1646">
        <v>2.5</v>
      </c>
      <c r="M1646" s="2" t="str">
        <f>HYPERLINK("http://maps.live.com/default.aspx?v=2&amp;lvl=15&amp;sp=Point.47.693168_-122.382522_8720 21st Ave NW&amp;cp=47.693168~-122.382522","Map")</f>
        <v>Map</v>
      </c>
      <c r="N1646" s="2" t="str">
        <f>HYPERLINK("http://i-0.rfimg.us/photo/1/bigphoto/450/28027450_1.jpg","Photo")</f>
        <v>Photo</v>
      </c>
      <c r="AG1646">
        <v>47.693168</v>
      </c>
      <c r="AH1646">
        <v>-122.38252199999999</v>
      </c>
      <c r="AI1646" t="s">
        <v>66</v>
      </c>
      <c r="AJ1646">
        <v>98117</v>
      </c>
      <c r="BC1646" s="22">
        <v>39492.911365740743</v>
      </c>
      <c r="BI1646" s="22">
        <v>39549.294907407406</v>
      </c>
      <c r="BL1646">
        <v>14000</v>
      </c>
      <c r="BM1646">
        <v>1482340</v>
      </c>
      <c r="BN1646" t="s">
        <v>1702</v>
      </c>
      <c r="BO1646" s="17">
        <f t="shared" ca="1" si="25"/>
        <v>56.398040277774271</v>
      </c>
      <c r="BP1646" t="b">
        <v>0</v>
      </c>
      <c r="BQ1646">
        <v>1</v>
      </c>
      <c r="BR1646" t="s">
        <v>1667</v>
      </c>
      <c r="BS1646" t="s">
        <v>1903</v>
      </c>
      <c r="BT1646" t="b">
        <v>0</v>
      </c>
      <c r="BV1646" t="s">
        <v>1668</v>
      </c>
      <c r="BW1646">
        <v>8720</v>
      </c>
      <c r="BX1646" t="s">
        <v>1669</v>
      </c>
      <c r="BY1646">
        <v>288934</v>
      </c>
      <c r="BZ1646" t="s">
        <v>1677</v>
      </c>
      <c r="CA1646">
        <v>1</v>
      </c>
      <c r="CB1646" t="b">
        <v>1</v>
      </c>
      <c r="CC1646">
        <v>0</v>
      </c>
      <c r="CD1646" t="b">
        <v>0</v>
      </c>
      <c r="CE1646" t="b">
        <v>0</v>
      </c>
      <c r="CF1646" t="b">
        <v>0</v>
      </c>
      <c r="CG1646">
        <v>2635829</v>
      </c>
      <c r="CH1646" t="s">
        <v>1681</v>
      </c>
      <c r="CI1646" s="10">
        <v>700000</v>
      </c>
    </row>
    <row r="1647" spans="1:88">
      <c r="A1647">
        <v>28027471</v>
      </c>
      <c r="B1647" s="2" t="str">
        <f>HYPERLINK("http://www.redfin.com/stingray/do/printable-listing?listing-id=1483036","Active")</f>
        <v>Active</v>
      </c>
      <c r="D1647" t="s">
        <v>4611</v>
      </c>
      <c r="E1647" t="s">
        <v>4900</v>
      </c>
      <c r="F1647">
        <v>485900</v>
      </c>
      <c r="G1647">
        <v>1978</v>
      </c>
      <c r="H1647">
        <v>2560</v>
      </c>
      <c r="I1647">
        <v>9918</v>
      </c>
      <c r="J1647">
        <v>3</v>
      </c>
      <c r="K1647">
        <v>2.5</v>
      </c>
      <c r="M1647" s="2" t="str">
        <f>HYPERLINK("http://maps.live.com/default.aspx?v=2&amp;lvl=15&amp;sp=Point.47.674873_-122.144044_7916 147 Ave NE&amp;cp=47.674873~-122.144044","Map")</f>
        <v>Map</v>
      </c>
      <c r="N1647" s="2" t="str">
        <f>HYPERLINK("http://i-0.rfimg.us/photo/1/bigphoto/471/28027471_1.jpg","Photo")</f>
        <v>Photo</v>
      </c>
      <c r="AG1647">
        <v>47.674872999999998</v>
      </c>
      <c r="AH1647">
        <v>-122.14404399999999</v>
      </c>
      <c r="AI1647" t="s">
        <v>4363</v>
      </c>
      <c r="AJ1647">
        <v>98052</v>
      </c>
      <c r="AN1647">
        <v>159000</v>
      </c>
      <c r="BC1647" s="22">
        <v>39493.233912037038</v>
      </c>
      <c r="BI1647" s="22">
        <v>39549.294907407406</v>
      </c>
      <c r="BL1647">
        <v>9718</v>
      </c>
      <c r="BM1647">
        <v>1483036</v>
      </c>
      <c r="BN1647" t="s">
        <v>1680</v>
      </c>
      <c r="BO1647" s="17">
        <f t="shared" ca="1" si="25"/>
        <v>56.075493865741009</v>
      </c>
      <c r="BP1647" t="b">
        <v>0</v>
      </c>
      <c r="BQ1647">
        <v>1</v>
      </c>
      <c r="BR1647" t="s">
        <v>1667</v>
      </c>
      <c r="BS1647">
        <v>147</v>
      </c>
      <c r="BT1647" t="b">
        <v>0</v>
      </c>
      <c r="BV1647" t="s">
        <v>1668</v>
      </c>
      <c r="BW1647">
        <v>7916</v>
      </c>
      <c r="BX1647" t="s">
        <v>1738</v>
      </c>
      <c r="BY1647">
        <v>515740</v>
      </c>
      <c r="BZ1647" t="s">
        <v>1756</v>
      </c>
      <c r="CA1647">
        <v>1</v>
      </c>
      <c r="CB1647" t="b">
        <v>1</v>
      </c>
      <c r="CC1647">
        <v>0</v>
      </c>
      <c r="CD1647" t="b">
        <v>0</v>
      </c>
      <c r="CE1647" t="b">
        <v>0</v>
      </c>
      <c r="CF1647" t="b">
        <v>0</v>
      </c>
      <c r="CG1647">
        <v>2581808</v>
      </c>
      <c r="CH1647" t="s">
        <v>1681</v>
      </c>
      <c r="CI1647" s="10">
        <v>485900</v>
      </c>
      <c r="CJ1647" s="7">
        <v>35090</v>
      </c>
    </row>
    <row r="1648" spans="1:88">
      <c r="A1648">
        <v>28027509</v>
      </c>
      <c r="B1648" s="2" t="str">
        <f>HYPERLINK("http://www.redfin.com/stingray/do/printable-listing?listing-id=1482387","Active")</f>
        <v>Active</v>
      </c>
      <c r="D1648" t="s">
        <v>109</v>
      </c>
      <c r="E1648" t="s">
        <v>3762</v>
      </c>
      <c r="F1648" s="19">
        <v>599999</v>
      </c>
      <c r="G1648">
        <v>1909</v>
      </c>
      <c r="H1648">
        <v>2180</v>
      </c>
      <c r="I1648">
        <v>0</v>
      </c>
      <c r="J1648">
        <v>4</v>
      </c>
      <c r="K1648">
        <v>1.75</v>
      </c>
      <c r="M1648" s="2" t="str">
        <f>HYPERLINK("http://maps.live.com/default.aspx?v=2&amp;lvl=15&amp;sp=Point.47.660348_-122.323152_418 NE 44th St&amp;cp=47.660348~-122.323152","Map")</f>
        <v>Map</v>
      </c>
      <c r="N1648" s="2" t="str">
        <f>HYPERLINK("http://i-0.rfimg.us/photo/1/bigphoto/509/28027509_0.jpg","Photo")</f>
        <v>Photo</v>
      </c>
      <c r="AG1648">
        <v>47.660347999999999</v>
      </c>
      <c r="AH1648">
        <v>-122.32315199999999</v>
      </c>
      <c r="AI1648" t="s">
        <v>66</v>
      </c>
      <c r="AJ1648">
        <v>98105</v>
      </c>
      <c r="AN1648">
        <v>430000</v>
      </c>
      <c r="BC1648" s="22">
        <v>39492.952777777777</v>
      </c>
      <c r="BI1648" s="22">
        <v>39549.294907407406</v>
      </c>
      <c r="BL1648">
        <v>12480</v>
      </c>
      <c r="BM1648">
        <v>1482387</v>
      </c>
      <c r="BN1648" t="s">
        <v>3761</v>
      </c>
      <c r="BO1648" s="17">
        <f t="shared" ca="1" si="25"/>
        <v>56.356628125002317</v>
      </c>
      <c r="BP1648" t="b">
        <v>0</v>
      </c>
      <c r="BQ1648">
        <v>1</v>
      </c>
      <c r="BR1648" t="s">
        <v>1686</v>
      </c>
      <c r="BS1648" t="s">
        <v>3082</v>
      </c>
      <c r="BT1648" t="b">
        <v>0</v>
      </c>
      <c r="BU1648" t="s">
        <v>1738</v>
      </c>
      <c r="BV1648" t="s">
        <v>1668</v>
      </c>
      <c r="BW1648">
        <v>418</v>
      </c>
      <c r="BY1648">
        <v>117612</v>
      </c>
      <c r="BZ1648" t="s">
        <v>1747</v>
      </c>
      <c r="CA1648">
        <v>1</v>
      </c>
      <c r="CB1648" t="b">
        <v>1</v>
      </c>
      <c r="CC1648">
        <v>0</v>
      </c>
      <c r="CD1648" t="b">
        <v>0</v>
      </c>
      <c r="CE1648" t="b">
        <v>0</v>
      </c>
      <c r="CF1648" t="b">
        <v>0</v>
      </c>
      <c r="CG1648">
        <v>2685369</v>
      </c>
      <c r="CH1648" t="s">
        <v>1681</v>
      </c>
      <c r="CI1648" s="10">
        <v>624000</v>
      </c>
      <c r="CJ1648" s="7">
        <v>38755</v>
      </c>
    </row>
    <row r="1649" spans="1:88">
      <c r="A1649">
        <v>28027513</v>
      </c>
      <c r="B1649" s="2" t="str">
        <f>HYPERLINK("http://www.redfin.com/stingray/do/printable-listing?listing-id=1482292","Active")</f>
        <v>Active</v>
      </c>
      <c r="D1649" t="s">
        <v>5291</v>
      </c>
      <c r="E1649" t="s">
        <v>5501</v>
      </c>
      <c r="F1649" s="19">
        <v>625750</v>
      </c>
      <c r="G1649">
        <v>1979</v>
      </c>
      <c r="H1649">
        <v>2440</v>
      </c>
      <c r="I1649">
        <v>11144</v>
      </c>
      <c r="J1649">
        <v>4</v>
      </c>
      <c r="K1649">
        <v>2.5</v>
      </c>
      <c r="M1649" s="2" t="str">
        <f>HYPERLINK("http://maps.live.com/default.aspx?v=2&amp;lvl=15&amp;sp=Point.47.56742_-122.13355_15337 SE 43 rd Pl&amp;cp=47.56742~-122.13355","Map")</f>
        <v>Map</v>
      </c>
      <c r="N1649" s="2" t="str">
        <f>HYPERLINK("http://i-0.rfimg.us/photo/1/bigphoto/513/28027513_0.jpg","Photo")</f>
        <v>Photo</v>
      </c>
      <c r="AG1649">
        <v>47.567419999999998</v>
      </c>
      <c r="AH1649">
        <v>-122.13355</v>
      </c>
      <c r="AI1649" t="s">
        <v>369</v>
      </c>
      <c r="AJ1649">
        <v>98006</v>
      </c>
      <c r="AN1649">
        <v>362950</v>
      </c>
      <c r="BC1649" s="22">
        <v>39492.88113425926</v>
      </c>
      <c r="BI1649" s="22">
        <v>39549.294907407406</v>
      </c>
      <c r="BL1649">
        <v>12995</v>
      </c>
      <c r="BM1649">
        <v>1482292</v>
      </c>
      <c r="BN1649" t="s">
        <v>4601</v>
      </c>
      <c r="BO1649" s="17">
        <f t="shared" ca="1" si="25"/>
        <v>56.428271643519111</v>
      </c>
      <c r="BP1649" t="b">
        <v>0</v>
      </c>
      <c r="BQ1649">
        <v>1</v>
      </c>
      <c r="BR1649" t="s">
        <v>1842</v>
      </c>
      <c r="BS1649" t="s">
        <v>5502</v>
      </c>
      <c r="BT1649" t="b">
        <v>0</v>
      </c>
      <c r="BU1649" t="s">
        <v>3856</v>
      </c>
      <c r="BV1649" t="s">
        <v>1668</v>
      </c>
      <c r="BW1649">
        <v>15337</v>
      </c>
      <c r="BY1649">
        <v>239524</v>
      </c>
      <c r="BZ1649" t="s">
        <v>1676</v>
      </c>
      <c r="CA1649">
        <v>1</v>
      </c>
      <c r="CB1649" t="b">
        <v>1</v>
      </c>
      <c r="CC1649">
        <v>0</v>
      </c>
      <c r="CD1649" t="b">
        <v>0</v>
      </c>
      <c r="CE1649" t="b">
        <v>0</v>
      </c>
      <c r="CF1649" t="b">
        <v>0</v>
      </c>
      <c r="CG1649">
        <v>2848992</v>
      </c>
      <c r="CH1649" t="s">
        <v>1681</v>
      </c>
      <c r="CI1649" s="10">
        <v>649750</v>
      </c>
      <c r="CJ1649" s="7">
        <v>37056</v>
      </c>
    </row>
    <row r="1650" spans="1:88">
      <c r="A1650">
        <v>28027518</v>
      </c>
      <c r="B1650" s="2" t="str">
        <f>HYPERLINK("http://www.redfin.com/stingray/do/printable-listing?listing-id=1484764","Active")</f>
        <v>Active</v>
      </c>
      <c r="D1650" t="s">
        <v>63</v>
      </c>
      <c r="E1650" t="s">
        <v>260</v>
      </c>
      <c r="F1650">
        <v>495000</v>
      </c>
      <c r="G1650">
        <v>2008</v>
      </c>
      <c r="H1650">
        <v>1670</v>
      </c>
      <c r="I1650">
        <v>0</v>
      </c>
      <c r="J1650">
        <v>3</v>
      </c>
      <c r="K1650">
        <v>3.5</v>
      </c>
      <c r="M1650" s="2" t="str">
        <f>HYPERLINK("http://maps.live.com/default.aspx?v=2&amp;lvl=15&amp;sp=Point.47.679253_-122.37545_6749 Alonzo Ave NW&amp;cp=47.679253~-122.37545","Map")</f>
        <v>Map</v>
      </c>
      <c r="N1650" s="2" t="str">
        <f>HYPERLINK("http://i-0.rfimg.us/photo/1/bigphoto/518/28027518_0.jpg","Photo")</f>
        <v>Photo</v>
      </c>
      <c r="AG1650">
        <v>47.679253000000003</v>
      </c>
      <c r="AH1650">
        <v>-122.37545</v>
      </c>
      <c r="AI1650" t="s">
        <v>66</v>
      </c>
      <c r="AJ1650">
        <v>98117</v>
      </c>
      <c r="BC1650" s="22">
        <v>39493.65347222222</v>
      </c>
      <c r="BI1650" s="22">
        <v>39549.294907407406</v>
      </c>
      <c r="BL1650">
        <v>9900</v>
      </c>
      <c r="BM1650">
        <v>1484764</v>
      </c>
      <c r="BN1650" t="s">
        <v>1766</v>
      </c>
      <c r="BO1650" s="17">
        <f t="shared" ca="1" si="25"/>
        <v>55.655933796297177</v>
      </c>
      <c r="BP1650" t="b">
        <v>0</v>
      </c>
      <c r="BQ1650">
        <v>1</v>
      </c>
      <c r="BR1650" t="s">
        <v>1667</v>
      </c>
      <c r="BS1650" t="s">
        <v>1778</v>
      </c>
      <c r="BT1650" t="b">
        <v>0</v>
      </c>
      <c r="BV1650" t="s">
        <v>1668</v>
      </c>
      <c r="BW1650">
        <v>6749</v>
      </c>
      <c r="BX1650" t="s">
        <v>1669</v>
      </c>
      <c r="BY1650">
        <v>12415619</v>
      </c>
      <c r="BZ1650" t="s">
        <v>1676</v>
      </c>
      <c r="CA1650">
        <v>1</v>
      </c>
      <c r="CB1650" t="b">
        <v>1</v>
      </c>
      <c r="CC1650">
        <v>0</v>
      </c>
      <c r="CD1650" t="b">
        <v>0</v>
      </c>
      <c r="CE1650" t="b">
        <v>0</v>
      </c>
      <c r="CF1650" t="b">
        <v>0</v>
      </c>
      <c r="CG1650">
        <v>15619367</v>
      </c>
      <c r="CH1650" t="s">
        <v>1681</v>
      </c>
      <c r="CI1650" s="10">
        <v>495000</v>
      </c>
    </row>
    <row r="1651" spans="1:88">
      <c r="A1651">
        <v>28027521</v>
      </c>
      <c r="B1651" s="2" t="str">
        <f>HYPERLINK("http://www.redfin.com/stingray/do/printable-listing?listing-id=1483104","Active")</f>
        <v>Active</v>
      </c>
      <c r="D1651" t="s">
        <v>5058</v>
      </c>
      <c r="E1651" t="s">
        <v>5359</v>
      </c>
      <c r="F1651">
        <v>1249500</v>
      </c>
      <c r="G1651">
        <v>1974</v>
      </c>
      <c r="H1651">
        <v>2630</v>
      </c>
      <c r="I1651">
        <v>5287</v>
      </c>
      <c r="J1651">
        <v>3</v>
      </c>
      <c r="K1651">
        <v>2.5</v>
      </c>
      <c r="M1651" s="2" t="str">
        <f>HYPERLINK("http://maps.live.com/default.aspx?v=2&amp;lvl=15&amp;sp=Point.47.622141_-122.234229_1260 80th Pl NE&amp;cp=47.622141~-122.234229","Map")</f>
        <v>Map</v>
      </c>
      <c r="N1651" s="2" t="str">
        <f>HYPERLINK("http://i-0.rfimg.us/photo/1/bigphoto/521/28027521_6.jpg","Photo")</f>
        <v>Photo</v>
      </c>
      <c r="AG1651">
        <v>47.622140999999999</v>
      </c>
      <c r="AH1651">
        <v>-122.234229</v>
      </c>
      <c r="AI1651" t="s">
        <v>5058</v>
      </c>
      <c r="AJ1651">
        <v>98039</v>
      </c>
      <c r="AN1651">
        <v>715000</v>
      </c>
      <c r="BC1651" s="22">
        <v>39493.295972222222</v>
      </c>
      <c r="BI1651" s="22">
        <v>39549.294907407406</v>
      </c>
      <c r="BL1651">
        <v>24990</v>
      </c>
      <c r="BM1651">
        <v>1483104</v>
      </c>
      <c r="BN1651" t="s">
        <v>1710</v>
      </c>
      <c r="BO1651" s="17">
        <f t="shared" ca="1" si="25"/>
        <v>56.013433680556773</v>
      </c>
      <c r="BP1651" t="b">
        <v>0</v>
      </c>
      <c r="BQ1651">
        <v>1</v>
      </c>
      <c r="BR1651" t="s">
        <v>1842</v>
      </c>
      <c r="BS1651" t="s">
        <v>1711</v>
      </c>
      <c r="BT1651" t="b">
        <v>0</v>
      </c>
      <c r="BV1651" t="s">
        <v>1668</v>
      </c>
      <c r="BW1651">
        <v>1260</v>
      </c>
      <c r="BX1651" t="s">
        <v>1738</v>
      </c>
      <c r="BY1651">
        <v>251704</v>
      </c>
      <c r="BZ1651" t="s">
        <v>5360</v>
      </c>
      <c r="CA1651">
        <v>1</v>
      </c>
      <c r="CB1651" t="b">
        <v>1</v>
      </c>
      <c r="CC1651">
        <v>0</v>
      </c>
      <c r="CD1651" t="b">
        <v>0</v>
      </c>
      <c r="CE1651" t="b">
        <v>0</v>
      </c>
      <c r="CF1651" t="b">
        <v>0</v>
      </c>
      <c r="CG1651">
        <v>2876925</v>
      </c>
      <c r="CH1651" t="s">
        <v>1681</v>
      </c>
      <c r="CI1651" s="10">
        <v>1249500</v>
      </c>
      <c r="CJ1651" s="7">
        <v>38299</v>
      </c>
    </row>
    <row r="1652" spans="1:88">
      <c r="A1652">
        <v>28027525</v>
      </c>
      <c r="B1652" s="2" t="str">
        <f>HYPERLINK("http://www.redfin.com/stingray/do/printable-listing?listing-id=1484606","Active")</f>
        <v>Active</v>
      </c>
      <c r="D1652" t="s">
        <v>5078</v>
      </c>
      <c r="E1652" t="s">
        <v>5092</v>
      </c>
      <c r="F1652">
        <v>1177000</v>
      </c>
      <c r="G1652">
        <v>2007</v>
      </c>
      <c r="H1652">
        <v>3330</v>
      </c>
      <c r="I1652">
        <v>13116</v>
      </c>
      <c r="J1652">
        <v>4</v>
      </c>
      <c r="K1652">
        <v>2.5</v>
      </c>
      <c r="M1652" s="2" t="str">
        <f>HYPERLINK("http://maps.live.com/default.aspx?v=2&amp;lvl=15&amp;sp=Point.47.617337_-122.165896_13042 NE 8th St&amp;cp=47.617337~-122.165896","Map")</f>
        <v>Map</v>
      </c>
      <c r="N1652" s="2" t="str">
        <f>HYPERLINK("http://i-0.rfimg.us/photo/1/bigphoto/525/28027525_0.jpg","Photo")</f>
        <v>Photo</v>
      </c>
      <c r="AG1652">
        <v>47.617336999999999</v>
      </c>
      <c r="AH1652">
        <v>-122.165896</v>
      </c>
      <c r="AI1652" t="s">
        <v>369</v>
      </c>
      <c r="AJ1652">
        <v>98005</v>
      </c>
      <c r="AN1652">
        <v>410000</v>
      </c>
      <c r="BC1652" s="22">
        <v>39493.621377314812</v>
      </c>
      <c r="BI1652" s="22">
        <v>39549.294907407406</v>
      </c>
      <c r="BL1652">
        <v>23540</v>
      </c>
      <c r="BM1652">
        <v>1484606</v>
      </c>
      <c r="BN1652" t="s">
        <v>1768</v>
      </c>
      <c r="BO1652" s="17">
        <f t="shared" ca="1" si="25"/>
        <v>55.688028587966983</v>
      </c>
      <c r="BP1652" t="b">
        <v>0</v>
      </c>
      <c r="BQ1652">
        <v>1</v>
      </c>
      <c r="BR1652" t="s">
        <v>1686</v>
      </c>
      <c r="BS1652" t="s">
        <v>1723</v>
      </c>
      <c r="BT1652" t="b">
        <v>0</v>
      </c>
      <c r="BU1652" t="s">
        <v>1738</v>
      </c>
      <c r="BV1652" t="s">
        <v>1668</v>
      </c>
      <c r="BW1652">
        <v>13042</v>
      </c>
      <c r="BY1652">
        <v>12300505</v>
      </c>
      <c r="BZ1652" t="s">
        <v>1672</v>
      </c>
      <c r="CA1652">
        <v>1</v>
      </c>
      <c r="CB1652" t="b">
        <v>1</v>
      </c>
      <c r="CC1652">
        <v>0</v>
      </c>
      <c r="CD1652" t="b">
        <v>0</v>
      </c>
      <c r="CE1652" t="b">
        <v>0</v>
      </c>
      <c r="CF1652" t="b">
        <v>0</v>
      </c>
      <c r="CG1652">
        <v>2759612</v>
      </c>
      <c r="CH1652" t="s">
        <v>1681</v>
      </c>
      <c r="CI1652" s="10">
        <v>1177000</v>
      </c>
      <c r="CJ1652" s="7">
        <v>38923</v>
      </c>
    </row>
    <row r="1653" spans="1:88">
      <c r="A1653">
        <v>28027540</v>
      </c>
      <c r="B1653" s="2" t="str">
        <f>HYPERLINK("http://www.redfin.com/stingray/do/printable-listing?listing-id=1482859","Active")</f>
        <v>Active</v>
      </c>
      <c r="D1653" t="s">
        <v>218</v>
      </c>
      <c r="E1653" t="s">
        <v>6346</v>
      </c>
      <c r="F1653">
        <v>1095000</v>
      </c>
      <c r="G1653">
        <v>1907</v>
      </c>
      <c r="H1653">
        <v>2990</v>
      </c>
      <c r="I1653">
        <v>4320</v>
      </c>
      <c r="J1653">
        <v>4</v>
      </c>
      <c r="K1653">
        <v>2.75</v>
      </c>
      <c r="M1653" s="2" t="str">
        <f>HYPERLINK("http://maps.live.com/default.aspx?v=2&amp;lvl=15&amp;sp=Point.47.670896_-122.309329_5728 17th Ave NE&amp;cp=47.670896~-122.309329","Map")</f>
        <v>Map</v>
      </c>
      <c r="N1653" s="2" t="str">
        <f>HYPERLINK("http://i-0.rfimg.us/photo/1/bigphoto/540/28027540_2.jpg","Photo")</f>
        <v>Photo</v>
      </c>
      <c r="AG1653">
        <v>47.670895999999999</v>
      </c>
      <c r="AH1653">
        <v>-122.30932900000001</v>
      </c>
      <c r="AI1653" t="s">
        <v>66</v>
      </c>
      <c r="AJ1653">
        <v>98105</v>
      </c>
      <c r="AN1653">
        <v>351100</v>
      </c>
      <c r="BC1653" s="22">
        <v>39493.087847222225</v>
      </c>
      <c r="BI1653" s="22">
        <v>39549.294907407406</v>
      </c>
      <c r="BL1653">
        <v>21900</v>
      </c>
      <c r="BM1653">
        <v>1482859</v>
      </c>
      <c r="BN1653" t="s">
        <v>1702</v>
      </c>
      <c r="BO1653" s="17">
        <f t="shared" ca="1" si="25"/>
        <v>56.221558680554153</v>
      </c>
      <c r="BP1653" t="b">
        <v>0</v>
      </c>
      <c r="BQ1653">
        <v>1</v>
      </c>
      <c r="BR1653" t="s">
        <v>1667</v>
      </c>
      <c r="BS1653" t="s">
        <v>1683</v>
      </c>
      <c r="BT1653" t="b">
        <v>0</v>
      </c>
      <c r="BV1653" t="s">
        <v>1668</v>
      </c>
      <c r="BW1653">
        <v>5728</v>
      </c>
      <c r="BX1653" t="s">
        <v>1738</v>
      </c>
      <c r="BY1653">
        <v>308902</v>
      </c>
      <c r="BZ1653" t="s">
        <v>6347</v>
      </c>
      <c r="CA1653">
        <v>1</v>
      </c>
      <c r="CB1653" t="b">
        <v>1</v>
      </c>
      <c r="CC1653">
        <v>0</v>
      </c>
      <c r="CD1653" t="b">
        <v>0</v>
      </c>
      <c r="CE1653" t="b">
        <v>0</v>
      </c>
      <c r="CF1653" t="b">
        <v>0</v>
      </c>
      <c r="CG1653">
        <v>2838212</v>
      </c>
      <c r="CH1653" t="s">
        <v>1681</v>
      </c>
      <c r="CI1653" s="10">
        <v>1095000</v>
      </c>
      <c r="CJ1653" s="7">
        <v>35598</v>
      </c>
    </row>
    <row r="1654" spans="1:88">
      <c r="A1654">
        <v>28027592</v>
      </c>
      <c r="B1654" s="2" t="str">
        <f>HYPERLINK("http://www.redfin.com/stingray/do/printable-listing?listing-id=1487893","Active")</f>
        <v>Active</v>
      </c>
      <c r="D1654" t="s">
        <v>3249</v>
      </c>
      <c r="E1654" t="s">
        <v>3655</v>
      </c>
      <c r="F1654">
        <v>1295000</v>
      </c>
      <c r="G1654">
        <v>2006</v>
      </c>
      <c r="H1654">
        <v>2395</v>
      </c>
      <c r="I1654">
        <v>2623</v>
      </c>
      <c r="J1654">
        <v>2</v>
      </c>
      <c r="K1654">
        <v>2.5</v>
      </c>
      <c r="M1654" s="2" t="str">
        <f>HYPERLINK("http://maps.live.com/default.aspx?v=2&amp;lvl=15&amp;sp=Point.47.631137_-122.355488_2 W Lee St&amp;cp=47.631137~-122.355488","Map")</f>
        <v>Map</v>
      </c>
      <c r="N1654" s="2" t="str">
        <f>HYPERLINK("http://i-0.rfimg.us/photo/1/bigphoto/592/28027592_0.jpg","Photo")</f>
        <v>Photo</v>
      </c>
      <c r="AG1654">
        <v>47.631137000000003</v>
      </c>
      <c r="AH1654">
        <v>-122.35548799999999</v>
      </c>
      <c r="AI1654" t="s">
        <v>66</v>
      </c>
      <c r="AJ1654">
        <v>98109</v>
      </c>
      <c r="AN1654">
        <v>1100000</v>
      </c>
      <c r="BC1654" s="22">
        <v>39495.400393518517</v>
      </c>
      <c r="BI1654" s="22">
        <v>39549.294907407406</v>
      </c>
      <c r="BL1654">
        <v>25900</v>
      </c>
      <c r="BM1654">
        <v>1487893</v>
      </c>
      <c r="BN1654" t="s">
        <v>1678</v>
      </c>
      <c r="BO1654" s="17">
        <f t="shared" ca="1" si="25"/>
        <v>53.909012384261587</v>
      </c>
      <c r="BP1654" t="b">
        <v>0</v>
      </c>
      <c r="BQ1654">
        <v>1</v>
      </c>
      <c r="BR1654" t="s">
        <v>1686</v>
      </c>
      <c r="BS1654" t="s">
        <v>3567</v>
      </c>
      <c r="BT1654" t="b">
        <v>0</v>
      </c>
      <c r="BU1654" t="s">
        <v>2423</v>
      </c>
      <c r="BV1654" t="s">
        <v>1668</v>
      </c>
      <c r="BW1654">
        <v>2</v>
      </c>
      <c r="BY1654">
        <v>2100154</v>
      </c>
      <c r="BZ1654" t="s">
        <v>1672</v>
      </c>
      <c r="CA1654">
        <v>1</v>
      </c>
      <c r="CB1654" t="b">
        <v>1</v>
      </c>
      <c r="CC1654">
        <v>0</v>
      </c>
      <c r="CD1654" t="b">
        <v>0</v>
      </c>
      <c r="CE1654" t="b">
        <v>0</v>
      </c>
      <c r="CF1654" t="b">
        <v>0</v>
      </c>
      <c r="CG1654">
        <v>2534364</v>
      </c>
      <c r="CH1654" t="s">
        <v>1681</v>
      </c>
      <c r="CI1654" s="10">
        <v>1295000</v>
      </c>
      <c r="CJ1654" s="7">
        <v>39071</v>
      </c>
    </row>
    <row r="1655" spans="1:88">
      <c r="A1655">
        <v>28027670</v>
      </c>
      <c r="B1655" s="15" t="str">
        <f>HYPERLINK("http://www.redfin.com/stingray/do/printable-listing?listing-id=1483702","Subject To Inspection")</f>
        <v>Subject To Inspection</v>
      </c>
      <c r="D1655" t="s">
        <v>3066</v>
      </c>
      <c r="E1655" t="s">
        <v>4714</v>
      </c>
      <c r="F1655">
        <v>489900</v>
      </c>
      <c r="G1655">
        <v>1990</v>
      </c>
      <c r="H1655">
        <v>1532</v>
      </c>
      <c r="I1655">
        <v>0</v>
      </c>
      <c r="J1655">
        <v>3</v>
      </c>
      <c r="K1655">
        <v>2.25</v>
      </c>
      <c r="M1655" s="2" t="str">
        <f>HYPERLINK("http://maps.live.com/default.aspx?v=2&amp;lvl=15&amp;sp=Point.47.675656_-122.182095_8004 118th Ct NE&amp;cp=47.675656~-122.182095","Map")</f>
        <v>Map</v>
      </c>
      <c r="N1655" s="2" t="str">
        <f>HYPERLINK("http://i-0.rfimg.us/photo/1/bigphoto/670/28027670_0.jpg","Photo")</f>
        <v>Photo</v>
      </c>
      <c r="AG1655">
        <v>47.675655999999996</v>
      </c>
      <c r="AH1655">
        <v>-122.182095</v>
      </c>
      <c r="AI1655" t="s">
        <v>1058</v>
      </c>
      <c r="AJ1655">
        <v>98033</v>
      </c>
      <c r="BC1655" s="22">
        <v>39493.463854166665</v>
      </c>
      <c r="BI1655" s="22">
        <v>39549.294907407406</v>
      </c>
      <c r="BL1655">
        <v>9798</v>
      </c>
      <c r="BM1655">
        <v>1483702</v>
      </c>
      <c r="BN1655" t="s">
        <v>1737</v>
      </c>
      <c r="BO1655" s="17">
        <f t="shared" ca="1" si="25"/>
        <v>55.84555173611443</v>
      </c>
      <c r="BP1655" t="b">
        <v>0</v>
      </c>
      <c r="BQ1655">
        <v>1</v>
      </c>
      <c r="BR1655" t="s">
        <v>3768</v>
      </c>
      <c r="BS1655" t="s">
        <v>4419</v>
      </c>
      <c r="BT1655" t="b">
        <v>0</v>
      </c>
      <c r="BV1655" t="s">
        <v>1668</v>
      </c>
      <c r="BW1655">
        <v>8004</v>
      </c>
      <c r="BX1655" t="s">
        <v>1738</v>
      </c>
      <c r="BY1655">
        <v>12225245</v>
      </c>
      <c r="BZ1655" t="s">
        <v>1672</v>
      </c>
      <c r="CA1655">
        <v>1</v>
      </c>
      <c r="CB1655" t="b">
        <v>1</v>
      </c>
      <c r="CC1655">
        <v>0</v>
      </c>
      <c r="CD1655" t="b">
        <v>0</v>
      </c>
      <c r="CE1655" t="b">
        <v>0</v>
      </c>
      <c r="CF1655" t="b">
        <v>0</v>
      </c>
      <c r="CG1655">
        <v>15454443</v>
      </c>
      <c r="CH1655" t="s">
        <v>1681</v>
      </c>
      <c r="CI1655" s="10">
        <v>489900</v>
      </c>
    </row>
    <row r="1656" spans="1:88">
      <c r="A1656">
        <v>28027673</v>
      </c>
      <c r="B1656" s="2" t="str">
        <f>HYPERLINK("http://www.redfin.com/stingray/do/printable-listing?listing-id=1483707","Active")</f>
        <v>Active</v>
      </c>
      <c r="D1656" t="s">
        <v>3249</v>
      </c>
      <c r="E1656" t="s">
        <v>3581</v>
      </c>
      <c r="F1656">
        <v>1499000</v>
      </c>
      <c r="G1656">
        <v>1908</v>
      </c>
      <c r="H1656">
        <v>3100</v>
      </c>
      <c r="I1656">
        <v>3675</v>
      </c>
      <c r="J1656">
        <v>5</v>
      </c>
      <c r="K1656">
        <v>3.5</v>
      </c>
      <c r="M1656" s="2" t="str">
        <f>HYPERLINK("http://maps.live.com/default.aspx?v=2&amp;lvl=15&amp;sp=Point.47.641657_-122.358807_110 W Smith St&amp;cp=47.641657~-122.358807","Map")</f>
        <v>Map</v>
      </c>
      <c r="N1656" s="2" t="str">
        <f>HYPERLINK("http://i-0.rfimg.us/photo/1/bigphoto/673/28027673_0.jpg","Photo")</f>
        <v>Photo</v>
      </c>
      <c r="AG1656">
        <v>47.641657000000002</v>
      </c>
      <c r="AH1656">
        <v>-122.358807</v>
      </c>
      <c r="AI1656" t="s">
        <v>66</v>
      </c>
      <c r="AJ1656">
        <v>98119</v>
      </c>
      <c r="AN1656">
        <v>839000</v>
      </c>
      <c r="BC1656" s="22">
        <v>39493.463865740741</v>
      </c>
      <c r="BI1656" s="22">
        <v>39549.294907407406</v>
      </c>
      <c r="BL1656">
        <v>29980</v>
      </c>
      <c r="BM1656">
        <v>1483707</v>
      </c>
      <c r="BN1656" t="s">
        <v>1678</v>
      </c>
      <c r="BO1656" s="17">
        <f t="shared" ca="1" si="25"/>
        <v>55.845540162037651</v>
      </c>
      <c r="BP1656" t="b">
        <v>0</v>
      </c>
      <c r="BQ1656">
        <v>1</v>
      </c>
      <c r="BR1656" t="s">
        <v>1686</v>
      </c>
      <c r="BS1656" t="s">
        <v>3357</v>
      </c>
      <c r="BT1656" t="b">
        <v>0</v>
      </c>
      <c r="BU1656" t="s">
        <v>2423</v>
      </c>
      <c r="BV1656" t="s">
        <v>1668</v>
      </c>
      <c r="BW1656">
        <v>110</v>
      </c>
      <c r="BY1656">
        <v>131299</v>
      </c>
      <c r="BZ1656" t="s">
        <v>1672</v>
      </c>
      <c r="CA1656">
        <v>1</v>
      </c>
      <c r="CB1656" t="b">
        <v>1</v>
      </c>
      <c r="CC1656">
        <v>0</v>
      </c>
      <c r="CD1656" t="b">
        <v>0</v>
      </c>
      <c r="CE1656" t="b">
        <v>0</v>
      </c>
      <c r="CF1656" t="b">
        <v>0</v>
      </c>
      <c r="CG1656">
        <v>2834203</v>
      </c>
      <c r="CH1656" t="s">
        <v>1681</v>
      </c>
      <c r="CI1656" s="10">
        <v>1499000</v>
      </c>
      <c r="CJ1656" s="7">
        <v>38467</v>
      </c>
    </row>
    <row r="1657" spans="1:88">
      <c r="A1657">
        <v>28027687</v>
      </c>
      <c r="B1657" s="2" t="str">
        <f>HYPERLINK("http://www.redfin.com/stingray/do/printable-listing?listing-id=1486862","Contingent")</f>
        <v>Contingent</v>
      </c>
      <c r="D1657" t="s">
        <v>100</v>
      </c>
      <c r="E1657" t="s">
        <v>888</v>
      </c>
      <c r="F1657">
        <v>499000</v>
      </c>
      <c r="G1657">
        <v>1926</v>
      </c>
      <c r="H1657">
        <v>2390</v>
      </c>
      <c r="I1657">
        <v>3600</v>
      </c>
      <c r="J1657">
        <v>5</v>
      </c>
      <c r="K1657">
        <v>2.5</v>
      </c>
      <c r="M1657" s="2" t="str">
        <f>HYPERLINK("http://maps.live.com/default.aspx?v=2&amp;lvl=15&amp;sp=Point.47.654327_-122.35318_450 N 39 St&amp;cp=47.654327~-122.35318","Map")</f>
        <v>Map</v>
      </c>
      <c r="N1657" s="2" t="str">
        <f>HYPERLINK("http://i-0.rfimg.us/photo/1/bigphoto/687/28027687_1.jpg","Photo")</f>
        <v>Photo</v>
      </c>
      <c r="AG1657">
        <v>47.654327000000002</v>
      </c>
      <c r="AH1657">
        <v>-122.35317999999999</v>
      </c>
      <c r="AI1657" t="s">
        <v>66</v>
      </c>
      <c r="AJ1657">
        <v>98103</v>
      </c>
      <c r="AN1657">
        <v>424950</v>
      </c>
      <c r="BC1657" s="22">
        <v>39494.49491898148</v>
      </c>
      <c r="BI1657" s="22">
        <v>39549.294907407406</v>
      </c>
      <c r="BL1657">
        <v>9980</v>
      </c>
      <c r="BM1657">
        <v>1486862</v>
      </c>
      <c r="BN1657" t="s">
        <v>3328</v>
      </c>
      <c r="BO1657" s="17">
        <f t="shared" ca="1" si="25"/>
        <v>54.814486921299249</v>
      </c>
      <c r="BP1657" t="b">
        <v>0</v>
      </c>
      <c r="BQ1657">
        <v>2</v>
      </c>
      <c r="BR1657" t="s">
        <v>1686</v>
      </c>
      <c r="BS1657">
        <v>39</v>
      </c>
      <c r="BT1657" t="b">
        <v>0</v>
      </c>
      <c r="BU1657" t="s">
        <v>1712</v>
      </c>
      <c r="BV1657" t="s">
        <v>1668</v>
      </c>
      <c r="BW1657">
        <v>450</v>
      </c>
      <c r="BY1657">
        <v>302508</v>
      </c>
      <c r="BZ1657" t="s">
        <v>2429</v>
      </c>
      <c r="CA1657">
        <v>1</v>
      </c>
      <c r="CB1657" t="b">
        <v>1</v>
      </c>
      <c r="CC1657">
        <v>0</v>
      </c>
      <c r="CD1657" t="b">
        <v>0</v>
      </c>
      <c r="CE1657" t="b">
        <v>0</v>
      </c>
      <c r="CF1657" t="b">
        <v>0</v>
      </c>
      <c r="CG1657">
        <v>2932413</v>
      </c>
      <c r="CH1657" t="s">
        <v>1681</v>
      </c>
      <c r="CI1657" s="10">
        <v>499000</v>
      </c>
      <c r="CJ1657" s="7">
        <v>38471</v>
      </c>
    </row>
    <row r="1658" spans="1:88">
      <c r="A1658">
        <v>28027705</v>
      </c>
      <c r="B1658" s="2" t="str">
        <f>HYPERLINK("http://www.redfin.com/stingray/do/printable-listing?listing-id=1489440","Active")</f>
        <v>Active</v>
      </c>
      <c r="D1658" t="s">
        <v>4611</v>
      </c>
      <c r="E1658" t="s">
        <v>5469</v>
      </c>
      <c r="F1658">
        <v>520000</v>
      </c>
      <c r="G1658">
        <v>1963</v>
      </c>
      <c r="H1658">
        <v>1720</v>
      </c>
      <c r="I1658">
        <v>9300</v>
      </c>
      <c r="J1658">
        <v>4</v>
      </c>
      <c r="K1658">
        <v>2.5</v>
      </c>
      <c r="M1658" s="2" t="str">
        <f>HYPERLINK("http://maps.live.com/default.aspx?v=2&amp;lvl=15&amp;sp=Point.47.620589_-122.112394_1258 170 Ave NE&amp;cp=47.620589~-122.112394","Map")</f>
        <v>Map</v>
      </c>
      <c r="N1658" s="2" t="str">
        <f>HYPERLINK("http://i-0.rfimg.us/photo/1/bigphoto/705/28027705_1.jpg","Photo")</f>
        <v>Photo</v>
      </c>
      <c r="AG1658">
        <v>47.620589000000002</v>
      </c>
      <c r="AH1658">
        <v>-122.11239399999999</v>
      </c>
      <c r="AI1658" t="s">
        <v>369</v>
      </c>
      <c r="AJ1658">
        <v>98008</v>
      </c>
      <c r="BC1658" s="22">
        <v>39496.536539351851</v>
      </c>
      <c r="BI1658" s="22">
        <v>39549.294907407406</v>
      </c>
      <c r="BL1658">
        <v>10400</v>
      </c>
      <c r="BM1658">
        <v>1489440</v>
      </c>
      <c r="BN1658" t="s">
        <v>1737</v>
      </c>
      <c r="BO1658" s="17">
        <f t="shared" ca="1" si="25"/>
        <v>52.772866550927574</v>
      </c>
      <c r="BP1658" t="b">
        <v>0</v>
      </c>
      <c r="BQ1658">
        <v>1</v>
      </c>
      <c r="BR1658" t="s">
        <v>1667</v>
      </c>
      <c r="BS1658">
        <v>170</v>
      </c>
      <c r="BT1658" t="b">
        <v>0</v>
      </c>
      <c r="BV1658" t="s">
        <v>1668</v>
      </c>
      <c r="BW1658">
        <v>1258</v>
      </c>
      <c r="BX1658" t="s">
        <v>1738</v>
      </c>
      <c r="BY1658">
        <v>499894</v>
      </c>
      <c r="BZ1658" t="s">
        <v>1756</v>
      </c>
      <c r="CA1658">
        <v>1</v>
      </c>
      <c r="CB1658" t="b">
        <v>1</v>
      </c>
      <c r="CC1658">
        <v>0</v>
      </c>
      <c r="CD1658" t="b">
        <v>0</v>
      </c>
      <c r="CE1658" t="b">
        <v>0</v>
      </c>
      <c r="CF1658" t="b">
        <v>0</v>
      </c>
      <c r="CG1658">
        <v>2939004</v>
      </c>
      <c r="CH1658" t="s">
        <v>1681</v>
      </c>
      <c r="CI1658" s="10">
        <v>520000</v>
      </c>
    </row>
    <row r="1659" spans="1:88">
      <c r="A1659">
        <v>28027719</v>
      </c>
      <c r="B1659" s="2" t="str">
        <f>HYPERLINK("http://www.redfin.com/stingray/do/printable-listing?listing-id=1483811","Subject To Inspection")</f>
        <v>Subject To Inspection</v>
      </c>
      <c r="D1659" t="s">
        <v>3959</v>
      </c>
      <c r="E1659" t="s">
        <v>3996</v>
      </c>
      <c r="F1659">
        <v>489000</v>
      </c>
      <c r="G1659">
        <v>1922</v>
      </c>
      <c r="H1659">
        <v>1150</v>
      </c>
      <c r="I1659">
        <v>0</v>
      </c>
      <c r="J1659">
        <v>1</v>
      </c>
      <c r="K1659">
        <v>1.75</v>
      </c>
      <c r="M1659" s="2" t="str">
        <f>HYPERLINK("http://maps.live.com/default.aspx?v=2&amp;lvl=15&amp;sp=Point.47.602005_-122.308764_112 18th Ave&amp;cp=47.602005~-122.308764","Map")</f>
        <v>Map</v>
      </c>
      <c r="N1659" s="2" t="str">
        <f>HYPERLINK("http://i-0.rfimg.us/photo/1/bigphoto/719/28027719_0.jpg","Photo")</f>
        <v>Photo</v>
      </c>
      <c r="AG1659">
        <v>47.602004999999998</v>
      </c>
      <c r="AH1659">
        <v>-122.308764</v>
      </c>
      <c r="AI1659" t="s">
        <v>66</v>
      </c>
      <c r="AJ1659">
        <v>98122</v>
      </c>
      <c r="AN1659">
        <v>181000</v>
      </c>
      <c r="BC1659" s="22">
        <v>39493.474456018521</v>
      </c>
      <c r="BI1659" s="7">
        <v>39535</v>
      </c>
      <c r="BL1659">
        <v>9780</v>
      </c>
      <c r="BM1659">
        <v>1483811</v>
      </c>
      <c r="BN1659" t="s">
        <v>1710</v>
      </c>
      <c r="BO1659" s="17">
        <f t="shared" ca="1" si="25"/>
        <v>55.834949884258094</v>
      </c>
      <c r="BP1659" t="b">
        <v>0</v>
      </c>
      <c r="BQ1659">
        <v>2</v>
      </c>
      <c r="BR1659" t="s">
        <v>1667</v>
      </c>
      <c r="BS1659" t="s">
        <v>1909</v>
      </c>
      <c r="BT1659" t="b">
        <v>0</v>
      </c>
      <c r="BV1659" t="s">
        <v>1668</v>
      </c>
      <c r="BW1659">
        <v>112</v>
      </c>
      <c r="BY1659">
        <v>143148</v>
      </c>
      <c r="BZ1659" t="s">
        <v>1672</v>
      </c>
      <c r="CA1659">
        <v>1</v>
      </c>
      <c r="CB1659" t="b">
        <v>1</v>
      </c>
      <c r="CC1659">
        <v>0</v>
      </c>
      <c r="CD1659" t="b">
        <v>0</v>
      </c>
      <c r="CE1659" t="b">
        <v>0</v>
      </c>
      <c r="CF1659" t="b">
        <v>0</v>
      </c>
      <c r="CG1659">
        <v>2968716</v>
      </c>
      <c r="CH1659" t="s">
        <v>1681</v>
      </c>
      <c r="CI1659" s="10">
        <v>489000</v>
      </c>
      <c r="CJ1659" s="7">
        <v>37977</v>
      </c>
    </row>
    <row r="1660" spans="1:88">
      <c r="A1660">
        <v>28027761</v>
      </c>
      <c r="B1660" s="2" t="str">
        <f>HYPERLINK("http://www.redfin.com/stingray/do/printable-listing?listing-id=1487108","Active")</f>
        <v>Active</v>
      </c>
      <c r="D1660" t="s">
        <v>60</v>
      </c>
      <c r="E1660" t="s">
        <v>2800</v>
      </c>
      <c r="F1660">
        <v>315000</v>
      </c>
      <c r="G1660">
        <v>2003</v>
      </c>
      <c r="H1660">
        <v>800</v>
      </c>
      <c r="I1660">
        <v>1196</v>
      </c>
      <c r="J1660">
        <v>2</v>
      </c>
      <c r="K1660">
        <v>1.5</v>
      </c>
      <c r="M1660" s="2" t="str">
        <f>HYPERLINK("http://maps.live.com/default.aspx?v=2&amp;lvl=15&amp;sp=Point.47.696959_-122.340595_9242 Interlake Ave N nA&amp;cp=47.696959~-122.340595","Map")</f>
        <v>Map</v>
      </c>
      <c r="N1660" s="2" t="str">
        <f>HYPERLINK("http://i-0.rfimg.us/photo/1/bigphoto/761/28027761_1.jpg","Photo")</f>
        <v>Photo</v>
      </c>
      <c r="AG1660">
        <v>47.696959</v>
      </c>
      <c r="AH1660">
        <v>-122.34059499999999</v>
      </c>
      <c r="AI1660" t="s">
        <v>66</v>
      </c>
      <c r="AJ1660">
        <v>98103</v>
      </c>
      <c r="AM1660" t="s">
        <v>1722</v>
      </c>
      <c r="AN1660">
        <v>208000</v>
      </c>
      <c r="BC1660" s="22">
        <v>39494.578020833331</v>
      </c>
      <c r="BI1660" s="22">
        <v>39549.294907407406</v>
      </c>
      <c r="BL1660">
        <v>6300</v>
      </c>
      <c r="BM1660">
        <v>1487108</v>
      </c>
      <c r="BN1660" t="s">
        <v>1824</v>
      </c>
      <c r="BO1660" s="17">
        <f t="shared" ca="1" si="25"/>
        <v>54.731385069448152</v>
      </c>
      <c r="BP1660" t="b">
        <v>0</v>
      </c>
      <c r="BQ1660">
        <v>1</v>
      </c>
      <c r="BR1660" t="s">
        <v>1667</v>
      </c>
      <c r="BS1660" t="s">
        <v>2378</v>
      </c>
      <c r="BT1660" t="b">
        <v>0</v>
      </c>
      <c r="BV1660" t="s">
        <v>1668</v>
      </c>
      <c r="BW1660">
        <v>9242</v>
      </c>
      <c r="BX1660" t="s">
        <v>1712</v>
      </c>
      <c r="BY1660">
        <v>104930</v>
      </c>
      <c r="BZ1660" t="s">
        <v>1742</v>
      </c>
      <c r="CA1660">
        <v>1</v>
      </c>
      <c r="CB1660" t="b">
        <v>1</v>
      </c>
      <c r="CC1660">
        <v>0</v>
      </c>
      <c r="CD1660" t="b">
        <v>0</v>
      </c>
      <c r="CE1660" t="b">
        <v>0</v>
      </c>
      <c r="CF1660" t="b">
        <v>0</v>
      </c>
      <c r="CG1660">
        <v>2351585</v>
      </c>
      <c r="CH1660" t="s">
        <v>1681</v>
      </c>
      <c r="CI1660" s="10">
        <v>315000</v>
      </c>
      <c r="CJ1660" s="7">
        <v>37775</v>
      </c>
    </row>
    <row r="1661" spans="1:88">
      <c r="A1661">
        <v>28027817</v>
      </c>
      <c r="B1661" s="2" t="str">
        <f>HYPERLINK("http://www.redfin.com/stingray/do/printable-listing?listing-id=1483977","Active")</f>
        <v>Active</v>
      </c>
      <c r="D1661" t="s">
        <v>2552</v>
      </c>
      <c r="E1661" t="s">
        <v>3486</v>
      </c>
      <c r="F1661">
        <v>399000</v>
      </c>
      <c r="G1661">
        <v>1947</v>
      </c>
      <c r="H1661">
        <v>0</v>
      </c>
      <c r="I1661">
        <v>4800</v>
      </c>
      <c r="J1661">
        <v>2</v>
      </c>
      <c r="K1661">
        <v>1</v>
      </c>
      <c r="M1661" s="2" t="str">
        <f>HYPERLINK("http://maps.live.com/default.aspx?v=2&amp;lvl=15&amp;sp=Point.47.658075_-122.393196_4211 28th Ave W&amp;cp=47.658075~-122.393196","Map")</f>
        <v>Map</v>
      </c>
      <c r="N1661" s="2" t="str">
        <f>HYPERLINK("http://i-0.rfimg.us/photo/1/bigphoto/817/28027817_4.jpg","Photo")</f>
        <v>Photo</v>
      </c>
      <c r="AG1661">
        <v>47.658074999999997</v>
      </c>
      <c r="AH1661">
        <v>-122.393196</v>
      </c>
      <c r="AI1661" t="s">
        <v>66</v>
      </c>
      <c r="AJ1661">
        <v>98199</v>
      </c>
      <c r="BC1661" s="22">
        <v>39493.505810185183</v>
      </c>
      <c r="BI1661" s="22">
        <v>39549.294907407406</v>
      </c>
      <c r="BL1661">
        <v>7980</v>
      </c>
      <c r="BM1661">
        <v>1483977</v>
      </c>
      <c r="BN1661" t="s">
        <v>1678</v>
      </c>
      <c r="BO1661" s="17">
        <f t="shared" ca="1" si="25"/>
        <v>55.803595717596181</v>
      </c>
      <c r="BP1661" t="b">
        <v>0</v>
      </c>
      <c r="BQ1661">
        <v>1</v>
      </c>
      <c r="BR1661" t="s">
        <v>1667</v>
      </c>
      <c r="BS1661" t="s">
        <v>1760</v>
      </c>
      <c r="BT1661" t="b">
        <v>0</v>
      </c>
      <c r="BV1661" t="s">
        <v>1668</v>
      </c>
      <c r="BW1661">
        <v>4211</v>
      </c>
      <c r="BX1661" t="s">
        <v>2423</v>
      </c>
      <c r="BY1661">
        <v>123285</v>
      </c>
      <c r="BZ1661" t="s">
        <v>3487</v>
      </c>
      <c r="CA1661">
        <v>1</v>
      </c>
      <c r="CB1661" t="b">
        <v>1</v>
      </c>
      <c r="CC1661">
        <v>0</v>
      </c>
      <c r="CD1661" t="b">
        <v>0</v>
      </c>
      <c r="CE1661" t="b">
        <v>0</v>
      </c>
      <c r="CF1661" t="b">
        <v>0</v>
      </c>
      <c r="CG1661">
        <v>2482839</v>
      </c>
      <c r="CH1661" t="s">
        <v>1681</v>
      </c>
      <c r="CI1661" s="10">
        <v>399000</v>
      </c>
    </row>
    <row r="1662" spans="1:88">
      <c r="A1662">
        <v>28027851</v>
      </c>
      <c r="B1662" s="2" t="str">
        <f>HYPERLINK("http://www.redfin.com/stingray/do/printable-listing?listing-id=1484071","Subject To Inspection")</f>
        <v>Subject To Inspection</v>
      </c>
      <c r="D1662" t="s">
        <v>3959</v>
      </c>
      <c r="E1662" t="s">
        <v>4073</v>
      </c>
      <c r="F1662">
        <v>439750</v>
      </c>
      <c r="G1662">
        <v>1901</v>
      </c>
      <c r="H1662">
        <v>1790</v>
      </c>
      <c r="I1662">
        <v>7200</v>
      </c>
      <c r="J1662">
        <v>5</v>
      </c>
      <c r="K1662">
        <v>1.5</v>
      </c>
      <c r="M1662" s="2" t="str">
        <f>HYPERLINK("http://maps.live.com/default.aspx?v=2&amp;lvl=15&amp;sp=Point.47.61448_-122.301023_1508 24th Ave&amp;cp=47.61448~-122.301023","Map")</f>
        <v>Map</v>
      </c>
      <c r="N1662" s="2" t="str">
        <f>HYPERLINK("http://i-0.rfimg.us/photo/1/bigphoto/851/28027851_1.jpg","Photo")</f>
        <v>Photo</v>
      </c>
      <c r="AG1662">
        <v>47.61448</v>
      </c>
      <c r="AH1662">
        <v>-122.301023</v>
      </c>
      <c r="AI1662" t="s">
        <v>66</v>
      </c>
      <c r="AJ1662">
        <v>98122</v>
      </c>
      <c r="AN1662">
        <v>429000</v>
      </c>
      <c r="BC1662" s="22">
        <v>39493.52747685185</v>
      </c>
      <c r="BI1662" s="7">
        <v>39533</v>
      </c>
      <c r="BL1662">
        <v>8795</v>
      </c>
      <c r="BM1662">
        <v>1484071</v>
      </c>
      <c r="BN1662" t="s">
        <v>1939</v>
      </c>
      <c r="BO1662" s="17">
        <f t="shared" ca="1" si="25"/>
        <v>55.781929050928738</v>
      </c>
      <c r="BP1662" t="b">
        <v>0</v>
      </c>
      <c r="BQ1662">
        <v>2</v>
      </c>
      <c r="BR1662" t="s">
        <v>1667</v>
      </c>
      <c r="BS1662" t="s">
        <v>1740</v>
      </c>
      <c r="BT1662" t="b">
        <v>0</v>
      </c>
      <c r="BV1662" t="s">
        <v>1668</v>
      </c>
      <c r="BW1662">
        <v>1508</v>
      </c>
      <c r="BY1662">
        <v>148022</v>
      </c>
      <c r="BZ1662" t="s">
        <v>2373</v>
      </c>
      <c r="CA1662">
        <v>1</v>
      </c>
      <c r="CB1662" t="b">
        <v>1</v>
      </c>
      <c r="CC1662">
        <v>0</v>
      </c>
      <c r="CD1662" t="b">
        <v>1</v>
      </c>
      <c r="CE1662" t="b">
        <v>0</v>
      </c>
      <c r="CF1662" t="b">
        <v>0</v>
      </c>
      <c r="CG1662">
        <v>2782276</v>
      </c>
      <c r="CH1662" t="s">
        <v>1681</v>
      </c>
      <c r="CI1662" s="10">
        <v>439750</v>
      </c>
      <c r="CJ1662" s="7">
        <v>39314</v>
      </c>
    </row>
    <row r="1663" spans="1:88">
      <c r="A1663">
        <v>28027869</v>
      </c>
      <c r="B1663" s="2" t="str">
        <f>HYPERLINK("http://www.redfin.com/stingray/do/printable-listing?listing-id=1484181","Subject To Inspection")</f>
        <v>Subject To Inspection</v>
      </c>
      <c r="D1663" t="s">
        <v>100</v>
      </c>
      <c r="E1663" t="s">
        <v>3323</v>
      </c>
      <c r="F1663">
        <v>525000</v>
      </c>
      <c r="G1663">
        <v>2008</v>
      </c>
      <c r="H1663">
        <v>1364</v>
      </c>
      <c r="I1663">
        <v>0</v>
      </c>
      <c r="J1663">
        <v>3</v>
      </c>
      <c r="K1663">
        <v>2.75</v>
      </c>
      <c r="M1663" s="2" t="str">
        <f>HYPERLINK("http://maps.live.com/default.aspx?v=2&amp;lvl=15&amp;sp=Point.47.653241_-122.356395_3632 Palatine Ave N&amp;cp=47.653241~-122.356395","Map")</f>
        <v>Map</v>
      </c>
      <c r="N1663" s="2" t="str">
        <f>HYPERLINK("http://i-0.rfimg.us/photo/1/bigphoto/869/28027869_0.jpg","Photo")</f>
        <v>Photo</v>
      </c>
      <c r="AG1663">
        <v>47.653241000000001</v>
      </c>
      <c r="AH1663">
        <v>-122.35639500000001</v>
      </c>
      <c r="AI1663" t="s">
        <v>66</v>
      </c>
      <c r="AJ1663">
        <v>98107</v>
      </c>
      <c r="BC1663" s="22">
        <v>39493.53696759259</v>
      </c>
      <c r="BI1663" s="7">
        <v>39533</v>
      </c>
      <c r="BL1663">
        <v>10500</v>
      </c>
      <c r="BM1663">
        <v>1484181</v>
      </c>
      <c r="BN1663" t="s">
        <v>1737</v>
      </c>
      <c r="BO1663" s="17">
        <f t="shared" ca="1" si="25"/>
        <v>55.772438310188591</v>
      </c>
      <c r="BP1663" t="b">
        <v>0</v>
      </c>
      <c r="BQ1663">
        <v>2</v>
      </c>
      <c r="BR1663" t="s">
        <v>1667</v>
      </c>
      <c r="BS1663" t="s">
        <v>2605</v>
      </c>
      <c r="BT1663" t="b">
        <v>0</v>
      </c>
      <c r="BV1663" t="s">
        <v>1668</v>
      </c>
      <c r="BW1663">
        <v>3632</v>
      </c>
      <c r="BX1663" t="s">
        <v>1712</v>
      </c>
      <c r="BY1663">
        <v>12415564</v>
      </c>
      <c r="BZ1663" t="s">
        <v>2742</v>
      </c>
      <c r="CA1663">
        <v>1</v>
      </c>
      <c r="CB1663" t="b">
        <v>1</v>
      </c>
      <c r="CC1663">
        <v>0</v>
      </c>
      <c r="CD1663" t="b">
        <v>0</v>
      </c>
      <c r="CE1663" t="b">
        <v>0</v>
      </c>
      <c r="CF1663" t="b">
        <v>0</v>
      </c>
      <c r="CG1663">
        <v>15619312</v>
      </c>
      <c r="CH1663" t="s">
        <v>1681</v>
      </c>
      <c r="CI1663" s="10">
        <v>525000</v>
      </c>
    </row>
    <row r="1664" spans="1:88">
      <c r="A1664">
        <v>28027892</v>
      </c>
      <c r="B1664" s="2" t="str">
        <f>HYPERLINK("http://www.redfin.com/stingray/do/printable-listing?listing-id=1484874","Active")</f>
        <v>Active</v>
      </c>
      <c r="D1664" t="s">
        <v>4596</v>
      </c>
      <c r="E1664" t="s">
        <v>4632</v>
      </c>
      <c r="F1664">
        <v>737950</v>
      </c>
      <c r="G1664">
        <v>2008</v>
      </c>
      <c r="H1664">
        <v>3115</v>
      </c>
      <c r="I1664">
        <v>0</v>
      </c>
      <c r="J1664">
        <v>4</v>
      </c>
      <c r="K1664">
        <v>2.5</v>
      </c>
      <c r="M1664" s="2" t="str">
        <f>HYPERLINK("http://maps.live.com/default.aspx?v=2&amp;lvl=15&amp;sp=adr.16802 NE 120th St (Unable to map),98052","Map")</f>
        <v>Map</v>
      </c>
      <c r="N1664" s="2" t="str">
        <f>HYPERLINK("http://i-0.rfimg.us/photo/1/bigphoto/892/28027892_0.jpg","Photo")</f>
        <v>Photo</v>
      </c>
      <c r="AI1664" t="s">
        <v>4363</v>
      </c>
      <c r="AJ1664">
        <v>98052</v>
      </c>
      <c r="BC1664" s="22">
        <v>39493.673460648148</v>
      </c>
      <c r="BI1664" s="22">
        <v>39549.294907407406</v>
      </c>
      <c r="BL1664">
        <v>14759</v>
      </c>
      <c r="BM1664">
        <v>1484874</v>
      </c>
      <c r="BN1664" t="s">
        <v>3883</v>
      </c>
      <c r="BO1664" s="17">
        <f t="shared" ca="1" si="25"/>
        <v>55.635945254631224</v>
      </c>
      <c r="BP1664" t="b">
        <v>0</v>
      </c>
      <c r="BQ1664">
        <v>1</v>
      </c>
      <c r="BR1664" t="s">
        <v>1686</v>
      </c>
      <c r="BS1664" t="s">
        <v>2785</v>
      </c>
      <c r="BT1664" t="b">
        <v>0</v>
      </c>
      <c r="BU1664" t="s">
        <v>1738</v>
      </c>
      <c r="BV1664" t="s">
        <v>1668</v>
      </c>
      <c r="BW1664">
        <v>16802</v>
      </c>
      <c r="BY1664">
        <v>0</v>
      </c>
      <c r="BZ1664" t="s">
        <v>1696</v>
      </c>
      <c r="CA1664">
        <v>1</v>
      </c>
      <c r="CB1664" t="b">
        <v>1</v>
      </c>
      <c r="CC1664">
        <v>0</v>
      </c>
      <c r="CD1664" t="b">
        <v>0</v>
      </c>
      <c r="CE1664" t="b">
        <v>0</v>
      </c>
      <c r="CF1664" t="b">
        <v>0</v>
      </c>
      <c r="CG1664" t="s">
        <v>1870</v>
      </c>
      <c r="CH1664" t="s">
        <v>1681</v>
      </c>
      <c r="CI1664" s="10">
        <v>737950</v>
      </c>
    </row>
    <row r="1665" spans="1:88">
      <c r="A1665">
        <v>28027908</v>
      </c>
      <c r="B1665" s="2" t="str">
        <f>HYPERLINK("http://www.redfin.com/stingray/do/printable-listing?listing-id=1484927","Active")</f>
        <v>Active</v>
      </c>
      <c r="D1665" t="s">
        <v>4596</v>
      </c>
      <c r="E1665" t="s">
        <v>4631</v>
      </c>
      <c r="F1665">
        <v>734950</v>
      </c>
      <c r="G1665">
        <v>2008</v>
      </c>
      <c r="H1665">
        <v>2644</v>
      </c>
      <c r="I1665">
        <v>0</v>
      </c>
      <c r="J1665">
        <v>4</v>
      </c>
      <c r="K1665">
        <v>2.5</v>
      </c>
      <c r="M1665" s="2" t="str">
        <f>HYPERLINK("http://maps.live.com/default.aspx?v=2&amp;lvl=15&amp;sp=adr.16814 NE 120th St (Unable to map),98052","Map")</f>
        <v>Map</v>
      </c>
      <c r="N1665" s="2" t="str">
        <f>HYPERLINK("http://i-0.rfimg.us/photo/1/bigphoto/908/28027908_0.jpg","Photo")</f>
        <v>Photo</v>
      </c>
      <c r="AI1665" t="s">
        <v>4363</v>
      </c>
      <c r="AJ1665">
        <v>98052</v>
      </c>
      <c r="BC1665" s="22">
        <v>39493.683067129627</v>
      </c>
      <c r="BI1665" s="22">
        <v>39549.294907407406</v>
      </c>
      <c r="BL1665">
        <v>14699</v>
      </c>
      <c r="BM1665">
        <v>1484927</v>
      </c>
      <c r="BN1665" t="s">
        <v>3883</v>
      </c>
      <c r="BO1665" s="17">
        <f t="shared" ca="1" si="25"/>
        <v>55.626338773152384</v>
      </c>
      <c r="BP1665" t="b">
        <v>0</v>
      </c>
      <c r="BQ1665">
        <v>1</v>
      </c>
      <c r="BR1665" t="s">
        <v>1686</v>
      </c>
      <c r="BS1665" t="s">
        <v>2785</v>
      </c>
      <c r="BT1665" t="b">
        <v>0</v>
      </c>
      <c r="BU1665" t="s">
        <v>1738</v>
      </c>
      <c r="BV1665" t="s">
        <v>1668</v>
      </c>
      <c r="BW1665">
        <v>16814</v>
      </c>
      <c r="BY1665">
        <v>0</v>
      </c>
      <c r="BZ1665" t="s">
        <v>1696</v>
      </c>
      <c r="CA1665">
        <v>1</v>
      </c>
      <c r="CB1665" t="b">
        <v>1</v>
      </c>
      <c r="CC1665">
        <v>0</v>
      </c>
      <c r="CD1665" t="b">
        <v>0</v>
      </c>
      <c r="CE1665" t="b">
        <v>0</v>
      </c>
      <c r="CF1665" t="b">
        <v>0</v>
      </c>
      <c r="CG1665" t="s">
        <v>1870</v>
      </c>
      <c r="CH1665" t="s">
        <v>1681</v>
      </c>
      <c r="CI1665" s="10">
        <v>734950</v>
      </c>
    </row>
    <row r="1666" spans="1:88">
      <c r="A1666">
        <v>28027932</v>
      </c>
      <c r="B1666" s="2" t="str">
        <f>HYPERLINK("http://www.redfin.com/stingray/do/printable-listing?listing-id=1484360","Active")</f>
        <v>Active</v>
      </c>
      <c r="D1666" t="s">
        <v>60</v>
      </c>
      <c r="E1666" t="s">
        <v>3114</v>
      </c>
      <c r="F1666">
        <v>399950</v>
      </c>
      <c r="G1666">
        <v>1919</v>
      </c>
      <c r="H1666">
        <v>1210</v>
      </c>
      <c r="I1666">
        <v>4080</v>
      </c>
      <c r="J1666">
        <v>1</v>
      </c>
      <c r="K1666">
        <v>2</v>
      </c>
      <c r="M1666" s="2" t="str">
        <f>HYPERLINK("http://maps.live.com/default.aspx?v=2&amp;lvl=15&amp;sp=Point.47.667371_-122.323631_344 NE 53rd St&amp;cp=47.667371~-122.323631","Map")</f>
        <v>Map</v>
      </c>
      <c r="N1666" s="2" t="str">
        <f>HYPERLINK("http://i-0.rfimg.us/photo/1/bigphoto/932/28027932_2.jpg","Photo")</f>
        <v>Photo</v>
      </c>
      <c r="AG1666">
        <v>47.667371000000003</v>
      </c>
      <c r="AH1666">
        <v>-122.32363100000001</v>
      </c>
      <c r="AI1666" t="s">
        <v>66</v>
      </c>
      <c r="AJ1666">
        <v>98105</v>
      </c>
      <c r="AN1666">
        <v>67245</v>
      </c>
      <c r="BC1666" s="22">
        <v>39493.568009259259</v>
      </c>
      <c r="BI1666" s="7">
        <v>39541</v>
      </c>
      <c r="BL1666">
        <v>7999</v>
      </c>
      <c r="BM1666">
        <v>1484360</v>
      </c>
      <c r="BN1666" t="s">
        <v>1731</v>
      </c>
      <c r="BO1666" s="17">
        <f t="shared" ref="BO1666:BO1729" ca="1" si="26">NOW()-BC1666</f>
        <v>55.741396643519693</v>
      </c>
      <c r="BP1666" t="b">
        <v>0</v>
      </c>
      <c r="BQ1666">
        <v>1</v>
      </c>
      <c r="BR1666" t="s">
        <v>1686</v>
      </c>
      <c r="BS1666" t="s">
        <v>2581</v>
      </c>
      <c r="BT1666" t="b">
        <v>0</v>
      </c>
      <c r="BU1666" t="s">
        <v>1738</v>
      </c>
      <c r="BV1666" t="s">
        <v>1668</v>
      </c>
      <c r="BW1666">
        <v>344</v>
      </c>
      <c r="BY1666">
        <v>305076</v>
      </c>
      <c r="BZ1666" t="s">
        <v>2953</v>
      </c>
      <c r="CA1666">
        <v>1</v>
      </c>
      <c r="CB1666" t="b">
        <v>1</v>
      </c>
      <c r="CC1666">
        <v>0</v>
      </c>
      <c r="CD1666" t="b">
        <v>0</v>
      </c>
      <c r="CE1666" t="b">
        <v>0</v>
      </c>
      <c r="CF1666" t="b">
        <v>0</v>
      </c>
      <c r="CG1666">
        <v>2798472</v>
      </c>
      <c r="CH1666" t="s">
        <v>1681</v>
      </c>
      <c r="CI1666" s="10">
        <v>399950</v>
      </c>
      <c r="CJ1666" s="7">
        <v>32681</v>
      </c>
    </row>
    <row r="1667" spans="1:88">
      <c r="A1667">
        <v>28027973</v>
      </c>
      <c r="B1667" s="2" t="str">
        <f>HYPERLINK("http://www.redfin.com/stingray/do/printable-listing?listing-id=1494546","Active")</f>
        <v>Active</v>
      </c>
      <c r="D1667" t="s">
        <v>4710</v>
      </c>
      <c r="E1667" t="s">
        <v>4756</v>
      </c>
      <c r="F1667">
        <v>998000</v>
      </c>
      <c r="G1667">
        <v>2008</v>
      </c>
      <c r="H1667">
        <v>2756</v>
      </c>
      <c r="I1667">
        <v>3200</v>
      </c>
      <c r="J1667">
        <v>3</v>
      </c>
      <c r="K1667">
        <v>3.25</v>
      </c>
      <c r="M1667" s="2" t="str">
        <f>HYPERLINK("http://maps.live.com/default.aspx?v=2&amp;lvl=15&amp;sp=Point.47.672837_-122.200003_414 4th Ave S&amp;cp=47.672837~-122.200003","Map")</f>
        <v>Map</v>
      </c>
      <c r="N1667" s="2" t="str">
        <f>HYPERLINK("http://i-0.rfimg.us/photo/1/bigphoto/973/28027973_1.jpg","Photo")</f>
        <v>Photo</v>
      </c>
      <c r="AG1667">
        <v>47.672837000000001</v>
      </c>
      <c r="AH1667">
        <v>-122.200003</v>
      </c>
      <c r="AI1667" t="s">
        <v>1058</v>
      </c>
      <c r="AJ1667">
        <v>98033</v>
      </c>
      <c r="BC1667" s="22">
        <v>39498.453217592592</v>
      </c>
      <c r="BI1667" s="22">
        <v>39549.294907407406</v>
      </c>
      <c r="BL1667">
        <v>19960</v>
      </c>
      <c r="BM1667">
        <v>1494546</v>
      </c>
      <c r="BN1667" t="s">
        <v>1768</v>
      </c>
      <c r="BO1667" s="17">
        <f t="shared" ca="1" si="26"/>
        <v>50.856188310186553</v>
      </c>
      <c r="BP1667" t="b">
        <v>0</v>
      </c>
      <c r="BQ1667">
        <v>1</v>
      </c>
      <c r="BR1667" t="s">
        <v>1667</v>
      </c>
      <c r="BS1667" t="s">
        <v>1724</v>
      </c>
      <c r="BT1667" t="b">
        <v>0</v>
      </c>
      <c r="BV1667" t="s">
        <v>1668</v>
      </c>
      <c r="BW1667">
        <v>414</v>
      </c>
      <c r="BX1667" t="s">
        <v>1881</v>
      </c>
      <c r="BY1667">
        <v>12108247</v>
      </c>
      <c r="BZ1667" t="s">
        <v>1689</v>
      </c>
      <c r="CA1667">
        <v>1</v>
      </c>
      <c r="CB1667" t="b">
        <v>1</v>
      </c>
      <c r="CC1667">
        <v>0</v>
      </c>
      <c r="CD1667" t="b">
        <v>0</v>
      </c>
      <c r="CE1667" t="b">
        <v>0</v>
      </c>
      <c r="CF1667" t="b">
        <v>0</v>
      </c>
      <c r="CG1667">
        <v>15361551</v>
      </c>
      <c r="CH1667" t="s">
        <v>1681</v>
      </c>
      <c r="CI1667" s="10">
        <v>998000</v>
      </c>
    </row>
    <row r="1668" spans="1:88">
      <c r="A1668">
        <v>28027988</v>
      </c>
      <c r="B1668" s="2" t="str">
        <f>HYPERLINK("http://www.redfin.com/stingray/do/printable-listing?listing-id=1484525","Active")</f>
        <v>Active</v>
      </c>
      <c r="D1668" t="s">
        <v>6198</v>
      </c>
      <c r="E1668" t="s">
        <v>6230</v>
      </c>
      <c r="F1668">
        <v>499950</v>
      </c>
      <c r="G1668">
        <v>2008</v>
      </c>
      <c r="H1668">
        <v>2290</v>
      </c>
      <c r="I1668">
        <v>0</v>
      </c>
      <c r="J1668">
        <v>3</v>
      </c>
      <c r="K1668">
        <v>2.5</v>
      </c>
      <c r="M1668" s="2" t="str">
        <f>HYPERLINK("http://maps.live.com/default.aspx?v=2&amp;lvl=15&amp;sp=adr.1006 S 32rd Pl (Unable to map),98055","Map")</f>
        <v>Map</v>
      </c>
      <c r="N1668" s="2" t="str">
        <f>HYPERLINK("http://i-0.rfimg.us/photo/1/bigphoto/988/28027988_3.jpg","Photo")</f>
        <v>Photo</v>
      </c>
      <c r="AI1668" t="s">
        <v>1077</v>
      </c>
      <c r="AJ1668">
        <v>98055</v>
      </c>
      <c r="BC1668" s="22">
        <v>39493.600231481483</v>
      </c>
      <c r="BI1668" s="7">
        <v>39542</v>
      </c>
      <c r="BL1668">
        <v>9999</v>
      </c>
      <c r="BM1668">
        <v>1484525</v>
      </c>
      <c r="BN1668" t="s">
        <v>1688</v>
      </c>
      <c r="BO1668" s="17">
        <f t="shared" ca="1" si="26"/>
        <v>55.709174421295756</v>
      </c>
      <c r="BP1668" t="b">
        <v>0</v>
      </c>
      <c r="BQ1668">
        <v>1</v>
      </c>
      <c r="BR1668" t="s">
        <v>1842</v>
      </c>
      <c r="BS1668" t="s">
        <v>6204</v>
      </c>
      <c r="BT1668" t="b">
        <v>0</v>
      </c>
      <c r="BU1668" t="s">
        <v>1881</v>
      </c>
      <c r="BV1668" t="s">
        <v>1668</v>
      </c>
      <c r="BW1668">
        <v>1006</v>
      </c>
      <c r="BY1668">
        <v>0</v>
      </c>
      <c r="BZ1668" t="s">
        <v>6231</v>
      </c>
      <c r="CA1668">
        <v>1</v>
      </c>
      <c r="CB1668" t="b">
        <v>1</v>
      </c>
      <c r="CC1668">
        <v>0</v>
      </c>
      <c r="CD1668" t="b">
        <v>0</v>
      </c>
      <c r="CE1668" t="b">
        <v>0</v>
      </c>
      <c r="CF1668" t="b">
        <v>0</v>
      </c>
      <c r="CG1668" t="s">
        <v>1870</v>
      </c>
      <c r="CH1668" t="s">
        <v>1681</v>
      </c>
      <c r="CI1668" s="10">
        <v>499950</v>
      </c>
    </row>
    <row r="1669" spans="1:88">
      <c r="A1669">
        <v>28027990</v>
      </c>
      <c r="B1669" s="2" t="str">
        <f>HYPERLINK("http://www.redfin.com/stingray/do/printable-listing?listing-id=1484555","Active")</f>
        <v>Active</v>
      </c>
      <c r="D1669" t="s">
        <v>6198</v>
      </c>
      <c r="E1669" t="s">
        <v>6203</v>
      </c>
      <c r="F1669">
        <v>549950</v>
      </c>
      <c r="G1669">
        <v>2008</v>
      </c>
      <c r="H1669">
        <v>2641</v>
      </c>
      <c r="I1669">
        <v>0</v>
      </c>
      <c r="J1669">
        <v>4</v>
      </c>
      <c r="K1669">
        <v>2.5</v>
      </c>
      <c r="M1669" s="2" t="str">
        <f>HYPERLINK("http://maps.live.com/default.aspx?v=2&amp;lvl=15&amp;sp=adr.1002 S 32rd Pl (Unable to map),98055","Map")</f>
        <v>Map</v>
      </c>
      <c r="N1669" s="2" t="str">
        <f>HYPERLINK("http://i-0.rfimg.us/photo/1/bigphoto/990/28027990_0.jpg","Photo")</f>
        <v>Photo</v>
      </c>
      <c r="AI1669" t="s">
        <v>1077</v>
      </c>
      <c r="AJ1669">
        <v>98055</v>
      </c>
      <c r="BC1669" s="22">
        <v>39493.611759259256</v>
      </c>
      <c r="BI1669" s="7">
        <v>39542</v>
      </c>
      <c r="BL1669">
        <v>10999</v>
      </c>
      <c r="BM1669">
        <v>1484555</v>
      </c>
      <c r="BN1669" t="s">
        <v>1688</v>
      </c>
      <c r="BO1669" s="17">
        <f t="shared" ca="1" si="26"/>
        <v>55.697646643522603</v>
      </c>
      <c r="BP1669" t="b">
        <v>0</v>
      </c>
      <c r="BQ1669">
        <v>1</v>
      </c>
      <c r="BR1669" t="s">
        <v>1842</v>
      </c>
      <c r="BS1669" t="s">
        <v>6204</v>
      </c>
      <c r="BT1669" t="b">
        <v>0</v>
      </c>
      <c r="BU1669" t="s">
        <v>1881</v>
      </c>
      <c r="BV1669" t="s">
        <v>1668</v>
      </c>
      <c r="BW1669">
        <v>1002</v>
      </c>
      <c r="BY1669">
        <v>0</v>
      </c>
      <c r="BZ1669" s="21">
        <v>0</v>
      </c>
      <c r="CA1669">
        <v>1</v>
      </c>
      <c r="CB1669" t="b">
        <v>1</v>
      </c>
      <c r="CC1669">
        <v>0</v>
      </c>
      <c r="CD1669" t="b">
        <v>0</v>
      </c>
      <c r="CE1669" t="b">
        <v>0</v>
      </c>
      <c r="CF1669" t="b">
        <v>0</v>
      </c>
      <c r="CG1669" t="s">
        <v>1870</v>
      </c>
      <c r="CH1669" t="s">
        <v>1681</v>
      </c>
      <c r="CI1669" s="10">
        <v>549950</v>
      </c>
    </row>
    <row r="1670" spans="1:88">
      <c r="A1670">
        <v>28027998</v>
      </c>
      <c r="B1670" s="2" t="str">
        <f>HYPERLINK("http://www.redfin.com/stingray/do/printable-listing?listing-id=1484556","Active")</f>
        <v>Active</v>
      </c>
      <c r="D1670" t="s">
        <v>6198</v>
      </c>
      <c r="E1670" t="s">
        <v>6205</v>
      </c>
      <c r="F1670">
        <v>559950</v>
      </c>
      <c r="G1670">
        <v>2008</v>
      </c>
      <c r="H1670">
        <v>2934</v>
      </c>
      <c r="I1670">
        <v>0</v>
      </c>
      <c r="J1670">
        <v>4</v>
      </c>
      <c r="K1670">
        <v>3.25</v>
      </c>
      <c r="M1670" s="2" t="str">
        <f>HYPERLINK("http://maps.live.com/default.aspx?v=2&amp;lvl=15&amp;sp=adr.1003 S 32rd Pl (Unable to map),98055","Map")</f>
        <v>Map</v>
      </c>
      <c r="N1670" s="2" t="str">
        <f>HYPERLINK("http://i-0.rfimg.us/photo/1/bigphoto/998/28027998_.jpg","Photo")</f>
        <v>Photo</v>
      </c>
      <c r="AI1670" t="s">
        <v>1077</v>
      </c>
      <c r="AJ1670">
        <v>98055</v>
      </c>
      <c r="BC1670" s="22">
        <v>39493.611770833333</v>
      </c>
      <c r="BI1670" s="7">
        <v>39542</v>
      </c>
      <c r="BL1670">
        <v>11199</v>
      </c>
      <c r="BM1670">
        <v>1484556</v>
      </c>
      <c r="BN1670" t="s">
        <v>1688</v>
      </c>
      <c r="BO1670" s="17">
        <f t="shared" ca="1" si="26"/>
        <v>55.697635069445823</v>
      </c>
      <c r="BP1670" t="b">
        <v>0</v>
      </c>
      <c r="BQ1670">
        <v>1</v>
      </c>
      <c r="BR1670" t="s">
        <v>1842</v>
      </c>
      <c r="BS1670" t="s">
        <v>6204</v>
      </c>
      <c r="BT1670" t="b">
        <v>0</v>
      </c>
      <c r="BU1670" t="s">
        <v>1881</v>
      </c>
      <c r="BV1670" t="s">
        <v>1668</v>
      </c>
      <c r="BW1670">
        <v>1003</v>
      </c>
      <c r="BY1670">
        <v>0</v>
      </c>
      <c r="BZ1670" t="s">
        <v>1813</v>
      </c>
      <c r="CA1670">
        <v>1</v>
      </c>
      <c r="CB1670" t="b">
        <v>1</v>
      </c>
      <c r="CC1670">
        <v>0</v>
      </c>
      <c r="CD1670" t="b">
        <v>0</v>
      </c>
      <c r="CE1670" t="b">
        <v>0</v>
      </c>
      <c r="CF1670" t="b">
        <v>0</v>
      </c>
      <c r="CG1670" t="s">
        <v>1870</v>
      </c>
      <c r="CH1670" t="s">
        <v>1681</v>
      </c>
      <c r="CI1670" s="10">
        <v>559950</v>
      </c>
    </row>
    <row r="1671" spans="1:88">
      <c r="A1671">
        <v>28028001</v>
      </c>
      <c r="B1671" s="2" t="str">
        <f>HYPERLINK("http://www.redfin.com/stingray/do/printable-listing?listing-id=1489424","Active")</f>
        <v>Active</v>
      </c>
      <c r="D1671" t="s">
        <v>919</v>
      </c>
      <c r="E1671" t="s">
        <v>2978</v>
      </c>
      <c r="F1671">
        <v>639000</v>
      </c>
      <c r="G1671">
        <v>2008</v>
      </c>
      <c r="H1671">
        <v>2540</v>
      </c>
      <c r="I1671">
        <v>6731</v>
      </c>
      <c r="J1671">
        <v>5</v>
      </c>
      <c r="K1671">
        <v>3</v>
      </c>
      <c r="M1671" s="2" t="str">
        <f>HYPERLINK("http://maps.live.com/default.aspx?v=2&amp;lvl=15&amp;sp=Point.47.711779_-122.323748_11345 5th Ave NE&amp;cp=47.711779~-122.323748","Map")</f>
        <v>Map</v>
      </c>
      <c r="N1671" s="2" t="str">
        <f>HYPERLINK("http://i-0.rfimg.us/photo/1/bigphoto/001/28028001_0.jpg","Photo")</f>
        <v>Photo</v>
      </c>
      <c r="AG1671">
        <v>47.711779</v>
      </c>
      <c r="AH1671">
        <v>-122.32374799999999</v>
      </c>
      <c r="AI1671" t="s">
        <v>66</v>
      </c>
      <c r="AJ1671">
        <v>98125</v>
      </c>
      <c r="AN1671">
        <v>242500</v>
      </c>
      <c r="BC1671" s="22">
        <v>39496.526226851849</v>
      </c>
      <c r="BI1671" s="22">
        <v>39549.294907407406</v>
      </c>
      <c r="BL1671">
        <v>12780</v>
      </c>
      <c r="BM1671">
        <v>1489424</v>
      </c>
      <c r="BN1671" t="s">
        <v>2530</v>
      </c>
      <c r="BO1671" s="17">
        <f t="shared" ca="1" si="26"/>
        <v>52.783179050929903</v>
      </c>
      <c r="BP1671" t="b">
        <v>0</v>
      </c>
      <c r="BQ1671">
        <v>1</v>
      </c>
      <c r="BR1671" t="s">
        <v>1667</v>
      </c>
      <c r="BS1671" t="s">
        <v>1832</v>
      </c>
      <c r="BT1671" t="b">
        <v>0</v>
      </c>
      <c r="BV1671" t="s">
        <v>1668</v>
      </c>
      <c r="BW1671">
        <v>11345</v>
      </c>
      <c r="BX1671" t="s">
        <v>1738</v>
      </c>
      <c r="BY1671">
        <v>105759</v>
      </c>
      <c r="BZ1671" t="s">
        <v>1743</v>
      </c>
      <c r="CA1671">
        <v>1</v>
      </c>
      <c r="CB1671" t="b">
        <v>1</v>
      </c>
      <c r="CC1671">
        <v>0</v>
      </c>
      <c r="CD1671" t="b">
        <v>0</v>
      </c>
      <c r="CE1671" t="b">
        <v>0</v>
      </c>
      <c r="CF1671" t="b">
        <v>0</v>
      </c>
      <c r="CG1671">
        <v>2462115</v>
      </c>
      <c r="CH1671" t="s">
        <v>1681</v>
      </c>
      <c r="CI1671" s="10">
        <v>639000</v>
      </c>
      <c r="CJ1671" s="7">
        <v>39141</v>
      </c>
    </row>
    <row r="1672" spans="1:88">
      <c r="A1672">
        <v>28028018</v>
      </c>
      <c r="B1672" s="2" t="str">
        <f>HYPERLINK("http://www.redfin.com/stingray/do/printable-listing?listing-id=1484608","Active")</f>
        <v>Active</v>
      </c>
      <c r="D1672" t="s">
        <v>6198</v>
      </c>
      <c r="E1672" t="s">
        <v>6197</v>
      </c>
      <c r="F1672">
        <v>519950</v>
      </c>
      <c r="G1672">
        <v>2008</v>
      </c>
      <c r="H1672">
        <v>2415</v>
      </c>
      <c r="I1672">
        <v>0</v>
      </c>
      <c r="J1672">
        <v>4</v>
      </c>
      <c r="K1672">
        <v>2.5</v>
      </c>
      <c r="M1672" s="2" t="str">
        <f>HYPERLINK("http://maps.live.com/default.aspx?v=2&amp;lvl=15&amp;sp=adr.1010 S 32nd Pl (Unable to map),98055","Map")</f>
        <v>Map</v>
      </c>
      <c r="N1672" s="2" t="str">
        <f>HYPERLINK("http://i-0.rfimg.us/photo/1/bigphoto/018/28028018_0.jpg","Photo")</f>
        <v>Photo</v>
      </c>
      <c r="AI1672" t="s">
        <v>1077</v>
      </c>
      <c r="AJ1672">
        <v>98055</v>
      </c>
      <c r="BC1672" s="22">
        <v>39493.621388888889</v>
      </c>
      <c r="BI1672" s="7">
        <v>39542</v>
      </c>
      <c r="BL1672">
        <v>10399</v>
      </c>
      <c r="BM1672">
        <v>1484608</v>
      </c>
      <c r="BN1672" t="s">
        <v>1688</v>
      </c>
      <c r="BO1672" s="17">
        <f t="shared" ca="1" si="26"/>
        <v>55.688017013890203</v>
      </c>
      <c r="BP1672" t="b">
        <v>0</v>
      </c>
      <c r="BQ1672">
        <v>1</v>
      </c>
      <c r="BR1672" t="s">
        <v>1842</v>
      </c>
      <c r="BS1672" t="s">
        <v>1733</v>
      </c>
      <c r="BT1672" t="b">
        <v>0</v>
      </c>
      <c r="BU1672" t="s">
        <v>1881</v>
      </c>
      <c r="BV1672" t="s">
        <v>1668</v>
      </c>
      <c r="BW1672">
        <v>1010</v>
      </c>
      <c r="BY1672">
        <v>0</v>
      </c>
      <c r="BZ1672" s="21">
        <v>0</v>
      </c>
      <c r="CA1672">
        <v>1</v>
      </c>
      <c r="CB1672" t="b">
        <v>1</v>
      </c>
      <c r="CC1672">
        <v>0</v>
      </c>
      <c r="CD1672" t="b">
        <v>0</v>
      </c>
      <c r="CE1672" t="b">
        <v>0</v>
      </c>
      <c r="CF1672" t="b">
        <v>0</v>
      </c>
      <c r="CG1672" t="s">
        <v>1870</v>
      </c>
      <c r="CH1672" t="s">
        <v>1681</v>
      </c>
      <c r="CI1672" s="10">
        <v>519950</v>
      </c>
    </row>
    <row r="1673" spans="1:88">
      <c r="A1673">
        <v>28028056</v>
      </c>
      <c r="B1673" s="2" t="str">
        <f>HYPERLINK("http://www.redfin.com/stingray/do/printable-listing?listing-id=1484725","Active")</f>
        <v>Active</v>
      </c>
      <c r="D1673" t="s">
        <v>60</v>
      </c>
      <c r="E1673" t="s">
        <v>755</v>
      </c>
      <c r="F1673">
        <v>444500</v>
      </c>
      <c r="G1673">
        <v>1987</v>
      </c>
      <c r="H1673">
        <v>1420</v>
      </c>
      <c r="I1673">
        <v>3375</v>
      </c>
      <c r="J1673">
        <v>3</v>
      </c>
      <c r="K1673">
        <v>2</v>
      </c>
      <c r="M1673" s="2" t="str">
        <f>HYPERLINK("http://maps.live.com/default.aspx?v=2&amp;lvl=15&amp;sp=Point.47.695766_-122.335546_9055 Burke Ave N&amp;cp=47.695766~-122.335546","Map")</f>
        <v>Map</v>
      </c>
      <c r="N1673" s="2" t="str">
        <f>HYPERLINK("http://i-0.rfimg.us/photo/1/bigphoto/056/28028056_1.jpg","Photo")</f>
        <v>Photo</v>
      </c>
      <c r="AG1673">
        <v>47.695765999999999</v>
      </c>
      <c r="AH1673">
        <v>-122.33554599999999</v>
      </c>
      <c r="AI1673" t="s">
        <v>66</v>
      </c>
      <c r="AJ1673">
        <v>98103</v>
      </c>
      <c r="AN1673">
        <v>179000</v>
      </c>
      <c r="BC1673" s="22">
        <v>39493.642500000002</v>
      </c>
      <c r="BI1673" s="22">
        <v>39549.294907407406</v>
      </c>
      <c r="BL1673">
        <v>8890</v>
      </c>
      <c r="BM1673">
        <v>1484725</v>
      </c>
      <c r="BN1673" t="s">
        <v>1688</v>
      </c>
      <c r="BO1673" s="17">
        <f t="shared" ca="1" si="26"/>
        <v>55.666905902777216</v>
      </c>
      <c r="BP1673" t="b">
        <v>0</v>
      </c>
      <c r="BQ1673">
        <v>1</v>
      </c>
      <c r="BR1673" t="s">
        <v>1667</v>
      </c>
      <c r="BS1673" t="s">
        <v>2370</v>
      </c>
      <c r="BT1673" t="b">
        <v>0</v>
      </c>
      <c r="BV1673" t="s">
        <v>1668</v>
      </c>
      <c r="BW1673">
        <v>9055</v>
      </c>
      <c r="BX1673" t="s">
        <v>1712</v>
      </c>
      <c r="BY1673">
        <v>104667</v>
      </c>
      <c r="BZ1673" t="s">
        <v>2799</v>
      </c>
      <c r="CA1673">
        <v>1</v>
      </c>
      <c r="CB1673" t="b">
        <v>1</v>
      </c>
      <c r="CC1673">
        <v>0</v>
      </c>
      <c r="CD1673" t="b">
        <v>0</v>
      </c>
      <c r="CE1673" t="b">
        <v>0</v>
      </c>
      <c r="CF1673" t="b">
        <v>0</v>
      </c>
      <c r="CG1673">
        <v>2362974</v>
      </c>
      <c r="CH1673" t="s">
        <v>1681</v>
      </c>
      <c r="CI1673" s="10">
        <v>444500</v>
      </c>
      <c r="CJ1673" s="7">
        <v>35636</v>
      </c>
    </row>
    <row r="1674" spans="1:88">
      <c r="A1674">
        <v>28028101</v>
      </c>
      <c r="B1674" s="2" t="str">
        <f>HYPERLINK("http://www.redfin.com/stingray/do/printable-listing?listing-id=1495993","Active")</f>
        <v>Active</v>
      </c>
      <c r="D1674" t="s">
        <v>3721</v>
      </c>
      <c r="E1674" t="s">
        <v>3719</v>
      </c>
      <c r="F1674">
        <v>3700000</v>
      </c>
      <c r="G1674">
        <v>1960</v>
      </c>
      <c r="H1674">
        <v>4470</v>
      </c>
      <c r="I1674">
        <v>13230</v>
      </c>
      <c r="J1674">
        <v>3</v>
      </c>
      <c r="K1674">
        <v>3.5</v>
      </c>
      <c r="M1674" s="2" t="str">
        <f>HYPERLINK("http://maps.live.com/default.aspx?v=2&amp;lvl=15&amp;sp=Point.47.631907_-122.278243_1500 42nd Ave E&amp;cp=47.631907~-122.278243","Map")</f>
        <v>Map</v>
      </c>
      <c r="N1674" s="2" t="str">
        <f>HYPERLINK("http://i-0.rfimg.us/photo/1/bigphoto/101/28028101_2.jpg","Photo")</f>
        <v>Photo</v>
      </c>
      <c r="AG1674">
        <v>47.631906999999998</v>
      </c>
      <c r="AH1674">
        <v>-122.278243</v>
      </c>
      <c r="AI1674" t="s">
        <v>66</v>
      </c>
      <c r="AJ1674">
        <v>98112</v>
      </c>
      <c r="AN1674">
        <v>1500</v>
      </c>
      <c r="BC1674" s="22">
        <v>39498.755381944444</v>
      </c>
      <c r="BI1674" s="22">
        <v>39549.294907407406</v>
      </c>
      <c r="BL1674">
        <v>74000</v>
      </c>
      <c r="BM1674">
        <v>1495993</v>
      </c>
      <c r="BN1674" t="s">
        <v>2556</v>
      </c>
      <c r="BO1674" s="17">
        <f t="shared" ca="1" si="26"/>
        <v>50.554023958335165</v>
      </c>
      <c r="BP1674" t="b">
        <v>0</v>
      </c>
      <c r="BQ1674">
        <v>1</v>
      </c>
      <c r="BR1674" t="s">
        <v>1667</v>
      </c>
      <c r="BS1674" t="s">
        <v>3371</v>
      </c>
      <c r="BT1674" t="b">
        <v>0</v>
      </c>
      <c r="BV1674" t="s">
        <v>1668</v>
      </c>
      <c r="BW1674">
        <v>1500</v>
      </c>
      <c r="BX1674" t="s">
        <v>2436</v>
      </c>
      <c r="BY1674">
        <v>139319</v>
      </c>
      <c r="BZ1674" t="s">
        <v>3720</v>
      </c>
      <c r="CA1674">
        <v>1</v>
      </c>
      <c r="CB1674" t="b">
        <v>1</v>
      </c>
      <c r="CC1674">
        <v>0</v>
      </c>
      <c r="CD1674" t="b">
        <v>0</v>
      </c>
      <c r="CE1674" t="b">
        <v>0</v>
      </c>
      <c r="CF1674" t="b">
        <v>0</v>
      </c>
      <c r="CG1674">
        <v>2395893</v>
      </c>
      <c r="CH1674" t="s">
        <v>1681</v>
      </c>
      <c r="CI1674" s="10">
        <v>3700000</v>
      </c>
      <c r="CJ1674" s="7">
        <v>36152</v>
      </c>
    </row>
    <row r="1675" spans="1:88">
      <c r="A1675">
        <v>28028118</v>
      </c>
      <c r="B1675" s="2" t="str">
        <f>HYPERLINK("http://www.redfin.com/stingray/do/printable-listing?listing-id=1484877","Active")</f>
        <v>Active</v>
      </c>
      <c r="D1675" t="s">
        <v>63</v>
      </c>
      <c r="E1675" t="s">
        <v>328</v>
      </c>
      <c r="F1675">
        <v>349900</v>
      </c>
      <c r="G1675">
        <v>2008</v>
      </c>
      <c r="H1675">
        <v>1030</v>
      </c>
      <c r="I1675">
        <v>0</v>
      </c>
      <c r="J1675">
        <v>2</v>
      </c>
      <c r="K1675">
        <v>1.5</v>
      </c>
      <c r="M1675" s="2" t="str">
        <f>HYPERLINK("http://maps.live.com/default.aspx?v=2&amp;lvl=15&amp;sp=Point.47.678755_-122.375303_6753 Alonzo Ave NW&amp;cp=47.678755~-122.375303","Map")</f>
        <v>Map</v>
      </c>
      <c r="N1675" s="2" t="str">
        <f>HYPERLINK("http://i-0.rfimg.us/photo/1/bigphoto/118/28028118_1.jpg","Photo")</f>
        <v>Photo</v>
      </c>
      <c r="AG1675">
        <v>47.678755000000002</v>
      </c>
      <c r="AH1675">
        <v>-122.375303</v>
      </c>
      <c r="AI1675" t="s">
        <v>66</v>
      </c>
      <c r="AJ1675">
        <v>98117</v>
      </c>
      <c r="BC1675" s="22">
        <v>39493.673495370371</v>
      </c>
      <c r="BI1675" s="22">
        <v>39547.913935185185</v>
      </c>
      <c r="BL1675">
        <v>6998</v>
      </c>
      <c r="BM1675">
        <v>1484877</v>
      </c>
      <c r="BN1675" t="s">
        <v>1766</v>
      </c>
      <c r="BO1675" s="17">
        <f t="shared" ca="1" si="26"/>
        <v>55.635910648146819</v>
      </c>
      <c r="BP1675" t="b">
        <v>0</v>
      </c>
      <c r="BQ1675">
        <v>1</v>
      </c>
      <c r="BR1675" t="s">
        <v>1667</v>
      </c>
      <c r="BS1675" t="s">
        <v>1778</v>
      </c>
      <c r="BT1675" t="b">
        <v>0</v>
      </c>
      <c r="BV1675" t="s">
        <v>1668</v>
      </c>
      <c r="BW1675">
        <v>6753</v>
      </c>
      <c r="BX1675" t="s">
        <v>1669</v>
      </c>
      <c r="BY1675">
        <v>12415637</v>
      </c>
      <c r="BZ1675" t="s">
        <v>1845</v>
      </c>
      <c r="CA1675">
        <v>1</v>
      </c>
      <c r="CB1675" t="b">
        <v>1</v>
      </c>
      <c r="CC1675">
        <v>0</v>
      </c>
      <c r="CD1675" t="b">
        <v>0</v>
      </c>
      <c r="CE1675" t="b">
        <v>0</v>
      </c>
      <c r="CF1675" t="b">
        <v>0</v>
      </c>
      <c r="CG1675">
        <v>15619385</v>
      </c>
      <c r="CH1675" t="s">
        <v>1681</v>
      </c>
      <c r="CI1675" s="10">
        <v>349900</v>
      </c>
    </row>
    <row r="1676" spans="1:88">
      <c r="A1676">
        <v>28028148</v>
      </c>
      <c r="B1676" s="2" t="str">
        <f>HYPERLINK("http://www.redfin.com/stingray/do/printable-listing?listing-id=1484931","Active")</f>
        <v>Active</v>
      </c>
      <c r="D1676" t="s">
        <v>99</v>
      </c>
      <c r="E1676" t="s">
        <v>1222</v>
      </c>
      <c r="F1676" s="19">
        <v>585000</v>
      </c>
      <c r="G1676">
        <v>1950</v>
      </c>
      <c r="H1676">
        <v>2440</v>
      </c>
      <c r="I1676">
        <v>8910</v>
      </c>
      <c r="J1676">
        <v>3</v>
      </c>
      <c r="K1676">
        <v>1.75</v>
      </c>
      <c r="M1676" s="2" t="str">
        <f>HYPERLINK("http://maps.live.com/default.aspx?v=2&amp;lvl=15&amp;sp=Point.47.699777_-122.371817_9615 12th ave NW&amp;cp=47.699777~-122.371817","Map")</f>
        <v>Map</v>
      </c>
      <c r="N1676" s="2" t="str">
        <f>HYPERLINK("http://i-0.rfimg.us/photo/1/bigphoto/148/28028148_0.jpg","Photo")</f>
        <v>Photo</v>
      </c>
      <c r="AG1676">
        <v>47.699776999999997</v>
      </c>
      <c r="AH1676">
        <v>-122.37181699999999</v>
      </c>
      <c r="AI1676" t="s">
        <v>66</v>
      </c>
      <c r="AJ1676">
        <v>98117</v>
      </c>
      <c r="AN1676">
        <v>425000</v>
      </c>
      <c r="BC1676" s="22">
        <v>39493.68309027778</v>
      </c>
      <c r="BI1676" s="7">
        <v>39538</v>
      </c>
      <c r="BL1676">
        <v>11998</v>
      </c>
      <c r="BM1676">
        <v>1484931</v>
      </c>
      <c r="BN1676" t="s">
        <v>1725</v>
      </c>
      <c r="BO1676" s="17">
        <f t="shared" ca="1" si="26"/>
        <v>55.626315740737482</v>
      </c>
      <c r="BP1676" t="b">
        <v>0</v>
      </c>
      <c r="BQ1676">
        <v>1</v>
      </c>
      <c r="BR1676" t="s">
        <v>1964</v>
      </c>
      <c r="BS1676" t="s">
        <v>1803</v>
      </c>
      <c r="BT1676" t="b">
        <v>0</v>
      </c>
      <c r="BV1676" t="s">
        <v>1668</v>
      </c>
      <c r="BW1676">
        <v>9615</v>
      </c>
      <c r="BX1676" t="s">
        <v>1669</v>
      </c>
      <c r="BY1676">
        <v>97371</v>
      </c>
      <c r="BZ1676" t="s">
        <v>1743</v>
      </c>
      <c r="CA1676">
        <v>1</v>
      </c>
      <c r="CB1676" t="b">
        <v>1</v>
      </c>
      <c r="CC1676">
        <v>0</v>
      </c>
      <c r="CD1676" t="b">
        <v>0</v>
      </c>
      <c r="CE1676" t="b">
        <v>0</v>
      </c>
      <c r="CF1676" t="b">
        <v>0</v>
      </c>
      <c r="CG1676">
        <v>2403143</v>
      </c>
      <c r="CH1676" t="s">
        <v>1681</v>
      </c>
      <c r="CI1676" s="10">
        <v>599900</v>
      </c>
      <c r="CJ1676" s="7">
        <v>39199</v>
      </c>
    </row>
    <row r="1677" spans="1:88">
      <c r="A1677">
        <v>28028176</v>
      </c>
      <c r="B1677" s="2" t="str">
        <f>HYPERLINK("http://www.redfin.com/stingray/do/printable-listing?listing-id=1485052","Active")</f>
        <v>Active</v>
      </c>
      <c r="D1677" t="s">
        <v>63</v>
      </c>
      <c r="E1677" t="s">
        <v>2495</v>
      </c>
      <c r="F1677" s="19">
        <v>499950</v>
      </c>
      <c r="G1677">
        <v>2008</v>
      </c>
      <c r="H1677">
        <v>1800</v>
      </c>
      <c r="I1677">
        <v>2500</v>
      </c>
      <c r="J1677">
        <v>3</v>
      </c>
      <c r="K1677">
        <v>3.25</v>
      </c>
      <c r="M1677" s="2" t="str">
        <f>HYPERLINK("http://maps.live.com/default.aspx?v=2&amp;lvl=15&amp;sp=Point.47.672263_-122.388841_2413 NW 60 St&amp;cp=47.672263~-122.388841","Map")</f>
        <v>Map</v>
      </c>
      <c r="N1677" s="2" t="str">
        <f>HYPERLINK("http://i-0.rfimg.us/photo/1/bigphoto/176/28028176_1.jpg","Photo")</f>
        <v>Photo</v>
      </c>
      <c r="AG1677">
        <v>47.672263000000001</v>
      </c>
      <c r="AH1677">
        <v>-122.388841</v>
      </c>
      <c r="AI1677" t="s">
        <v>66</v>
      </c>
      <c r="AJ1677">
        <v>98107</v>
      </c>
      <c r="BC1677" s="22">
        <v>39493.703877314816</v>
      </c>
      <c r="BI1677" s="22">
        <v>39549.294907407406</v>
      </c>
      <c r="BL1677">
        <v>10710</v>
      </c>
      <c r="BM1677">
        <v>1485052</v>
      </c>
      <c r="BN1677" t="s">
        <v>2494</v>
      </c>
      <c r="BO1677" s="17">
        <f t="shared" ca="1" si="26"/>
        <v>55.605528703701566</v>
      </c>
      <c r="BP1677" t="b">
        <v>0</v>
      </c>
      <c r="BQ1677">
        <v>1</v>
      </c>
      <c r="BR1677" t="s">
        <v>1686</v>
      </c>
      <c r="BS1677">
        <v>60</v>
      </c>
      <c r="BT1677" t="b">
        <v>0</v>
      </c>
      <c r="BU1677" t="s">
        <v>1669</v>
      </c>
      <c r="BV1677" t="s">
        <v>1668</v>
      </c>
      <c r="BW1677">
        <v>2413</v>
      </c>
      <c r="BY1677">
        <v>12415658</v>
      </c>
      <c r="BZ1677" t="s">
        <v>1756</v>
      </c>
      <c r="CA1677">
        <v>1</v>
      </c>
      <c r="CB1677" t="b">
        <v>1</v>
      </c>
      <c r="CC1677">
        <v>0</v>
      </c>
      <c r="CD1677" t="b">
        <v>0</v>
      </c>
      <c r="CE1677" t="b">
        <v>0</v>
      </c>
      <c r="CF1677" t="b">
        <v>0</v>
      </c>
      <c r="CG1677">
        <v>15619406</v>
      </c>
      <c r="CH1677" t="s">
        <v>1681</v>
      </c>
      <c r="CI1677" s="10">
        <v>535500</v>
      </c>
    </row>
    <row r="1678" spans="1:88">
      <c r="A1678">
        <v>28028259</v>
      </c>
      <c r="B1678" s="2" t="str">
        <f>HYPERLINK("http://www.redfin.com/stingray/do/printable-listing?listing-id=1485434","Subject To Inspection")</f>
        <v>Subject To Inspection</v>
      </c>
      <c r="D1678" t="s">
        <v>184</v>
      </c>
      <c r="E1678" t="s">
        <v>3042</v>
      </c>
      <c r="F1678">
        <v>348888</v>
      </c>
      <c r="G1678">
        <v>2007</v>
      </c>
      <c r="H1678">
        <v>1547</v>
      </c>
      <c r="I1678">
        <v>0</v>
      </c>
      <c r="J1678">
        <v>3</v>
      </c>
      <c r="K1678">
        <v>2.5</v>
      </c>
      <c r="M1678" s="2" t="str">
        <f>HYPERLINK("http://maps.live.com/default.aspx?v=2&amp;lvl=15&amp;sp=Point.47.718372_-122.317073_12333 10th Pl NE nA&amp;cp=47.718372~-122.317073","Map")</f>
        <v>Map</v>
      </c>
      <c r="N1678" s="2" t="str">
        <f>HYPERLINK("http://i-0.rfimg.us/photo/1/bigphoto/259/28028259_1.jpg","Photo")</f>
        <v>Photo</v>
      </c>
      <c r="AG1678">
        <v>47.718372000000002</v>
      </c>
      <c r="AH1678">
        <v>-122.31707299999999</v>
      </c>
      <c r="AI1678" t="s">
        <v>66</v>
      </c>
      <c r="AJ1678">
        <v>98125</v>
      </c>
      <c r="AM1678" t="s">
        <v>1722</v>
      </c>
      <c r="BC1678" s="22">
        <v>39493.786111111112</v>
      </c>
      <c r="BI1678" s="7">
        <v>39533</v>
      </c>
      <c r="BL1678">
        <v>6978</v>
      </c>
      <c r="BM1678">
        <v>1485434</v>
      </c>
      <c r="BN1678" t="s">
        <v>1685</v>
      </c>
      <c r="BO1678" s="17">
        <f t="shared" ca="1" si="26"/>
        <v>55.523294791666558</v>
      </c>
      <c r="BP1678" t="b">
        <v>0</v>
      </c>
      <c r="BQ1678">
        <v>2</v>
      </c>
      <c r="BR1678" t="s">
        <v>1842</v>
      </c>
      <c r="BS1678" t="s">
        <v>1788</v>
      </c>
      <c r="BT1678" t="b">
        <v>0</v>
      </c>
      <c r="BV1678" t="s">
        <v>1668</v>
      </c>
      <c r="BW1678">
        <v>12333</v>
      </c>
      <c r="BX1678" t="s">
        <v>1738</v>
      </c>
      <c r="BY1678">
        <v>12175048</v>
      </c>
      <c r="BZ1678" t="s">
        <v>1756</v>
      </c>
      <c r="CA1678">
        <v>1</v>
      </c>
      <c r="CB1678" t="b">
        <v>1</v>
      </c>
      <c r="CC1678">
        <v>0</v>
      </c>
      <c r="CD1678" t="b">
        <v>0</v>
      </c>
      <c r="CE1678" t="b">
        <v>0</v>
      </c>
      <c r="CF1678" t="b">
        <v>0</v>
      </c>
      <c r="CG1678">
        <v>15505229</v>
      </c>
      <c r="CH1678" t="s">
        <v>1681</v>
      </c>
      <c r="CI1678" s="10">
        <v>348888</v>
      </c>
    </row>
    <row r="1679" spans="1:88">
      <c r="A1679">
        <v>28028260</v>
      </c>
      <c r="B1679" s="2" t="str">
        <f>HYPERLINK("http://www.redfin.com/stingray/do/printable-listing?listing-id=1485435","Active")</f>
        <v>Active</v>
      </c>
      <c r="D1679" t="s">
        <v>184</v>
      </c>
      <c r="E1679" t="s">
        <v>3040</v>
      </c>
      <c r="F1679">
        <v>348888</v>
      </c>
      <c r="G1679">
        <v>2007</v>
      </c>
      <c r="H1679">
        <v>1547</v>
      </c>
      <c r="I1679">
        <v>0</v>
      </c>
      <c r="J1679">
        <v>3</v>
      </c>
      <c r="K1679">
        <v>2.5</v>
      </c>
      <c r="M1679" s="2" t="str">
        <f>HYPERLINK("http://maps.live.com/default.aspx?v=2&amp;lvl=15&amp;sp=Point.47.718372_-122.317073_12333 10th Pl NE nB&amp;cp=47.718372~-122.317073","Map")</f>
        <v>Map</v>
      </c>
      <c r="N1679" s="2" t="str">
        <f>HYPERLINK("http://i-0.rfimg.us/photo/1/bigphoto/260/28028260_1.jpg","Photo")</f>
        <v>Photo</v>
      </c>
      <c r="AG1679">
        <v>47.718372000000002</v>
      </c>
      <c r="AH1679">
        <v>-122.31707299999999</v>
      </c>
      <c r="AI1679" t="s">
        <v>66</v>
      </c>
      <c r="AJ1679">
        <v>98125</v>
      </c>
      <c r="AM1679" t="s">
        <v>1699</v>
      </c>
      <c r="BC1679" s="22">
        <v>39493.786111111112</v>
      </c>
      <c r="BI1679" s="22">
        <v>39549.294907407406</v>
      </c>
      <c r="BL1679">
        <v>6978</v>
      </c>
      <c r="BM1679">
        <v>1485435</v>
      </c>
      <c r="BN1679" t="s">
        <v>1685</v>
      </c>
      <c r="BO1679" s="17">
        <f t="shared" ca="1" si="26"/>
        <v>55.523294791666558</v>
      </c>
      <c r="BP1679" t="b">
        <v>0</v>
      </c>
      <c r="BQ1679">
        <v>1</v>
      </c>
      <c r="BR1679" t="s">
        <v>1842</v>
      </c>
      <c r="BS1679" t="s">
        <v>1788</v>
      </c>
      <c r="BT1679" t="b">
        <v>0</v>
      </c>
      <c r="BV1679" t="s">
        <v>1668</v>
      </c>
      <c r="BW1679">
        <v>12333</v>
      </c>
      <c r="BX1679" t="s">
        <v>1738</v>
      </c>
      <c r="BY1679">
        <v>12297014</v>
      </c>
      <c r="BZ1679" t="s">
        <v>1756</v>
      </c>
      <c r="CA1679">
        <v>1</v>
      </c>
      <c r="CB1679" t="b">
        <v>1</v>
      </c>
      <c r="CC1679">
        <v>0</v>
      </c>
      <c r="CD1679" t="b">
        <v>0</v>
      </c>
      <c r="CE1679" t="b">
        <v>0</v>
      </c>
      <c r="CF1679" t="b">
        <v>1</v>
      </c>
      <c r="CG1679">
        <v>15505230</v>
      </c>
      <c r="CH1679" t="s">
        <v>1681</v>
      </c>
      <c r="CI1679" s="10">
        <v>348888</v>
      </c>
    </row>
    <row r="1680" spans="1:88">
      <c r="A1680">
        <v>28028261</v>
      </c>
      <c r="B1680" s="2" t="str">
        <f>HYPERLINK("http://www.redfin.com/stingray/do/printable-listing?listing-id=1485443","Active")</f>
        <v>Active</v>
      </c>
      <c r="D1680" t="s">
        <v>184</v>
      </c>
      <c r="E1680" t="s">
        <v>3041</v>
      </c>
      <c r="F1680" s="19">
        <v>339950</v>
      </c>
      <c r="G1680">
        <v>2007</v>
      </c>
      <c r="H1680">
        <v>1547</v>
      </c>
      <c r="I1680">
        <v>0</v>
      </c>
      <c r="J1680">
        <v>3</v>
      </c>
      <c r="K1680">
        <v>2.5</v>
      </c>
      <c r="M1680" s="2" t="str">
        <f>HYPERLINK("http://maps.live.com/default.aspx?v=2&amp;lvl=15&amp;sp=Point.47.718372_-122.317073_12333 10th Pl NE nC&amp;cp=47.718372~-122.317073","Map")</f>
        <v>Map</v>
      </c>
      <c r="N1680" s="2" t="str">
        <f>HYPERLINK("http://i-0.rfimg.us/photo/1/bigphoto/261/28028261_0.jpg","Photo")</f>
        <v>Photo</v>
      </c>
      <c r="AG1680">
        <v>47.718372000000002</v>
      </c>
      <c r="AH1680">
        <v>-122.31707299999999</v>
      </c>
      <c r="AI1680" t="s">
        <v>66</v>
      </c>
      <c r="AJ1680">
        <v>98125</v>
      </c>
      <c r="AM1680" t="s">
        <v>2341</v>
      </c>
      <c r="BC1680" s="22">
        <v>39493.797615740739</v>
      </c>
      <c r="BI1680" s="22">
        <v>39549.294907407406</v>
      </c>
      <c r="BL1680">
        <v>6978</v>
      </c>
      <c r="BM1680">
        <v>1485443</v>
      </c>
      <c r="BN1680" t="s">
        <v>1685</v>
      </c>
      <c r="BO1680" s="17">
        <f t="shared" ca="1" si="26"/>
        <v>55.511790162039688</v>
      </c>
      <c r="BP1680" t="b">
        <v>0</v>
      </c>
      <c r="BQ1680">
        <v>1</v>
      </c>
      <c r="BR1680" t="s">
        <v>1842</v>
      </c>
      <c r="BS1680" t="s">
        <v>1788</v>
      </c>
      <c r="BT1680" t="b">
        <v>0</v>
      </c>
      <c r="BV1680" t="s">
        <v>1668</v>
      </c>
      <c r="BW1680">
        <v>12333</v>
      </c>
      <c r="BX1680" t="s">
        <v>1738</v>
      </c>
      <c r="BY1680">
        <v>12297015</v>
      </c>
      <c r="BZ1680" t="s">
        <v>1713</v>
      </c>
      <c r="CA1680">
        <v>1</v>
      </c>
      <c r="CB1680" t="b">
        <v>1</v>
      </c>
      <c r="CC1680">
        <v>0</v>
      </c>
      <c r="CD1680" t="b">
        <v>0</v>
      </c>
      <c r="CE1680" t="b">
        <v>0</v>
      </c>
      <c r="CF1680" t="b">
        <v>0</v>
      </c>
      <c r="CG1680">
        <v>15505229</v>
      </c>
      <c r="CH1680" t="s">
        <v>1681</v>
      </c>
      <c r="CI1680" s="10">
        <v>348888</v>
      </c>
    </row>
    <row r="1681" spans="1:90">
      <c r="A1681">
        <v>28028262</v>
      </c>
      <c r="B1681" s="2" t="str">
        <f>HYPERLINK("http://www.redfin.com/stingray/do/printable-listing?listing-id=1485444","Subject To Inspection")</f>
        <v>Subject To Inspection</v>
      </c>
      <c r="D1681" t="s">
        <v>184</v>
      </c>
      <c r="E1681" t="s">
        <v>3050</v>
      </c>
      <c r="F1681">
        <v>368888</v>
      </c>
      <c r="G1681">
        <v>2007</v>
      </c>
      <c r="H1681">
        <v>1800</v>
      </c>
      <c r="I1681">
        <v>0</v>
      </c>
      <c r="J1681">
        <v>3</v>
      </c>
      <c r="K1681">
        <v>2.5</v>
      </c>
      <c r="M1681" s="2" t="str">
        <f>HYPERLINK("http://maps.live.com/default.aspx?v=2&amp;lvl=15&amp;sp=Point.47.718894_-122.317206_12337 10th Pl NE nB&amp;cp=47.718894~-122.317206","Map")</f>
        <v>Map</v>
      </c>
      <c r="N1681" s="2" t="str">
        <f>HYPERLINK("http://i-0.rfimg.us/photo/1/bigphoto/262/28028262_1.jpg","Photo")</f>
        <v>Photo</v>
      </c>
      <c r="AG1681">
        <v>47.718893999999999</v>
      </c>
      <c r="AH1681">
        <v>-122.317206</v>
      </c>
      <c r="AI1681" t="s">
        <v>66</v>
      </c>
      <c r="AJ1681">
        <v>98125</v>
      </c>
      <c r="AM1681" t="s">
        <v>1699</v>
      </c>
      <c r="BC1681" s="22">
        <v>39493.797615740739</v>
      </c>
      <c r="BI1681" s="22">
        <v>39549.294907407406</v>
      </c>
      <c r="BL1681">
        <v>7378</v>
      </c>
      <c r="BM1681">
        <v>1485444</v>
      </c>
      <c r="BN1681" t="s">
        <v>1685</v>
      </c>
      <c r="BO1681" s="17">
        <f t="shared" ca="1" si="26"/>
        <v>55.511790162039688</v>
      </c>
      <c r="BP1681" t="b">
        <v>0</v>
      </c>
      <c r="BQ1681">
        <v>2</v>
      </c>
      <c r="BR1681" t="s">
        <v>1842</v>
      </c>
      <c r="BS1681" t="s">
        <v>1788</v>
      </c>
      <c r="BT1681" t="b">
        <v>0</v>
      </c>
      <c r="BV1681" t="s">
        <v>1668</v>
      </c>
      <c r="BW1681">
        <v>12337</v>
      </c>
      <c r="BX1681" t="s">
        <v>1738</v>
      </c>
      <c r="BY1681">
        <v>12175046</v>
      </c>
      <c r="BZ1681" t="s">
        <v>1756</v>
      </c>
      <c r="CA1681">
        <v>1</v>
      </c>
      <c r="CB1681" t="b">
        <v>1</v>
      </c>
      <c r="CC1681">
        <v>0</v>
      </c>
      <c r="CD1681" t="b">
        <v>0</v>
      </c>
      <c r="CE1681" t="b">
        <v>0</v>
      </c>
      <c r="CF1681" t="b">
        <v>0</v>
      </c>
      <c r="CG1681">
        <v>15405653</v>
      </c>
      <c r="CH1681" t="s">
        <v>1681</v>
      </c>
      <c r="CI1681" s="10">
        <v>368888</v>
      </c>
    </row>
    <row r="1682" spans="1:90">
      <c r="A1682">
        <v>28028279</v>
      </c>
      <c r="B1682" s="2" t="str">
        <f>HYPERLINK("http://www.redfin.com/stingray/do/printable-listing?listing-id=1485665","Active")</f>
        <v>Active</v>
      </c>
      <c r="D1682" t="s">
        <v>5565</v>
      </c>
      <c r="E1682" t="s">
        <v>5583</v>
      </c>
      <c r="F1682">
        <v>500000</v>
      </c>
      <c r="G1682">
        <v>1972</v>
      </c>
      <c r="H1682">
        <v>2550</v>
      </c>
      <c r="I1682">
        <v>35719</v>
      </c>
      <c r="J1682">
        <v>6</v>
      </c>
      <c r="K1682">
        <v>3</v>
      </c>
      <c r="M1682" s="2" t="str">
        <f>HYPERLINK("http://maps.live.com/default.aspx?v=2&amp;lvl=15&amp;sp=Point.47.545103_-122.171028_12728 SE 65th St&amp;cp=47.545103~-122.171028","Map")</f>
        <v>Map</v>
      </c>
      <c r="N1682" s="2" t="str">
        <f>HYPERLINK("http://i-0.rfimg.us/photo/1/bigphoto/279/28028279_3.jpg","Photo")</f>
        <v>Photo</v>
      </c>
      <c r="AG1682">
        <v>47.545102999999997</v>
      </c>
      <c r="AH1682">
        <v>-122.17102800000001</v>
      </c>
      <c r="AI1682" t="s">
        <v>369</v>
      </c>
      <c r="AJ1682">
        <v>98006</v>
      </c>
      <c r="AN1682">
        <v>649000</v>
      </c>
      <c r="BC1682" s="22">
        <v>39493.860185185185</v>
      </c>
      <c r="BI1682" s="22">
        <v>39549.294907407406</v>
      </c>
      <c r="BL1682">
        <v>10000</v>
      </c>
      <c r="BM1682">
        <v>1485665</v>
      </c>
      <c r="BN1682" t="s">
        <v>1674</v>
      </c>
      <c r="BO1682" s="17">
        <f t="shared" ca="1" si="26"/>
        <v>55.449220717593562</v>
      </c>
      <c r="BP1682" t="b">
        <v>0</v>
      </c>
      <c r="BQ1682">
        <v>1</v>
      </c>
      <c r="BR1682" t="s">
        <v>1686</v>
      </c>
      <c r="BS1682" t="s">
        <v>1708</v>
      </c>
      <c r="BT1682" t="b">
        <v>0</v>
      </c>
      <c r="BU1682" t="s">
        <v>3856</v>
      </c>
      <c r="BV1682" t="s">
        <v>1668</v>
      </c>
      <c r="BW1682">
        <v>12728</v>
      </c>
      <c r="BY1682">
        <v>415596</v>
      </c>
      <c r="BZ1682" t="s">
        <v>5584</v>
      </c>
      <c r="CA1682">
        <v>1</v>
      </c>
      <c r="CB1682" t="b">
        <v>1</v>
      </c>
      <c r="CC1682">
        <v>0</v>
      </c>
      <c r="CD1682" t="b">
        <v>0</v>
      </c>
      <c r="CE1682" t="b">
        <v>0</v>
      </c>
      <c r="CF1682" t="b">
        <v>0</v>
      </c>
      <c r="CG1682">
        <v>2760553</v>
      </c>
      <c r="CH1682" t="s">
        <v>1681</v>
      </c>
      <c r="CI1682" s="10">
        <v>500000</v>
      </c>
      <c r="CJ1682" s="7">
        <v>38839</v>
      </c>
    </row>
    <row r="1683" spans="1:90">
      <c r="A1683">
        <v>28028326</v>
      </c>
      <c r="B1683" s="2" t="str">
        <f>HYPERLINK("http://www.redfin.com/stingray/do/printable-listing?listing-id=1486557","Active")</f>
        <v>Active</v>
      </c>
      <c r="D1683" t="s">
        <v>2552</v>
      </c>
      <c r="E1683" t="s">
        <v>3356</v>
      </c>
      <c r="F1683">
        <v>745000</v>
      </c>
      <c r="G1683">
        <v>1946</v>
      </c>
      <c r="H1683">
        <v>2520</v>
      </c>
      <c r="I1683">
        <v>4079</v>
      </c>
      <c r="J1683">
        <v>3</v>
      </c>
      <c r="K1683">
        <v>1.75</v>
      </c>
      <c r="M1683" s="2" t="str">
        <f>HYPERLINK("http://maps.live.com/default.aspx?v=2&amp;lvl=15&amp;sp=Point.47.641567_-122.403239_3554 W Smith St&amp;cp=47.641567~-122.403239","Map")</f>
        <v>Map</v>
      </c>
      <c r="N1683" s="2" t="str">
        <f>HYPERLINK("http://i-0.rfimg.us/photo/1/bigphoto/326/28028326_1.jpg","Photo")</f>
        <v>Photo</v>
      </c>
      <c r="AG1683">
        <v>47.641567000000002</v>
      </c>
      <c r="AH1683">
        <v>-122.403239</v>
      </c>
      <c r="AI1683" t="s">
        <v>66</v>
      </c>
      <c r="AJ1683">
        <v>98199</v>
      </c>
      <c r="AN1683">
        <v>655000</v>
      </c>
      <c r="BC1683" s="22">
        <v>39494.327025462961</v>
      </c>
      <c r="BI1683" s="22">
        <v>39549.294907407406</v>
      </c>
      <c r="BL1683">
        <v>14900</v>
      </c>
      <c r="BM1683">
        <v>1486557</v>
      </c>
      <c r="BN1683" t="s">
        <v>1685</v>
      </c>
      <c r="BO1683" s="17">
        <f t="shared" ca="1" si="26"/>
        <v>54.982380439818371</v>
      </c>
      <c r="BP1683" t="b">
        <v>0</v>
      </c>
      <c r="BQ1683">
        <v>1</v>
      </c>
      <c r="BR1683" t="s">
        <v>1686</v>
      </c>
      <c r="BS1683" t="s">
        <v>3357</v>
      </c>
      <c r="BT1683" t="b">
        <v>0</v>
      </c>
      <c r="BU1683" t="s">
        <v>2423</v>
      </c>
      <c r="BV1683" t="s">
        <v>1668</v>
      </c>
      <c r="BW1683">
        <v>3554</v>
      </c>
      <c r="BY1683">
        <v>127913</v>
      </c>
      <c r="BZ1683" t="s">
        <v>1709</v>
      </c>
      <c r="CA1683">
        <v>1</v>
      </c>
      <c r="CB1683" t="b">
        <v>1</v>
      </c>
      <c r="CC1683">
        <v>0</v>
      </c>
      <c r="CD1683" t="b">
        <v>0</v>
      </c>
      <c r="CE1683" t="b">
        <v>0</v>
      </c>
      <c r="CF1683" t="b">
        <v>0</v>
      </c>
      <c r="CG1683">
        <v>2356000</v>
      </c>
      <c r="CH1683" t="s">
        <v>1681</v>
      </c>
      <c r="CI1683" s="10">
        <v>745000</v>
      </c>
      <c r="CJ1683" s="7">
        <v>38637</v>
      </c>
    </row>
    <row r="1684" spans="1:90">
      <c r="A1684">
        <v>28028389</v>
      </c>
      <c r="B1684" s="2" t="str">
        <f>HYPERLINK("http://www.redfin.com/stingray/do/printable-listing?listing-id=1486870","Subject To Inspection")</f>
        <v>Subject To Inspection</v>
      </c>
      <c r="D1684" t="s">
        <v>5281</v>
      </c>
      <c r="E1684" t="s">
        <v>5748</v>
      </c>
      <c r="F1684">
        <v>665000</v>
      </c>
      <c r="G1684">
        <v>1983</v>
      </c>
      <c r="H1684">
        <v>0</v>
      </c>
      <c r="I1684">
        <v>8085</v>
      </c>
      <c r="J1684">
        <v>4</v>
      </c>
      <c r="K1684">
        <v>2.5</v>
      </c>
      <c r="M1684" s="2" t="str">
        <f>HYPERLINK("http://maps.live.com/default.aspx?v=2&amp;lvl=15&amp;sp=Point.47.560558_-122.083449_19220 SE 47th St&amp;cp=47.560558~-122.083449","Map")</f>
        <v>Map</v>
      </c>
      <c r="N1684" s="2" t="str">
        <f>HYPERLINK("http://i-0.rfimg.us/photo/1/bigphoto/389/28028389_0.jpg","Photo")</f>
        <v>Photo</v>
      </c>
      <c r="AG1684">
        <v>47.560558</v>
      </c>
      <c r="AH1684">
        <v>-122.083449</v>
      </c>
      <c r="AI1684" t="s">
        <v>5280</v>
      </c>
      <c r="AJ1684">
        <v>98027</v>
      </c>
      <c r="AN1684">
        <v>401100</v>
      </c>
      <c r="BC1684" s="22">
        <v>39494.504884259259</v>
      </c>
      <c r="BI1684" s="7">
        <v>39531</v>
      </c>
      <c r="BL1684">
        <v>13300</v>
      </c>
      <c r="BM1684">
        <v>1486870</v>
      </c>
      <c r="BN1684" t="s">
        <v>1674</v>
      </c>
      <c r="BO1684" s="17">
        <f t="shared" ca="1" si="26"/>
        <v>54.804521643520275</v>
      </c>
      <c r="BP1684" t="b">
        <v>0</v>
      </c>
      <c r="BQ1684">
        <v>2</v>
      </c>
      <c r="BR1684" t="s">
        <v>1686</v>
      </c>
      <c r="BS1684" t="s">
        <v>2453</v>
      </c>
      <c r="BT1684" t="b">
        <v>0</v>
      </c>
      <c r="BU1684" t="s">
        <v>3856</v>
      </c>
      <c r="BV1684" t="s">
        <v>1668</v>
      </c>
      <c r="BW1684">
        <v>19220</v>
      </c>
      <c r="BY1684">
        <v>326811</v>
      </c>
      <c r="BZ1684" t="s">
        <v>1713</v>
      </c>
      <c r="CA1684">
        <v>1</v>
      </c>
      <c r="CB1684" t="b">
        <v>1</v>
      </c>
      <c r="CC1684">
        <v>0</v>
      </c>
      <c r="CD1684" t="b">
        <v>0</v>
      </c>
      <c r="CE1684" t="b">
        <v>0</v>
      </c>
      <c r="CF1684" t="b">
        <v>0</v>
      </c>
      <c r="CG1684">
        <v>2479331</v>
      </c>
      <c r="CH1684" t="s">
        <v>1681</v>
      </c>
      <c r="CI1684" s="10">
        <v>665000</v>
      </c>
      <c r="CJ1684" s="7">
        <v>37189</v>
      </c>
    </row>
    <row r="1685" spans="1:90">
      <c r="A1685">
        <v>28028425</v>
      </c>
      <c r="B1685" s="15" t="str">
        <f>HYPERLINK("http://www.redfin.com/stingray/do/printable-listing?listing-id=1487135","Subject To Inspection")</f>
        <v>Subject To Inspection</v>
      </c>
      <c r="D1685" t="s">
        <v>3249</v>
      </c>
      <c r="E1685" t="s">
        <v>3326</v>
      </c>
      <c r="F1685">
        <v>484999</v>
      </c>
      <c r="G1685">
        <v>2008</v>
      </c>
      <c r="H1685">
        <v>1600</v>
      </c>
      <c r="I1685">
        <v>0</v>
      </c>
      <c r="J1685">
        <v>3</v>
      </c>
      <c r="K1685">
        <v>2.5</v>
      </c>
      <c r="M1685" s="2" t="str">
        <f>HYPERLINK("http://maps.live.com/default.aspx?v=2&amp;lvl=15&amp;sp=Point.47.638315_-122.342442_2116 Waverly Pl N&amp;cp=47.638315~-122.342442","Map")</f>
        <v>Map</v>
      </c>
      <c r="N1685" s="2" t="str">
        <f>HYPERLINK("http://i-0.rfimg.us/photo/1/bigphoto/425/28028425_2.jpg","Photo")</f>
        <v>Photo</v>
      </c>
      <c r="AG1685">
        <v>47.638314999999999</v>
      </c>
      <c r="AH1685">
        <v>-122.34244200000001</v>
      </c>
      <c r="AI1685" t="s">
        <v>66</v>
      </c>
      <c r="AJ1685">
        <v>98109</v>
      </c>
      <c r="BC1685" s="22">
        <v>39494.598726851851</v>
      </c>
      <c r="BI1685" s="22">
        <v>39546.925937499997</v>
      </c>
      <c r="BL1685">
        <v>9700</v>
      </c>
      <c r="BM1685">
        <v>1487135</v>
      </c>
      <c r="BN1685" t="s">
        <v>1746</v>
      </c>
      <c r="BO1685" s="17">
        <f t="shared" ca="1" si="26"/>
        <v>54.710679050927865</v>
      </c>
      <c r="BP1685" t="b">
        <v>0</v>
      </c>
      <c r="BQ1685">
        <v>1</v>
      </c>
      <c r="BR1685" t="s">
        <v>1842</v>
      </c>
      <c r="BS1685" t="s">
        <v>3261</v>
      </c>
      <c r="BT1685" t="b">
        <v>0</v>
      </c>
      <c r="BV1685" t="s">
        <v>1668</v>
      </c>
      <c r="BW1685">
        <v>2116</v>
      </c>
      <c r="BX1685" t="s">
        <v>1712</v>
      </c>
      <c r="BY1685">
        <v>12415942</v>
      </c>
      <c r="BZ1685" t="s">
        <v>1730</v>
      </c>
      <c r="CA1685">
        <v>1</v>
      </c>
      <c r="CB1685" t="b">
        <v>1</v>
      </c>
      <c r="CC1685">
        <v>0</v>
      </c>
      <c r="CD1685" t="b">
        <v>0</v>
      </c>
      <c r="CE1685" t="b">
        <v>0</v>
      </c>
      <c r="CF1685" t="b">
        <v>0</v>
      </c>
      <c r="CG1685">
        <v>15619690</v>
      </c>
      <c r="CH1685" t="s">
        <v>1681</v>
      </c>
      <c r="CI1685" s="10">
        <v>484999</v>
      </c>
    </row>
    <row r="1686" spans="1:90">
      <c r="A1686">
        <v>28028438</v>
      </c>
      <c r="B1686" s="2" t="str">
        <f>HYPERLINK("http://www.redfin.com/stingray/do/printable-listing?listing-id=1489168","Active")</f>
        <v>Active</v>
      </c>
      <c r="D1686" t="s">
        <v>2552</v>
      </c>
      <c r="E1686" t="s">
        <v>3541</v>
      </c>
      <c r="F1686" s="19">
        <v>725000</v>
      </c>
      <c r="G1686">
        <v>1939</v>
      </c>
      <c r="H1686">
        <v>2710</v>
      </c>
      <c r="I1686">
        <v>3200</v>
      </c>
      <c r="J1686">
        <v>3</v>
      </c>
      <c r="K1686">
        <v>2</v>
      </c>
      <c r="M1686" s="2" t="str">
        <f>HYPERLINK("http://maps.live.com/default.aspx?v=2&amp;lvl=15&amp;sp=Point.47.635293_-122.391878_2710 W Blaine St&amp;cp=47.635293~-122.391878","Map")</f>
        <v>Map</v>
      </c>
      <c r="N1686" s="2" t="str">
        <f>HYPERLINK("http://i-0.rfimg.us/photo/1/bigphoto/438/28028438_1.jpg","Photo")</f>
        <v>Photo</v>
      </c>
      <c r="AG1686">
        <v>47.635292999999997</v>
      </c>
      <c r="AH1686">
        <v>-122.39187800000001</v>
      </c>
      <c r="AI1686" t="s">
        <v>66</v>
      </c>
      <c r="AJ1686">
        <v>98199</v>
      </c>
      <c r="AN1686">
        <v>285000</v>
      </c>
      <c r="BC1686" s="22">
        <v>39496.452824074076</v>
      </c>
      <c r="BI1686" s="22">
        <v>39549.294907407406</v>
      </c>
      <c r="BL1686">
        <v>15000</v>
      </c>
      <c r="BM1686">
        <v>1489168</v>
      </c>
      <c r="BN1686" t="s">
        <v>1674</v>
      </c>
      <c r="BO1686" s="17">
        <f t="shared" ca="1" si="26"/>
        <v>52.856581828702474</v>
      </c>
      <c r="BP1686" t="b">
        <v>0</v>
      </c>
      <c r="BQ1686">
        <v>1</v>
      </c>
      <c r="BR1686" t="s">
        <v>1686</v>
      </c>
      <c r="BS1686" t="s">
        <v>3542</v>
      </c>
      <c r="BT1686" t="b">
        <v>0</v>
      </c>
      <c r="BU1686" t="s">
        <v>2423</v>
      </c>
      <c r="BV1686" t="s">
        <v>1668</v>
      </c>
      <c r="BW1686">
        <v>2710</v>
      </c>
      <c r="BY1686">
        <v>126337</v>
      </c>
      <c r="BZ1686" t="s">
        <v>3543</v>
      </c>
      <c r="CA1686">
        <v>1</v>
      </c>
      <c r="CB1686" t="b">
        <v>1</v>
      </c>
      <c r="CC1686">
        <v>0</v>
      </c>
      <c r="CD1686" t="b">
        <v>0</v>
      </c>
      <c r="CE1686" t="b">
        <v>0</v>
      </c>
      <c r="CF1686" t="b">
        <v>0</v>
      </c>
      <c r="CG1686">
        <v>2533240</v>
      </c>
      <c r="CH1686" t="s">
        <v>1681</v>
      </c>
      <c r="CI1686" s="10">
        <v>750000</v>
      </c>
      <c r="CJ1686" s="7">
        <v>34500</v>
      </c>
    </row>
    <row r="1687" spans="1:90">
      <c r="A1687">
        <v>28028468</v>
      </c>
      <c r="B1687" s="2" t="str">
        <f>HYPERLINK("http://www.redfin.com/stingray/do/printable-listing?listing-id=1520030","Active")</f>
        <v>Active</v>
      </c>
      <c r="D1687" t="s">
        <v>3249</v>
      </c>
      <c r="E1687" t="s">
        <v>3311</v>
      </c>
      <c r="F1687">
        <v>1249000</v>
      </c>
      <c r="G1687">
        <v>1916</v>
      </c>
      <c r="H1687">
        <v>0</v>
      </c>
      <c r="I1687">
        <v>0</v>
      </c>
      <c r="J1687">
        <v>4</v>
      </c>
      <c r="K1687">
        <v>2.25</v>
      </c>
      <c r="M1687" s="2" t="str">
        <f>HYPERLINK("http://maps.live.com/default.aspx?v=2&amp;lvl=15&amp;sp=Point.47.637574_-122.350527_2100 Nob Hill Ave N&amp;cp=47.637574~-122.350527","Map")</f>
        <v>Map</v>
      </c>
      <c r="N1687" s="2" t="str">
        <f>HYPERLINK("http://i-0.rfimg.us/photo/1/bigphoto/468/28028468_3.jpg","Photo")</f>
        <v>Photo</v>
      </c>
      <c r="AG1687">
        <v>47.637574000000001</v>
      </c>
      <c r="AH1687">
        <v>-122.350527</v>
      </c>
      <c r="AI1687" t="s">
        <v>66</v>
      </c>
      <c r="AJ1687">
        <v>98109</v>
      </c>
      <c r="AN1687">
        <v>725000</v>
      </c>
      <c r="BC1687" s="22">
        <v>39507.657881944448</v>
      </c>
      <c r="BI1687" s="7">
        <v>39541</v>
      </c>
      <c r="BL1687">
        <v>24980</v>
      </c>
      <c r="BM1687">
        <v>1520030</v>
      </c>
      <c r="BN1687" t="s">
        <v>1685</v>
      </c>
      <c r="BO1687" s="17">
        <f t="shared" ca="1" si="26"/>
        <v>41.651523958331381</v>
      </c>
      <c r="BP1687" t="b">
        <v>0</v>
      </c>
      <c r="BQ1687">
        <v>1</v>
      </c>
      <c r="BR1687" t="s">
        <v>1667</v>
      </c>
      <c r="BS1687" t="s">
        <v>3251</v>
      </c>
      <c r="BT1687" t="b">
        <v>0</v>
      </c>
      <c r="BV1687" t="s">
        <v>1668</v>
      </c>
      <c r="BW1687">
        <v>2100</v>
      </c>
      <c r="BX1687" t="s">
        <v>1712</v>
      </c>
      <c r="BY1687">
        <v>135034</v>
      </c>
      <c r="BZ1687" t="s">
        <v>3312</v>
      </c>
      <c r="CA1687">
        <v>1</v>
      </c>
      <c r="CB1687" t="b">
        <v>1</v>
      </c>
      <c r="CC1687">
        <v>0</v>
      </c>
      <c r="CD1687" t="b">
        <v>0</v>
      </c>
      <c r="CE1687" t="b">
        <v>0</v>
      </c>
      <c r="CF1687" t="b">
        <v>0</v>
      </c>
      <c r="CG1687">
        <v>2721551</v>
      </c>
      <c r="CH1687" t="s">
        <v>1681</v>
      </c>
      <c r="CI1687" s="10">
        <v>1249000</v>
      </c>
      <c r="CJ1687" s="7">
        <v>38509</v>
      </c>
    </row>
    <row r="1688" spans="1:90">
      <c r="A1688">
        <v>28028495</v>
      </c>
      <c r="B1688" s="2" t="str">
        <f>HYPERLINK("http://www.redfin.com/stingray/do/printable-listing?listing-id=1487211","Active")</f>
        <v>Active</v>
      </c>
      <c r="D1688" t="s">
        <v>5121</v>
      </c>
      <c r="E1688" t="s">
        <v>5521</v>
      </c>
      <c r="F1688">
        <v>825000</v>
      </c>
      <c r="G1688">
        <v>1957</v>
      </c>
      <c r="H1688">
        <v>2530</v>
      </c>
      <c r="I1688">
        <v>10086</v>
      </c>
      <c r="J1688">
        <v>4</v>
      </c>
      <c r="K1688">
        <v>2</v>
      </c>
      <c r="M1688" s="2" t="str">
        <f>HYPERLINK("http://maps.live.com/default.aspx?v=2&amp;lvl=15&amp;sp=Point.47.59458_-122.197858_10627 SE 18th St&amp;cp=47.59458~-122.197858","Map")</f>
        <v>Map</v>
      </c>
      <c r="N1688" s="2" t="str">
        <f>HYPERLINK("http://i-0.rfimg.us/photo/1/bigphoto/495/28028495_2.jpg","Photo")</f>
        <v>Photo</v>
      </c>
      <c r="AG1688">
        <v>47.594580000000001</v>
      </c>
      <c r="AH1688">
        <v>-122.197858</v>
      </c>
      <c r="AI1688" t="s">
        <v>369</v>
      </c>
      <c r="AJ1688">
        <v>98004</v>
      </c>
      <c r="AN1688">
        <v>387900</v>
      </c>
      <c r="BC1688" s="22">
        <v>39494.640497685185</v>
      </c>
      <c r="BI1688" s="22">
        <v>39549.294907407406</v>
      </c>
      <c r="BL1688">
        <v>16500</v>
      </c>
      <c r="BM1688">
        <v>1487211</v>
      </c>
      <c r="BN1688" t="s">
        <v>2718</v>
      </c>
      <c r="BO1688" s="17">
        <f t="shared" ca="1" si="26"/>
        <v>54.668908217594435</v>
      </c>
      <c r="BP1688" t="b">
        <v>0</v>
      </c>
      <c r="BQ1688">
        <v>1</v>
      </c>
      <c r="BR1688" t="s">
        <v>1686</v>
      </c>
      <c r="BS1688" t="s">
        <v>1909</v>
      </c>
      <c r="BT1688" t="b">
        <v>0</v>
      </c>
      <c r="BU1688" t="s">
        <v>3856</v>
      </c>
      <c r="BV1688" t="s">
        <v>1668</v>
      </c>
      <c r="BW1688">
        <v>10627</v>
      </c>
      <c r="BY1688">
        <v>510132</v>
      </c>
      <c r="BZ1688" t="s">
        <v>3675</v>
      </c>
      <c r="CA1688">
        <v>1</v>
      </c>
      <c r="CB1688" t="b">
        <v>1</v>
      </c>
      <c r="CC1688">
        <v>0</v>
      </c>
      <c r="CD1688" t="b">
        <v>0</v>
      </c>
      <c r="CE1688" t="b">
        <v>0</v>
      </c>
      <c r="CF1688" t="b">
        <v>0</v>
      </c>
      <c r="CG1688">
        <v>2791233</v>
      </c>
      <c r="CH1688" t="s">
        <v>1681</v>
      </c>
      <c r="CI1688" s="10">
        <v>825000</v>
      </c>
      <c r="CJ1688" s="7">
        <v>37734</v>
      </c>
      <c r="CL1688" t="s">
        <v>2325</v>
      </c>
    </row>
    <row r="1689" spans="1:90">
      <c r="A1689">
        <v>28028531</v>
      </c>
      <c r="B1689" s="15" t="str">
        <f>HYPERLINK("http://www.redfin.com/stingray/do/printable-listing?listing-id=1487329","Active")</f>
        <v>Active</v>
      </c>
      <c r="D1689" t="s">
        <v>3066</v>
      </c>
      <c r="E1689" t="s">
        <v>4664</v>
      </c>
      <c r="F1689" s="19">
        <v>777800</v>
      </c>
      <c r="G1689">
        <v>2003</v>
      </c>
      <c r="H1689">
        <v>2860</v>
      </c>
      <c r="I1689">
        <v>3600</v>
      </c>
      <c r="J1689">
        <v>4</v>
      </c>
      <c r="K1689">
        <v>3.5</v>
      </c>
      <c r="M1689" s="2" t="str">
        <f>HYPERLINK("http://maps.live.com/default.aspx?v=2&amp;lvl=15&amp;sp=Point.47.66897_-122.183603_7025 117 Pl NE&amp;cp=47.66897~-122.183603","Map")</f>
        <v>Map</v>
      </c>
      <c r="N1689" s="2" t="str">
        <f>HYPERLINK("http://i-0.rfimg.us/photo/1/bigphoto/531/28028531_1.jpg","Photo")</f>
        <v>Photo</v>
      </c>
      <c r="AG1689">
        <v>47.668970000000002</v>
      </c>
      <c r="AH1689">
        <v>-122.18360300000001</v>
      </c>
      <c r="AI1689" t="s">
        <v>1058</v>
      </c>
      <c r="AJ1689">
        <v>98033</v>
      </c>
      <c r="AN1689">
        <v>630000</v>
      </c>
      <c r="BC1689" s="22">
        <v>39494.714502314811</v>
      </c>
      <c r="BI1689" s="22">
        <v>39549.294907407406</v>
      </c>
      <c r="BL1689">
        <v>15776</v>
      </c>
      <c r="BM1689">
        <v>1487329</v>
      </c>
      <c r="BN1689" t="s">
        <v>2419</v>
      </c>
      <c r="BO1689" s="17">
        <f t="shared" ca="1" si="26"/>
        <v>54.594903587967565</v>
      </c>
      <c r="BP1689" t="b">
        <v>0</v>
      </c>
      <c r="BQ1689">
        <v>1</v>
      </c>
      <c r="BR1689" t="s">
        <v>1842</v>
      </c>
      <c r="BS1689">
        <v>117</v>
      </c>
      <c r="BT1689" t="b">
        <v>0</v>
      </c>
      <c r="BV1689" t="s">
        <v>1668</v>
      </c>
      <c r="BW1689">
        <v>7025</v>
      </c>
      <c r="BX1689" t="s">
        <v>1738</v>
      </c>
      <c r="BY1689">
        <v>514256</v>
      </c>
      <c r="BZ1689" t="s">
        <v>1704</v>
      </c>
      <c r="CA1689">
        <v>1</v>
      </c>
      <c r="CB1689" t="b">
        <v>1</v>
      </c>
      <c r="CC1689">
        <v>0</v>
      </c>
      <c r="CD1689" t="b">
        <v>0</v>
      </c>
      <c r="CE1689" t="b">
        <v>0</v>
      </c>
      <c r="CF1689" t="b">
        <v>0</v>
      </c>
      <c r="CG1689">
        <v>2891245</v>
      </c>
      <c r="CH1689" t="s">
        <v>1681</v>
      </c>
      <c r="CI1689" s="10">
        <v>788800</v>
      </c>
      <c r="CJ1689" s="7">
        <v>38043</v>
      </c>
    </row>
    <row r="1690" spans="1:90">
      <c r="A1690">
        <v>28028536</v>
      </c>
      <c r="B1690" s="2" t="str">
        <f>HYPERLINK("http://www.redfin.com/stingray/do/printable-listing?listing-id=1487385","Subject To Inspection")</f>
        <v>Subject To Inspection</v>
      </c>
      <c r="D1690" t="s">
        <v>109</v>
      </c>
      <c r="E1690" t="s">
        <v>3313</v>
      </c>
      <c r="F1690">
        <v>384950</v>
      </c>
      <c r="G1690">
        <v>2008</v>
      </c>
      <c r="H1690">
        <v>1045</v>
      </c>
      <c r="I1690">
        <v>1000</v>
      </c>
      <c r="J1690">
        <v>2</v>
      </c>
      <c r="K1690">
        <v>1.5</v>
      </c>
      <c r="M1690" s="2" t="str">
        <f>HYPERLINK("http://maps.live.com/default.aspx?v=2&amp;lvl=15&amp;sp=Point.47.649063_-122.334892_1911 N 35th St nA&amp;cp=47.649063~-122.334892","Map")</f>
        <v>Map</v>
      </c>
      <c r="N1690" s="2" t="str">
        <f>HYPERLINK("http://i-0.rfimg.us/photo/1/bigphoto/536/28028536_1.jpg","Photo")</f>
        <v>Photo</v>
      </c>
      <c r="AG1690">
        <v>47.649062999999998</v>
      </c>
      <c r="AH1690">
        <v>-122.334892</v>
      </c>
      <c r="AI1690" t="s">
        <v>66</v>
      </c>
      <c r="AJ1690">
        <v>98103</v>
      </c>
      <c r="AM1690" t="s">
        <v>1722</v>
      </c>
      <c r="BC1690" s="22">
        <v>39494.744560185187</v>
      </c>
      <c r="BI1690" s="7">
        <v>39532</v>
      </c>
      <c r="BL1690">
        <v>7699</v>
      </c>
      <c r="BM1690">
        <v>1487385</v>
      </c>
      <c r="BN1690" t="s">
        <v>1766</v>
      </c>
      <c r="BO1690" s="17">
        <f t="shared" ca="1" si="26"/>
        <v>54.564845717592107</v>
      </c>
      <c r="BP1690" t="b">
        <v>0</v>
      </c>
      <c r="BQ1690">
        <v>2</v>
      </c>
      <c r="BR1690" t="s">
        <v>1686</v>
      </c>
      <c r="BS1690" t="s">
        <v>2920</v>
      </c>
      <c r="BT1690" t="b">
        <v>0</v>
      </c>
      <c r="BU1690" t="s">
        <v>1712</v>
      </c>
      <c r="BV1690" t="s">
        <v>1668</v>
      </c>
      <c r="BW1690">
        <v>1911</v>
      </c>
      <c r="BY1690">
        <v>12415968</v>
      </c>
      <c r="BZ1690" t="s">
        <v>3314</v>
      </c>
      <c r="CA1690">
        <v>1</v>
      </c>
      <c r="CB1690" t="b">
        <v>1</v>
      </c>
      <c r="CC1690">
        <v>0</v>
      </c>
      <c r="CD1690" t="b">
        <v>0</v>
      </c>
      <c r="CE1690" t="b">
        <v>0</v>
      </c>
      <c r="CF1690" t="b">
        <v>0</v>
      </c>
      <c r="CG1690">
        <v>15619716</v>
      </c>
      <c r="CH1690" t="s">
        <v>1681</v>
      </c>
      <c r="CI1690" s="10">
        <v>384950</v>
      </c>
    </row>
    <row r="1691" spans="1:90">
      <c r="A1691">
        <v>28028552</v>
      </c>
      <c r="B1691" s="2" t="str">
        <f>HYPERLINK("http://www.redfin.com/stingray/do/printable-listing?listing-id=1487456","Active")</f>
        <v>Active</v>
      </c>
      <c r="D1691" t="s">
        <v>5490</v>
      </c>
      <c r="E1691" t="s">
        <v>5662</v>
      </c>
      <c r="F1691">
        <v>648000</v>
      </c>
      <c r="G1691">
        <v>1980</v>
      </c>
      <c r="H1691">
        <v>3260</v>
      </c>
      <c r="I1691">
        <v>9245</v>
      </c>
      <c r="J1691">
        <v>4</v>
      </c>
      <c r="K1691">
        <v>3</v>
      </c>
      <c r="M1691" s="2" t="str">
        <f>HYPERLINK("http://maps.live.com/default.aspx?v=2&amp;lvl=15&amp;sp=Point.47.562592_-122.124389_4629 162nd Ave SE&amp;cp=47.562592~-122.124389","Map")</f>
        <v>Map</v>
      </c>
      <c r="N1691" s="2" t="str">
        <f>HYPERLINK("http://i-0.rfimg.us/photo/1/bigphoto/552/28028552_2.jpg","Photo")</f>
        <v>Photo</v>
      </c>
      <c r="AG1691">
        <v>47.562592000000002</v>
      </c>
      <c r="AH1691">
        <v>-122.12438899999999</v>
      </c>
      <c r="AI1691" t="s">
        <v>369</v>
      </c>
      <c r="AJ1691">
        <v>98006</v>
      </c>
      <c r="BC1691" s="22">
        <v>39494.807326388887</v>
      </c>
      <c r="BI1691" s="22">
        <v>39549.294907407406</v>
      </c>
      <c r="BL1691">
        <v>12960</v>
      </c>
      <c r="BM1691">
        <v>1487456</v>
      </c>
      <c r="BN1691" t="s">
        <v>1678</v>
      </c>
      <c r="BO1691" s="17">
        <f t="shared" ca="1" si="26"/>
        <v>54.502079513891658</v>
      </c>
      <c r="BP1691" t="b">
        <v>0</v>
      </c>
      <c r="BQ1691">
        <v>1</v>
      </c>
      <c r="BR1691" t="s">
        <v>1667</v>
      </c>
      <c r="BS1691" t="s">
        <v>5663</v>
      </c>
      <c r="BT1691" t="b">
        <v>0</v>
      </c>
      <c r="BV1691" t="s">
        <v>1668</v>
      </c>
      <c r="BW1691">
        <v>4629</v>
      </c>
      <c r="BX1691" t="s">
        <v>3856</v>
      </c>
      <c r="BY1691">
        <v>237106</v>
      </c>
      <c r="BZ1691" t="s">
        <v>5664</v>
      </c>
      <c r="CA1691">
        <v>1</v>
      </c>
      <c r="CB1691" t="b">
        <v>1</v>
      </c>
      <c r="CC1691">
        <v>0</v>
      </c>
      <c r="CD1691" t="b">
        <v>0</v>
      </c>
      <c r="CE1691" t="b">
        <v>0</v>
      </c>
      <c r="CF1691" t="b">
        <v>0</v>
      </c>
      <c r="CG1691">
        <v>2590318</v>
      </c>
      <c r="CH1691" t="s">
        <v>1681</v>
      </c>
      <c r="CI1691" s="10">
        <v>648000</v>
      </c>
    </row>
    <row r="1692" spans="1:90">
      <c r="A1692">
        <v>28028559</v>
      </c>
      <c r="B1692" s="2" t="str">
        <f>HYPERLINK("http://www.redfin.com/stingray/do/printable-listing?listing-id=1487498","Active")</f>
        <v>Active</v>
      </c>
      <c r="D1692" t="s">
        <v>60</v>
      </c>
      <c r="E1692" t="s">
        <v>794</v>
      </c>
      <c r="F1692">
        <v>429000</v>
      </c>
      <c r="G1692">
        <v>1985</v>
      </c>
      <c r="H1692">
        <v>0</v>
      </c>
      <c r="I1692">
        <v>0</v>
      </c>
      <c r="J1692">
        <v>3</v>
      </c>
      <c r="K1692">
        <v>2.5</v>
      </c>
      <c r="M1692" s="2" t="str">
        <f>HYPERLINK("http://maps.live.com/default.aspx?v=2&amp;lvl=15&amp;sp=Point.47.693695_-122.348529_730 N 89th St&amp;cp=47.693695~-122.348529","Map")</f>
        <v>Map</v>
      </c>
      <c r="N1692" s="2" t="str">
        <f>HYPERLINK("http://i-0.rfimg.us/photo/1/bigphoto/559/28028559_2.jpg","Photo")</f>
        <v>Photo</v>
      </c>
      <c r="AG1692">
        <v>47.693694999999998</v>
      </c>
      <c r="AH1692">
        <v>-122.348529</v>
      </c>
      <c r="AI1692" t="s">
        <v>66</v>
      </c>
      <c r="AJ1692">
        <v>98103</v>
      </c>
      <c r="BC1692" s="22">
        <v>39494.880104166667</v>
      </c>
      <c r="BI1692" s="22">
        <v>39549.294907407406</v>
      </c>
      <c r="BL1692">
        <v>8580</v>
      </c>
      <c r="BM1692">
        <v>1487498</v>
      </c>
      <c r="BN1692" t="s">
        <v>1824</v>
      </c>
      <c r="BO1692" s="17">
        <f t="shared" ca="1" si="26"/>
        <v>54.429301736112393</v>
      </c>
      <c r="BP1692" t="b">
        <v>0</v>
      </c>
      <c r="BQ1692">
        <v>1</v>
      </c>
      <c r="BR1692" t="s">
        <v>1686</v>
      </c>
      <c r="BS1692" t="s">
        <v>2741</v>
      </c>
      <c r="BT1692" t="b">
        <v>0</v>
      </c>
      <c r="BU1692" t="s">
        <v>1712</v>
      </c>
      <c r="BV1692" t="s">
        <v>1668</v>
      </c>
      <c r="BW1692">
        <v>730</v>
      </c>
      <c r="BY1692">
        <v>98444</v>
      </c>
      <c r="BZ1692" t="s">
        <v>2815</v>
      </c>
      <c r="CA1692">
        <v>1</v>
      </c>
      <c r="CB1692" t="b">
        <v>1</v>
      </c>
      <c r="CC1692">
        <v>0</v>
      </c>
      <c r="CD1692" t="b">
        <v>0</v>
      </c>
      <c r="CE1692" t="b">
        <v>0</v>
      </c>
      <c r="CF1692" t="b">
        <v>0</v>
      </c>
      <c r="CG1692">
        <v>2839040</v>
      </c>
      <c r="CH1692" t="s">
        <v>1681</v>
      </c>
      <c r="CI1692" s="10">
        <v>429000</v>
      </c>
    </row>
    <row r="1693" spans="1:90">
      <c r="A1693">
        <v>28028614</v>
      </c>
      <c r="B1693" s="2" t="str">
        <f>HYPERLINK("http://www.redfin.com/stingray/do/printable-listing?listing-id=1487937","Active")</f>
        <v>Active</v>
      </c>
      <c r="D1693" t="s">
        <v>3064</v>
      </c>
      <c r="E1693" t="s">
        <v>6184</v>
      </c>
      <c r="F1693" s="19">
        <v>504995</v>
      </c>
      <c r="G1693">
        <v>2005</v>
      </c>
      <c r="H1693">
        <v>3200</v>
      </c>
      <c r="I1693">
        <v>6473</v>
      </c>
      <c r="J1693">
        <v>4</v>
      </c>
      <c r="K1693">
        <v>2.5</v>
      </c>
      <c r="M1693" s="2" t="str">
        <f>HYPERLINK("http://maps.live.com/default.aspx?v=2&amp;lvl=15&amp;sp=Point.47.501255123206_-122.15042467093_5121 NE 11th CT&amp;cp=47.501255123206~-122.15042467093","Map")</f>
        <v>Map</v>
      </c>
      <c r="N1693" s="2" t="str">
        <f>HYPERLINK("http://i-0.rfimg.us/photo/1/bigphoto/614/28028614_3.jpg","Photo")</f>
        <v>Photo</v>
      </c>
      <c r="AG1693">
        <v>47.501255123206001</v>
      </c>
      <c r="AH1693">
        <v>-122.15042467092999</v>
      </c>
      <c r="AI1693" t="s">
        <v>1077</v>
      </c>
      <c r="AJ1693">
        <v>98059</v>
      </c>
      <c r="AN1693">
        <v>459950</v>
      </c>
      <c r="BC1693" s="22">
        <v>39495.441979166666</v>
      </c>
      <c r="BI1693" s="22">
        <v>39549.294907407406</v>
      </c>
      <c r="BL1693">
        <v>10399</v>
      </c>
      <c r="BM1693">
        <v>1487937</v>
      </c>
      <c r="BN1693" t="s">
        <v>1688</v>
      </c>
      <c r="BO1693" s="17">
        <f t="shared" ca="1" si="26"/>
        <v>53.867426736112975</v>
      </c>
      <c r="BP1693" t="b">
        <v>0</v>
      </c>
      <c r="BQ1693">
        <v>1</v>
      </c>
      <c r="BR1693" t="s">
        <v>6185</v>
      </c>
      <c r="BS1693" t="s">
        <v>1792</v>
      </c>
      <c r="BT1693" t="b">
        <v>0</v>
      </c>
      <c r="BU1693" t="s">
        <v>1738</v>
      </c>
      <c r="BV1693" t="s">
        <v>1668</v>
      </c>
      <c r="BW1693">
        <v>5121</v>
      </c>
      <c r="BY1693">
        <v>2089053</v>
      </c>
      <c r="BZ1693" t="s">
        <v>6186</v>
      </c>
      <c r="CA1693">
        <v>1</v>
      </c>
      <c r="CB1693" t="b">
        <v>1</v>
      </c>
      <c r="CC1693">
        <v>0</v>
      </c>
      <c r="CD1693" t="b">
        <v>0</v>
      </c>
      <c r="CE1693" t="b">
        <v>0</v>
      </c>
      <c r="CF1693" t="b">
        <v>0</v>
      </c>
      <c r="CG1693">
        <v>2872907</v>
      </c>
      <c r="CH1693" t="s">
        <v>1681</v>
      </c>
      <c r="CI1693" s="10">
        <v>519950</v>
      </c>
      <c r="CJ1693" s="7">
        <v>38664</v>
      </c>
    </row>
    <row r="1694" spans="1:90">
      <c r="A1694">
        <v>28028651</v>
      </c>
      <c r="B1694" s="2" t="str">
        <f>HYPERLINK("http://www.redfin.com/stingray/do/printable-listing?listing-id=1488071","Active")</f>
        <v>Active</v>
      </c>
      <c r="D1694" t="s">
        <v>5139</v>
      </c>
      <c r="E1694" t="s">
        <v>5483</v>
      </c>
      <c r="F1694">
        <v>895000</v>
      </c>
      <c r="G1694">
        <v>1962</v>
      </c>
      <c r="H1694">
        <v>2006</v>
      </c>
      <c r="I1694">
        <v>10125</v>
      </c>
      <c r="J1694">
        <v>3</v>
      </c>
      <c r="K1694">
        <v>1.75</v>
      </c>
      <c r="M1694" s="2" t="str">
        <f>HYPERLINK("http://maps.live.com/default.aspx?v=2&amp;lvl=15&amp;sp=Point.47.570329_-122.219785_4216 89th Ave SE&amp;cp=47.570329~-122.219785","Map")</f>
        <v>Map</v>
      </c>
      <c r="N1694" s="2" t="str">
        <f>HYPERLINK("http://i-0.rfimg.us/photo/1/bigphoto/651/28028651_3.jpg","Photo")</f>
        <v>Photo</v>
      </c>
      <c r="AG1694">
        <v>47.570329000000001</v>
      </c>
      <c r="AH1694">
        <v>-122.219785</v>
      </c>
      <c r="AI1694" t="s">
        <v>5139</v>
      </c>
      <c r="AJ1694">
        <v>98040</v>
      </c>
      <c r="AN1694">
        <v>470000</v>
      </c>
      <c r="BC1694" s="22">
        <v>39495.55673611111</v>
      </c>
      <c r="BI1694" s="22">
        <v>39549.294907407406</v>
      </c>
      <c r="BL1694">
        <v>17900</v>
      </c>
      <c r="BM1694">
        <v>1488071</v>
      </c>
      <c r="BN1694" t="s">
        <v>2419</v>
      </c>
      <c r="BO1694" s="17">
        <f t="shared" ca="1" si="26"/>
        <v>53.752669791669177</v>
      </c>
      <c r="BP1694" t="b">
        <v>0</v>
      </c>
      <c r="BQ1694">
        <v>1</v>
      </c>
      <c r="BR1694" t="s">
        <v>1667</v>
      </c>
      <c r="BS1694" t="s">
        <v>2741</v>
      </c>
      <c r="BT1694" t="b">
        <v>0</v>
      </c>
      <c r="BV1694" t="s">
        <v>1668</v>
      </c>
      <c r="BW1694">
        <v>4216</v>
      </c>
      <c r="BX1694" t="s">
        <v>3856</v>
      </c>
      <c r="BY1694">
        <v>256206</v>
      </c>
      <c r="BZ1694" t="s">
        <v>4188</v>
      </c>
      <c r="CA1694">
        <v>1</v>
      </c>
      <c r="CB1694" t="b">
        <v>1</v>
      </c>
      <c r="CC1694">
        <v>0</v>
      </c>
      <c r="CD1694" t="b">
        <v>0</v>
      </c>
      <c r="CE1694" t="b">
        <v>0</v>
      </c>
      <c r="CF1694" t="b">
        <v>0</v>
      </c>
      <c r="CG1694">
        <v>2876706</v>
      </c>
      <c r="CH1694" t="s">
        <v>1681</v>
      </c>
      <c r="CI1694" s="10">
        <v>895000</v>
      </c>
      <c r="CJ1694" s="7">
        <v>38289</v>
      </c>
    </row>
    <row r="1695" spans="1:90">
      <c r="A1695">
        <v>28028665</v>
      </c>
      <c r="B1695" s="2" t="str">
        <f>HYPERLINK("http://www.redfin.com/stingray/do/printable-listing?listing-id=1501512","Subject To Inspection")</f>
        <v>Subject To Inspection</v>
      </c>
      <c r="D1695" t="s">
        <v>2552</v>
      </c>
      <c r="E1695" t="s">
        <v>3449</v>
      </c>
      <c r="F1695">
        <v>749000</v>
      </c>
      <c r="G1695">
        <v>1940</v>
      </c>
      <c r="H1695">
        <v>2020</v>
      </c>
      <c r="I1695">
        <v>5580</v>
      </c>
      <c r="J1695">
        <v>3</v>
      </c>
      <c r="K1695">
        <v>1.75</v>
      </c>
      <c r="M1695" s="2" t="str">
        <f>HYPERLINK("http://maps.live.com/default.aspx?v=2&amp;lvl=15&amp;sp=Point.47.643968_-122.396581_2624 31st Ave W&amp;cp=47.643968~-122.396581","Map")</f>
        <v>Map</v>
      </c>
      <c r="N1695" s="2" t="str">
        <f>HYPERLINK("http://i-0.rfimg.us/photo/1/bigphoto/665/28028665_2.jpg","Photo")</f>
        <v>Photo</v>
      </c>
      <c r="AG1695">
        <v>47.643968000000001</v>
      </c>
      <c r="AH1695">
        <v>-122.396581</v>
      </c>
      <c r="AI1695" t="s">
        <v>66</v>
      </c>
      <c r="AJ1695">
        <v>98199</v>
      </c>
      <c r="BC1695" s="22">
        <v>39500.567881944444</v>
      </c>
      <c r="BI1695" s="7">
        <v>39541</v>
      </c>
      <c r="BL1695">
        <v>14980</v>
      </c>
      <c r="BM1695">
        <v>1501512</v>
      </c>
      <c r="BN1695" t="s">
        <v>1678</v>
      </c>
      <c r="BO1695" s="17">
        <f t="shared" ca="1" si="26"/>
        <v>48.741523958335165</v>
      </c>
      <c r="BP1695" t="b">
        <v>0</v>
      </c>
      <c r="BQ1695">
        <v>2</v>
      </c>
      <c r="BR1695" t="s">
        <v>1667</v>
      </c>
      <c r="BS1695" t="s">
        <v>1732</v>
      </c>
      <c r="BT1695" t="b">
        <v>0</v>
      </c>
      <c r="BV1695" t="s">
        <v>1668</v>
      </c>
      <c r="BW1695">
        <v>2624</v>
      </c>
      <c r="BX1695" t="s">
        <v>2423</v>
      </c>
      <c r="BY1695">
        <v>128974</v>
      </c>
      <c r="BZ1695" t="s">
        <v>3450</v>
      </c>
      <c r="CA1695">
        <v>1</v>
      </c>
      <c r="CB1695" t="b">
        <v>1</v>
      </c>
      <c r="CC1695">
        <v>0</v>
      </c>
      <c r="CD1695" t="b">
        <v>0</v>
      </c>
      <c r="CE1695" t="b">
        <v>0</v>
      </c>
      <c r="CF1695" t="b">
        <v>0</v>
      </c>
      <c r="CG1695">
        <v>2606678</v>
      </c>
      <c r="CH1695" t="s">
        <v>1681</v>
      </c>
      <c r="CI1695" s="10">
        <v>749000</v>
      </c>
    </row>
    <row r="1696" spans="1:90">
      <c r="A1696">
        <v>28028681</v>
      </c>
      <c r="B1696" s="2" t="str">
        <f>HYPERLINK("http://www.redfin.com/stingray/do/printable-listing?listing-id=1490932","Active")</f>
        <v>Active</v>
      </c>
      <c r="D1696" t="s">
        <v>2552</v>
      </c>
      <c r="E1696" t="s">
        <v>3402</v>
      </c>
      <c r="F1696" s="19">
        <v>437500</v>
      </c>
      <c r="G1696">
        <v>2003</v>
      </c>
      <c r="H1696">
        <v>1349</v>
      </c>
      <c r="I1696">
        <v>1489</v>
      </c>
      <c r="J1696">
        <v>3</v>
      </c>
      <c r="K1696">
        <v>2.25</v>
      </c>
      <c r="M1696" s="2" t="str">
        <f>HYPERLINK("http://maps.live.com/default.aspx?v=2&amp;lvl=15&amp;sp=Point.47.651216_-122.384903_3453 22nd Ave W&amp;cp=47.651216~-122.384903","Map")</f>
        <v>Map</v>
      </c>
      <c r="N1696" s="2" t="str">
        <f>HYPERLINK("http://i-0.rfimg.us/photo/1/bigphoto/681/28028681_2.jpg","Photo")</f>
        <v>Photo</v>
      </c>
      <c r="AG1696">
        <v>47.651215999999998</v>
      </c>
      <c r="AH1696">
        <v>-122.38490299999999</v>
      </c>
      <c r="AI1696" t="s">
        <v>66</v>
      </c>
      <c r="AJ1696">
        <v>98199</v>
      </c>
      <c r="BC1696" s="22">
        <v>39497.087835648148</v>
      </c>
      <c r="BI1696" s="22">
        <v>39549.294907407406</v>
      </c>
      <c r="BL1696">
        <v>8999</v>
      </c>
      <c r="BM1696">
        <v>1490932</v>
      </c>
      <c r="BN1696" t="s">
        <v>1710</v>
      </c>
      <c r="BO1696" s="17">
        <f t="shared" ca="1" si="26"/>
        <v>52.221570254630933</v>
      </c>
      <c r="BP1696" t="b">
        <v>0</v>
      </c>
      <c r="BQ1696">
        <v>1</v>
      </c>
      <c r="BR1696" t="s">
        <v>1667</v>
      </c>
      <c r="BS1696" t="s">
        <v>1692</v>
      </c>
      <c r="BT1696" t="b">
        <v>0</v>
      </c>
      <c r="BV1696" t="s">
        <v>1668</v>
      </c>
      <c r="BW1696">
        <v>3453</v>
      </c>
      <c r="BX1696" t="s">
        <v>2423</v>
      </c>
      <c r="BY1696">
        <v>12416408</v>
      </c>
      <c r="BZ1696" t="s">
        <v>3403</v>
      </c>
      <c r="CA1696">
        <v>1</v>
      </c>
      <c r="CB1696" t="b">
        <v>1</v>
      </c>
      <c r="CC1696">
        <v>0</v>
      </c>
      <c r="CD1696" t="b">
        <v>0</v>
      </c>
      <c r="CE1696" t="b">
        <v>0</v>
      </c>
      <c r="CF1696" t="b">
        <v>0</v>
      </c>
      <c r="CG1696">
        <v>15620156</v>
      </c>
      <c r="CH1696" t="s">
        <v>1681</v>
      </c>
      <c r="CI1696" s="10">
        <v>449950</v>
      </c>
    </row>
    <row r="1697" spans="1:90">
      <c r="A1697">
        <v>28028693</v>
      </c>
      <c r="B1697" s="2" t="str">
        <f>HYPERLINK("http://www.redfin.com/stingray/do/printable-listing?listing-id=1492413","Active")</f>
        <v>Active</v>
      </c>
      <c r="D1697" t="s">
        <v>1058</v>
      </c>
      <c r="E1697" t="s">
        <v>4572</v>
      </c>
      <c r="F1697">
        <v>424000</v>
      </c>
      <c r="G1697">
        <v>1966</v>
      </c>
      <c r="H1697">
        <v>2020</v>
      </c>
      <c r="I1697">
        <v>10450</v>
      </c>
      <c r="J1697">
        <v>3</v>
      </c>
      <c r="K1697">
        <v>2</v>
      </c>
      <c r="M1697" s="2" t="str">
        <f>HYPERLINK("http://maps.live.com/default.aspx?v=2&amp;lvl=15&amp;sp=Point.47.723106_-122.182173_13621 119th Ave NE&amp;cp=47.723106~-122.182173","Map")</f>
        <v>Map</v>
      </c>
      <c r="N1697" s="2" t="str">
        <f>HYPERLINK("http://i-0.rfimg.us/photo/1/bigphoto/693/28028693_0.jpg","Photo")</f>
        <v>Photo</v>
      </c>
      <c r="AG1697">
        <v>47.723106000000001</v>
      </c>
      <c r="AH1697">
        <v>-122.18217300000001</v>
      </c>
      <c r="AI1697" t="s">
        <v>1058</v>
      </c>
      <c r="AJ1697">
        <v>98034</v>
      </c>
      <c r="AN1697">
        <v>159000</v>
      </c>
      <c r="BC1697" s="22">
        <v>39497.675208333334</v>
      </c>
      <c r="BI1697" s="22">
        <v>39549.294907407406</v>
      </c>
      <c r="BL1697">
        <v>8480</v>
      </c>
      <c r="BM1697">
        <v>1492413</v>
      </c>
      <c r="BN1697" t="s">
        <v>1768</v>
      </c>
      <c r="BO1697" s="17">
        <f t="shared" ca="1" si="26"/>
        <v>51.63419756944495</v>
      </c>
      <c r="BP1697" t="b">
        <v>0</v>
      </c>
      <c r="BQ1697">
        <v>1</v>
      </c>
      <c r="BR1697" t="s">
        <v>1667</v>
      </c>
      <c r="BS1697" t="s">
        <v>4573</v>
      </c>
      <c r="BT1697" t="b">
        <v>0</v>
      </c>
      <c r="BV1697" t="s">
        <v>1668</v>
      </c>
      <c r="BW1697">
        <v>13621</v>
      </c>
      <c r="BX1697" t="s">
        <v>1738</v>
      </c>
      <c r="BY1697">
        <v>454275</v>
      </c>
      <c r="BZ1697" t="s">
        <v>1672</v>
      </c>
      <c r="CA1697">
        <v>1</v>
      </c>
      <c r="CB1697" t="b">
        <v>1</v>
      </c>
      <c r="CC1697">
        <v>0</v>
      </c>
      <c r="CD1697" t="b">
        <v>0</v>
      </c>
      <c r="CE1697" t="b">
        <v>0</v>
      </c>
      <c r="CF1697" t="b">
        <v>0</v>
      </c>
      <c r="CG1697">
        <v>2785022</v>
      </c>
      <c r="CH1697" t="s">
        <v>1681</v>
      </c>
      <c r="CI1697" s="10">
        <v>424000</v>
      </c>
      <c r="CJ1697" s="7">
        <v>34759</v>
      </c>
    </row>
    <row r="1698" spans="1:90">
      <c r="A1698">
        <v>28028723</v>
      </c>
      <c r="B1698" s="2" t="str">
        <f>HYPERLINK("http://www.redfin.com/stingray/do/printable-listing?listing-id=1499601","Active")</f>
        <v>Active</v>
      </c>
      <c r="D1698" t="s">
        <v>1058</v>
      </c>
      <c r="E1698" t="s">
        <v>4578</v>
      </c>
      <c r="F1698">
        <v>575000</v>
      </c>
      <c r="G1698">
        <v>2003</v>
      </c>
      <c r="H1698">
        <v>2190</v>
      </c>
      <c r="I1698">
        <v>3990</v>
      </c>
      <c r="J1698">
        <v>3</v>
      </c>
      <c r="K1698">
        <v>2.5</v>
      </c>
      <c r="M1698" s="2" t="str">
        <f>HYPERLINK("http://maps.live.com/default.aspx?v=2&amp;lvl=15&amp;sp=Point.47.724686_-122.166377_13858 130th Pl NE&amp;cp=47.724686~-122.166377","Map")</f>
        <v>Map</v>
      </c>
      <c r="N1698" s="2" t="str">
        <f>HYPERLINK("http://i-0.rfimg.us/photo/1/bigphoto/723/28028723_2.jpg","Photo")</f>
        <v>Photo</v>
      </c>
      <c r="AG1698">
        <v>47.724685999999998</v>
      </c>
      <c r="AH1698">
        <v>-122.166377</v>
      </c>
      <c r="AI1698" t="s">
        <v>1058</v>
      </c>
      <c r="AJ1698">
        <v>98034</v>
      </c>
      <c r="AN1698">
        <v>498000</v>
      </c>
      <c r="BC1698" s="22">
        <v>39499.827766203707</v>
      </c>
      <c r="BI1698" s="22">
        <v>39549.294907407406</v>
      </c>
      <c r="BL1698">
        <v>11500</v>
      </c>
      <c r="BM1698">
        <v>1499601</v>
      </c>
      <c r="BN1698" t="s">
        <v>2419</v>
      </c>
      <c r="BO1698" s="17">
        <f t="shared" ca="1" si="26"/>
        <v>49.48163969907182</v>
      </c>
      <c r="BP1698" t="b">
        <v>0</v>
      </c>
      <c r="BQ1698">
        <v>1</v>
      </c>
      <c r="BR1698" t="s">
        <v>1842</v>
      </c>
      <c r="BS1698" t="s">
        <v>2964</v>
      </c>
      <c r="BT1698" t="b">
        <v>0</v>
      </c>
      <c r="BV1698" t="s">
        <v>1668</v>
      </c>
      <c r="BW1698">
        <v>13858</v>
      </c>
      <c r="BX1698" t="s">
        <v>1738</v>
      </c>
      <c r="BY1698">
        <v>455975</v>
      </c>
      <c r="BZ1698" t="s">
        <v>4579</v>
      </c>
      <c r="CA1698">
        <v>1</v>
      </c>
      <c r="CB1698" t="b">
        <v>1</v>
      </c>
      <c r="CC1698">
        <v>0</v>
      </c>
      <c r="CD1698" t="b">
        <v>0</v>
      </c>
      <c r="CE1698" t="b">
        <v>0</v>
      </c>
      <c r="CF1698" t="b">
        <v>0</v>
      </c>
      <c r="CG1698">
        <v>2464376</v>
      </c>
      <c r="CH1698" t="s">
        <v>1681</v>
      </c>
      <c r="CI1698" s="10">
        <v>575000</v>
      </c>
      <c r="CJ1698" s="7">
        <v>38637</v>
      </c>
      <c r="CL1698" t="s">
        <v>6482</v>
      </c>
    </row>
    <row r="1699" spans="1:90">
      <c r="A1699">
        <v>28028736</v>
      </c>
      <c r="B1699" s="2" t="str">
        <f>HYPERLINK("http://www.redfin.com/stingray/do/printable-listing?listing-id=1501172","Active")</f>
        <v>Active</v>
      </c>
      <c r="D1699" t="s">
        <v>192</v>
      </c>
      <c r="E1699" t="s">
        <v>3109</v>
      </c>
      <c r="F1699" s="19">
        <v>720000</v>
      </c>
      <c r="G1699">
        <v>1908</v>
      </c>
      <c r="H1699">
        <v>2640</v>
      </c>
      <c r="I1699">
        <v>7500</v>
      </c>
      <c r="J1699">
        <v>4</v>
      </c>
      <c r="K1699">
        <v>1.75</v>
      </c>
      <c r="M1699" s="2" t="str">
        <f>HYPERLINK("http://maps.live.com/default.aspx?v=2&amp;lvl=15&amp;sp=Point.47.687457_-122.315888_8024 11th Ave NE&amp;cp=47.687457~-122.315888","Map")</f>
        <v>Map</v>
      </c>
      <c r="N1699" s="2" t="str">
        <f>HYPERLINK("http://i-0.rfimg.us/photo/1/bigphoto/736/28028736_1.jpg","Photo")</f>
        <v>Photo</v>
      </c>
      <c r="AG1699">
        <v>47.687457000000002</v>
      </c>
      <c r="AH1699">
        <v>-122.315888</v>
      </c>
      <c r="AI1699" t="s">
        <v>66</v>
      </c>
      <c r="AJ1699">
        <v>98115</v>
      </c>
      <c r="AN1699">
        <v>159950</v>
      </c>
      <c r="BC1699" s="22">
        <v>39500.495740740742</v>
      </c>
      <c r="BI1699" s="22">
        <v>39549.294907407406</v>
      </c>
      <c r="BL1699">
        <v>14980</v>
      </c>
      <c r="BM1699">
        <v>1501172</v>
      </c>
      <c r="BN1699" t="s">
        <v>1710</v>
      </c>
      <c r="BO1699" s="17">
        <f t="shared" ca="1" si="26"/>
        <v>48.813665162037069</v>
      </c>
      <c r="BP1699" t="b">
        <v>0</v>
      </c>
      <c r="BQ1699">
        <v>1</v>
      </c>
      <c r="BR1699" t="s">
        <v>1667</v>
      </c>
      <c r="BS1699" t="s">
        <v>1792</v>
      </c>
      <c r="BT1699" t="b">
        <v>0</v>
      </c>
      <c r="BV1699" t="s">
        <v>1668</v>
      </c>
      <c r="BW1699">
        <v>8024</v>
      </c>
      <c r="BX1699" t="s">
        <v>1738</v>
      </c>
      <c r="BY1699">
        <v>108212</v>
      </c>
      <c r="BZ1699" t="s">
        <v>1704</v>
      </c>
      <c r="CA1699">
        <v>1</v>
      </c>
      <c r="CB1699" t="b">
        <v>1</v>
      </c>
      <c r="CC1699">
        <v>0</v>
      </c>
      <c r="CD1699" t="b">
        <v>0</v>
      </c>
      <c r="CE1699" t="b">
        <v>0</v>
      </c>
      <c r="CF1699" t="b">
        <v>0</v>
      </c>
      <c r="CG1699">
        <v>2798404</v>
      </c>
      <c r="CH1699" t="s">
        <v>1681</v>
      </c>
      <c r="CI1699" s="10">
        <v>749000</v>
      </c>
      <c r="CJ1699" s="7">
        <v>34344</v>
      </c>
    </row>
    <row r="1700" spans="1:90">
      <c r="A1700">
        <v>28028834</v>
      </c>
      <c r="B1700" s="2" t="str">
        <f>HYPERLINK("http://www.redfin.com/stingray/do/printable-listing?listing-id=1503944","Active")</f>
        <v>Active</v>
      </c>
      <c r="D1700" t="s">
        <v>63</v>
      </c>
      <c r="E1700" t="s">
        <v>1936</v>
      </c>
      <c r="F1700">
        <v>185000</v>
      </c>
      <c r="G1700">
        <v>1928</v>
      </c>
      <c r="H1700">
        <v>0</v>
      </c>
      <c r="I1700">
        <v>0</v>
      </c>
      <c r="J1700">
        <v>1</v>
      </c>
      <c r="K1700">
        <v>1</v>
      </c>
      <c r="M1700" s="2" t="str">
        <f>HYPERLINK("http://maps.live.com/default.aspx?v=2&amp;lvl=15&amp;sp=Point.47.683981_-122.387395_7526 24 Ave NW n1&amp;cp=47.683981~-122.387395","Map")</f>
        <v>Map</v>
      </c>
      <c r="N1700" s="2" t="str">
        <f>HYPERLINK("http://i-0.rfimg.us/photo/1/bigphoto/834/28028834_0.jpg","Photo")</f>
        <v>Photo</v>
      </c>
      <c r="AG1700">
        <v>47.683981000000003</v>
      </c>
      <c r="AH1700">
        <v>-122.387395</v>
      </c>
      <c r="AI1700" t="s">
        <v>66</v>
      </c>
      <c r="AJ1700">
        <v>98117</v>
      </c>
      <c r="AM1700" t="s">
        <v>1782</v>
      </c>
      <c r="BC1700" s="22">
        <v>39501.515046296299</v>
      </c>
      <c r="BI1700" s="22">
        <v>39549.294907407406</v>
      </c>
      <c r="BL1700">
        <v>2550</v>
      </c>
      <c r="BM1700">
        <v>1503944</v>
      </c>
      <c r="BN1700" t="s">
        <v>1710</v>
      </c>
      <c r="BO1700" s="17">
        <f t="shared" ca="1" si="26"/>
        <v>47.79435972221836</v>
      </c>
      <c r="BP1700" t="b">
        <v>0</v>
      </c>
      <c r="BQ1700">
        <v>1</v>
      </c>
      <c r="BR1700" t="s">
        <v>1667</v>
      </c>
      <c r="BS1700">
        <v>24</v>
      </c>
      <c r="BT1700" t="b">
        <v>0</v>
      </c>
      <c r="BV1700" t="s">
        <v>1668</v>
      </c>
      <c r="BW1700">
        <v>7526</v>
      </c>
      <c r="BX1700" t="s">
        <v>1669</v>
      </c>
      <c r="BY1700">
        <v>12266155</v>
      </c>
      <c r="BZ1700" s="21" t="s">
        <v>1696</v>
      </c>
      <c r="CA1700">
        <v>1</v>
      </c>
      <c r="CB1700" t="b">
        <v>1</v>
      </c>
      <c r="CC1700">
        <v>0</v>
      </c>
      <c r="CD1700" t="b">
        <v>0</v>
      </c>
      <c r="CE1700" t="b">
        <v>0</v>
      </c>
      <c r="CF1700" t="b">
        <v>0</v>
      </c>
      <c r="CG1700">
        <v>15488486</v>
      </c>
      <c r="CH1700" t="s">
        <v>1666</v>
      </c>
      <c r="CI1700" s="10">
        <v>185000</v>
      </c>
    </row>
    <row r="1701" spans="1:90">
      <c r="A1701">
        <v>28028842</v>
      </c>
      <c r="B1701" s="2" t="str">
        <f>HYPERLINK("http://www.redfin.com/stingray/do/printable-listing?listing-id=1489202","Active")</f>
        <v>Active</v>
      </c>
      <c r="D1701" t="s">
        <v>369</v>
      </c>
      <c r="E1701" t="s">
        <v>5834</v>
      </c>
      <c r="F1701">
        <v>900000</v>
      </c>
      <c r="G1701">
        <v>1955</v>
      </c>
      <c r="H1701">
        <v>2700</v>
      </c>
      <c r="I1701">
        <v>20038</v>
      </c>
      <c r="J1701">
        <v>4</v>
      </c>
      <c r="K1701">
        <v>1.75</v>
      </c>
      <c r="M1701" s="2" t="str">
        <f>HYPERLINK("http://maps.live.com/default.aspx?v=2&amp;lvl=15&amp;sp=Point.47.558489_-122.142184_14810 SE 50th St&amp;cp=47.558489~-122.142184","Map")</f>
        <v>Map</v>
      </c>
      <c r="N1701" s="2" t="str">
        <f>HYPERLINK("http://i-0.rfimg.us/photo/1/bigphoto/842/28028842_2.jpg","Photo")</f>
        <v>Photo</v>
      </c>
      <c r="AG1701">
        <v>47.558489000000002</v>
      </c>
      <c r="AH1701">
        <v>-122.142184</v>
      </c>
      <c r="AI1701" t="s">
        <v>369</v>
      </c>
      <c r="AJ1701">
        <v>98006</v>
      </c>
      <c r="BC1701" s="22">
        <v>39496.463703703703</v>
      </c>
      <c r="BI1701" s="22">
        <v>39549.294907407406</v>
      </c>
      <c r="BL1701">
        <v>18000</v>
      </c>
      <c r="BM1701">
        <v>1489202</v>
      </c>
      <c r="BN1701" t="s">
        <v>1768</v>
      </c>
      <c r="BO1701" s="17">
        <f t="shared" ca="1" si="26"/>
        <v>52.845702199076186</v>
      </c>
      <c r="BP1701" t="b">
        <v>0</v>
      </c>
      <c r="BQ1701">
        <v>1</v>
      </c>
      <c r="BR1701" t="s">
        <v>1686</v>
      </c>
      <c r="BS1701" t="s">
        <v>2638</v>
      </c>
      <c r="BT1701" t="b">
        <v>0</v>
      </c>
      <c r="BU1701" t="s">
        <v>3856</v>
      </c>
      <c r="BV1701" t="s">
        <v>1668</v>
      </c>
      <c r="BW1701">
        <v>14810</v>
      </c>
      <c r="BY1701">
        <v>237070</v>
      </c>
      <c r="BZ1701" t="s">
        <v>2641</v>
      </c>
      <c r="CA1701">
        <v>1</v>
      </c>
      <c r="CB1701" t="b">
        <v>1</v>
      </c>
      <c r="CC1701">
        <v>0</v>
      </c>
      <c r="CD1701" t="b">
        <v>0</v>
      </c>
      <c r="CE1701" t="b">
        <v>0</v>
      </c>
      <c r="CF1701" t="b">
        <v>0</v>
      </c>
      <c r="CG1701">
        <v>2507531</v>
      </c>
      <c r="CH1701" t="s">
        <v>1681</v>
      </c>
      <c r="CI1701" s="10">
        <v>900000</v>
      </c>
    </row>
    <row r="1702" spans="1:90">
      <c r="A1702">
        <v>28028852</v>
      </c>
      <c r="B1702" s="2" t="str">
        <f>HYPERLINK("http://www.redfin.com/stingray/do/printable-listing?listing-id=1492028","Active")</f>
        <v>Active</v>
      </c>
      <c r="D1702" t="s">
        <v>3704</v>
      </c>
      <c r="E1702" t="s">
        <v>3782</v>
      </c>
      <c r="F1702">
        <v>999000</v>
      </c>
      <c r="G1702">
        <v>1932</v>
      </c>
      <c r="H1702">
        <v>2790</v>
      </c>
      <c r="I1702">
        <v>4000</v>
      </c>
      <c r="J1702">
        <v>3</v>
      </c>
      <c r="K1702">
        <v>2</v>
      </c>
      <c r="M1702" s="2" t="str">
        <f>HYPERLINK("http://maps.live.com/default.aspx?v=2&amp;lvl=15&amp;sp=Point.47.63825_-122.322086_1980 Harvard Ave E&amp;cp=47.63825~-122.322086","Map")</f>
        <v>Map</v>
      </c>
      <c r="N1702" s="2" t="str">
        <f>HYPERLINK("http://i-0.rfimg.us/photo/1/bigphoto/852/28028852_3.jpg","Photo")</f>
        <v>Photo</v>
      </c>
      <c r="AG1702">
        <v>47.638249999999999</v>
      </c>
      <c r="AH1702">
        <v>-122.322086</v>
      </c>
      <c r="AI1702" t="s">
        <v>66</v>
      </c>
      <c r="AJ1702">
        <v>98102</v>
      </c>
      <c r="AN1702">
        <v>727500</v>
      </c>
      <c r="BC1702" s="22">
        <v>39497.59034722222</v>
      </c>
      <c r="BI1702" s="22">
        <v>39549.294907407406</v>
      </c>
      <c r="BL1702">
        <v>19980</v>
      </c>
      <c r="BM1702">
        <v>1492028</v>
      </c>
      <c r="BN1702" t="s">
        <v>1798</v>
      </c>
      <c r="BO1702" s="17">
        <f t="shared" ca="1" si="26"/>
        <v>51.719058680559101</v>
      </c>
      <c r="BP1702" t="b">
        <v>0</v>
      </c>
      <c r="BQ1702">
        <v>1</v>
      </c>
      <c r="BR1702" t="s">
        <v>1667</v>
      </c>
      <c r="BS1702" t="s">
        <v>3737</v>
      </c>
      <c r="BT1702" t="b">
        <v>0</v>
      </c>
      <c r="BV1702" t="s">
        <v>1668</v>
      </c>
      <c r="BW1702">
        <v>1980</v>
      </c>
      <c r="BX1702" t="s">
        <v>2436</v>
      </c>
      <c r="BY1702">
        <v>135855</v>
      </c>
      <c r="BZ1702" t="s">
        <v>3783</v>
      </c>
      <c r="CA1702">
        <v>1</v>
      </c>
      <c r="CB1702" t="b">
        <v>1</v>
      </c>
      <c r="CC1702">
        <v>0</v>
      </c>
      <c r="CD1702" t="b">
        <v>0</v>
      </c>
      <c r="CE1702" t="b">
        <v>0</v>
      </c>
      <c r="CF1702" t="b">
        <v>0</v>
      </c>
      <c r="CG1702">
        <v>2728017</v>
      </c>
      <c r="CH1702" t="s">
        <v>1681</v>
      </c>
      <c r="CI1702" s="10">
        <v>999000</v>
      </c>
      <c r="CJ1702" s="7">
        <v>39006</v>
      </c>
    </row>
    <row r="1703" spans="1:90">
      <c r="A1703">
        <v>28028861</v>
      </c>
      <c r="B1703" s="2" t="str">
        <f>HYPERLINK("http://www.redfin.com/stingray/do/printable-listing?listing-id=1489205","Active")</f>
        <v>Active</v>
      </c>
      <c r="D1703" t="s">
        <v>2552</v>
      </c>
      <c r="E1703" t="s">
        <v>3392</v>
      </c>
      <c r="F1703" s="19">
        <v>619880</v>
      </c>
      <c r="G1703">
        <v>1927</v>
      </c>
      <c r="H1703">
        <v>1580</v>
      </c>
      <c r="I1703">
        <v>5000</v>
      </c>
      <c r="J1703">
        <v>3</v>
      </c>
      <c r="K1703">
        <v>2</v>
      </c>
      <c r="M1703" s="2" t="str">
        <f>HYPERLINK("http://maps.live.com/default.aspx?v=2&amp;lvl=15&amp;sp=Point.47.635684_-122.394874_2911 W Howe St&amp;cp=47.635684~-122.394874","Map")</f>
        <v>Map</v>
      </c>
      <c r="N1703" s="2" t="str">
        <f>HYPERLINK("http://i-0.rfimg.us/photo/1/bigphoto/861/28028861_0.jpg","Photo")</f>
        <v>Photo</v>
      </c>
      <c r="AG1703">
        <v>47.635683999999998</v>
      </c>
      <c r="AH1703">
        <v>-122.394874</v>
      </c>
      <c r="AI1703" t="s">
        <v>66</v>
      </c>
      <c r="AJ1703">
        <v>98199</v>
      </c>
      <c r="AN1703">
        <v>501500</v>
      </c>
      <c r="BC1703" s="22">
        <v>39496.463726851849</v>
      </c>
      <c r="BI1703" s="22">
        <v>39549.294907407406</v>
      </c>
      <c r="BL1703">
        <v>13195</v>
      </c>
      <c r="BM1703">
        <v>1489205</v>
      </c>
      <c r="BN1703" t="s">
        <v>1862</v>
      </c>
      <c r="BO1703" s="17">
        <f t="shared" ca="1" si="26"/>
        <v>52.845679050929903</v>
      </c>
      <c r="BP1703" t="b">
        <v>0</v>
      </c>
      <c r="BQ1703">
        <v>1</v>
      </c>
      <c r="BR1703" t="s">
        <v>1686</v>
      </c>
      <c r="BS1703" t="s">
        <v>3343</v>
      </c>
      <c r="BT1703" t="b">
        <v>0</v>
      </c>
      <c r="BU1703" t="s">
        <v>2423</v>
      </c>
      <c r="BV1703" t="s">
        <v>1668</v>
      </c>
      <c r="BW1703">
        <v>2911</v>
      </c>
      <c r="BY1703">
        <v>126388</v>
      </c>
      <c r="BZ1703" t="s">
        <v>1672</v>
      </c>
      <c r="CA1703">
        <v>1</v>
      </c>
      <c r="CB1703" t="b">
        <v>1</v>
      </c>
      <c r="CC1703">
        <v>0</v>
      </c>
      <c r="CD1703" t="b">
        <v>0</v>
      </c>
      <c r="CE1703" t="b">
        <v>0</v>
      </c>
      <c r="CF1703" t="b">
        <v>0</v>
      </c>
      <c r="CG1703">
        <v>2364205</v>
      </c>
      <c r="CH1703" t="s">
        <v>1681</v>
      </c>
      <c r="CI1703" s="10">
        <v>659740</v>
      </c>
      <c r="CJ1703" s="7">
        <v>39080</v>
      </c>
    </row>
    <row r="1704" spans="1:90">
      <c r="A1704">
        <v>28029021</v>
      </c>
      <c r="B1704" s="2" t="str">
        <f>HYPERLINK("http://www.redfin.com/stingray/do/printable-listing?listing-id=1490119","Active")</f>
        <v>Active</v>
      </c>
      <c r="D1704" t="s">
        <v>2552</v>
      </c>
      <c r="E1704" t="s">
        <v>3474</v>
      </c>
      <c r="F1704" s="19">
        <v>635000</v>
      </c>
      <c r="G1704">
        <v>1948</v>
      </c>
      <c r="H1704">
        <v>0</v>
      </c>
      <c r="I1704">
        <v>4800</v>
      </c>
      <c r="J1704">
        <v>3</v>
      </c>
      <c r="K1704">
        <v>2</v>
      </c>
      <c r="M1704" s="2" t="str">
        <f>HYPERLINK("http://maps.live.com/default.aspx?v=2&amp;lvl=15&amp;sp=Point.47.657112_-122.397308_4041 31st Ave W&amp;cp=47.657112~-122.397308","Map")</f>
        <v>Map</v>
      </c>
      <c r="N1704" s="2" t="str">
        <f>HYPERLINK("http://i-0.rfimg.us/photo/1/bigphoto/021/28029021_0.jpg","Photo")</f>
        <v>Photo</v>
      </c>
      <c r="AG1704">
        <v>47.657111999999998</v>
      </c>
      <c r="AH1704">
        <v>-122.397308</v>
      </c>
      <c r="AI1704" t="s">
        <v>66</v>
      </c>
      <c r="AJ1704">
        <v>98199</v>
      </c>
      <c r="AN1704">
        <v>420000</v>
      </c>
      <c r="BC1704" s="22">
        <v>39496.776782407411</v>
      </c>
      <c r="BI1704" s="22">
        <v>39549.294907407406</v>
      </c>
      <c r="BL1704">
        <v>12980</v>
      </c>
      <c r="BM1704">
        <v>1490119</v>
      </c>
      <c r="BN1704" t="s">
        <v>1680</v>
      </c>
      <c r="BO1704" s="17">
        <f t="shared" ca="1" si="26"/>
        <v>52.532623495368171</v>
      </c>
      <c r="BP1704" t="b">
        <v>0</v>
      </c>
      <c r="BQ1704">
        <v>1</v>
      </c>
      <c r="BR1704" t="s">
        <v>1667</v>
      </c>
      <c r="BS1704" t="s">
        <v>1732</v>
      </c>
      <c r="BT1704" t="b">
        <v>0</v>
      </c>
      <c r="BV1704" t="s">
        <v>1668</v>
      </c>
      <c r="BW1704">
        <v>4041</v>
      </c>
      <c r="BX1704" t="s">
        <v>2423</v>
      </c>
      <c r="BY1704">
        <v>127104</v>
      </c>
      <c r="BZ1704" t="s">
        <v>1713</v>
      </c>
      <c r="CA1704">
        <v>1</v>
      </c>
      <c r="CB1704" t="b">
        <v>1</v>
      </c>
      <c r="CC1704">
        <v>0</v>
      </c>
      <c r="CD1704" t="b">
        <v>0</v>
      </c>
      <c r="CE1704" t="b">
        <v>0</v>
      </c>
      <c r="CF1704" t="b">
        <v>0</v>
      </c>
      <c r="CG1704">
        <v>2474532</v>
      </c>
      <c r="CH1704" t="s">
        <v>1681</v>
      </c>
      <c r="CI1704" s="10">
        <v>649000</v>
      </c>
      <c r="CJ1704" s="7">
        <v>39296</v>
      </c>
    </row>
    <row r="1705" spans="1:90">
      <c r="A1705">
        <v>28029045</v>
      </c>
      <c r="B1705" s="2" t="str">
        <f>HYPERLINK("http://www.redfin.com/stingray/do/printable-listing?listing-id=1491210","Active")</f>
        <v>Active</v>
      </c>
      <c r="D1705" t="s">
        <v>5281</v>
      </c>
      <c r="E1705" t="s">
        <v>5747</v>
      </c>
      <c r="F1705" s="19">
        <v>1039000</v>
      </c>
      <c r="G1705">
        <v>1977</v>
      </c>
      <c r="H1705">
        <v>2750</v>
      </c>
      <c r="I1705">
        <v>8800</v>
      </c>
      <c r="J1705">
        <v>5</v>
      </c>
      <c r="K1705">
        <v>2.5</v>
      </c>
      <c r="M1705" s="2" t="str">
        <f>HYPERLINK("http://maps.live.com/default.aspx?v=2&amp;lvl=15&amp;sp=Point.47.565425_-122.082644_4431 193 Ave SE&amp;cp=47.565425~-122.082644","Map")</f>
        <v>Map</v>
      </c>
      <c r="N1705" s="2" t="str">
        <f>HYPERLINK("http://i-0.rfimg.us/photo/1/bigphoto/045/28029045_1.jpg","Photo")</f>
        <v>Photo</v>
      </c>
      <c r="AG1705">
        <v>47.565424999999998</v>
      </c>
      <c r="AH1705">
        <v>-122.082644</v>
      </c>
      <c r="AI1705" t="s">
        <v>5280</v>
      </c>
      <c r="AJ1705">
        <v>98027</v>
      </c>
      <c r="AN1705">
        <v>405000</v>
      </c>
      <c r="BC1705" s="22">
        <v>39497.389930555553</v>
      </c>
      <c r="BI1705" s="22">
        <v>39549.294907407406</v>
      </c>
      <c r="BL1705">
        <v>21380</v>
      </c>
      <c r="BM1705">
        <v>1491210</v>
      </c>
      <c r="BN1705" t="s">
        <v>1674</v>
      </c>
      <c r="BO1705" s="17">
        <f t="shared" ca="1" si="26"/>
        <v>51.919475347225671</v>
      </c>
      <c r="BP1705" t="b">
        <v>0</v>
      </c>
      <c r="BQ1705">
        <v>1</v>
      </c>
      <c r="BR1705" t="s">
        <v>1667</v>
      </c>
      <c r="BS1705">
        <v>193</v>
      </c>
      <c r="BT1705" t="b">
        <v>0</v>
      </c>
      <c r="BV1705" t="s">
        <v>1668</v>
      </c>
      <c r="BW1705">
        <v>4431</v>
      </c>
      <c r="BX1705" t="s">
        <v>3856</v>
      </c>
      <c r="BY1705">
        <v>325991</v>
      </c>
      <c r="BZ1705" t="s">
        <v>1704</v>
      </c>
      <c r="CA1705">
        <v>1</v>
      </c>
      <c r="CB1705" t="b">
        <v>1</v>
      </c>
      <c r="CC1705">
        <v>0</v>
      </c>
      <c r="CD1705" t="b">
        <v>0</v>
      </c>
      <c r="CE1705" t="b">
        <v>0</v>
      </c>
      <c r="CF1705" t="b">
        <v>0</v>
      </c>
      <c r="CG1705">
        <v>2853069</v>
      </c>
      <c r="CH1705" t="s">
        <v>1681</v>
      </c>
      <c r="CI1705" s="10">
        <v>1069000</v>
      </c>
      <c r="CJ1705" s="7">
        <v>35964</v>
      </c>
    </row>
    <row r="1706" spans="1:90">
      <c r="A1706">
        <v>28029103</v>
      </c>
      <c r="B1706" s="2" t="str">
        <f>HYPERLINK("http://www.redfin.com/stingray/do/printable-listing?listing-id=1489958","Active")</f>
        <v>Active</v>
      </c>
      <c r="D1706" t="s">
        <v>2552</v>
      </c>
      <c r="E1706" t="s">
        <v>3495</v>
      </c>
      <c r="F1706">
        <v>469500</v>
      </c>
      <c r="G1706">
        <v>1948</v>
      </c>
      <c r="H1706">
        <v>1680</v>
      </c>
      <c r="I1706">
        <v>4800</v>
      </c>
      <c r="J1706">
        <v>3</v>
      </c>
      <c r="K1706">
        <v>1.75</v>
      </c>
      <c r="M1706" s="2" t="str">
        <f>HYPERLINK("http://maps.live.com/default.aspx?v=2&amp;lvl=15&amp;sp=Point.47.655549_-122.396028_3849 30th Ave W&amp;cp=47.655549~-122.396028","Map")</f>
        <v>Map</v>
      </c>
      <c r="N1706" s="2" t="str">
        <f>HYPERLINK("http://i-0.rfimg.us/photo/1/bigphoto/103/28029103_0.jpg","Photo")</f>
        <v>Photo</v>
      </c>
      <c r="AG1706">
        <v>47.655549000000001</v>
      </c>
      <c r="AH1706">
        <v>-122.396028</v>
      </c>
      <c r="AI1706" t="s">
        <v>66</v>
      </c>
      <c r="AJ1706">
        <v>98199</v>
      </c>
      <c r="AN1706">
        <v>194200</v>
      </c>
      <c r="BC1706" s="22">
        <v>39496.682314814818</v>
      </c>
      <c r="BI1706" s="7">
        <v>39538</v>
      </c>
      <c r="BL1706">
        <v>9390</v>
      </c>
      <c r="BM1706">
        <v>1489958</v>
      </c>
      <c r="BN1706" t="s">
        <v>1718</v>
      </c>
      <c r="BO1706" s="17">
        <f t="shared" ca="1" si="26"/>
        <v>52.627091087961162</v>
      </c>
      <c r="BP1706" t="b">
        <v>0</v>
      </c>
      <c r="BQ1706">
        <v>1</v>
      </c>
      <c r="BR1706" t="s">
        <v>1667</v>
      </c>
      <c r="BS1706" t="s">
        <v>1818</v>
      </c>
      <c r="BT1706" t="b">
        <v>0</v>
      </c>
      <c r="BV1706" t="s">
        <v>1668</v>
      </c>
      <c r="BW1706">
        <v>3849</v>
      </c>
      <c r="BX1706" t="s">
        <v>2423</v>
      </c>
      <c r="BY1706">
        <v>128459</v>
      </c>
      <c r="BZ1706" t="s">
        <v>1672</v>
      </c>
      <c r="CA1706">
        <v>1</v>
      </c>
      <c r="CB1706" t="b">
        <v>1</v>
      </c>
      <c r="CC1706">
        <v>0</v>
      </c>
      <c r="CD1706" t="b">
        <v>0</v>
      </c>
      <c r="CE1706" t="b">
        <v>0</v>
      </c>
      <c r="CF1706" t="b">
        <v>0</v>
      </c>
      <c r="CG1706">
        <v>2405721</v>
      </c>
      <c r="CH1706" t="s">
        <v>1681</v>
      </c>
      <c r="CI1706" s="10">
        <v>469500</v>
      </c>
      <c r="CJ1706" s="7">
        <v>36119</v>
      </c>
    </row>
    <row r="1707" spans="1:90">
      <c r="A1707">
        <v>28029131</v>
      </c>
      <c r="B1707" s="2" t="str">
        <f>HYPERLINK("http://www.redfin.com/stingray/do/printable-listing?listing-id=1519960","Active")</f>
        <v>Active</v>
      </c>
      <c r="D1707" t="s">
        <v>3066</v>
      </c>
      <c r="E1707" t="s">
        <v>4757</v>
      </c>
      <c r="F1707" s="19">
        <v>489987</v>
      </c>
      <c r="G1707">
        <v>1963</v>
      </c>
      <c r="H1707">
        <v>2070</v>
      </c>
      <c r="I1707">
        <v>7474</v>
      </c>
      <c r="J1707">
        <v>4</v>
      </c>
      <c r="K1707">
        <v>1.75</v>
      </c>
      <c r="M1707" s="2" t="str">
        <f>HYPERLINK("http://maps.live.com/default.aspx?v=2&amp;lvl=15&amp;sp=Point.47.671718_-122.156624_13760 NE 74th St&amp;cp=47.671718~-122.156624","Map")</f>
        <v>Map</v>
      </c>
      <c r="N1707" s="2" t="str">
        <f>HYPERLINK("http://i-0.rfimg.us/photo/1/bigphoto/131/28029131_4.jpg","Photo")</f>
        <v>Photo</v>
      </c>
      <c r="AG1707">
        <v>47.671717999999998</v>
      </c>
      <c r="AH1707">
        <v>-122.15662399999999</v>
      </c>
      <c r="AI1707" t="s">
        <v>4363</v>
      </c>
      <c r="AJ1707">
        <v>98052</v>
      </c>
      <c r="AN1707">
        <v>349578</v>
      </c>
      <c r="BC1707" s="22">
        <v>39507.65730324074</v>
      </c>
      <c r="BI1707" s="22">
        <v>39549.294907407406</v>
      </c>
      <c r="BL1707">
        <v>9999</v>
      </c>
      <c r="BM1707">
        <v>1519960</v>
      </c>
      <c r="BN1707" t="s">
        <v>4392</v>
      </c>
      <c r="BO1707" s="17">
        <f t="shared" ca="1" si="26"/>
        <v>41.652102662039397</v>
      </c>
      <c r="BP1707" t="b">
        <v>0</v>
      </c>
      <c r="BQ1707">
        <v>1</v>
      </c>
      <c r="BR1707" t="s">
        <v>1686</v>
      </c>
      <c r="BS1707" t="s">
        <v>1795</v>
      </c>
      <c r="BT1707" t="b">
        <v>0</v>
      </c>
      <c r="BU1707" t="s">
        <v>1738</v>
      </c>
      <c r="BV1707" t="s">
        <v>1668</v>
      </c>
      <c r="BW1707">
        <v>13760</v>
      </c>
      <c r="BY1707">
        <v>514272</v>
      </c>
      <c r="BZ1707" t="s">
        <v>1918</v>
      </c>
      <c r="CA1707">
        <v>1</v>
      </c>
      <c r="CB1707" t="b">
        <v>1</v>
      </c>
      <c r="CC1707">
        <v>0</v>
      </c>
      <c r="CD1707" t="b">
        <v>0</v>
      </c>
      <c r="CE1707" t="b">
        <v>0</v>
      </c>
      <c r="CF1707" t="b">
        <v>0</v>
      </c>
      <c r="CG1707">
        <v>2992532</v>
      </c>
      <c r="CH1707" t="s">
        <v>1681</v>
      </c>
      <c r="CI1707" s="10">
        <v>499950</v>
      </c>
      <c r="CJ1707" s="7">
        <v>38503</v>
      </c>
    </row>
    <row r="1708" spans="1:90">
      <c r="A1708">
        <v>28029170</v>
      </c>
      <c r="B1708" s="2" t="str">
        <f>HYPERLINK("http://www.redfin.com/stingray/do/printable-listing?listing-id=1490159","Active")</f>
        <v>Active</v>
      </c>
      <c r="D1708" t="s">
        <v>3885</v>
      </c>
      <c r="E1708" t="s">
        <v>5933</v>
      </c>
      <c r="F1708" s="19">
        <v>840000</v>
      </c>
      <c r="G1708">
        <v>2006</v>
      </c>
      <c r="H1708">
        <v>3510</v>
      </c>
      <c r="I1708">
        <v>6265</v>
      </c>
      <c r="J1708">
        <v>4</v>
      </c>
      <c r="K1708">
        <v>2.5</v>
      </c>
      <c r="M1708" s="2" t="str">
        <f>HYPERLINK("http://maps.live.com/default.aspx?v=2&amp;lvl=15&amp;sp=Point.47.524271_-122.156196_8604 138th Ave SE&amp;cp=47.524271~-122.156196","Map")</f>
        <v>Map</v>
      </c>
      <c r="N1708" s="2" t="str">
        <f>HYPERLINK("http://i-0.rfimg.us/photo/1/bigphoto/170/28029170_2.jpg","Photo")</f>
        <v>Photo</v>
      </c>
      <c r="AG1708">
        <v>47.524270999999999</v>
      </c>
      <c r="AH1708">
        <v>-122.15619599999999</v>
      </c>
      <c r="AI1708" t="s">
        <v>3885</v>
      </c>
      <c r="AJ1708">
        <v>98059</v>
      </c>
      <c r="AN1708">
        <v>816242</v>
      </c>
      <c r="BC1708" s="22">
        <v>39496.798009259262</v>
      </c>
      <c r="BI1708" s="22">
        <v>39549.294907407406</v>
      </c>
      <c r="BL1708">
        <v>17000</v>
      </c>
      <c r="BM1708">
        <v>1490159</v>
      </c>
      <c r="BN1708" t="s">
        <v>1768</v>
      </c>
      <c r="BO1708" s="17">
        <f t="shared" ca="1" si="26"/>
        <v>52.511396643516491</v>
      </c>
      <c r="BP1708" t="b">
        <v>0</v>
      </c>
      <c r="BQ1708">
        <v>1</v>
      </c>
      <c r="BR1708" t="s">
        <v>1667</v>
      </c>
      <c r="BS1708" t="s">
        <v>4421</v>
      </c>
      <c r="BT1708" t="b">
        <v>0</v>
      </c>
      <c r="BV1708" t="s">
        <v>1668</v>
      </c>
      <c r="BW1708">
        <v>8604</v>
      </c>
      <c r="BX1708" t="s">
        <v>3856</v>
      </c>
      <c r="BY1708">
        <v>8188117</v>
      </c>
      <c r="BZ1708" t="s">
        <v>2577</v>
      </c>
      <c r="CA1708">
        <v>1</v>
      </c>
      <c r="CB1708" t="b">
        <v>1</v>
      </c>
      <c r="CC1708">
        <v>0</v>
      </c>
      <c r="CD1708" t="b">
        <v>0</v>
      </c>
      <c r="CE1708" t="b">
        <v>0</v>
      </c>
      <c r="CF1708" t="b">
        <v>0</v>
      </c>
      <c r="CG1708">
        <v>2950490</v>
      </c>
      <c r="CH1708" t="s">
        <v>1681</v>
      </c>
      <c r="CI1708" s="10">
        <v>850000</v>
      </c>
      <c r="CJ1708" s="7">
        <v>38946</v>
      </c>
    </row>
    <row r="1709" spans="1:90">
      <c r="A1709">
        <v>28029196</v>
      </c>
      <c r="B1709" s="2" t="str">
        <f>HYPERLINK("http://www.redfin.com/stingray/do/printable-listing?listing-id=1491269","Active")</f>
        <v>Active</v>
      </c>
      <c r="D1709" t="s">
        <v>3885</v>
      </c>
      <c r="E1709" t="s">
        <v>5930</v>
      </c>
      <c r="F1709">
        <v>845950</v>
      </c>
      <c r="G1709">
        <v>2008</v>
      </c>
      <c r="H1709">
        <v>3367</v>
      </c>
      <c r="I1709">
        <v>11086</v>
      </c>
      <c r="J1709">
        <v>5</v>
      </c>
      <c r="K1709">
        <v>3</v>
      </c>
      <c r="M1709" s="2" t="str">
        <f>HYPERLINK("http://maps.live.com/default.aspx?v=2&amp;lvl=15&amp;sp=Point.47.5221_-122.1566_8923 138th Ave SE&amp;cp=47.5221~-122.1566","Map")</f>
        <v>Map</v>
      </c>
      <c r="N1709" s="2" t="str">
        <f>HYPERLINK("http://i-0.rfimg.us/photo/1/bigphoto/196/28029196_0.jpg","Photo")</f>
        <v>Photo</v>
      </c>
      <c r="AG1709">
        <v>47.522100000000002</v>
      </c>
      <c r="AH1709">
        <v>-122.1566</v>
      </c>
      <c r="AI1709" t="s">
        <v>3885</v>
      </c>
      <c r="AJ1709">
        <v>98059</v>
      </c>
      <c r="BC1709" s="22">
        <v>39497.410601851851</v>
      </c>
      <c r="BI1709" s="22">
        <v>39547.913935185185</v>
      </c>
      <c r="BL1709">
        <v>16919</v>
      </c>
      <c r="BM1709">
        <v>1491269</v>
      </c>
      <c r="BN1709" t="s">
        <v>3883</v>
      </c>
      <c r="BO1709" s="17">
        <f t="shared" ca="1" si="26"/>
        <v>51.898804050928447</v>
      </c>
      <c r="BP1709" t="b">
        <v>0</v>
      </c>
      <c r="BQ1709">
        <v>1</v>
      </c>
      <c r="BR1709" t="s">
        <v>1667</v>
      </c>
      <c r="BS1709" t="s">
        <v>4421</v>
      </c>
      <c r="BT1709" t="b">
        <v>0</v>
      </c>
      <c r="BV1709" t="s">
        <v>1668</v>
      </c>
      <c r="BW1709">
        <v>8923</v>
      </c>
      <c r="BX1709" t="s">
        <v>3856</v>
      </c>
      <c r="BY1709">
        <v>12416443</v>
      </c>
      <c r="BZ1709" s="21">
        <v>0</v>
      </c>
      <c r="CA1709">
        <v>1</v>
      </c>
      <c r="CB1709" t="b">
        <v>1</v>
      </c>
      <c r="CC1709">
        <v>0</v>
      </c>
      <c r="CD1709" t="b">
        <v>0</v>
      </c>
      <c r="CE1709" t="b">
        <v>0</v>
      </c>
      <c r="CF1709" t="b">
        <v>0</v>
      </c>
      <c r="CG1709">
        <v>15620191</v>
      </c>
      <c r="CH1709" t="s">
        <v>1681</v>
      </c>
      <c r="CI1709" s="10">
        <v>845950</v>
      </c>
    </row>
    <row r="1710" spans="1:90">
      <c r="A1710">
        <v>28029207</v>
      </c>
      <c r="B1710" s="2" t="str">
        <f>HYPERLINK("http://www.redfin.com/stingray/do/printable-listing?listing-id=1491616","Active")</f>
        <v>Active</v>
      </c>
      <c r="D1710" t="s">
        <v>3704</v>
      </c>
      <c r="E1710" t="s">
        <v>4187</v>
      </c>
      <c r="F1710">
        <v>1595000</v>
      </c>
      <c r="G1710">
        <v>2007</v>
      </c>
      <c r="H1710">
        <v>3140</v>
      </c>
      <c r="I1710">
        <v>4000</v>
      </c>
      <c r="J1710">
        <v>4</v>
      </c>
      <c r="K1710">
        <v>3.25</v>
      </c>
      <c r="M1710" s="2" t="str">
        <f>HYPERLINK("http://maps.live.com/default.aspx?v=2&amp;lvl=15&amp;sp=Point.47.627618_-122.319465_925 Federal Ave E&amp;cp=47.627618~-122.319465","Map")</f>
        <v>Map</v>
      </c>
      <c r="N1710" s="2" t="str">
        <f>HYPERLINK("http://i-0.rfimg.us/photo/1/bigphoto/207/28029207_3.jpg","Photo")</f>
        <v>Photo</v>
      </c>
      <c r="AG1710">
        <v>47.627617999999998</v>
      </c>
      <c r="AH1710">
        <v>-122.31946499999999</v>
      </c>
      <c r="AI1710" t="s">
        <v>66</v>
      </c>
      <c r="AJ1710">
        <v>98102</v>
      </c>
      <c r="AN1710">
        <v>805000</v>
      </c>
      <c r="BC1710" s="22">
        <v>39497.49559027778</v>
      </c>
      <c r="BI1710" s="22">
        <v>39549.294907407406</v>
      </c>
      <c r="BL1710">
        <v>31900</v>
      </c>
      <c r="BM1710">
        <v>1491616</v>
      </c>
      <c r="BN1710" t="s">
        <v>4186</v>
      </c>
      <c r="BO1710" s="17">
        <f t="shared" ca="1" si="26"/>
        <v>51.813815624998824</v>
      </c>
      <c r="BP1710" t="b">
        <v>0</v>
      </c>
      <c r="BQ1710">
        <v>1</v>
      </c>
      <c r="BR1710" t="s">
        <v>1667</v>
      </c>
      <c r="BS1710" t="s">
        <v>3724</v>
      </c>
      <c r="BT1710" t="b">
        <v>0</v>
      </c>
      <c r="BV1710" t="s">
        <v>1668</v>
      </c>
      <c r="BW1710">
        <v>925</v>
      </c>
      <c r="BX1710" t="s">
        <v>2436</v>
      </c>
      <c r="BY1710">
        <v>136547</v>
      </c>
      <c r="BZ1710" t="s">
        <v>4188</v>
      </c>
      <c r="CA1710">
        <v>1</v>
      </c>
      <c r="CB1710" t="b">
        <v>1</v>
      </c>
      <c r="CC1710">
        <v>0</v>
      </c>
      <c r="CD1710" t="b">
        <v>0</v>
      </c>
      <c r="CE1710" t="b">
        <v>0</v>
      </c>
      <c r="CF1710" t="b">
        <v>0</v>
      </c>
      <c r="CG1710">
        <v>2623085</v>
      </c>
      <c r="CH1710" t="s">
        <v>1681</v>
      </c>
      <c r="CI1710" s="10">
        <v>1595000</v>
      </c>
      <c r="CJ1710" s="7">
        <v>39218</v>
      </c>
    </row>
    <row r="1711" spans="1:90">
      <c r="A1711">
        <v>28029209</v>
      </c>
      <c r="B1711" s="2" t="str">
        <f>HYPERLINK("http://www.redfin.com/stingray/do/printable-listing?listing-id=1490529","Active")</f>
        <v>Active</v>
      </c>
      <c r="D1711" t="s">
        <v>5490</v>
      </c>
      <c r="E1711" t="s">
        <v>5889</v>
      </c>
      <c r="F1711">
        <v>849900</v>
      </c>
      <c r="G1711">
        <v>1983</v>
      </c>
      <c r="H1711">
        <v>2920</v>
      </c>
      <c r="I1711">
        <v>10366</v>
      </c>
      <c r="J1711">
        <v>3</v>
      </c>
      <c r="K1711">
        <v>2.5</v>
      </c>
      <c r="M1711" s="2" t="str">
        <f>HYPERLINK("http://maps.live.com/default.aspx?v=2&amp;lvl=15&amp;sp=Point.47.560182_-122.108489_4700 173rd Ave SE&amp;cp=47.560182~-122.108489","Map")</f>
        <v>Map</v>
      </c>
      <c r="N1711" s="2" t="str">
        <f>HYPERLINK("http://i-0.rfimg.us/photo/1/bigphoto/209/28029209_3.jpg","Photo")</f>
        <v>Photo</v>
      </c>
      <c r="AG1711">
        <v>47.560181999999998</v>
      </c>
      <c r="AH1711">
        <v>-122.10848900000001</v>
      </c>
      <c r="AI1711" t="s">
        <v>369</v>
      </c>
      <c r="AJ1711">
        <v>98006</v>
      </c>
      <c r="AN1711">
        <v>224000</v>
      </c>
      <c r="BC1711" s="22">
        <v>39496.943009259259</v>
      </c>
      <c r="BI1711" s="22">
        <v>39549.294907407406</v>
      </c>
      <c r="BL1711">
        <v>16998</v>
      </c>
      <c r="BM1711">
        <v>1490529</v>
      </c>
      <c r="BN1711" t="s">
        <v>2945</v>
      </c>
      <c r="BO1711" s="17">
        <f t="shared" ca="1" si="26"/>
        <v>52.366396643519693</v>
      </c>
      <c r="BP1711" t="b">
        <v>0</v>
      </c>
      <c r="BQ1711">
        <v>1</v>
      </c>
      <c r="BR1711" t="s">
        <v>1667</v>
      </c>
      <c r="BS1711" t="s">
        <v>5220</v>
      </c>
      <c r="BT1711" t="b">
        <v>0</v>
      </c>
      <c r="BV1711" t="s">
        <v>1668</v>
      </c>
      <c r="BW1711">
        <v>4700</v>
      </c>
      <c r="BX1711" t="s">
        <v>3856</v>
      </c>
      <c r="BY1711">
        <v>238408</v>
      </c>
      <c r="BZ1711" t="s">
        <v>5890</v>
      </c>
      <c r="CA1711">
        <v>1</v>
      </c>
      <c r="CB1711" t="b">
        <v>1</v>
      </c>
      <c r="CC1711">
        <v>0</v>
      </c>
      <c r="CD1711" t="b">
        <v>0</v>
      </c>
      <c r="CE1711" t="b">
        <v>0</v>
      </c>
      <c r="CF1711" t="b">
        <v>0</v>
      </c>
      <c r="CG1711">
        <v>2877934</v>
      </c>
      <c r="CH1711" t="s">
        <v>1681</v>
      </c>
      <c r="CI1711" s="10">
        <v>849900</v>
      </c>
      <c r="CJ1711" s="7">
        <v>32679</v>
      </c>
      <c r="CL1711" t="s">
        <v>6362</v>
      </c>
    </row>
    <row r="1712" spans="1:90">
      <c r="A1712">
        <v>28029314</v>
      </c>
      <c r="B1712" s="2" t="str">
        <f>HYPERLINK("http://www.redfin.com/stingray/do/printable-listing?listing-id=1494433","Active")</f>
        <v>Active</v>
      </c>
      <c r="D1712" t="s">
        <v>3885</v>
      </c>
      <c r="E1712" t="s">
        <v>3886</v>
      </c>
      <c r="F1712">
        <v>799950</v>
      </c>
      <c r="G1712">
        <v>2008</v>
      </c>
      <c r="H1712">
        <v>3427</v>
      </c>
      <c r="I1712">
        <v>5500</v>
      </c>
      <c r="J1712">
        <v>4</v>
      </c>
      <c r="K1712">
        <v>2.5</v>
      </c>
      <c r="M1712" s="2" t="str">
        <f>HYPERLINK("http://maps.live.com/default.aspx?v=2&amp;lvl=15&amp;sp=adr.13718 SE 90th Pl (Unable to map),98059","Map")</f>
        <v>Map</v>
      </c>
      <c r="N1712" s="2" t="str">
        <f>HYPERLINK("http://i-0.rfimg.us/photo/1/bigphoto/314/28029314_0.jpg","Photo")</f>
        <v>Photo</v>
      </c>
      <c r="AI1712" t="s">
        <v>3885</v>
      </c>
      <c r="AJ1712">
        <v>98059</v>
      </c>
      <c r="BC1712" s="22">
        <v>39498.422083333331</v>
      </c>
      <c r="BI1712" s="22">
        <v>39547.913935185185</v>
      </c>
      <c r="BL1712">
        <v>15999</v>
      </c>
      <c r="BM1712">
        <v>1494433</v>
      </c>
      <c r="BN1712" t="s">
        <v>3883</v>
      </c>
      <c r="BO1712" s="17">
        <f t="shared" ca="1" si="26"/>
        <v>50.887322569447861</v>
      </c>
      <c r="BP1712" t="b">
        <v>0</v>
      </c>
      <c r="BQ1712">
        <v>1</v>
      </c>
      <c r="BR1712" t="s">
        <v>1842</v>
      </c>
      <c r="BS1712" t="s">
        <v>1761</v>
      </c>
      <c r="BT1712" t="b">
        <v>0</v>
      </c>
      <c r="BU1712" t="s">
        <v>3856</v>
      </c>
      <c r="BV1712" t="s">
        <v>1668</v>
      </c>
      <c r="BW1712">
        <v>13718</v>
      </c>
      <c r="BY1712">
        <v>0</v>
      </c>
      <c r="BZ1712" s="21">
        <v>0</v>
      </c>
      <c r="CA1712">
        <v>1</v>
      </c>
      <c r="CB1712" t="b">
        <v>1</v>
      </c>
      <c r="CC1712">
        <v>0</v>
      </c>
      <c r="CD1712" t="b">
        <v>0</v>
      </c>
      <c r="CE1712" t="b">
        <v>0</v>
      </c>
      <c r="CF1712" t="b">
        <v>0</v>
      </c>
      <c r="CG1712" t="s">
        <v>1870</v>
      </c>
      <c r="CH1712" t="s">
        <v>1681</v>
      </c>
      <c r="CI1712" s="10">
        <v>799950</v>
      </c>
    </row>
    <row r="1713" spans="1:90">
      <c r="A1713">
        <v>28029324</v>
      </c>
      <c r="B1713" s="2" t="str">
        <f>HYPERLINK("http://www.redfin.com/stingray/do/printable-listing?listing-id=1491803","Active")</f>
        <v>Active</v>
      </c>
      <c r="D1713" t="s">
        <v>63</v>
      </c>
      <c r="E1713" t="s">
        <v>1371</v>
      </c>
      <c r="F1713">
        <v>495000</v>
      </c>
      <c r="G1713">
        <v>1927</v>
      </c>
      <c r="H1713">
        <v>1760</v>
      </c>
      <c r="I1713">
        <v>4013</v>
      </c>
      <c r="J1713">
        <v>3</v>
      </c>
      <c r="K1713">
        <v>1.75</v>
      </c>
      <c r="M1713" s="2" t="str">
        <f>HYPERLINK("http://maps.live.com/default.aspx?v=2&amp;lvl=15&amp;sp=Point.47.678527_-122.37013_6725 10th Ave NW&amp;cp=47.678527~-122.37013","Map")</f>
        <v>Map</v>
      </c>
      <c r="N1713" s="2" t="str">
        <f>HYPERLINK("http://i-0.rfimg.us/photo/1/bigphoto/324/28029324_0.jpg","Photo")</f>
        <v>Photo</v>
      </c>
      <c r="AG1713">
        <v>47.678527000000003</v>
      </c>
      <c r="AH1713">
        <v>-122.37013</v>
      </c>
      <c r="AI1713" t="s">
        <v>66</v>
      </c>
      <c r="AJ1713">
        <v>98117</v>
      </c>
      <c r="AN1713">
        <v>273000</v>
      </c>
      <c r="BC1713" s="22">
        <v>39497.538252314815</v>
      </c>
      <c r="BI1713" s="7">
        <v>39513</v>
      </c>
      <c r="BL1713">
        <v>9900</v>
      </c>
      <c r="BM1713">
        <v>1491803</v>
      </c>
      <c r="BN1713" t="s">
        <v>1690</v>
      </c>
      <c r="BO1713" s="17">
        <f t="shared" ca="1" si="26"/>
        <v>51.771153703703021</v>
      </c>
      <c r="BP1713" t="b">
        <v>0</v>
      </c>
      <c r="BQ1713">
        <v>1</v>
      </c>
      <c r="BR1713" t="s">
        <v>1667</v>
      </c>
      <c r="BS1713" t="s">
        <v>1788</v>
      </c>
      <c r="BT1713" t="b">
        <v>0</v>
      </c>
      <c r="BV1713" t="s">
        <v>1668</v>
      </c>
      <c r="BW1713">
        <v>6725</v>
      </c>
      <c r="BX1713" t="s">
        <v>1669</v>
      </c>
      <c r="BY1713">
        <v>495453</v>
      </c>
      <c r="BZ1713" t="s">
        <v>1713</v>
      </c>
      <c r="CA1713">
        <v>1</v>
      </c>
      <c r="CB1713" t="b">
        <v>1</v>
      </c>
      <c r="CC1713">
        <v>0</v>
      </c>
      <c r="CD1713" t="b">
        <v>0</v>
      </c>
      <c r="CE1713" t="b">
        <v>0</v>
      </c>
      <c r="CF1713" t="b">
        <v>0</v>
      </c>
      <c r="CG1713">
        <v>2823932</v>
      </c>
      <c r="CH1713" t="s">
        <v>1681</v>
      </c>
      <c r="CI1713" s="10">
        <v>495000</v>
      </c>
      <c r="CJ1713" s="7">
        <v>36959</v>
      </c>
    </row>
    <row r="1714" spans="1:90">
      <c r="A1714">
        <v>28029329</v>
      </c>
      <c r="B1714" s="2" t="str">
        <f>HYPERLINK("http://www.redfin.com/stingray/do/printable-listing?listing-id=1491338","Active")</f>
        <v>Active</v>
      </c>
      <c r="D1714" t="s">
        <v>3885</v>
      </c>
      <c r="E1714" t="s">
        <v>3901</v>
      </c>
      <c r="F1714">
        <v>809950</v>
      </c>
      <c r="G1714">
        <v>2008</v>
      </c>
      <c r="H1714">
        <v>3718</v>
      </c>
      <c r="I1714">
        <v>5500</v>
      </c>
      <c r="J1714">
        <v>5</v>
      </c>
      <c r="K1714">
        <v>3.5</v>
      </c>
      <c r="M1714" s="2" t="str">
        <f>HYPERLINK("http://maps.live.com/default.aspx?v=2&amp;lvl=15&amp;sp=adr.13712 SE 90th Pl (Unable to map),98059","Map")</f>
        <v>Map</v>
      </c>
      <c r="N1714" s="2" t="str">
        <f>HYPERLINK("http://i-0.rfimg.us/photo/1/bigphoto/329/28029329_0.jpg","Photo")</f>
        <v>Photo</v>
      </c>
      <c r="AI1714" t="s">
        <v>3885</v>
      </c>
      <c r="AJ1714">
        <v>98059</v>
      </c>
      <c r="BC1714" s="22">
        <v>39497.431504629632</v>
      </c>
      <c r="BI1714" s="22">
        <v>39547.913935185185</v>
      </c>
      <c r="BL1714">
        <v>16199</v>
      </c>
      <c r="BM1714">
        <v>1491338</v>
      </c>
      <c r="BN1714" t="s">
        <v>3883</v>
      </c>
      <c r="BO1714" s="17">
        <f t="shared" ca="1" si="26"/>
        <v>51.877901273146563</v>
      </c>
      <c r="BP1714" t="b">
        <v>0</v>
      </c>
      <c r="BQ1714">
        <v>1</v>
      </c>
      <c r="BR1714" t="s">
        <v>1842</v>
      </c>
      <c r="BS1714" t="s">
        <v>1761</v>
      </c>
      <c r="BT1714" t="b">
        <v>0</v>
      </c>
      <c r="BU1714" t="s">
        <v>3856</v>
      </c>
      <c r="BV1714" t="s">
        <v>1668</v>
      </c>
      <c r="BW1714">
        <v>13712</v>
      </c>
      <c r="BY1714">
        <v>0</v>
      </c>
      <c r="BZ1714" s="21">
        <v>0</v>
      </c>
      <c r="CA1714">
        <v>1</v>
      </c>
      <c r="CB1714" t="b">
        <v>1</v>
      </c>
      <c r="CC1714">
        <v>0</v>
      </c>
      <c r="CD1714" t="b">
        <v>0</v>
      </c>
      <c r="CE1714" t="b">
        <v>0</v>
      </c>
      <c r="CF1714" t="b">
        <v>0</v>
      </c>
      <c r="CG1714" t="s">
        <v>1870</v>
      </c>
      <c r="CH1714" t="s">
        <v>1681</v>
      </c>
      <c r="CI1714" s="10">
        <v>809950</v>
      </c>
    </row>
    <row r="1715" spans="1:90">
      <c r="A1715">
        <v>28029352</v>
      </c>
      <c r="B1715" s="2" t="str">
        <f>HYPERLINK("http://www.redfin.com/stingray/do/printable-listing?listing-id=1491397","Active")</f>
        <v>Active</v>
      </c>
      <c r="D1715" t="s">
        <v>3885</v>
      </c>
      <c r="E1715" t="s">
        <v>3900</v>
      </c>
      <c r="F1715">
        <v>865950</v>
      </c>
      <c r="G1715">
        <v>2008</v>
      </c>
      <c r="H1715">
        <v>4019</v>
      </c>
      <c r="I1715">
        <v>6660</v>
      </c>
      <c r="J1715">
        <v>6</v>
      </c>
      <c r="K1715">
        <v>4</v>
      </c>
      <c r="M1715" s="2" t="str">
        <f>HYPERLINK("http://maps.live.com/default.aspx?v=2&amp;lvl=15&amp;sp=adr.13709 SE 90th Pl (Unable to map),98059","Map")</f>
        <v>Map</v>
      </c>
      <c r="N1715" s="2" t="str">
        <f>HYPERLINK("http://i-0.rfimg.us/photo/1/bigphoto/352/28029352_6.jpg","Photo")</f>
        <v>Photo</v>
      </c>
      <c r="AI1715" t="s">
        <v>3885</v>
      </c>
      <c r="AJ1715">
        <v>98059</v>
      </c>
      <c r="BC1715" s="22">
        <v>39497.442743055559</v>
      </c>
      <c r="BI1715" s="22">
        <v>39547.913935185185</v>
      </c>
      <c r="BL1715">
        <v>17319</v>
      </c>
      <c r="BM1715">
        <v>1491397</v>
      </c>
      <c r="BN1715" t="s">
        <v>3883</v>
      </c>
      <c r="BO1715" s="17">
        <f t="shared" ca="1" si="26"/>
        <v>51.866662847220141</v>
      </c>
      <c r="BP1715" t="b">
        <v>0</v>
      </c>
      <c r="BQ1715">
        <v>1</v>
      </c>
      <c r="BR1715" t="s">
        <v>1842</v>
      </c>
      <c r="BS1715" t="s">
        <v>1761</v>
      </c>
      <c r="BT1715" t="b">
        <v>0</v>
      </c>
      <c r="BU1715" t="s">
        <v>3856</v>
      </c>
      <c r="BV1715" t="s">
        <v>1668</v>
      </c>
      <c r="BW1715">
        <v>13709</v>
      </c>
      <c r="BY1715">
        <v>0</v>
      </c>
      <c r="BZ1715" s="21">
        <v>6.9444444444444447E-4</v>
      </c>
      <c r="CA1715">
        <v>1</v>
      </c>
      <c r="CB1715" t="b">
        <v>1</v>
      </c>
      <c r="CC1715">
        <v>0</v>
      </c>
      <c r="CD1715" t="b">
        <v>0</v>
      </c>
      <c r="CE1715" t="b">
        <v>0</v>
      </c>
      <c r="CF1715" t="b">
        <v>0</v>
      </c>
      <c r="CG1715" t="s">
        <v>1870</v>
      </c>
      <c r="CH1715" t="s">
        <v>1681</v>
      </c>
      <c r="CI1715" s="10">
        <v>865950</v>
      </c>
    </row>
    <row r="1716" spans="1:90">
      <c r="A1716">
        <v>28029437</v>
      </c>
      <c r="B1716" s="2" t="str">
        <f>HYPERLINK("http://www.redfin.com/stingray/do/printable-listing?listing-id=1491524","Active")</f>
        <v>Active</v>
      </c>
      <c r="D1716" t="s">
        <v>60</v>
      </c>
      <c r="E1716" t="s">
        <v>1353</v>
      </c>
      <c r="F1716" s="19">
        <v>290000</v>
      </c>
      <c r="G1716">
        <v>1947</v>
      </c>
      <c r="H1716">
        <v>840</v>
      </c>
      <c r="I1716">
        <v>5904</v>
      </c>
      <c r="J1716">
        <v>2</v>
      </c>
      <c r="K1716">
        <v>1</v>
      </c>
      <c r="M1716" s="2" t="str">
        <f>HYPERLINK("http://maps.live.com/default.aspx?v=2&amp;lvl=15&amp;sp=Point.47.698772_-122.350277_9535 Fremont Ave N&amp;cp=47.698772~-122.350277","Map")</f>
        <v>Map</v>
      </c>
      <c r="N1716" s="2" t="str">
        <f>HYPERLINK("http://i-0.rfimg.us/photo/1/bigphoto/437/28029437_6.jpg","Photo")</f>
        <v>Photo</v>
      </c>
      <c r="AG1716">
        <v>47.698771999999998</v>
      </c>
      <c r="AH1716">
        <v>-122.35027700000001</v>
      </c>
      <c r="AI1716" t="s">
        <v>66</v>
      </c>
      <c r="AJ1716">
        <v>98103</v>
      </c>
      <c r="AN1716">
        <v>125000</v>
      </c>
      <c r="BC1716" s="22">
        <v>39497.473865740743</v>
      </c>
      <c r="BI1716" s="22">
        <v>39549.294907407406</v>
      </c>
      <c r="BL1716">
        <v>5970</v>
      </c>
      <c r="BM1716">
        <v>1491524</v>
      </c>
      <c r="BN1716" t="s">
        <v>4273</v>
      </c>
      <c r="BO1716" s="17">
        <f t="shared" ca="1" si="26"/>
        <v>51.835540162035613</v>
      </c>
      <c r="BP1716" t="b">
        <v>0</v>
      </c>
      <c r="BQ1716">
        <v>1</v>
      </c>
      <c r="BR1716" t="s">
        <v>1667</v>
      </c>
      <c r="BS1716" t="s">
        <v>100</v>
      </c>
      <c r="BT1716" t="b">
        <v>0</v>
      </c>
      <c r="BV1716" t="s">
        <v>1668</v>
      </c>
      <c r="BW1716">
        <v>9535</v>
      </c>
      <c r="BX1716" t="s">
        <v>1712</v>
      </c>
      <c r="BY1716">
        <v>99835</v>
      </c>
      <c r="BZ1716" s="21">
        <v>6.9444444444444447E-4</v>
      </c>
      <c r="CA1716">
        <v>1</v>
      </c>
      <c r="CB1716" t="b">
        <v>1</v>
      </c>
      <c r="CC1716">
        <v>0</v>
      </c>
      <c r="CD1716" t="b">
        <v>0</v>
      </c>
      <c r="CE1716" t="b">
        <v>0</v>
      </c>
      <c r="CF1716" t="b">
        <v>0</v>
      </c>
      <c r="CG1716">
        <v>2376799</v>
      </c>
      <c r="CH1716" t="s">
        <v>1681</v>
      </c>
      <c r="CI1716" s="10">
        <v>299000</v>
      </c>
      <c r="CJ1716" s="7">
        <v>35149</v>
      </c>
    </row>
    <row r="1717" spans="1:90">
      <c r="A1717">
        <v>28029447</v>
      </c>
      <c r="B1717" s="15" t="str">
        <f>HYPERLINK("http://www.redfin.com/stingray/do/printable-listing?listing-id=1494793","Active")</f>
        <v>Active</v>
      </c>
      <c r="D1717" t="s">
        <v>202</v>
      </c>
      <c r="E1717" t="s">
        <v>1398</v>
      </c>
      <c r="F1717" s="19">
        <v>489000</v>
      </c>
      <c r="G1717">
        <v>1949</v>
      </c>
      <c r="H1717">
        <v>1500</v>
      </c>
      <c r="I1717">
        <v>6030</v>
      </c>
      <c r="J1717">
        <v>3</v>
      </c>
      <c r="K1717">
        <v>1.75</v>
      </c>
      <c r="M1717" s="2" t="str">
        <f>HYPERLINK("http://maps.live.com/default.aspx?v=2&amp;lvl=15&amp;sp=Point.47.710129_-122.307821_11054 19th Ave NE&amp;cp=47.710129~-122.307821","Map")</f>
        <v>Map</v>
      </c>
      <c r="N1717" s="2" t="str">
        <f>HYPERLINK("http://i-0.rfimg.us/photo/1/bigphoto/447/28029447_3.jpg","Photo")</f>
        <v>Photo</v>
      </c>
      <c r="AG1717">
        <v>47.710129000000002</v>
      </c>
      <c r="AH1717">
        <v>-122.307821</v>
      </c>
      <c r="AI1717" t="s">
        <v>66</v>
      </c>
      <c r="AJ1717">
        <v>98125</v>
      </c>
      <c r="AN1717">
        <v>193000</v>
      </c>
      <c r="BC1717" s="22">
        <v>39498.505706018521</v>
      </c>
      <c r="BI1717" s="22">
        <v>39549.294907407406</v>
      </c>
      <c r="BL1717">
        <v>9980</v>
      </c>
      <c r="BM1717">
        <v>1494793</v>
      </c>
      <c r="BN1717" t="s">
        <v>2985</v>
      </c>
      <c r="BO1717" s="17">
        <f t="shared" ca="1" si="26"/>
        <v>50.803699884258094</v>
      </c>
      <c r="BP1717" t="b">
        <v>0</v>
      </c>
      <c r="BQ1717">
        <v>2</v>
      </c>
      <c r="BR1717" t="s">
        <v>1667</v>
      </c>
      <c r="BS1717" t="s">
        <v>1906</v>
      </c>
      <c r="BT1717" t="b">
        <v>0</v>
      </c>
      <c r="BV1717" t="s">
        <v>1668</v>
      </c>
      <c r="BW1717">
        <v>11054</v>
      </c>
      <c r="BX1717" t="s">
        <v>1738</v>
      </c>
      <c r="BY1717">
        <v>116993</v>
      </c>
      <c r="BZ1717" t="s">
        <v>2986</v>
      </c>
      <c r="CA1717">
        <v>1</v>
      </c>
      <c r="CB1717" t="b">
        <v>1</v>
      </c>
      <c r="CC1717">
        <v>0</v>
      </c>
      <c r="CD1717" t="b">
        <v>0</v>
      </c>
      <c r="CE1717" t="b">
        <v>0</v>
      </c>
      <c r="CF1717" t="b">
        <v>0</v>
      </c>
      <c r="CG1717">
        <v>2358404</v>
      </c>
      <c r="CH1717" t="s">
        <v>1681</v>
      </c>
      <c r="CI1717" s="10">
        <v>499000</v>
      </c>
      <c r="CJ1717" s="7">
        <v>36034</v>
      </c>
      <c r="CL1717" t="s">
        <v>6890</v>
      </c>
    </row>
    <row r="1718" spans="1:90">
      <c r="A1718">
        <v>28029487</v>
      </c>
      <c r="B1718" s="2" t="str">
        <f>HYPERLINK("http://www.redfin.com/stingray/do/printable-listing?listing-id=1506618","Active")</f>
        <v>Active</v>
      </c>
      <c r="D1718" t="s">
        <v>369</v>
      </c>
      <c r="E1718" t="s">
        <v>5429</v>
      </c>
      <c r="F1718" s="19">
        <v>499000</v>
      </c>
      <c r="G1718">
        <v>1962</v>
      </c>
      <c r="H1718">
        <v>2040</v>
      </c>
      <c r="I1718">
        <v>10736</v>
      </c>
      <c r="J1718">
        <v>4</v>
      </c>
      <c r="K1718">
        <v>2</v>
      </c>
      <c r="M1718" s="2" t="str">
        <f>HYPERLINK("http://maps.live.com/default.aspx?v=2&amp;lvl=15&amp;sp=Point.47.598503_-122.137399_1225 151 Ave SE&amp;cp=47.598503~-122.137399","Map")</f>
        <v>Map</v>
      </c>
      <c r="N1718" s="2" t="str">
        <f>HYPERLINK("http://i-0.rfimg.us/photo/1/bigphoto/487/28029487_1.jpg","Photo")</f>
        <v>Photo</v>
      </c>
      <c r="AG1718">
        <v>47.598503000000001</v>
      </c>
      <c r="AH1718">
        <v>-122.137399</v>
      </c>
      <c r="AI1718" t="s">
        <v>369</v>
      </c>
      <c r="AJ1718">
        <v>98007</v>
      </c>
      <c r="AN1718">
        <v>219950</v>
      </c>
      <c r="BC1718" s="22">
        <v>39503.547118055554</v>
      </c>
      <c r="BI1718" s="22">
        <v>39549.294907407406</v>
      </c>
      <c r="BL1718">
        <v>10340</v>
      </c>
      <c r="BM1718">
        <v>1506618</v>
      </c>
      <c r="BN1718" t="s">
        <v>3362</v>
      </c>
      <c r="BO1718" s="17">
        <f t="shared" ca="1" si="26"/>
        <v>45.762287847224798</v>
      </c>
      <c r="BP1718" t="b">
        <v>0</v>
      </c>
      <c r="BQ1718">
        <v>1</v>
      </c>
      <c r="BR1718" t="s">
        <v>1667</v>
      </c>
      <c r="BS1718">
        <v>151</v>
      </c>
      <c r="BT1718" t="b">
        <v>0</v>
      </c>
      <c r="BV1718" t="s">
        <v>1668</v>
      </c>
      <c r="BW1718">
        <v>1225</v>
      </c>
      <c r="BX1718" t="s">
        <v>3856</v>
      </c>
      <c r="BY1718">
        <v>425960</v>
      </c>
      <c r="BZ1718" t="s">
        <v>3795</v>
      </c>
      <c r="CA1718">
        <v>1</v>
      </c>
      <c r="CB1718" t="b">
        <v>1</v>
      </c>
      <c r="CC1718">
        <v>0</v>
      </c>
      <c r="CD1718" t="b">
        <v>0</v>
      </c>
      <c r="CE1718" t="b">
        <v>0</v>
      </c>
      <c r="CF1718" t="b">
        <v>0</v>
      </c>
      <c r="CG1718">
        <v>2722925</v>
      </c>
      <c r="CH1718" t="s">
        <v>1681</v>
      </c>
      <c r="CI1718" s="10">
        <v>517000</v>
      </c>
      <c r="CJ1718" s="7">
        <v>36033</v>
      </c>
    </row>
    <row r="1719" spans="1:90">
      <c r="A1719">
        <v>28029539</v>
      </c>
      <c r="B1719" s="2" t="str">
        <f>HYPERLINK("http://www.redfin.com/stingray/do/printable-listing?listing-id=1491774","Active")</f>
        <v>Active</v>
      </c>
      <c r="D1719" t="s">
        <v>3924</v>
      </c>
      <c r="E1719" t="s">
        <v>4265</v>
      </c>
      <c r="F1719">
        <v>639950</v>
      </c>
      <c r="G1719">
        <v>1903</v>
      </c>
      <c r="H1719">
        <v>0</v>
      </c>
      <c r="I1719">
        <v>4182</v>
      </c>
      <c r="J1719">
        <v>3</v>
      </c>
      <c r="K1719">
        <v>1.5</v>
      </c>
      <c r="M1719" s="2" t="str">
        <f>HYPERLINK("http://maps.live.com/default.aspx?v=2&amp;lvl=15&amp;sp=Point.47.62341_-122.293455_428 Dewey Pl E&amp;cp=47.62341~-122.293455","Map")</f>
        <v>Map</v>
      </c>
      <c r="N1719" s="2" t="str">
        <f>HYPERLINK("http://i-0.rfimg.us/photo/1/bigphoto/539/28029539_0.jpg","Photo")</f>
        <v>Photo</v>
      </c>
      <c r="AG1719">
        <v>47.62341</v>
      </c>
      <c r="AH1719">
        <v>-122.29345499999999</v>
      </c>
      <c r="AI1719" t="s">
        <v>66</v>
      </c>
      <c r="AJ1719">
        <v>98112</v>
      </c>
      <c r="AN1719">
        <v>272000</v>
      </c>
      <c r="BC1719" s="22">
        <v>39497.527696759258</v>
      </c>
      <c r="BI1719" s="22">
        <v>39549.294907407406</v>
      </c>
      <c r="BL1719">
        <v>12799</v>
      </c>
      <c r="BM1719">
        <v>1491774</v>
      </c>
      <c r="BN1719" t="s">
        <v>3023</v>
      </c>
      <c r="BO1719" s="17">
        <f t="shared" ca="1" si="26"/>
        <v>51.781709143520857</v>
      </c>
      <c r="BP1719" t="b">
        <v>0</v>
      </c>
      <c r="BQ1719">
        <v>1</v>
      </c>
      <c r="BR1719" t="s">
        <v>1842</v>
      </c>
      <c r="BS1719" t="s">
        <v>4266</v>
      </c>
      <c r="BT1719" t="b">
        <v>0</v>
      </c>
      <c r="BV1719" t="s">
        <v>1668</v>
      </c>
      <c r="BW1719">
        <v>428</v>
      </c>
      <c r="BX1719" t="s">
        <v>2436</v>
      </c>
      <c r="BY1719">
        <v>147038</v>
      </c>
      <c r="BZ1719" t="s">
        <v>1713</v>
      </c>
      <c r="CA1719">
        <v>1</v>
      </c>
      <c r="CB1719" t="b">
        <v>1</v>
      </c>
      <c r="CC1719">
        <v>0</v>
      </c>
      <c r="CD1719" t="b">
        <v>0</v>
      </c>
      <c r="CE1719" t="b">
        <v>0</v>
      </c>
      <c r="CF1719" t="b">
        <v>0</v>
      </c>
      <c r="CG1719">
        <v>2933013</v>
      </c>
      <c r="CH1719" t="s">
        <v>1681</v>
      </c>
      <c r="CI1719" s="10">
        <v>639950</v>
      </c>
      <c r="CJ1719" s="7">
        <v>36130</v>
      </c>
    </row>
    <row r="1720" spans="1:90">
      <c r="A1720">
        <v>28029548</v>
      </c>
      <c r="B1720" s="2" t="str">
        <f>HYPERLINK("http://www.redfin.com/stingray/do/printable-listing?listing-id=1491800","Active")</f>
        <v>Active</v>
      </c>
      <c r="D1720" t="s">
        <v>369</v>
      </c>
      <c r="E1720" t="s">
        <v>5042</v>
      </c>
      <c r="F1720">
        <v>695900</v>
      </c>
      <c r="G1720">
        <v>1995</v>
      </c>
      <c r="H1720">
        <v>2400</v>
      </c>
      <c r="I1720">
        <v>25265</v>
      </c>
      <c r="J1720">
        <v>4</v>
      </c>
      <c r="K1720">
        <v>2.5</v>
      </c>
      <c r="M1720" s="2" t="str">
        <f>HYPERLINK("http://maps.live.com/default.aspx?v=2&amp;lvl=15&amp;sp=Point.47.632092_-122.175416_12336 NE 24th St&amp;cp=47.632092~-122.175416","Map")</f>
        <v>Map</v>
      </c>
      <c r="N1720" s="2" t="str">
        <f>HYPERLINK("http://i-0.rfimg.us/photo/1/bigphoto/548/28029548_5.jpg","Photo")</f>
        <v>Photo</v>
      </c>
      <c r="AG1720">
        <v>47.632092</v>
      </c>
      <c r="AH1720">
        <v>-122.175416</v>
      </c>
      <c r="AI1720" t="s">
        <v>369</v>
      </c>
      <c r="AJ1720">
        <v>98005</v>
      </c>
      <c r="AN1720">
        <v>216600</v>
      </c>
      <c r="BC1720" s="22">
        <v>39497.538206018522</v>
      </c>
      <c r="BI1720" s="22">
        <v>39549.294907407406</v>
      </c>
      <c r="BL1720">
        <v>13918</v>
      </c>
      <c r="BM1720">
        <v>1491800</v>
      </c>
      <c r="BN1720" t="s">
        <v>5041</v>
      </c>
      <c r="BO1720" s="17">
        <f t="shared" ca="1" si="26"/>
        <v>51.77119988425693</v>
      </c>
      <c r="BP1720" t="b">
        <v>0</v>
      </c>
      <c r="BQ1720">
        <v>1</v>
      </c>
      <c r="BR1720" t="s">
        <v>1686</v>
      </c>
      <c r="BS1720" t="s">
        <v>1740</v>
      </c>
      <c r="BT1720" t="b">
        <v>0</v>
      </c>
      <c r="BU1720" t="s">
        <v>1738</v>
      </c>
      <c r="BV1720" t="s">
        <v>1668</v>
      </c>
      <c r="BW1720">
        <v>12336</v>
      </c>
      <c r="BY1720">
        <v>431056</v>
      </c>
      <c r="BZ1720" t="s">
        <v>3340</v>
      </c>
      <c r="CA1720">
        <v>1</v>
      </c>
      <c r="CB1720" t="b">
        <v>1</v>
      </c>
      <c r="CC1720">
        <v>0</v>
      </c>
      <c r="CD1720" t="b">
        <v>0</v>
      </c>
      <c r="CE1720" t="b">
        <v>0</v>
      </c>
      <c r="CF1720" t="b">
        <v>0</v>
      </c>
      <c r="CG1720">
        <v>2708437</v>
      </c>
      <c r="CH1720" t="s">
        <v>1681</v>
      </c>
      <c r="CI1720" s="10">
        <v>695900</v>
      </c>
      <c r="CJ1720" s="7">
        <v>34478</v>
      </c>
    </row>
    <row r="1721" spans="1:90">
      <c r="A1721">
        <v>28029561</v>
      </c>
      <c r="B1721" s="15" t="str">
        <f>HYPERLINK("http://www.redfin.com/stingray/do/printable-listing?listing-id=1498083","Subject To Inspection")</f>
        <v>Subject To Inspection</v>
      </c>
      <c r="D1721" t="s">
        <v>3885</v>
      </c>
      <c r="E1721" t="s">
        <v>5965</v>
      </c>
      <c r="F1721">
        <v>634950</v>
      </c>
      <c r="G1721">
        <v>1985</v>
      </c>
      <c r="H1721">
        <v>2440</v>
      </c>
      <c r="I1721">
        <v>9104</v>
      </c>
      <c r="J1721">
        <v>4</v>
      </c>
      <c r="K1721">
        <v>2.5</v>
      </c>
      <c r="M1721" s="2" t="str">
        <f>HYPERLINK("http://maps.live.com/default.aspx?v=2&amp;lvl=15&amp;sp=Point.47.535568_-122.158511_13504 SE 75th St&amp;cp=47.535568~-122.158511","Map")</f>
        <v>Map</v>
      </c>
      <c r="N1721" s="2" t="str">
        <f>HYPERLINK("http://i-0.rfimg.us/photo/1/bigphoto/561/28029561_4.jpg","Photo")</f>
        <v>Photo</v>
      </c>
      <c r="AG1721">
        <v>47.535567999999998</v>
      </c>
      <c r="AH1721">
        <v>-122.158511</v>
      </c>
      <c r="AI1721" t="s">
        <v>3885</v>
      </c>
      <c r="AJ1721">
        <v>98059</v>
      </c>
      <c r="AN1721">
        <v>370000</v>
      </c>
      <c r="BC1721" s="22">
        <v>39499.5158912037</v>
      </c>
      <c r="BI1721" s="22">
        <v>39549.294907407406</v>
      </c>
      <c r="BL1721">
        <v>12699</v>
      </c>
      <c r="BM1721">
        <v>1498083</v>
      </c>
      <c r="BN1721" t="s">
        <v>2419</v>
      </c>
      <c r="BO1721" s="17">
        <f t="shared" ca="1" si="26"/>
        <v>49.793514699078514</v>
      </c>
      <c r="BP1721" t="b">
        <v>0</v>
      </c>
      <c r="BQ1721">
        <v>1</v>
      </c>
      <c r="BR1721" t="s">
        <v>1686</v>
      </c>
      <c r="BS1721" t="s">
        <v>1837</v>
      </c>
      <c r="BT1721" t="b">
        <v>0</v>
      </c>
      <c r="BU1721" t="s">
        <v>3856</v>
      </c>
      <c r="BV1721" t="s">
        <v>1668</v>
      </c>
      <c r="BW1721">
        <v>13504</v>
      </c>
      <c r="BY1721">
        <v>415505</v>
      </c>
      <c r="BZ1721" t="s">
        <v>5966</v>
      </c>
      <c r="CA1721">
        <v>1</v>
      </c>
      <c r="CB1721" t="b">
        <v>1</v>
      </c>
      <c r="CC1721">
        <v>0</v>
      </c>
      <c r="CD1721" t="b">
        <v>0</v>
      </c>
      <c r="CE1721" t="b">
        <v>0</v>
      </c>
      <c r="CF1721" t="b">
        <v>0</v>
      </c>
      <c r="CG1721">
        <v>2769704</v>
      </c>
      <c r="CH1721" t="s">
        <v>1681</v>
      </c>
      <c r="CI1721" s="10">
        <v>634950</v>
      </c>
      <c r="CJ1721" s="7">
        <v>37771</v>
      </c>
    </row>
    <row r="1722" spans="1:90">
      <c r="A1722">
        <v>28029585</v>
      </c>
      <c r="B1722" s="2" t="str">
        <f>HYPERLINK("http://www.redfin.com/stingray/do/printable-listing?listing-id=1495478","Active")</f>
        <v>Active</v>
      </c>
      <c r="D1722" t="s">
        <v>3885</v>
      </c>
      <c r="E1722" t="s">
        <v>5964</v>
      </c>
      <c r="F1722">
        <v>675000</v>
      </c>
      <c r="G1722">
        <v>1999</v>
      </c>
      <c r="H1722">
        <v>2640</v>
      </c>
      <c r="I1722">
        <v>7405</v>
      </c>
      <c r="J1722">
        <v>3</v>
      </c>
      <c r="K1722">
        <v>2.5</v>
      </c>
      <c r="M1722" s="2" t="str">
        <f>HYPERLINK("http://maps.live.com/default.aspx?v=2&amp;lvl=15&amp;sp=Point.47.53434_-122.184122_11642 SE 76th Ct&amp;cp=47.53434~-122.184122","Map")</f>
        <v>Map</v>
      </c>
      <c r="N1722" s="2" t="str">
        <f>HYPERLINK("http://i-0.rfimg.us/photo/1/bigphoto/585/28029585_1.jpg","Photo")</f>
        <v>Photo</v>
      </c>
      <c r="AG1722">
        <v>47.53434</v>
      </c>
      <c r="AH1722">
        <v>-122.184122</v>
      </c>
      <c r="AI1722" t="s">
        <v>3885</v>
      </c>
      <c r="AJ1722">
        <v>98056</v>
      </c>
      <c r="AN1722">
        <v>390950</v>
      </c>
      <c r="BC1722" s="22">
        <v>39498.641516203701</v>
      </c>
      <c r="BI1722" s="22">
        <v>39549.294907407406</v>
      </c>
      <c r="BL1722">
        <v>13500</v>
      </c>
      <c r="BM1722">
        <v>1495478</v>
      </c>
      <c r="BN1722" t="s">
        <v>2419</v>
      </c>
      <c r="BO1722" s="17">
        <f t="shared" ca="1" si="26"/>
        <v>50.667889699077932</v>
      </c>
      <c r="BP1722" t="b">
        <v>0</v>
      </c>
      <c r="BQ1722">
        <v>1</v>
      </c>
      <c r="BR1722" t="s">
        <v>3768</v>
      </c>
      <c r="BS1722" t="s">
        <v>2057</v>
      </c>
      <c r="BT1722" t="b">
        <v>0</v>
      </c>
      <c r="BU1722" t="s">
        <v>3856</v>
      </c>
      <c r="BV1722" t="s">
        <v>1668</v>
      </c>
      <c r="BW1722">
        <v>11642</v>
      </c>
      <c r="BY1722">
        <v>413246</v>
      </c>
      <c r="BZ1722" t="s">
        <v>2799</v>
      </c>
      <c r="CA1722">
        <v>1</v>
      </c>
      <c r="CB1722" t="b">
        <v>1</v>
      </c>
      <c r="CC1722">
        <v>0</v>
      </c>
      <c r="CD1722" t="b">
        <v>0</v>
      </c>
      <c r="CE1722" t="b">
        <v>0</v>
      </c>
      <c r="CF1722" t="b">
        <v>0</v>
      </c>
      <c r="CG1722">
        <v>2582000</v>
      </c>
      <c r="CH1722" t="s">
        <v>1681</v>
      </c>
      <c r="CI1722" s="10">
        <v>675000</v>
      </c>
      <c r="CJ1722" s="7">
        <v>36558</v>
      </c>
    </row>
    <row r="1723" spans="1:90">
      <c r="A1723">
        <v>28029596</v>
      </c>
      <c r="B1723" s="2" t="str">
        <f>HYPERLINK("http://www.redfin.com/stingray/do/printable-listing?listing-id=1492170","Active")</f>
        <v>Active</v>
      </c>
      <c r="D1723" t="s">
        <v>3089</v>
      </c>
      <c r="E1723" t="s">
        <v>3093</v>
      </c>
      <c r="F1723">
        <v>649900</v>
      </c>
      <c r="G1723">
        <v>1921</v>
      </c>
      <c r="H1723">
        <v>2160</v>
      </c>
      <c r="I1723">
        <v>7350</v>
      </c>
      <c r="J1723">
        <v>3</v>
      </c>
      <c r="K1723">
        <v>2</v>
      </c>
      <c r="M1723" s="2" t="str">
        <f>HYPERLINK("http://maps.live.com/default.aspx?v=2&amp;lvl=15&amp;sp=Point.47.663925_-122.276913_4726 47 Ave NE&amp;cp=47.663925~-122.276913","Map")</f>
        <v>Map</v>
      </c>
      <c r="N1723" s="2" t="str">
        <f>HYPERLINK("http://i-0.rfimg.us/photo/1/bigphoto/596/28029596_1.jpg","Photo")</f>
        <v>Photo</v>
      </c>
      <c r="AG1723">
        <v>47.663924999999999</v>
      </c>
      <c r="AH1723">
        <v>-122.27691299999999</v>
      </c>
      <c r="AI1723" t="s">
        <v>66</v>
      </c>
      <c r="AJ1723">
        <v>98105</v>
      </c>
      <c r="BC1723" s="22">
        <v>39497.620370370372</v>
      </c>
      <c r="BI1723" s="22">
        <v>39549.294907407406</v>
      </c>
      <c r="BL1723">
        <v>12998</v>
      </c>
      <c r="BM1723">
        <v>1492170</v>
      </c>
      <c r="BN1723" t="s">
        <v>3092</v>
      </c>
      <c r="BO1723" s="17">
        <f t="shared" ca="1" si="26"/>
        <v>51.689035532406706</v>
      </c>
      <c r="BP1723" t="b">
        <v>0</v>
      </c>
      <c r="BQ1723">
        <v>1</v>
      </c>
      <c r="BR1723" t="s">
        <v>1667</v>
      </c>
      <c r="BS1723">
        <v>47</v>
      </c>
      <c r="BT1723" t="b">
        <v>0</v>
      </c>
      <c r="BV1723" t="s">
        <v>1668</v>
      </c>
      <c r="BW1723">
        <v>4726</v>
      </c>
      <c r="BX1723" t="s">
        <v>1738</v>
      </c>
      <c r="BY1723">
        <v>121944</v>
      </c>
      <c r="BZ1723" t="s">
        <v>3094</v>
      </c>
      <c r="CA1723">
        <v>1</v>
      </c>
      <c r="CB1723" t="b">
        <v>1</v>
      </c>
      <c r="CC1723">
        <v>0</v>
      </c>
      <c r="CD1723" t="b">
        <v>0</v>
      </c>
      <c r="CE1723" t="b">
        <v>0</v>
      </c>
      <c r="CF1723" t="b">
        <v>0</v>
      </c>
      <c r="CG1723">
        <v>2473892</v>
      </c>
      <c r="CH1723" t="s">
        <v>1681</v>
      </c>
      <c r="CI1723" s="10">
        <v>649900</v>
      </c>
    </row>
    <row r="1724" spans="1:90">
      <c r="A1724">
        <v>28029597</v>
      </c>
      <c r="B1724" s="2" t="str">
        <f>HYPERLINK("http://www.redfin.com/stingray/do/printable-listing?listing-id=1492406","Active")</f>
        <v>Active</v>
      </c>
      <c r="D1724" t="s">
        <v>1238</v>
      </c>
      <c r="E1724" t="s">
        <v>3820</v>
      </c>
      <c r="F1724">
        <v>998000</v>
      </c>
      <c r="G1724">
        <v>1913</v>
      </c>
      <c r="H1724">
        <v>2830</v>
      </c>
      <c r="I1724">
        <v>3800</v>
      </c>
      <c r="J1724">
        <v>3</v>
      </c>
      <c r="K1724">
        <v>2.5</v>
      </c>
      <c r="M1724" s="2" t="str">
        <f>HYPERLINK("http://maps.live.com/default.aspx?v=2&amp;lvl=15&amp;sp=Point.47.638043_-122.31563_1311 E Boston St&amp;cp=47.638043~-122.31563","Map")</f>
        <v>Map</v>
      </c>
      <c r="N1724" s="2" t="str">
        <f>HYPERLINK("http://i-0.rfimg.us/photo/1/bigphoto/597/28029597_1.jpg","Photo")</f>
        <v>Photo</v>
      </c>
      <c r="AG1724">
        <v>47.638043000000003</v>
      </c>
      <c r="AH1724">
        <v>-122.31563</v>
      </c>
      <c r="AI1724" t="s">
        <v>66</v>
      </c>
      <c r="AJ1724">
        <v>98102</v>
      </c>
      <c r="AN1724">
        <v>699000</v>
      </c>
      <c r="BC1724" s="22">
        <v>39497.664305555554</v>
      </c>
      <c r="BI1724" s="22">
        <v>39549.294907407406</v>
      </c>
      <c r="BL1724">
        <v>19960</v>
      </c>
      <c r="BM1724">
        <v>1492406</v>
      </c>
      <c r="BN1724" t="s">
        <v>1710</v>
      </c>
      <c r="BO1724" s="17">
        <f t="shared" ca="1" si="26"/>
        <v>51.645100347224798</v>
      </c>
      <c r="BP1724" t="b">
        <v>0</v>
      </c>
      <c r="BQ1724">
        <v>1</v>
      </c>
      <c r="BR1724" t="s">
        <v>1686</v>
      </c>
      <c r="BS1724" t="s">
        <v>3321</v>
      </c>
      <c r="BT1724" t="b">
        <v>0</v>
      </c>
      <c r="BU1724" t="s">
        <v>2436</v>
      </c>
      <c r="BV1724" t="s">
        <v>1668</v>
      </c>
      <c r="BW1724">
        <v>1311</v>
      </c>
      <c r="BY1724">
        <v>137019</v>
      </c>
      <c r="BZ1724" t="s">
        <v>3821</v>
      </c>
      <c r="CA1724">
        <v>1</v>
      </c>
      <c r="CB1724" t="b">
        <v>1</v>
      </c>
      <c r="CC1724">
        <v>0</v>
      </c>
      <c r="CD1724" t="b">
        <v>0</v>
      </c>
      <c r="CE1724" t="b">
        <v>0</v>
      </c>
      <c r="CF1724" t="b">
        <v>0</v>
      </c>
      <c r="CG1724">
        <v>2385346</v>
      </c>
      <c r="CH1724" t="s">
        <v>1681</v>
      </c>
      <c r="CI1724" s="10">
        <v>998000</v>
      </c>
      <c r="CJ1724" s="7">
        <v>39360</v>
      </c>
    </row>
    <row r="1725" spans="1:90">
      <c r="A1725">
        <v>28029629</v>
      </c>
      <c r="B1725" s="2" t="str">
        <f>HYPERLINK("http://www.redfin.com/stingray/do/printable-listing?listing-id=1492029","Active")</f>
        <v>Active</v>
      </c>
      <c r="D1725" t="s">
        <v>919</v>
      </c>
      <c r="E1725" t="s">
        <v>2884</v>
      </c>
      <c r="F1725">
        <v>359950</v>
      </c>
      <c r="G1725">
        <v>2007</v>
      </c>
      <c r="H1725">
        <v>1680</v>
      </c>
      <c r="I1725">
        <v>0</v>
      </c>
      <c r="J1725">
        <v>3</v>
      </c>
      <c r="K1725">
        <v>3.5</v>
      </c>
      <c r="M1725" s="2" t="str">
        <f>HYPERLINK("http://maps.live.com/default.aspx?v=2&amp;lvl=15&amp;sp=Point.47.717383_-122.316853_1027 NE 123rd nB&amp;cp=47.717383~-122.316853","Map")</f>
        <v>Map</v>
      </c>
      <c r="N1725" s="2" t="str">
        <f>HYPERLINK("http://i-0.rfimg.us/photo/1/bigphoto/629/28029629_1.jpg","Photo")</f>
        <v>Photo</v>
      </c>
      <c r="AG1725">
        <v>47.717382999999998</v>
      </c>
      <c r="AH1725">
        <v>-122.31685299999999</v>
      </c>
      <c r="AI1725" t="s">
        <v>66</v>
      </c>
      <c r="AJ1725">
        <v>98125</v>
      </c>
      <c r="AM1725" t="s">
        <v>1699</v>
      </c>
      <c r="BC1725" s="22">
        <v>39497.590381944443</v>
      </c>
      <c r="BI1725" s="22">
        <v>39549.294907407406</v>
      </c>
      <c r="BL1725">
        <v>7199</v>
      </c>
      <c r="BM1725">
        <v>1492029</v>
      </c>
      <c r="BN1725" t="s">
        <v>1675</v>
      </c>
      <c r="BO1725" s="17">
        <f t="shared" ca="1" si="26"/>
        <v>51.719023958336038</v>
      </c>
      <c r="BP1725" t="b">
        <v>0</v>
      </c>
      <c r="BQ1725">
        <v>1</v>
      </c>
      <c r="BS1725" t="s">
        <v>2882</v>
      </c>
      <c r="BT1725" t="b">
        <v>0</v>
      </c>
      <c r="BU1725" t="s">
        <v>1738</v>
      </c>
      <c r="BV1725" t="s">
        <v>1668</v>
      </c>
      <c r="BW1725">
        <v>1027</v>
      </c>
      <c r="BY1725">
        <v>12416515</v>
      </c>
      <c r="BZ1725" t="s">
        <v>2799</v>
      </c>
      <c r="CA1725">
        <v>1</v>
      </c>
      <c r="CB1725" t="b">
        <v>1</v>
      </c>
      <c r="CC1725">
        <v>0</v>
      </c>
      <c r="CD1725" t="b">
        <v>0</v>
      </c>
      <c r="CE1725" t="b">
        <v>0</v>
      </c>
      <c r="CF1725" t="b">
        <v>0</v>
      </c>
      <c r="CG1725">
        <v>15590040</v>
      </c>
      <c r="CH1725" t="s">
        <v>1681</v>
      </c>
      <c r="CI1725" s="10">
        <v>359950</v>
      </c>
    </row>
    <row r="1726" spans="1:90">
      <c r="A1726">
        <v>28029671</v>
      </c>
      <c r="B1726" s="2" t="str">
        <f>HYPERLINK("http://www.redfin.com/stingray/do/printable-listing?listing-id=1492144","Active")</f>
        <v>Active</v>
      </c>
      <c r="D1726" t="s">
        <v>3061</v>
      </c>
      <c r="E1726" t="s">
        <v>4430</v>
      </c>
      <c r="F1726">
        <v>749999</v>
      </c>
      <c r="G1726">
        <v>2008</v>
      </c>
      <c r="H1726">
        <v>3427</v>
      </c>
      <c r="I1726">
        <v>0</v>
      </c>
      <c r="J1726">
        <v>4</v>
      </c>
      <c r="K1726">
        <v>2.5</v>
      </c>
      <c r="M1726" s="2" t="str">
        <f>HYPERLINK("http://maps.live.com/default.aspx?v=2&amp;lvl=15&amp;sp=Point.47.725307_-122.170603_13967 127th Pl NE&amp;cp=47.725307~-122.170603","Map")</f>
        <v>Map</v>
      </c>
      <c r="N1726" s="2" t="str">
        <f>HYPERLINK("http://i-0.rfimg.us/photo/1/bigphoto/671/28029671_2.jpg","Photo")</f>
        <v>Photo</v>
      </c>
      <c r="AG1726">
        <v>47.725307000000001</v>
      </c>
      <c r="AH1726">
        <v>-122.170603</v>
      </c>
      <c r="AI1726" t="s">
        <v>1058</v>
      </c>
      <c r="AJ1726">
        <v>98034</v>
      </c>
      <c r="BC1726" s="22">
        <v>39497.610636574071</v>
      </c>
      <c r="BI1726" s="22">
        <v>39549.294907407406</v>
      </c>
      <c r="BL1726">
        <v>15000</v>
      </c>
      <c r="BM1726">
        <v>1492144</v>
      </c>
      <c r="BN1726" t="s">
        <v>2419</v>
      </c>
      <c r="BO1726" s="17">
        <f t="shared" ca="1" si="26"/>
        <v>51.698769328708295</v>
      </c>
      <c r="BP1726" t="b">
        <v>0</v>
      </c>
      <c r="BQ1726">
        <v>1</v>
      </c>
      <c r="BR1726" t="s">
        <v>1842</v>
      </c>
      <c r="BS1726" t="s">
        <v>2698</v>
      </c>
      <c r="BT1726" t="b">
        <v>0</v>
      </c>
      <c r="BV1726" t="s">
        <v>1668</v>
      </c>
      <c r="BW1726">
        <v>13967</v>
      </c>
      <c r="BX1726" t="s">
        <v>1738</v>
      </c>
      <c r="BY1726">
        <v>12416829</v>
      </c>
      <c r="BZ1726" t="s">
        <v>4431</v>
      </c>
      <c r="CA1726">
        <v>1</v>
      </c>
      <c r="CB1726" t="b">
        <v>1</v>
      </c>
      <c r="CC1726">
        <v>0</v>
      </c>
      <c r="CD1726" t="b">
        <v>0</v>
      </c>
      <c r="CE1726" t="b">
        <v>0</v>
      </c>
      <c r="CF1726" t="b">
        <v>0</v>
      </c>
      <c r="CG1726">
        <v>15620577</v>
      </c>
      <c r="CH1726" t="s">
        <v>1681</v>
      </c>
      <c r="CI1726" s="10">
        <v>749999</v>
      </c>
      <c r="CL1726" s="19" t="s">
        <v>2325</v>
      </c>
    </row>
    <row r="1727" spans="1:90">
      <c r="A1727">
        <v>28029674</v>
      </c>
      <c r="B1727" s="2" t="str">
        <f>HYPERLINK("http://www.redfin.com/stingray/do/printable-listing?listing-id=1492140","Active")</f>
        <v>Active</v>
      </c>
      <c r="D1727" t="s">
        <v>919</v>
      </c>
      <c r="E1727" t="s">
        <v>2892</v>
      </c>
      <c r="F1727">
        <v>369950</v>
      </c>
      <c r="G1727">
        <v>2008</v>
      </c>
      <c r="H1727">
        <v>1845</v>
      </c>
      <c r="I1727">
        <v>0</v>
      </c>
      <c r="J1727">
        <v>3</v>
      </c>
      <c r="K1727">
        <v>3.5</v>
      </c>
      <c r="M1727" s="2" t="str">
        <f>HYPERLINK("http://maps.live.com/default.aspx?v=2&amp;lvl=15&amp;sp=Point.47.717463_-122.317017_1029 NE 123rd nB&amp;cp=47.717463~-122.317017","Map")</f>
        <v>Map</v>
      </c>
      <c r="N1727" s="2" t="str">
        <f>HYPERLINK("http://i-0.rfimg.us/photo/1/bigphoto/674/28029674_1.jpg","Photo")</f>
        <v>Photo</v>
      </c>
      <c r="AG1727">
        <v>47.717463000000002</v>
      </c>
      <c r="AH1727">
        <v>-122.31701700000001</v>
      </c>
      <c r="AI1727" t="s">
        <v>66</v>
      </c>
      <c r="AJ1727">
        <v>98125</v>
      </c>
      <c r="AM1727" t="s">
        <v>1699</v>
      </c>
      <c r="BC1727" s="22">
        <v>39497.610613425924</v>
      </c>
      <c r="BI1727" s="22">
        <v>39549.294907407406</v>
      </c>
      <c r="BL1727">
        <v>7399</v>
      </c>
      <c r="BM1727">
        <v>1492140</v>
      </c>
      <c r="BN1727" t="s">
        <v>1675</v>
      </c>
      <c r="BO1727" s="17">
        <f t="shared" ca="1" si="26"/>
        <v>51.698792476854578</v>
      </c>
      <c r="BP1727" t="b">
        <v>0</v>
      </c>
      <c r="BQ1727">
        <v>1</v>
      </c>
      <c r="BS1727" t="s">
        <v>2882</v>
      </c>
      <c r="BT1727" t="b">
        <v>0</v>
      </c>
      <c r="BU1727" t="s">
        <v>1738</v>
      </c>
      <c r="BV1727" t="s">
        <v>1668</v>
      </c>
      <c r="BW1727">
        <v>1029</v>
      </c>
      <c r="BY1727">
        <v>12416529</v>
      </c>
      <c r="BZ1727" t="s">
        <v>2799</v>
      </c>
      <c r="CA1727">
        <v>1</v>
      </c>
      <c r="CB1727" t="b">
        <v>1</v>
      </c>
      <c r="CC1727">
        <v>0</v>
      </c>
      <c r="CD1727" t="b">
        <v>0</v>
      </c>
      <c r="CE1727" t="b">
        <v>0</v>
      </c>
      <c r="CF1727" t="b">
        <v>0</v>
      </c>
      <c r="CG1727">
        <v>15620277</v>
      </c>
      <c r="CH1727" t="s">
        <v>1681</v>
      </c>
      <c r="CI1727" s="10">
        <v>369950</v>
      </c>
    </row>
    <row r="1728" spans="1:90">
      <c r="A1728">
        <v>28029683</v>
      </c>
      <c r="B1728" s="2" t="str">
        <f>HYPERLINK("http://www.redfin.com/stingray/do/printable-listing?listing-id=1492145","Active")</f>
        <v>Active</v>
      </c>
      <c r="D1728" t="s">
        <v>3061</v>
      </c>
      <c r="E1728" t="s">
        <v>4405</v>
      </c>
      <c r="F1728">
        <v>734999</v>
      </c>
      <c r="G1728">
        <v>2008</v>
      </c>
      <c r="H1728">
        <v>3427</v>
      </c>
      <c r="I1728">
        <v>0</v>
      </c>
      <c r="J1728">
        <v>4</v>
      </c>
      <c r="K1728">
        <v>2.5</v>
      </c>
      <c r="M1728" s="2" t="str">
        <f>HYPERLINK("http://maps.live.com/default.aspx?v=2&amp;lvl=15&amp;sp=Point.47.725221_-122.170603_13961 127th Pl NE&amp;cp=47.725221~-122.170603","Map")</f>
        <v>Map</v>
      </c>
      <c r="N1728" s="2" t="str">
        <f>HYPERLINK("http://i-0.rfimg.us/photo/1/bigphoto/683/28029683_8.jpg","Photo")</f>
        <v>Photo</v>
      </c>
      <c r="AG1728">
        <v>47.725220999999998</v>
      </c>
      <c r="AH1728">
        <v>-122.170603</v>
      </c>
      <c r="AI1728" t="s">
        <v>1058</v>
      </c>
      <c r="AJ1728">
        <v>98034</v>
      </c>
      <c r="BC1728" s="22">
        <v>39497.610636574071</v>
      </c>
      <c r="BI1728" s="22">
        <v>39549.294907407406</v>
      </c>
      <c r="BL1728">
        <v>14700</v>
      </c>
      <c r="BM1728">
        <v>1492145</v>
      </c>
      <c r="BN1728" t="s">
        <v>2419</v>
      </c>
      <c r="BO1728" s="17">
        <f t="shared" ca="1" si="26"/>
        <v>51.698769328708295</v>
      </c>
      <c r="BP1728" t="b">
        <v>0</v>
      </c>
      <c r="BQ1728">
        <v>1</v>
      </c>
      <c r="BR1728" t="s">
        <v>1842</v>
      </c>
      <c r="BS1728" t="s">
        <v>2698</v>
      </c>
      <c r="BT1728" t="b">
        <v>0</v>
      </c>
      <c r="BV1728" t="s">
        <v>1668</v>
      </c>
      <c r="BW1728">
        <v>13961</v>
      </c>
      <c r="BX1728" t="s">
        <v>1738</v>
      </c>
      <c r="BY1728">
        <v>12303575</v>
      </c>
      <c r="BZ1728" t="s">
        <v>4406</v>
      </c>
      <c r="CA1728">
        <v>1</v>
      </c>
      <c r="CB1728" t="b">
        <v>1</v>
      </c>
      <c r="CC1728">
        <v>0</v>
      </c>
      <c r="CD1728" t="b">
        <v>0</v>
      </c>
      <c r="CE1728" t="b">
        <v>0</v>
      </c>
      <c r="CF1728" t="b">
        <v>0</v>
      </c>
      <c r="CG1728">
        <v>3024143</v>
      </c>
      <c r="CH1728" t="s">
        <v>1681</v>
      </c>
      <c r="CI1728" s="10">
        <v>734999</v>
      </c>
      <c r="CL1728" s="19" t="s">
        <v>2325</v>
      </c>
    </row>
    <row r="1729" spans="1:90">
      <c r="A1729">
        <v>28029684</v>
      </c>
      <c r="B1729" s="2" t="str">
        <f>HYPERLINK("http://www.redfin.com/stingray/do/printable-listing?listing-id=1492175","Active")</f>
        <v>Active</v>
      </c>
      <c r="D1729" t="s">
        <v>3061</v>
      </c>
      <c r="E1729" t="s">
        <v>4407</v>
      </c>
      <c r="F1729" s="19">
        <v>749999</v>
      </c>
      <c r="G1729">
        <v>2008</v>
      </c>
      <c r="H1729">
        <v>3711</v>
      </c>
      <c r="I1729">
        <v>0</v>
      </c>
      <c r="J1729">
        <v>4</v>
      </c>
      <c r="K1729">
        <v>2.5</v>
      </c>
      <c r="M1729" s="2" t="str">
        <f>HYPERLINK("http://maps.live.com/default.aspx?v=2&amp;lvl=15&amp;sp=Point.47.725107_-122.170603_13953 127th Pl NE&amp;cp=47.725107~-122.170603","Map")</f>
        <v>Map</v>
      </c>
      <c r="N1729" s="2" t="str">
        <f>HYPERLINK("http://i-0.rfimg.us/photo/1/bigphoto/684/28029684_5.jpg","Photo")</f>
        <v>Photo</v>
      </c>
      <c r="AG1729">
        <v>47.725107000000001</v>
      </c>
      <c r="AH1729">
        <v>-122.170603</v>
      </c>
      <c r="AI1729" t="s">
        <v>1058</v>
      </c>
      <c r="AJ1729">
        <v>98034</v>
      </c>
      <c r="BC1729" s="22">
        <v>39497.620405092595</v>
      </c>
      <c r="BI1729" s="22">
        <v>39549.294907407406</v>
      </c>
      <c r="BL1729">
        <v>15300</v>
      </c>
      <c r="BM1729">
        <v>1492175</v>
      </c>
      <c r="BN1729" t="s">
        <v>2419</v>
      </c>
      <c r="BO1729" s="17">
        <f t="shared" ca="1" si="26"/>
        <v>51.689000810183643</v>
      </c>
      <c r="BP1729" t="b">
        <v>0</v>
      </c>
      <c r="BQ1729">
        <v>1</v>
      </c>
      <c r="BR1729" t="s">
        <v>1842</v>
      </c>
      <c r="BS1729" t="s">
        <v>2698</v>
      </c>
      <c r="BT1729" t="b">
        <v>0</v>
      </c>
      <c r="BV1729" t="s">
        <v>1668</v>
      </c>
      <c r="BW1729">
        <v>13953</v>
      </c>
      <c r="BX1729" t="s">
        <v>1738</v>
      </c>
      <c r="BY1729">
        <v>12416835</v>
      </c>
      <c r="BZ1729" t="s">
        <v>4408</v>
      </c>
      <c r="CA1729">
        <v>1</v>
      </c>
      <c r="CB1729" t="b">
        <v>1</v>
      </c>
      <c r="CC1729">
        <v>0</v>
      </c>
      <c r="CD1729" t="b">
        <v>0</v>
      </c>
      <c r="CE1729" t="b">
        <v>0</v>
      </c>
      <c r="CF1729" t="b">
        <v>0</v>
      </c>
      <c r="CG1729">
        <v>15620583</v>
      </c>
      <c r="CH1729" t="s">
        <v>1681</v>
      </c>
      <c r="CI1729" s="10">
        <v>764999</v>
      </c>
      <c r="CL1729" s="19" t="s">
        <v>2325</v>
      </c>
    </row>
    <row r="1730" spans="1:90">
      <c r="A1730">
        <v>28029687</v>
      </c>
      <c r="B1730" s="2" t="str">
        <f>HYPERLINK("http://www.redfin.com/stingray/do/printable-listing?listing-id=1492173","Subject To Inspection")</f>
        <v>Subject To Inspection</v>
      </c>
      <c r="D1730" t="s">
        <v>919</v>
      </c>
      <c r="E1730" t="s">
        <v>2893</v>
      </c>
      <c r="F1730">
        <v>383900</v>
      </c>
      <c r="G1730">
        <v>2008</v>
      </c>
      <c r="H1730">
        <v>1845</v>
      </c>
      <c r="I1730">
        <v>0</v>
      </c>
      <c r="J1730">
        <v>3</v>
      </c>
      <c r="K1730">
        <v>3.5</v>
      </c>
      <c r="M1730" s="2" t="str">
        <f>HYPERLINK("http://maps.live.com/default.aspx?v=2&amp;lvl=15&amp;sp=Point.47.717463_-122.317017_1029 NE 123rd nA&amp;cp=47.717463~-122.317017","Map")</f>
        <v>Map</v>
      </c>
      <c r="N1730" s="2" t="str">
        <f>HYPERLINK("http://i-0.rfimg.us/photo/1/bigphoto/687/28029687_3.jpg","Photo")</f>
        <v>Photo</v>
      </c>
      <c r="AG1730">
        <v>47.717463000000002</v>
      </c>
      <c r="AH1730">
        <v>-122.31701700000001</v>
      </c>
      <c r="AI1730" t="s">
        <v>66</v>
      </c>
      <c r="AJ1730">
        <v>98125</v>
      </c>
      <c r="AM1730" t="s">
        <v>1722</v>
      </c>
      <c r="BC1730" s="22">
        <v>39497.620381944442</v>
      </c>
      <c r="BI1730" s="7">
        <v>39533</v>
      </c>
      <c r="BL1730">
        <v>7678</v>
      </c>
      <c r="BM1730">
        <v>1492173</v>
      </c>
      <c r="BN1730" t="s">
        <v>1675</v>
      </c>
      <c r="BO1730" s="17">
        <f t="shared" ref="BO1730:BO1793" ca="1" si="27">NOW()-BC1730</f>
        <v>51.689023958337202</v>
      </c>
      <c r="BP1730" t="b">
        <v>0</v>
      </c>
      <c r="BQ1730">
        <v>2</v>
      </c>
      <c r="BS1730" t="s">
        <v>2882</v>
      </c>
      <c r="BT1730" t="b">
        <v>0</v>
      </c>
      <c r="BU1730" t="s">
        <v>1738</v>
      </c>
      <c r="BV1730" t="s">
        <v>1668</v>
      </c>
      <c r="BW1730">
        <v>1029</v>
      </c>
      <c r="BY1730">
        <v>12416535</v>
      </c>
      <c r="BZ1730" t="s">
        <v>2894</v>
      </c>
      <c r="CA1730">
        <v>1</v>
      </c>
      <c r="CB1730" t="b">
        <v>1</v>
      </c>
      <c r="CC1730">
        <v>0</v>
      </c>
      <c r="CD1730" t="b">
        <v>0</v>
      </c>
      <c r="CE1730" t="b">
        <v>0</v>
      </c>
      <c r="CF1730" t="b">
        <v>0</v>
      </c>
      <c r="CG1730">
        <v>15620277</v>
      </c>
      <c r="CH1730" t="s">
        <v>1681</v>
      </c>
      <c r="CI1730" s="10">
        <v>383900</v>
      </c>
    </row>
    <row r="1731" spans="1:90">
      <c r="A1731">
        <v>28029695</v>
      </c>
      <c r="B1731" s="15" t="str">
        <f>HYPERLINK("http://www.redfin.com/stingray/do/printable-listing?listing-id=1492251","Subject To Inspection")</f>
        <v>Subject To Inspection</v>
      </c>
      <c r="D1731" t="s">
        <v>5139</v>
      </c>
      <c r="E1731" t="s">
        <v>5876</v>
      </c>
      <c r="F1731">
        <v>860000</v>
      </c>
      <c r="G1731">
        <v>1967</v>
      </c>
      <c r="H1731">
        <v>0</v>
      </c>
      <c r="I1731">
        <v>12320</v>
      </c>
      <c r="J1731">
        <v>4</v>
      </c>
      <c r="K1731">
        <v>2.5</v>
      </c>
      <c r="M1731" s="2" t="str">
        <f>HYPERLINK("http://maps.live.com/default.aspx?v=2&amp;lvl=15&amp;sp=Point.47.545887_-122.222367_8651 SE 63rd St&amp;cp=47.545887~-122.222367","Map")</f>
        <v>Map</v>
      </c>
      <c r="N1731" s="2" t="str">
        <f>HYPERLINK("http://i-0.rfimg.us/photo/1/bigphoto/695/28029695_0.jpg","Photo")</f>
        <v>Photo</v>
      </c>
      <c r="AG1731">
        <v>47.545887</v>
      </c>
      <c r="AH1731">
        <v>-122.22236700000001</v>
      </c>
      <c r="AI1731" t="s">
        <v>5139</v>
      </c>
      <c r="AJ1731">
        <v>98040</v>
      </c>
      <c r="AN1731">
        <v>271000</v>
      </c>
      <c r="BC1731" s="22">
        <v>39497.632002314815</v>
      </c>
      <c r="BI1731" s="7">
        <v>39542</v>
      </c>
      <c r="BL1731">
        <v>17200</v>
      </c>
      <c r="BM1731">
        <v>1492251</v>
      </c>
      <c r="BN1731" t="s">
        <v>1688</v>
      </c>
      <c r="BO1731" s="17">
        <f t="shared" ca="1" si="27"/>
        <v>51.677403587964363</v>
      </c>
      <c r="BP1731" t="b">
        <v>0</v>
      </c>
      <c r="BQ1731">
        <v>1</v>
      </c>
      <c r="BR1731" t="s">
        <v>1686</v>
      </c>
      <c r="BS1731" t="s">
        <v>2529</v>
      </c>
      <c r="BT1731" t="b">
        <v>0</v>
      </c>
      <c r="BU1731" t="s">
        <v>3856</v>
      </c>
      <c r="BV1731" t="s">
        <v>1668</v>
      </c>
      <c r="BW1731">
        <v>8651</v>
      </c>
      <c r="BY1731">
        <v>260714</v>
      </c>
      <c r="BZ1731" t="s">
        <v>1741</v>
      </c>
      <c r="CA1731">
        <v>1</v>
      </c>
      <c r="CB1731" t="b">
        <v>1</v>
      </c>
      <c r="CC1731">
        <v>0</v>
      </c>
      <c r="CD1731" t="b">
        <v>0</v>
      </c>
      <c r="CE1731" t="b">
        <v>0</v>
      </c>
      <c r="CF1731" t="b">
        <v>0</v>
      </c>
      <c r="CG1731">
        <v>2824002</v>
      </c>
      <c r="CH1731" t="s">
        <v>1681</v>
      </c>
      <c r="CI1731" s="10">
        <v>860000</v>
      </c>
      <c r="CJ1731" s="7">
        <v>34043</v>
      </c>
    </row>
    <row r="1732" spans="1:90">
      <c r="A1732">
        <v>28029745</v>
      </c>
      <c r="B1732" s="2" t="str">
        <f>HYPERLINK("http://www.redfin.com/stingray/do/printable-listing?listing-id=1494467","Active")</f>
        <v>Active</v>
      </c>
      <c r="D1732" t="s">
        <v>4359</v>
      </c>
      <c r="E1732" t="s">
        <v>4847</v>
      </c>
      <c r="F1732">
        <v>869950</v>
      </c>
      <c r="G1732">
        <v>2003</v>
      </c>
      <c r="H1732">
        <v>2966</v>
      </c>
      <c r="I1732">
        <v>6600</v>
      </c>
      <c r="J1732">
        <v>4</v>
      </c>
      <c r="K1732">
        <v>2.5</v>
      </c>
      <c r="M1732" s="2" t="str">
        <f>HYPERLINK("http://maps.live.com/default.aspx?v=2&amp;lvl=15&amp;sp=Point.47.689637_-122.167227_13028 NE 100th St&amp;cp=47.689637~-122.167227","Map")</f>
        <v>Map</v>
      </c>
      <c r="N1732" s="2" t="str">
        <f>HYPERLINK("http://i-0.rfimg.us/photo/1/bigphoto/745/28029745_1.jpg","Photo")</f>
        <v>Photo</v>
      </c>
      <c r="AG1732">
        <v>47.689636999999998</v>
      </c>
      <c r="AH1732">
        <v>-122.167227</v>
      </c>
      <c r="AI1732" t="s">
        <v>1058</v>
      </c>
      <c r="AJ1732">
        <v>98033</v>
      </c>
      <c r="AN1732">
        <v>560000</v>
      </c>
      <c r="BC1732" s="22">
        <v>39498.432245370372</v>
      </c>
      <c r="BI1732" s="22">
        <v>39549.294907407406</v>
      </c>
      <c r="BL1732">
        <v>17399</v>
      </c>
      <c r="BM1732">
        <v>1494467</v>
      </c>
      <c r="BN1732" t="s">
        <v>1674</v>
      </c>
      <c r="BO1732" s="17">
        <f t="shared" ca="1" si="27"/>
        <v>50.877160532407288</v>
      </c>
      <c r="BP1732" t="b">
        <v>0</v>
      </c>
      <c r="BQ1732">
        <v>1</v>
      </c>
      <c r="BR1732" t="s">
        <v>1686</v>
      </c>
      <c r="BS1732" t="s">
        <v>2806</v>
      </c>
      <c r="BT1732" t="b">
        <v>0</v>
      </c>
      <c r="BU1732" t="s">
        <v>1738</v>
      </c>
      <c r="BV1732" t="s">
        <v>1668</v>
      </c>
      <c r="BW1732">
        <v>13028</v>
      </c>
      <c r="BY1732">
        <v>512725</v>
      </c>
      <c r="BZ1732" t="s">
        <v>4848</v>
      </c>
      <c r="CA1732">
        <v>1</v>
      </c>
      <c r="CB1732" t="b">
        <v>1</v>
      </c>
      <c r="CC1732">
        <v>0</v>
      </c>
      <c r="CD1732" t="b">
        <v>0</v>
      </c>
      <c r="CE1732" t="b">
        <v>0</v>
      </c>
      <c r="CF1732" t="b">
        <v>0</v>
      </c>
      <c r="CG1732">
        <v>2442889</v>
      </c>
      <c r="CH1732" t="s">
        <v>1681</v>
      </c>
      <c r="CI1732" s="10">
        <v>869950</v>
      </c>
      <c r="CJ1732" s="7">
        <v>37944</v>
      </c>
    </row>
    <row r="1733" spans="1:90">
      <c r="A1733">
        <v>28029746</v>
      </c>
      <c r="B1733" s="15" t="str">
        <f>HYPERLINK("http://www.redfin.com/stingray/do/printable-listing?listing-id=1492345","Subject To Inspection")</f>
        <v>Subject To Inspection</v>
      </c>
      <c r="D1733" t="s">
        <v>2850</v>
      </c>
      <c r="E1733" t="s">
        <v>4495</v>
      </c>
      <c r="F1733">
        <v>639900</v>
      </c>
      <c r="G1733">
        <v>1976</v>
      </c>
      <c r="H1733">
        <v>2820</v>
      </c>
      <c r="I1733">
        <v>12066</v>
      </c>
      <c r="J1733">
        <v>4</v>
      </c>
      <c r="K1733">
        <v>2.5</v>
      </c>
      <c r="M1733" s="2" t="str">
        <f>HYPERLINK("http://maps.live.com/default.aspx?v=2&amp;lvl=15&amp;sp=Point.47.712324_-122.221706_12504 89 Pl NE&amp;cp=47.712324~-122.221706","Map")</f>
        <v>Map</v>
      </c>
      <c r="N1733" s="2" t="str">
        <f>HYPERLINK("http://i-0.rfimg.us/photo/1/bigphoto/746/28029746_0.jpg","Photo")</f>
        <v>Photo</v>
      </c>
      <c r="AG1733">
        <v>47.712324000000002</v>
      </c>
      <c r="AH1733">
        <v>-122.221706</v>
      </c>
      <c r="AI1733" t="s">
        <v>1058</v>
      </c>
      <c r="AJ1733">
        <v>98034</v>
      </c>
      <c r="BC1733" s="22">
        <v>39497.652905092589</v>
      </c>
      <c r="BI1733" s="22">
        <v>39549.294907407406</v>
      </c>
      <c r="BL1733">
        <v>12798</v>
      </c>
      <c r="BM1733">
        <v>1492345</v>
      </c>
      <c r="BN1733" t="s">
        <v>1725</v>
      </c>
      <c r="BO1733" s="17">
        <f t="shared" ca="1" si="27"/>
        <v>51.656500810189755</v>
      </c>
      <c r="BP1733" t="b">
        <v>0</v>
      </c>
      <c r="BQ1733">
        <v>1</v>
      </c>
      <c r="BR1733" t="s">
        <v>1842</v>
      </c>
      <c r="BS1733">
        <v>89</v>
      </c>
      <c r="BT1733" t="b">
        <v>0</v>
      </c>
      <c r="BV1733" t="s">
        <v>1668</v>
      </c>
      <c r="BW1733">
        <v>12504</v>
      </c>
      <c r="BX1733" t="s">
        <v>1738</v>
      </c>
      <c r="BY1733">
        <v>279824</v>
      </c>
      <c r="BZ1733" t="s">
        <v>1670</v>
      </c>
      <c r="CA1733">
        <v>1</v>
      </c>
      <c r="CB1733" t="b">
        <v>1</v>
      </c>
      <c r="CC1733">
        <v>0</v>
      </c>
      <c r="CD1733" t="b">
        <v>0</v>
      </c>
      <c r="CE1733" t="b">
        <v>0</v>
      </c>
      <c r="CF1733" t="b">
        <v>0</v>
      </c>
      <c r="CG1733">
        <v>2897828</v>
      </c>
      <c r="CH1733" t="s">
        <v>1681</v>
      </c>
      <c r="CI1733" s="10">
        <v>639900</v>
      </c>
    </row>
    <row r="1734" spans="1:90">
      <c r="A1734">
        <v>28029758</v>
      </c>
      <c r="B1734" s="2" t="str">
        <f>HYPERLINK("http://www.redfin.com/stingray/do/printable-listing?listing-id=1494517","Active")</f>
        <v>Active</v>
      </c>
      <c r="D1734" t="s">
        <v>3721</v>
      </c>
      <c r="E1734" t="s">
        <v>4209</v>
      </c>
      <c r="F1734" s="19">
        <v>3280000</v>
      </c>
      <c r="G1734">
        <v>1904</v>
      </c>
      <c r="H1734">
        <v>5290</v>
      </c>
      <c r="I1734">
        <v>8400</v>
      </c>
      <c r="J1734">
        <v>5</v>
      </c>
      <c r="K1734">
        <v>3.75</v>
      </c>
      <c r="M1734" s="2" t="str">
        <f>HYPERLINK("http://maps.live.com/default.aspx?v=2&amp;lvl=15&amp;sp=Point.47.627572_-122.28645_1002 36th Ave E&amp;cp=47.627572~-122.28645","Map")</f>
        <v>Map</v>
      </c>
      <c r="N1734" s="2" t="str">
        <f>HYPERLINK("http://i-0.rfimg.us/photo/1/bigphoto/758/28029758_0.jpg","Photo")</f>
        <v>Photo</v>
      </c>
      <c r="AG1734">
        <v>47.627572000000001</v>
      </c>
      <c r="AH1734">
        <v>-122.28645</v>
      </c>
      <c r="AI1734" t="s">
        <v>66</v>
      </c>
      <c r="AJ1734">
        <v>98112</v>
      </c>
      <c r="AN1734">
        <v>455000</v>
      </c>
      <c r="BC1734" s="22">
        <v>39498.443379629629</v>
      </c>
      <c r="BI1734" s="22">
        <v>39549.294907407406</v>
      </c>
      <c r="BL1734">
        <v>69700</v>
      </c>
      <c r="BM1734">
        <v>1494517</v>
      </c>
      <c r="BN1734" t="s">
        <v>1829</v>
      </c>
      <c r="BO1734" s="17">
        <f t="shared" ca="1" si="27"/>
        <v>50.866026273150055</v>
      </c>
      <c r="BP1734" t="b">
        <v>0</v>
      </c>
      <c r="BQ1734">
        <v>1</v>
      </c>
      <c r="BR1734" t="s">
        <v>1667</v>
      </c>
      <c r="BS1734" t="s">
        <v>2911</v>
      </c>
      <c r="BT1734" t="b">
        <v>0</v>
      </c>
      <c r="BV1734" t="s">
        <v>1668</v>
      </c>
      <c r="BW1734">
        <v>1002</v>
      </c>
      <c r="BX1734" t="s">
        <v>2436</v>
      </c>
      <c r="BY1734">
        <v>140005</v>
      </c>
      <c r="BZ1734" s="21">
        <v>0</v>
      </c>
      <c r="CA1734">
        <v>1</v>
      </c>
      <c r="CB1734" t="b">
        <v>1</v>
      </c>
      <c r="CC1734">
        <v>0</v>
      </c>
      <c r="CD1734" t="b">
        <v>0</v>
      </c>
      <c r="CE1734" t="b">
        <v>0</v>
      </c>
      <c r="CF1734" t="b">
        <v>0</v>
      </c>
      <c r="CG1734">
        <v>2377964</v>
      </c>
      <c r="CH1734" t="s">
        <v>1681</v>
      </c>
      <c r="CI1734" s="10">
        <v>3485000</v>
      </c>
      <c r="CJ1734" s="7">
        <v>32157</v>
      </c>
    </row>
    <row r="1735" spans="1:90">
      <c r="A1735">
        <v>28029780</v>
      </c>
      <c r="B1735" s="2" t="str">
        <f>HYPERLINK("http://www.redfin.com/stingray/do/printable-listing?listing-id=1504140","Active")</f>
        <v>Active</v>
      </c>
      <c r="D1735" t="s">
        <v>5490</v>
      </c>
      <c r="E1735" t="s">
        <v>5853</v>
      </c>
      <c r="F1735">
        <v>1099000</v>
      </c>
      <c r="G1735">
        <v>2006</v>
      </c>
      <c r="H1735">
        <v>3999</v>
      </c>
      <c r="I1735">
        <v>8276</v>
      </c>
      <c r="J1735">
        <v>4</v>
      </c>
      <c r="K1735">
        <v>3.5</v>
      </c>
      <c r="M1735" s="2" t="str">
        <f>HYPERLINK("http://maps.live.com/default.aspx?v=2&amp;lvl=15&amp;sp=Point.47.5394_-122.1188_16608 SE 70th St&amp;cp=47.5394~-122.1188","Map")</f>
        <v>Map</v>
      </c>
      <c r="N1735" s="2" t="str">
        <f>HYPERLINK("http://i-0.rfimg.us/photo/1/bigphoto/780/28029780_2.jpg","Photo")</f>
        <v>Photo</v>
      </c>
      <c r="AG1735">
        <v>47.539400000000001</v>
      </c>
      <c r="AH1735">
        <v>-122.11879999999999</v>
      </c>
      <c r="AI1735" t="s">
        <v>369</v>
      </c>
      <c r="AJ1735">
        <v>98006</v>
      </c>
      <c r="BC1735" s="22">
        <v>39501.650891203702</v>
      </c>
      <c r="BI1735" s="22">
        <v>39549.294907407406</v>
      </c>
      <c r="BL1735">
        <v>21980</v>
      </c>
      <c r="BM1735">
        <v>1504140</v>
      </c>
      <c r="BN1735" t="s">
        <v>1674</v>
      </c>
      <c r="BO1735" s="17">
        <f t="shared" ca="1" si="27"/>
        <v>47.658514699076477</v>
      </c>
      <c r="BP1735" t="b">
        <v>0</v>
      </c>
      <c r="BQ1735">
        <v>1</v>
      </c>
      <c r="BR1735" t="s">
        <v>1686</v>
      </c>
      <c r="BS1735" t="s">
        <v>1703</v>
      </c>
      <c r="BT1735" t="b">
        <v>0</v>
      </c>
      <c r="BU1735" t="s">
        <v>3856</v>
      </c>
      <c r="BV1735" t="s">
        <v>1668</v>
      </c>
      <c r="BW1735">
        <v>16608</v>
      </c>
      <c r="BY1735">
        <v>12227428</v>
      </c>
      <c r="BZ1735" t="s">
        <v>1912</v>
      </c>
      <c r="CA1735">
        <v>1</v>
      </c>
      <c r="CB1735" t="b">
        <v>1</v>
      </c>
      <c r="CC1735">
        <v>0</v>
      </c>
      <c r="CD1735" t="b">
        <v>0</v>
      </c>
      <c r="CE1735" t="b">
        <v>0</v>
      </c>
      <c r="CF1735" t="b">
        <v>0</v>
      </c>
      <c r="CG1735">
        <v>15455645</v>
      </c>
      <c r="CH1735" t="s">
        <v>1681</v>
      </c>
      <c r="CI1735" s="10">
        <v>1099000</v>
      </c>
    </row>
    <row r="1736" spans="1:90">
      <c r="A1736">
        <v>28029801</v>
      </c>
      <c r="B1736" s="15" t="str">
        <f>HYPERLINK("http://www.redfin.com/stingray/do/printable-listing?listing-id=1501917","Subject To Inspection")</f>
        <v>Subject To Inspection</v>
      </c>
      <c r="D1736" t="s">
        <v>3681</v>
      </c>
      <c r="E1736" t="s">
        <v>3822</v>
      </c>
      <c r="F1736" s="19">
        <v>948000</v>
      </c>
      <c r="G1736">
        <v>1919</v>
      </c>
      <c r="H1736">
        <v>2600</v>
      </c>
      <c r="I1736">
        <v>4500</v>
      </c>
      <c r="J1736">
        <v>4</v>
      </c>
      <c r="K1736">
        <v>2.75</v>
      </c>
      <c r="M1736" s="2" t="str">
        <f>HYPERLINK("http://maps.live.com/default.aspx?v=2&amp;lvl=15&amp;sp=Point.47.640828_-122.301752_2416 24th Ave E&amp;cp=47.640828~-122.301752","Map")</f>
        <v>Map</v>
      </c>
      <c r="N1736" s="2" t="str">
        <f>HYPERLINK("http://i-0.rfimg.us/photo/1/bigphoto/801/28029801_2.jpg","Photo")</f>
        <v>Photo</v>
      </c>
      <c r="AG1736">
        <v>47.640827999999999</v>
      </c>
      <c r="AH1736">
        <v>-122.30175199999999</v>
      </c>
      <c r="AI1736" t="s">
        <v>66</v>
      </c>
      <c r="AJ1736">
        <v>98112</v>
      </c>
      <c r="AN1736">
        <v>454155</v>
      </c>
      <c r="BC1736" s="22">
        <v>39500.631863425922</v>
      </c>
      <c r="BI1736" s="22">
        <v>39549.294907407406</v>
      </c>
      <c r="BL1736">
        <v>19498</v>
      </c>
      <c r="BM1736">
        <v>1501917</v>
      </c>
      <c r="BN1736" t="s">
        <v>1710</v>
      </c>
      <c r="BO1736" s="17">
        <f t="shared" ca="1" si="27"/>
        <v>48.677542476856615</v>
      </c>
      <c r="BP1736" t="b">
        <v>0</v>
      </c>
      <c r="BQ1736">
        <v>1</v>
      </c>
      <c r="BR1736" t="s">
        <v>1667</v>
      </c>
      <c r="BS1736" t="s">
        <v>1740</v>
      </c>
      <c r="BT1736" t="b">
        <v>0</v>
      </c>
      <c r="BV1736" t="s">
        <v>1668</v>
      </c>
      <c r="BW1736">
        <v>2416</v>
      </c>
      <c r="BX1736" t="s">
        <v>2436</v>
      </c>
      <c r="BY1736">
        <v>138344</v>
      </c>
      <c r="BZ1736" t="s">
        <v>3823</v>
      </c>
      <c r="CA1736">
        <v>1</v>
      </c>
      <c r="CB1736" t="b">
        <v>1</v>
      </c>
      <c r="CC1736">
        <v>0</v>
      </c>
      <c r="CD1736" t="b">
        <v>0</v>
      </c>
      <c r="CE1736" t="b">
        <v>0</v>
      </c>
      <c r="CF1736" t="b">
        <v>0</v>
      </c>
      <c r="CG1736">
        <v>2943430</v>
      </c>
      <c r="CH1736" t="s">
        <v>1681</v>
      </c>
      <c r="CI1736" s="10">
        <v>974900</v>
      </c>
      <c r="CJ1736" s="7">
        <v>38757</v>
      </c>
    </row>
    <row r="1737" spans="1:90">
      <c r="A1737">
        <v>28029814</v>
      </c>
      <c r="B1737" s="2" t="str">
        <f>HYPERLINK("http://www.redfin.com/stingray/do/printable-listing?listing-id=1492539","Active")</f>
        <v>Active</v>
      </c>
      <c r="D1737" t="s">
        <v>5121</v>
      </c>
      <c r="E1737" t="s">
        <v>5522</v>
      </c>
      <c r="F1737">
        <v>1125000</v>
      </c>
      <c r="G1737">
        <v>1951</v>
      </c>
      <c r="H1737">
        <v>2890</v>
      </c>
      <c r="I1737">
        <v>23037</v>
      </c>
      <c r="J1737">
        <v>3</v>
      </c>
      <c r="K1737">
        <v>2.75</v>
      </c>
      <c r="M1737" s="2" t="str">
        <f>HYPERLINK("http://maps.live.com/default.aspx?v=2&amp;lvl=15&amp;sp=Point.47.599531_-122.202224_101 Cedar Crest Ln&amp;cp=47.599531~-122.202224","Map")</f>
        <v>Map</v>
      </c>
      <c r="N1737" s="2" t="str">
        <f>HYPERLINK("http://i-0.rfimg.us/photo/1/bigphoto/814/28029814_1.jpg","Photo")</f>
        <v>Photo</v>
      </c>
      <c r="AG1737">
        <v>47.599530999999999</v>
      </c>
      <c r="AH1737">
        <v>-122.202224</v>
      </c>
      <c r="AI1737" t="s">
        <v>369</v>
      </c>
      <c r="AJ1737">
        <v>98004</v>
      </c>
      <c r="AN1737">
        <v>425000</v>
      </c>
      <c r="BC1737" s="22">
        <v>39497.694467592592</v>
      </c>
      <c r="BI1737" s="22">
        <v>39549.294907407406</v>
      </c>
      <c r="BL1737">
        <v>22500</v>
      </c>
      <c r="BM1737">
        <v>1492539</v>
      </c>
      <c r="BN1737" t="s">
        <v>3883</v>
      </c>
      <c r="BO1737" s="17">
        <f t="shared" ca="1" si="27"/>
        <v>51.614938310187426</v>
      </c>
      <c r="BP1737" t="b">
        <v>0</v>
      </c>
      <c r="BQ1737">
        <v>1</v>
      </c>
      <c r="BR1737" t="s">
        <v>2963</v>
      </c>
      <c r="BS1737" t="s">
        <v>5523</v>
      </c>
      <c r="BT1737" t="b">
        <v>0</v>
      </c>
      <c r="BV1737" t="s">
        <v>1668</v>
      </c>
      <c r="BW1737">
        <v>101</v>
      </c>
      <c r="BY1737">
        <v>253223</v>
      </c>
      <c r="BZ1737" t="s">
        <v>2152</v>
      </c>
      <c r="CA1737">
        <v>1</v>
      </c>
      <c r="CB1737" t="b">
        <v>1</v>
      </c>
      <c r="CC1737">
        <v>0</v>
      </c>
      <c r="CD1737" t="b">
        <v>0</v>
      </c>
      <c r="CE1737" t="b">
        <v>0</v>
      </c>
      <c r="CF1737" t="b">
        <v>0</v>
      </c>
      <c r="CG1737">
        <v>2797520</v>
      </c>
      <c r="CH1737" t="s">
        <v>1681</v>
      </c>
      <c r="CI1737" s="10">
        <v>1125000</v>
      </c>
      <c r="CJ1737" s="7">
        <v>37183</v>
      </c>
    </row>
    <row r="1738" spans="1:90">
      <c r="A1738">
        <v>28029816</v>
      </c>
      <c r="B1738" s="2" t="str">
        <f>HYPERLINK("http://www.redfin.com/stingray/do/printable-listing?listing-id=1492610","Active")</f>
        <v>Active</v>
      </c>
      <c r="D1738" t="s">
        <v>369</v>
      </c>
      <c r="E1738" t="s">
        <v>5424</v>
      </c>
      <c r="F1738">
        <v>455900</v>
      </c>
      <c r="G1738">
        <v>1981</v>
      </c>
      <c r="H1738">
        <v>1822</v>
      </c>
      <c r="I1738">
        <v>0</v>
      </c>
      <c r="J1738">
        <v>3</v>
      </c>
      <c r="K1738">
        <v>2.5</v>
      </c>
      <c r="M1738" s="2" t="str">
        <f>HYPERLINK("http://maps.live.com/default.aspx?v=2&amp;lvl=15&amp;sp=Point.47.579355_-122.124702_3425 161ST Pl SE&amp;cp=47.579355~-122.124702","Map")</f>
        <v>Map</v>
      </c>
      <c r="N1738" s="2" t="str">
        <f>HYPERLINK("http://i-0.rfimg.us/photo/1/bigphoto/816/28029816_1.jpg","Photo")</f>
        <v>Photo</v>
      </c>
      <c r="AG1738">
        <v>47.579355</v>
      </c>
      <c r="AH1738">
        <v>-122.124702</v>
      </c>
      <c r="AI1738" t="s">
        <v>369</v>
      </c>
      <c r="AJ1738">
        <v>98008</v>
      </c>
      <c r="BC1738" s="22">
        <v>39497.704027777778</v>
      </c>
      <c r="BI1738" s="7">
        <v>39542</v>
      </c>
      <c r="BL1738">
        <v>9118</v>
      </c>
      <c r="BM1738">
        <v>1492610</v>
      </c>
      <c r="BN1738" t="s">
        <v>1776</v>
      </c>
      <c r="BO1738" s="17">
        <f t="shared" ca="1" si="27"/>
        <v>51.605378125001153</v>
      </c>
      <c r="BP1738" t="b">
        <v>0</v>
      </c>
      <c r="BQ1738">
        <v>1</v>
      </c>
      <c r="BR1738" t="s">
        <v>1842</v>
      </c>
      <c r="BS1738" t="s">
        <v>5425</v>
      </c>
      <c r="BT1738" t="b">
        <v>0</v>
      </c>
      <c r="BV1738" t="s">
        <v>1668</v>
      </c>
      <c r="BW1738">
        <v>3425</v>
      </c>
      <c r="BX1738" t="s">
        <v>3856</v>
      </c>
      <c r="BY1738">
        <v>12388165</v>
      </c>
      <c r="BZ1738" t="s">
        <v>5052</v>
      </c>
      <c r="CA1738">
        <v>1</v>
      </c>
      <c r="CB1738" t="b">
        <v>1</v>
      </c>
      <c r="CC1738">
        <v>0</v>
      </c>
      <c r="CD1738" t="b">
        <v>0</v>
      </c>
      <c r="CE1738" t="b">
        <v>0</v>
      </c>
      <c r="CF1738" t="b">
        <v>0</v>
      </c>
      <c r="CG1738">
        <v>15591913</v>
      </c>
      <c r="CH1738" t="s">
        <v>1681</v>
      </c>
      <c r="CI1738" s="10">
        <v>455900</v>
      </c>
    </row>
    <row r="1739" spans="1:90">
      <c r="A1739">
        <v>28029893</v>
      </c>
      <c r="B1739" s="2" t="str">
        <f>HYPERLINK("http://www.redfin.com/stingray/do/printable-listing?listing-id=1492747","Active")</f>
        <v>Active</v>
      </c>
      <c r="D1739" t="s">
        <v>1077</v>
      </c>
      <c r="E1739" t="s">
        <v>3908</v>
      </c>
      <c r="F1739">
        <v>629888</v>
      </c>
      <c r="G1739">
        <v>2008</v>
      </c>
      <c r="H1739">
        <v>2985</v>
      </c>
      <c r="I1739">
        <v>6000</v>
      </c>
      <c r="J1739">
        <v>4</v>
      </c>
      <c r="K1739">
        <v>2.5</v>
      </c>
      <c r="M1739" s="2" t="str">
        <f>HYPERLINK("http://maps.live.com/default.aspx?v=2&amp;lvl=15&amp;sp=adr.15933 SE 135th Pl (Unable to map),98059","Map")</f>
        <v>Map</v>
      </c>
      <c r="N1739" s="2" t="str">
        <f>HYPERLINK("http://i-0.rfimg.us/photo/1/bigphoto/893/28029893_1.jpg","Photo")</f>
        <v>Photo</v>
      </c>
      <c r="AI1739" t="s">
        <v>1077</v>
      </c>
      <c r="AJ1739">
        <v>98059</v>
      </c>
      <c r="BC1739" s="22">
        <v>39497.745891203704</v>
      </c>
      <c r="BI1739" s="22">
        <v>39549.294907407406</v>
      </c>
      <c r="BL1739">
        <v>12598</v>
      </c>
      <c r="BM1739">
        <v>1492747</v>
      </c>
      <c r="BN1739" t="s">
        <v>3907</v>
      </c>
      <c r="BO1739" s="17">
        <f t="shared" ca="1" si="27"/>
        <v>51.563514699075313</v>
      </c>
      <c r="BP1739" t="b">
        <v>0</v>
      </c>
      <c r="BQ1739">
        <v>1</v>
      </c>
      <c r="BR1739" t="s">
        <v>1842</v>
      </c>
      <c r="BS1739" t="s">
        <v>3909</v>
      </c>
      <c r="BT1739" t="b">
        <v>0</v>
      </c>
      <c r="BU1739" t="s">
        <v>3856</v>
      </c>
      <c r="BV1739" t="s">
        <v>1668</v>
      </c>
      <c r="BW1739">
        <v>15933</v>
      </c>
      <c r="BY1739">
        <v>0</v>
      </c>
      <c r="BZ1739" t="s">
        <v>3670</v>
      </c>
      <c r="CA1739">
        <v>1</v>
      </c>
      <c r="CB1739" t="b">
        <v>1</v>
      </c>
      <c r="CC1739">
        <v>0</v>
      </c>
      <c r="CD1739" t="b">
        <v>0</v>
      </c>
      <c r="CE1739" t="b">
        <v>0</v>
      </c>
      <c r="CF1739" t="b">
        <v>0</v>
      </c>
      <c r="CG1739" t="s">
        <v>1870</v>
      </c>
      <c r="CH1739" t="s">
        <v>1681</v>
      </c>
      <c r="CI1739" s="10">
        <v>629888</v>
      </c>
    </row>
    <row r="1740" spans="1:90">
      <c r="A1740">
        <v>28029916</v>
      </c>
      <c r="B1740" s="2" t="str">
        <f>HYPERLINK("http://www.redfin.com/stingray/do/printable-listing?listing-id=1495066","Active")</f>
        <v>Active</v>
      </c>
      <c r="D1740" t="s">
        <v>3089</v>
      </c>
      <c r="E1740" t="s">
        <v>3211</v>
      </c>
      <c r="F1740">
        <v>1588000</v>
      </c>
      <c r="G1740">
        <v>2008</v>
      </c>
      <c r="H1740">
        <v>4400</v>
      </c>
      <c r="I1740">
        <v>6120</v>
      </c>
      <c r="J1740">
        <v>4</v>
      </c>
      <c r="K1740">
        <v>3.5</v>
      </c>
      <c r="M1740" s="2" t="str">
        <f>HYPERLINK("http://maps.live.com/default.aspx?v=2&amp;lvl=15&amp;sp=Point.47.664568_-122.280154_4750 44th Ave NE&amp;cp=47.664568~-122.280154","Map")</f>
        <v>Map</v>
      </c>
      <c r="N1740" s="2" t="str">
        <f>HYPERLINK("http://i-0.rfimg.us/photo/1/bigphoto/916/28029916_2.jpg","Photo")</f>
        <v>Photo</v>
      </c>
      <c r="AG1740">
        <v>47.664568000000003</v>
      </c>
      <c r="AH1740">
        <v>-122.280154</v>
      </c>
      <c r="AI1740" t="s">
        <v>66</v>
      </c>
      <c r="AJ1740">
        <v>98105</v>
      </c>
      <c r="AN1740">
        <v>500000</v>
      </c>
      <c r="BC1740" s="22">
        <v>39498.580312500002</v>
      </c>
      <c r="BI1740" s="22">
        <v>39549.294907407406</v>
      </c>
      <c r="BL1740">
        <v>31760</v>
      </c>
      <c r="BM1740">
        <v>1495066</v>
      </c>
      <c r="BN1740" t="s">
        <v>1674</v>
      </c>
      <c r="BO1740" s="17">
        <f t="shared" ca="1" si="27"/>
        <v>50.729093402776925</v>
      </c>
      <c r="BP1740" t="b">
        <v>0</v>
      </c>
      <c r="BQ1740">
        <v>1</v>
      </c>
      <c r="BR1740" t="s">
        <v>1667</v>
      </c>
      <c r="BS1740" t="s">
        <v>3082</v>
      </c>
      <c r="BT1740" t="b">
        <v>0</v>
      </c>
      <c r="BV1740" t="s">
        <v>1668</v>
      </c>
      <c r="BW1740">
        <v>4750</v>
      </c>
      <c r="BX1740" t="s">
        <v>1738</v>
      </c>
      <c r="BY1740">
        <v>121752</v>
      </c>
      <c r="BZ1740" t="s">
        <v>2016</v>
      </c>
      <c r="CA1740">
        <v>1</v>
      </c>
      <c r="CB1740" t="b">
        <v>1</v>
      </c>
      <c r="CC1740">
        <v>0</v>
      </c>
      <c r="CD1740" t="b">
        <v>0</v>
      </c>
      <c r="CE1740" t="b">
        <v>0</v>
      </c>
      <c r="CF1740" t="b">
        <v>0</v>
      </c>
      <c r="CG1740">
        <v>2954887</v>
      </c>
      <c r="CH1740" t="s">
        <v>1681</v>
      </c>
      <c r="CI1740" s="10">
        <v>1588000</v>
      </c>
      <c r="CJ1740" s="7">
        <v>38961</v>
      </c>
    </row>
    <row r="1741" spans="1:90">
      <c r="A1741">
        <v>28029921</v>
      </c>
      <c r="B1741" s="2" t="str">
        <f>HYPERLINK("http://www.redfin.com/stingray/do/printable-listing?listing-id=1494313","Active")</f>
        <v>Active</v>
      </c>
      <c r="D1741" t="s">
        <v>60</v>
      </c>
      <c r="E1741" t="s">
        <v>1394</v>
      </c>
      <c r="F1741">
        <v>449950</v>
      </c>
      <c r="G1741">
        <v>1908</v>
      </c>
      <c r="H1741">
        <v>1800</v>
      </c>
      <c r="I1741">
        <v>5100</v>
      </c>
      <c r="J1741">
        <v>3</v>
      </c>
      <c r="K1741">
        <v>1</v>
      </c>
      <c r="M1741" s="2" t="str">
        <f>HYPERLINK("http://maps.live.com/default.aspx?v=2&amp;lvl=15&amp;sp=Point.47.69469_-122.345403_939 N 91st St&amp;cp=47.69469~-122.345403","Map")</f>
        <v>Map</v>
      </c>
      <c r="N1741" s="2" t="str">
        <f>HYPERLINK("http://i-0.rfimg.us/photo/1/bigphoto/921/28029921_1.jpg","Photo")</f>
        <v>Photo</v>
      </c>
      <c r="AG1741">
        <v>47.694690000000001</v>
      </c>
      <c r="AH1741">
        <v>-122.345403</v>
      </c>
      <c r="AI1741" t="s">
        <v>66</v>
      </c>
      <c r="AJ1741">
        <v>98103</v>
      </c>
      <c r="AN1741">
        <v>265000</v>
      </c>
      <c r="BC1741" s="22">
        <v>39498.400671296295</v>
      </c>
      <c r="BI1741" s="22">
        <v>39549.294907407406</v>
      </c>
      <c r="BL1741">
        <v>8999</v>
      </c>
      <c r="BM1741">
        <v>1494313</v>
      </c>
      <c r="BN1741" t="s">
        <v>2816</v>
      </c>
      <c r="BO1741" s="17">
        <f t="shared" ca="1" si="27"/>
        <v>50.908734606484359</v>
      </c>
      <c r="BP1741" t="b">
        <v>0</v>
      </c>
      <c r="BQ1741">
        <v>1</v>
      </c>
      <c r="BR1741" t="s">
        <v>1686</v>
      </c>
      <c r="BS1741" t="s">
        <v>2818</v>
      </c>
      <c r="BT1741" t="b">
        <v>0</v>
      </c>
      <c r="BU1741" t="s">
        <v>1712</v>
      </c>
      <c r="BV1741" t="s">
        <v>1668</v>
      </c>
      <c r="BW1741">
        <v>939</v>
      </c>
      <c r="BY1741">
        <v>99599</v>
      </c>
      <c r="BZ1741" t="s">
        <v>1756</v>
      </c>
      <c r="CA1741">
        <v>1</v>
      </c>
      <c r="CB1741" t="b">
        <v>1</v>
      </c>
      <c r="CC1741">
        <v>0</v>
      </c>
      <c r="CD1741" t="b">
        <v>0</v>
      </c>
      <c r="CE1741" t="b">
        <v>0</v>
      </c>
      <c r="CF1741" t="b">
        <v>0</v>
      </c>
      <c r="CG1741">
        <v>2397765</v>
      </c>
      <c r="CH1741" t="s">
        <v>1681</v>
      </c>
      <c r="CI1741" s="10">
        <v>449950</v>
      </c>
      <c r="CJ1741" s="7">
        <v>37862</v>
      </c>
      <c r="CL1741" t="s">
        <v>2817</v>
      </c>
    </row>
    <row r="1742" spans="1:90">
      <c r="A1742">
        <v>28029978</v>
      </c>
      <c r="B1742" s="2" t="str">
        <f>HYPERLINK("http://www.redfin.com/stingray/do/printable-listing?listing-id=1539372","Active")</f>
        <v>Active</v>
      </c>
      <c r="D1742" t="s">
        <v>5490</v>
      </c>
      <c r="E1742" t="s">
        <v>5602</v>
      </c>
      <c r="F1742" s="19">
        <v>969950</v>
      </c>
      <c r="G1742">
        <v>2008</v>
      </c>
      <c r="H1742">
        <v>3348</v>
      </c>
      <c r="I1742">
        <v>7336</v>
      </c>
      <c r="J1742">
        <v>4</v>
      </c>
      <c r="K1742">
        <v>3.5</v>
      </c>
      <c r="M1742" s="2" t="str">
        <f>HYPERLINK("http://maps.live.com/default.aspx?v=2&amp;lvl=15&amp;sp=Point.47.564237_-122.125278_16060 SE 45th Pl&amp;cp=47.564237~-122.125278","Map")</f>
        <v>Map</v>
      </c>
      <c r="N1742" s="2" t="str">
        <f>HYPERLINK("http://i-0.rfimg.us/photo/1/bigphoto/978/28029978_2.jpg","Photo")</f>
        <v>Photo</v>
      </c>
      <c r="AG1742">
        <v>47.564236999999999</v>
      </c>
      <c r="AH1742">
        <v>-122.12527799999999</v>
      </c>
      <c r="AI1742" t="s">
        <v>5280</v>
      </c>
      <c r="AJ1742">
        <v>98027</v>
      </c>
      <c r="BC1742" s="22">
        <v>39514.432025462964</v>
      </c>
      <c r="BI1742" s="22">
        <v>39549.294907407406</v>
      </c>
      <c r="BL1742">
        <v>19599</v>
      </c>
      <c r="BM1742">
        <v>1539372</v>
      </c>
      <c r="BN1742" t="s">
        <v>1674</v>
      </c>
      <c r="BO1742" s="17">
        <f t="shared" ca="1" si="27"/>
        <v>34.87738043981517</v>
      </c>
      <c r="BP1742" t="b">
        <v>0</v>
      </c>
      <c r="BQ1742">
        <v>1</v>
      </c>
      <c r="BR1742" t="s">
        <v>1842</v>
      </c>
      <c r="BS1742" t="s">
        <v>2667</v>
      </c>
      <c r="BT1742" t="b">
        <v>0</v>
      </c>
      <c r="BU1742" t="s">
        <v>3856</v>
      </c>
      <c r="BV1742" t="s">
        <v>1668</v>
      </c>
      <c r="BW1742">
        <v>16060</v>
      </c>
      <c r="BY1742">
        <v>12304882</v>
      </c>
      <c r="BZ1742" t="s">
        <v>5603</v>
      </c>
      <c r="CA1742">
        <v>1</v>
      </c>
      <c r="CB1742" t="b">
        <v>1</v>
      </c>
      <c r="CC1742">
        <v>0</v>
      </c>
      <c r="CD1742" t="b">
        <v>0</v>
      </c>
      <c r="CE1742" t="b">
        <v>0</v>
      </c>
      <c r="CF1742" t="b">
        <v>0</v>
      </c>
      <c r="CG1742">
        <v>15511815</v>
      </c>
      <c r="CH1742" t="s">
        <v>1681</v>
      </c>
      <c r="CI1742" s="10">
        <v>979950</v>
      </c>
    </row>
    <row r="1743" spans="1:90">
      <c r="A1743">
        <v>28030001</v>
      </c>
      <c r="B1743" s="15" t="str">
        <f>HYPERLINK("http://www.redfin.com/stingray/do/printable-listing?listing-id=1494344","Subject To Inspection")</f>
        <v>Subject To Inspection</v>
      </c>
      <c r="D1743" t="s">
        <v>88</v>
      </c>
      <c r="E1743" t="s">
        <v>2367</v>
      </c>
      <c r="F1743">
        <v>600000</v>
      </c>
      <c r="G1743">
        <v>1922</v>
      </c>
      <c r="H1743">
        <v>0</v>
      </c>
      <c r="I1743">
        <v>6180</v>
      </c>
      <c r="J1743">
        <v>4</v>
      </c>
      <c r="K1743">
        <v>2.75</v>
      </c>
      <c r="M1743" s="2" t="str">
        <f>HYPERLINK("http://maps.live.com/default.aspx?v=2&amp;lvl=15&amp;sp=Point.47.685699_-122.356396_134 N 78 St&amp;cp=47.685699~-122.356396","Map")</f>
        <v>Map</v>
      </c>
      <c r="N1743" s="2" t="str">
        <f>HYPERLINK("http://i-0.rfimg.us/photo/1/bigphoto/001/28030001_1.jpg","Photo")</f>
        <v>Photo</v>
      </c>
      <c r="AG1743">
        <v>47.685699</v>
      </c>
      <c r="AH1743">
        <v>-122.356396</v>
      </c>
      <c r="AI1743" t="s">
        <v>66</v>
      </c>
      <c r="AJ1743">
        <v>98103</v>
      </c>
      <c r="AN1743">
        <v>71300</v>
      </c>
      <c r="BC1743" s="22">
        <v>39498.403379629628</v>
      </c>
      <c r="BI1743" s="22">
        <v>39547.913935185185</v>
      </c>
      <c r="BL1743">
        <v>12000</v>
      </c>
      <c r="BM1743">
        <v>1494344</v>
      </c>
      <c r="BN1743" t="s">
        <v>1737</v>
      </c>
      <c r="BO1743" s="17">
        <f t="shared" ca="1" si="27"/>
        <v>50.906026388889586</v>
      </c>
      <c r="BP1743" t="b">
        <v>0</v>
      </c>
      <c r="BQ1743">
        <v>1</v>
      </c>
      <c r="BR1743" t="s">
        <v>1686</v>
      </c>
      <c r="BS1743">
        <v>78</v>
      </c>
      <c r="BT1743" t="b">
        <v>0</v>
      </c>
      <c r="BU1743" t="s">
        <v>1712</v>
      </c>
      <c r="BV1743" t="s">
        <v>1668</v>
      </c>
      <c r="BW1743">
        <v>134</v>
      </c>
      <c r="BY1743">
        <v>497716</v>
      </c>
      <c r="BZ1743" t="s">
        <v>2368</v>
      </c>
      <c r="CA1743">
        <v>1</v>
      </c>
      <c r="CB1743" t="b">
        <v>1</v>
      </c>
      <c r="CC1743">
        <v>0</v>
      </c>
      <c r="CD1743" t="b">
        <v>0</v>
      </c>
      <c r="CE1743" t="b">
        <v>0</v>
      </c>
      <c r="CF1743" t="b">
        <v>0</v>
      </c>
      <c r="CG1743">
        <v>2905757</v>
      </c>
      <c r="CH1743" t="s">
        <v>1681</v>
      </c>
      <c r="CI1743" s="10">
        <v>600000</v>
      </c>
      <c r="CJ1743" s="7">
        <v>33133</v>
      </c>
    </row>
    <row r="1744" spans="1:90">
      <c r="A1744">
        <v>28030012</v>
      </c>
      <c r="B1744" s="2" t="str">
        <f>HYPERLINK("http://www.redfin.com/stingray/do/printable-listing?listing-id=1499167","Active")</f>
        <v>Active</v>
      </c>
      <c r="D1744" t="s">
        <v>88</v>
      </c>
      <c r="E1744" t="s">
        <v>1432</v>
      </c>
      <c r="F1744">
        <v>575000</v>
      </c>
      <c r="G1744">
        <v>1916</v>
      </c>
      <c r="H1744">
        <v>2440</v>
      </c>
      <c r="I1744">
        <v>0</v>
      </c>
      <c r="J1744">
        <v>4</v>
      </c>
      <c r="K1744">
        <v>2</v>
      </c>
      <c r="M1744" s="2" t="str">
        <f>HYPERLINK("http://maps.live.com/default.aspx?v=2&amp;lvl=15&amp;sp=Point.47.683788_-122.358341_105 NW 76th St&amp;cp=47.683788~-122.358341","Map")</f>
        <v>Map</v>
      </c>
      <c r="N1744" s="2" t="str">
        <f>HYPERLINK("http://i-0.rfimg.us/photo/1/bigphoto/012/28030012_1.jpg","Photo")</f>
        <v>Photo</v>
      </c>
      <c r="AG1744">
        <v>47.683788</v>
      </c>
      <c r="AH1744">
        <v>-122.358341</v>
      </c>
      <c r="AI1744" t="s">
        <v>66</v>
      </c>
      <c r="AJ1744">
        <v>98117</v>
      </c>
      <c r="AN1744">
        <v>212000</v>
      </c>
      <c r="BC1744" s="22">
        <v>39499.725624999999</v>
      </c>
      <c r="BI1744" s="7">
        <v>39517</v>
      </c>
      <c r="BL1744">
        <v>11500</v>
      </c>
      <c r="BM1744">
        <v>1499167</v>
      </c>
      <c r="BN1744" t="s">
        <v>1821</v>
      </c>
      <c r="BO1744" s="17">
        <f t="shared" ca="1" si="27"/>
        <v>49.583781018518494</v>
      </c>
      <c r="BP1744" t="b">
        <v>0</v>
      </c>
      <c r="BQ1744">
        <v>1</v>
      </c>
      <c r="BR1744" t="s">
        <v>1686</v>
      </c>
      <c r="BS1744" t="s">
        <v>2057</v>
      </c>
      <c r="BT1744" t="b">
        <v>0</v>
      </c>
      <c r="BU1744" t="s">
        <v>1669</v>
      </c>
      <c r="BV1744" t="s">
        <v>1668</v>
      </c>
      <c r="BW1744">
        <v>105</v>
      </c>
      <c r="BY1744">
        <v>495664</v>
      </c>
      <c r="BZ1744" t="s">
        <v>1892</v>
      </c>
      <c r="CA1744">
        <v>1</v>
      </c>
      <c r="CB1744" t="b">
        <v>1</v>
      </c>
      <c r="CC1744">
        <v>0</v>
      </c>
      <c r="CD1744" t="b">
        <v>0</v>
      </c>
      <c r="CE1744" t="b">
        <v>0</v>
      </c>
      <c r="CF1744" t="b">
        <v>0</v>
      </c>
      <c r="CG1744">
        <v>2550221</v>
      </c>
      <c r="CH1744" t="s">
        <v>1681</v>
      </c>
      <c r="CI1744" s="10">
        <v>575000</v>
      </c>
      <c r="CJ1744" s="7">
        <v>35139</v>
      </c>
    </row>
    <row r="1745" spans="1:90">
      <c r="A1745">
        <v>28030033</v>
      </c>
      <c r="B1745" s="2" t="str">
        <f>HYPERLINK("http://www.redfin.com/stingray/do/printable-listing?listing-id=1494378","Active")</f>
        <v>Active</v>
      </c>
      <c r="D1745" t="s">
        <v>70</v>
      </c>
      <c r="E1745" t="s">
        <v>2786</v>
      </c>
      <c r="F1745">
        <v>699950</v>
      </c>
      <c r="G1745">
        <v>1948</v>
      </c>
      <c r="H1745">
        <v>3050</v>
      </c>
      <c r="I1745">
        <v>7680</v>
      </c>
      <c r="J1745">
        <v>4</v>
      </c>
      <c r="K1745">
        <v>2.5</v>
      </c>
      <c r="M1745" s="2" t="str">
        <f>HYPERLINK("http://maps.live.com/default.aspx?v=2&amp;lvl=15&amp;sp=Point.47.721625_-122.362689_12703 4th Ave NW&amp;cp=47.721625~-122.362689","Map")</f>
        <v>Map</v>
      </c>
      <c r="N1745" s="2" t="str">
        <f>HYPERLINK("http://i-0.rfimg.us/photo/1/bigphoto/033/28030033_7.jpg","Photo")</f>
        <v>Photo</v>
      </c>
      <c r="AG1745">
        <v>47.721625000000003</v>
      </c>
      <c r="AH1745">
        <v>-122.362689</v>
      </c>
      <c r="AI1745" t="s">
        <v>66</v>
      </c>
      <c r="AJ1745">
        <v>98177</v>
      </c>
      <c r="AN1745">
        <v>429950</v>
      </c>
      <c r="BC1745" s="22">
        <v>39498.411261574074</v>
      </c>
      <c r="BI1745" s="22">
        <v>39549.294907407406</v>
      </c>
      <c r="BL1745">
        <v>13999</v>
      </c>
      <c r="BM1745">
        <v>1494378</v>
      </c>
      <c r="BN1745" t="s">
        <v>1702</v>
      </c>
      <c r="BO1745" s="17">
        <f t="shared" ca="1" si="27"/>
        <v>50.898144328704802</v>
      </c>
      <c r="BP1745" t="b">
        <v>0</v>
      </c>
      <c r="BQ1745">
        <v>1</v>
      </c>
      <c r="BR1745" t="s">
        <v>1667</v>
      </c>
      <c r="BS1745" t="s">
        <v>1724</v>
      </c>
      <c r="BT1745" t="b">
        <v>0</v>
      </c>
      <c r="BV1745" t="s">
        <v>1668</v>
      </c>
      <c r="BW1745">
        <v>12703</v>
      </c>
      <c r="BX1745" t="s">
        <v>1669</v>
      </c>
      <c r="BY1745">
        <v>291544</v>
      </c>
      <c r="BZ1745" t="s">
        <v>2787</v>
      </c>
      <c r="CA1745">
        <v>1</v>
      </c>
      <c r="CB1745" t="b">
        <v>1</v>
      </c>
      <c r="CC1745">
        <v>0</v>
      </c>
      <c r="CD1745" t="b">
        <v>0</v>
      </c>
      <c r="CE1745" t="b">
        <v>0</v>
      </c>
      <c r="CF1745" t="b">
        <v>0</v>
      </c>
      <c r="CG1745">
        <v>2524757</v>
      </c>
      <c r="CH1745" t="s">
        <v>1681</v>
      </c>
      <c r="CI1745" s="10">
        <v>699950</v>
      </c>
      <c r="CJ1745" s="7">
        <v>37370</v>
      </c>
    </row>
    <row r="1746" spans="1:90">
      <c r="A1746">
        <v>28030034</v>
      </c>
      <c r="B1746" s="2" t="str">
        <f>HYPERLINK("http://www.redfin.com/stingray/do/printable-listing?listing-id=1494917","Active")</f>
        <v>Active</v>
      </c>
      <c r="D1746" t="s">
        <v>5261</v>
      </c>
      <c r="E1746" t="s">
        <v>5614</v>
      </c>
      <c r="F1746">
        <v>775000</v>
      </c>
      <c r="G1746">
        <v>1972</v>
      </c>
      <c r="H1746">
        <v>2960</v>
      </c>
      <c r="I1746">
        <v>10274</v>
      </c>
      <c r="J1746">
        <v>4</v>
      </c>
      <c r="K1746">
        <v>2.5</v>
      </c>
      <c r="M1746" s="2" t="str">
        <f>HYPERLINK("http://maps.live.com/default.aspx?v=2&amp;lvl=15&amp;sp=Point.47.556405_-122.079587_19501 SE 51st St&amp;cp=47.556405~-122.079587","Map")</f>
        <v>Map</v>
      </c>
      <c r="N1746" s="2" t="str">
        <f>HYPERLINK("http://i-0.rfimg.us/photo/1/bigphoto/034/28030034_2.jpg","Photo")</f>
        <v>Photo</v>
      </c>
      <c r="AG1746">
        <v>47.556404999999998</v>
      </c>
      <c r="AH1746">
        <v>-122.079587</v>
      </c>
      <c r="AI1746" t="s">
        <v>5280</v>
      </c>
      <c r="AJ1746">
        <v>98027</v>
      </c>
      <c r="AN1746">
        <v>635000</v>
      </c>
      <c r="BC1746" s="22">
        <v>39498.537268518521</v>
      </c>
      <c r="BI1746" s="22">
        <v>39549.294907407406</v>
      </c>
      <c r="BL1746">
        <v>15500</v>
      </c>
      <c r="BM1746">
        <v>1494917</v>
      </c>
      <c r="BN1746" t="s">
        <v>1725</v>
      </c>
      <c r="BO1746" s="17">
        <f t="shared" ca="1" si="27"/>
        <v>50.772137384257803</v>
      </c>
      <c r="BP1746" t="b">
        <v>0</v>
      </c>
      <c r="BQ1746">
        <v>1</v>
      </c>
      <c r="BR1746" t="s">
        <v>1686</v>
      </c>
      <c r="BS1746" t="s">
        <v>2469</v>
      </c>
      <c r="BT1746" t="b">
        <v>0</v>
      </c>
      <c r="BU1746" t="s">
        <v>3856</v>
      </c>
      <c r="BV1746" t="s">
        <v>1668</v>
      </c>
      <c r="BW1746">
        <v>19501</v>
      </c>
      <c r="BY1746">
        <v>326488</v>
      </c>
      <c r="BZ1746" t="s">
        <v>5615</v>
      </c>
      <c r="CA1746">
        <v>1</v>
      </c>
      <c r="CB1746" t="b">
        <v>1</v>
      </c>
      <c r="CC1746">
        <v>0</v>
      </c>
      <c r="CD1746" t="b">
        <v>0</v>
      </c>
      <c r="CE1746" t="b">
        <v>0</v>
      </c>
      <c r="CF1746" t="b">
        <v>0</v>
      </c>
      <c r="CG1746">
        <v>2942055</v>
      </c>
      <c r="CH1746" t="s">
        <v>1681</v>
      </c>
      <c r="CI1746" s="10">
        <v>775000</v>
      </c>
      <c r="CJ1746" s="7">
        <v>38594</v>
      </c>
    </row>
    <row r="1747" spans="1:90">
      <c r="A1747">
        <v>28030039</v>
      </c>
      <c r="B1747" s="2" t="str">
        <f>HYPERLINK("http://www.redfin.com/stingray/do/printable-listing?listing-id=1494436","Active")</f>
        <v>Active</v>
      </c>
      <c r="D1747" t="s">
        <v>63</v>
      </c>
      <c r="E1747" t="s">
        <v>1396</v>
      </c>
      <c r="F1747">
        <v>450000</v>
      </c>
      <c r="G1747">
        <v>1923</v>
      </c>
      <c r="H1747">
        <v>1050</v>
      </c>
      <c r="I1747">
        <v>2550</v>
      </c>
      <c r="J1747">
        <v>2</v>
      </c>
      <c r="K1747">
        <v>1</v>
      </c>
      <c r="M1747" s="2" t="str">
        <f>HYPERLINK("http://maps.live.com/default.aspx?v=2&amp;lvl=15&amp;sp=Point.47.679396_-122.384625_2207 NW 70th St&amp;cp=47.679396~-122.384625","Map")</f>
        <v>Map</v>
      </c>
      <c r="N1747" s="2" t="str">
        <f>HYPERLINK("http://i-0.rfimg.us/photo/1/bigphoto/039/28030039_0.jpg","Photo")</f>
        <v>Photo</v>
      </c>
      <c r="AG1747">
        <v>47.679395999999997</v>
      </c>
      <c r="AH1747">
        <v>-122.384625</v>
      </c>
      <c r="AI1747" t="s">
        <v>66</v>
      </c>
      <c r="AJ1747">
        <v>98117</v>
      </c>
      <c r="AN1747">
        <v>179000</v>
      </c>
      <c r="BC1747" s="22">
        <v>39498.422129629631</v>
      </c>
      <c r="BI1747" s="7">
        <v>39538</v>
      </c>
      <c r="BL1747">
        <v>9000</v>
      </c>
      <c r="BM1747">
        <v>1494436</v>
      </c>
      <c r="BN1747" t="s">
        <v>1702</v>
      </c>
      <c r="BO1747" s="17">
        <f t="shared" ca="1" si="27"/>
        <v>50.887276388886676</v>
      </c>
      <c r="BP1747" t="b">
        <v>0</v>
      </c>
      <c r="BQ1747">
        <v>1</v>
      </c>
      <c r="BR1747" t="s">
        <v>1686</v>
      </c>
      <c r="BS1747" t="s">
        <v>1703</v>
      </c>
      <c r="BT1747" t="b">
        <v>0</v>
      </c>
      <c r="BU1747" t="s">
        <v>1669</v>
      </c>
      <c r="BV1747" t="s">
        <v>1668</v>
      </c>
      <c r="BW1747">
        <v>2207</v>
      </c>
      <c r="BY1747">
        <v>166728</v>
      </c>
      <c r="BZ1747" t="s">
        <v>1672</v>
      </c>
      <c r="CA1747">
        <v>1</v>
      </c>
      <c r="CB1747" t="b">
        <v>1</v>
      </c>
      <c r="CC1747">
        <v>0</v>
      </c>
      <c r="CD1747" t="b">
        <v>0</v>
      </c>
      <c r="CE1747" t="b">
        <v>0</v>
      </c>
      <c r="CF1747" t="b">
        <v>0</v>
      </c>
      <c r="CG1747">
        <v>2895145</v>
      </c>
      <c r="CH1747" t="s">
        <v>1681</v>
      </c>
      <c r="CI1747" s="10">
        <v>450000</v>
      </c>
      <c r="CJ1747" s="7">
        <v>36725</v>
      </c>
    </row>
    <row r="1748" spans="1:90">
      <c r="A1748">
        <v>28030086</v>
      </c>
      <c r="B1748" s="2" t="str">
        <f>HYPERLINK("http://www.redfin.com/stingray/do/printable-listing?listing-id=1494591","Active")</f>
        <v>Active</v>
      </c>
      <c r="D1748" t="s">
        <v>3061</v>
      </c>
      <c r="E1748" t="s">
        <v>3058</v>
      </c>
      <c r="F1748">
        <v>639999</v>
      </c>
      <c r="G1748">
        <v>2008</v>
      </c>
      <c r="H1748">
        <v>2142</v>
      </c>
      <c r="I1748">
        <v>0</v>
      </c>
      <c r="J1748">
        <v>3</v>
      </c>
      <c r="K1748">
        <v>2.5</v>
      </c>
      <c r="M1748" s="2" t="str">
        <f>HYPERLINK("http://maps.live.com/default.aspx?v=2&amp;lvl=15&amp;sp=adr.13947 127th Pl NE nLot 6 (Unable to map),98034","Map")</f>
        <v>Map</v>
      </c>
      <c r="N1748" s="2" t="str">
        <f>HYPERLINK("http://i-0.rfimg.us/photo/1/bigphoto/086/28030086_2.jpg","Photo")</f>
        <v>Photo</v>
      </c>
      <c r="AI1748" t="s">
        <v>1058</v>
      </c>
      <c r="AJ1748">
        <v>98034</v>
      </c>
      <c r="AM1748" t="s">
        <v>3059</v>
      </c>
      <c r="BC1748" s="22">
        <v>39498.464131944442</v>
      </c>
      <c r="BI1748" s="22">
        <v>39549.294907407406</v>
      </c>
      <c r="BL1748">
        <v>12800</v>
      </c>
      <c r="BM1748">
        <v>1494591</v>
      </c>
      <c r="BN1748" t="s">
        <v>2419</v>
      </c>
      <c r="BO1748" s="17">
        <f t="shared" ca="1" si="27"/>
        <v>50.845273958337202</v>
      </c>
      <c r="BP1748" t="b">
        <v>0</v>
      </c>
      <c r="BQ1748">
        <v>1</v>
      </c>
      <c r="BR1748" t="s">
        <v>1842</v>
      </c>
      <c r="BS1748" t="s">
        <v>2698</v>
      </c>
      <c r="BT1748" t="b">
        <v>0</v>
      </c>
      <c r="BV1748" t="s">
        <v>1668</v>
      </c>
      <c r="BW1748">
        <v>13947</v>
      </c>
      <c r="BX1748" t="s">
        <v>1738</v>
      </c>
      <c r="BY1748">
        <v>0</v>
      </c>
      <c r="BZ1748" t="s">
        <v>3060</v>
      </c>
      <c r="CA1748">
        <v>1</v>
      </c>
      <c r="CB1748" t="b">
        <v>1</v>
      </c>
      <c r="CC1748">
        <v>0</v>
      </c>
      <c r="CD1748" t="b">
        <v>0</v>
      </c>
      <c r="CE1748" t="b">
        <v>0</v>
      </c>
      <c r="CF1748" t="b">
        <v>0</v>
      </c>
      <c r="CG1748" t="s">
        <v>1870</v>
      </c>
      <c r="CH1748" t="s">
        <v>1681</v>
      </c>
      <c r="CI1748" s="10">
        <v>639999</v>
      </c>
      <c r="CL1748" s="19" t="s">
        <v>2325</v>
      </c>
    </row>
    <row r="1749" spans="1:90">
      <c r="A1749">
        <v>28030098</v>
      </c>
      <c r="B1749" s="2" t="str">
        <f>HYPERLINK("http://www.redfin.com/stingray/do/printable-listing?listing-id=1501915","Active")</f>
        <v>Active</v>
      </c>
      <c r="D1749" t="s">
        <v>3249</v>
      </c>
      <c r="E1749" t="s">
        <v>3342</v>
      </c>
      <c r="F1749">
        <v>599950</v>
      </c>
      <c r="G1749">
        <v>1912</v>
      </c>
      <c r="H1749">
        <v>1840</v>
      </c>
      <c r="I1749">
        <v>0</v>
      </c>
      <c r="J1749">
        <v>3</v>
      </c>
      <c r="K1749">
        <v>1.75</v>
      </c>
      <c r="M1749" s="2" t="str">
        <f>HYPERLINK("http://maps.live.com/default.aspx?v=2&amp;lvl=15&amp;sp=Point.47.635563_-122.354048_155 Howe St&amp;cp=47.635563~-122.354048","Map")</f>
        <v>Map</v>
      </c>
      <c r="N1749" s="2" t="str">
        <f>HYPERLINK("http://i-0.rfimg.us/photo/1/bigphoto/098/28030098_0.jpg","Photo")</f>
        <v>Photo</v>
      </c>
      <c r="AG1749">
        <v>47.635562999999998</v>
      </c>
      <c r="AH1749">
        <v>-122.35404800000001</v>
      </c>
      <c r="AI1749" t="s">
        <v>66</v>
      </c>
      <c r="AJ1749">
        <v>98109</v>
      </c>
      <c r="AN1749">
        <v>262500</v>
      </c>
      <c r="BC1749" s="22">
        <v>39500.631840277776</v>
      </c>
      <c r="BI1749" s="22">
        <v>39549.294907407406</v>
      </c>
      <c r="BL1749">
        <v>11999</v>
      </c>
      <c r="BM1749">
        <v>1501915</v>
      </c>
      <c r="BN1749" t="s">
        <v>1678</v>
      </c>
      <c r="BO1749" s="17">
        <f t="shared" ca="1" si="27"/>
        <v>48.677565625002899</v>
      </c>
      <c r="BP1749" t="b">
        <v>0</v>
      </c>
      <c r="BQ1749">
        <v>1</v>
      </c>
      <c r="BR1749" t="s">
        <v>1686</v>
      </c>
      <c r="BS1749" t="s">
        <v>3343</v>
      </c>
      <c r="BT1749" t="b">
        <v>0</v>
      </c>
      <c r="BV1749" t="s">
        <v>1668</v>
      </c>
      <c r="BW1749">
        <v>155</v>
      </c>
      <c r="BY1749">
        <v>133043</v>
      </c>
      <c r="BZ1749" t="s">
        <v>1745</v>
      </c>
      <c r="CA1749">
        <v>1</v>
      </c>
      <c r="CB1749" t="b">
        <v>1</v>
      </c>
      <c r="CC1749">
        <v>0</v>
      </c>
      <c r="CD1749" t="b">
        <v>0</v>
      </c>
      <c r="CE1749" t="b">
        <v>0</v>
      </c>
      <c r="CF1749" t="b">
        <v>0</v>
      </c>
      <c r="CG1749">
        <v>2852684</v>
      </c>
      <c r="CH1749" t="s">
        <v>1681</v>
      </c>
      <c r="CI1749" s="10">
        <v>599950</v>
      </c>
      <c r="CJ1749" s="7">
        <v>35563</v>
      </c>
    </row>
    <row r="1750" spans="1:90">
      <c r="A1750">
        <v>28030154</v>
      </c>
      <c r="B1750" s="15" t="str">
        <f>HYPERLINK("http://www.redfin.com/stingray/do/printable-listing?listing-id=1494695","Subject To Inspection")</f>
        <v>Subject To Inspection</v>
      </c>
      <c r="D1750" t="s">
        <v>55</v>
      </c>
      <c r="E1750" t="s">
        <v>1388</v>
      </c>
      <c r="F1750">
        <v>319000</v>
      </c>
      <c r="G1750">
        <v>1918</v>
      </c>
      <c r="H1750">
        <v>970</v>
      </c>
      <c r="I1750">
        <v>6350</v>
      </c>
      <c r="J1750">
        <v>2</v>
      </c>
      <c r="K1750">
        <v>1</v>
      </c>
      <c r="M1750" s="2" t="str">
        <f>HYPERLINK("http://maps.live.com/default.aspx?v=2&amp;lvl=15&amp;sp=Point.47.696465_-122.359003_9210 2nd Ave NW&amp;cp=47.696465~-122.359003","Map")</f>
        <v>Map</v>
      </c>
      <c r="N1750" s="2" t="str">
        <f>HYPERLINK("http://i-0.rfimg.us/photo/1/bigphoto/154/28030154_0.jpg","Photo")</f>
        <v>Photo</v>
      </c>
      <c r="AG1750">
        <v>47.696465000000003</v>
      </c>
      <c r="AH1750">
        <v>-122.359003</v>
      </c>
      <c r="AI1750" t="s">
        <v>66</v>
      </c>
      <c r="AJ1750">
        <v>98117</v>
      </c>
      <c r="AN1750">
        <v>134950</v>
      </c>
      <c r="BC1750" s="22">
        <v>39498.484907407408</v>
      </c>
      <c r="BI1750" s="7">
        <v>39533</v>
      </c>
      <c r="BL1750">
        <v>6380</v>
      </c>
      <c r="BM1750">
        <v>1494695</v>
      </c>
      <c r="BN1750" t="s">
        <v>1688</v>
      </c>
      <c r="BO1750" s="17">
        <f t="shared" ca="1" si="27"/>
        <v>50.824498611109448</v>
      </c>
      <c r="BP1750" t="b">
        <v>0</v>
      </c>
      <c r="BQ1750">
        <v>1</v>
      </c>
      <c r="BR1750" t="s">
        <v>1667</v>
      </c>
      <c r="BS1750" t="s">
        <v>1958</v>
      </c>
      <c r="BT1750" t="b">
        <v>0</v>
      </c>
      <c r="BV1750" t="s">
        <v>1668</v>
      </c>
      <c r="BW1750">
        <v>9210</v>
      </c>
      <c r="BX1750" t="s">
        <v>1669</v>
      </c>
      <c r="BY1750">
        <v>101474</v>
      </c>
      <c r="BZ1750" t="s">
        <v>1813</v>
      </c>
      <c r="CA1750">
        <v>1</v>
      </c>
      <c r="CB1750" t="b">
        <v>1</v>
      </c>
      <c r="CC1750">
        <v>0</v>
      </c>
      <c r="CD1750" t="b">
        <v>1</v>
      </c>
      <c r="CE1750" t="b">
        <v>0</v>
      </c>
      <c r="CF1750" t="b">
        <v>0</v>
      </c>
      <c r="CG1750">
        <v>2545264</v>
      </c>
      <c r="CH1750" t="s">
        <v>1681</v>
      </c>
      <c r="CI1750" s="10">
        <v>319000</v>
      </c>
      <c r="CJ1750" s="7">
        <v>35614</v>
      </c>
    </row>
    <row r="1751" spans="1:90">
      <c r="A1751">
        <v>28030157</v>
      </c>
      <c r="B1751" s="2" t="str">
        <f>HYPERLINK("http://www.redfin.com/stingray/do/printable-listing?listing-id=1495156","Active")</f>
        <v>Active</v>
      </c>
      <c r="D1751" t="s">
        <v>5204</v>
      </c>
      <c r="E1751" t="s">
        <v>5426</v>
      </c>
      <c r="F1751" s="19">
        <v>419950</v>
      </c>
      <c r="G1751">
        <v>1956</v>
      </c>
      <c r="H1751">
        <v>1540</v>
      </c>
      <c r="I1751">
        <v>7000</v>
      </c>
      <c r="J1751">
        <v>4</v>
      </c>
      <c r="K1751">
        <v>1.5</v>
      </c>
      <c r="M1751" s="2" t="str">
        <f>HYPERLINK("http://maps.live.com/default.aspx?v=2&amp;lvl=15&amp;sp=Point.47.60258_-122.129737_15619 SE 8th St&amp;cp=47.60258~-122.129737","Map")</f>
        <v>Map</v>
      </c>
      <c r="N1751" s="2" t="str">
        <f>HYPERLINK("http://i-0.rfimg.us/photo/1/bigphoto/157/28030157_1.jpg","Photo")</f>
        <v>Photo</v>
      </c>
      <c r="AG1751">
        <v>47.602580000000003</v>
      </c>
      <c r="AH1751">
        <v>-122.12973700000001</v>
      </c>
      <c r="AI1751" t="s">
        <v>369</v>
      </c>
      <c r="AJ1751">
        <v>98008</v>
      </c>
      <c r="BC1751" s="22">
        <v>39498.599166666667</v>
      </c>
      <c r="BI1751" s="22">
        <v>39549.294907407406</v>
      </c>
      <c r="BL1751">
        <v>8499</v>
      </c>
      <c r="BM1751">
        <v>1495156</v>
      </c>
      <c r="BN1751" t="s">
        <v>1688</v>
      </c>
      <c r="BO1751" s="17">
        <f t="shared" ca="1" si="27"/>
        <v>50.710239236112102</v>
      </c>
      <c r="BP1751" t="b">
        <v>0</v>
      </c>
      <c r="BQ1751">
        <v>1</v>
      </c>
      <c r="BR1751" t="s">
        <v>1686</v>
      </c>
      <c r="BS1751" t="s">
        <v>1723</v>
      </c>
      <c r="BT1751" t="b">
        <v>0</v>
      </c>
      <c r="BU1751" t="s">
        <v>3856</v>
      </c>
      <c r="BV1751" t="s">
        <v>1668</v>
      </c>
      <c r="BW1751">
        <v>15619</v>
      </c>
      <c r="BY1751">
        <v>426238</v>
      </c>
      <c r="BZ1751" t="s">
        <v>1704</v>
      </c>
      <c r="CA1751">
        <v>1</v>
      </c>
      <c r="CB1751" t="b">
        <v>1</v>
      </c>
      <c r="CC1751">
        <v>0</v>
      </c>
      <c r="CD1751" t="b">
        <v>0</v>
      </c>
      <c r="CE1751" t="b">
        <v>0</v>
      </c>
      <c r="CF1751" t="b">
        <v>0</v>
      </c>
      <c r="CG1751">
        <v>2629998</v>
      </c>
      <c r="CH1751" t="s">
        <v>1681</v>
      </c>
      <c r="CI1751" s="10">
        <v>424950</v>
      </c>
    </row>
    <row r="1752" spans="1:90">
      <c r="A1752">
        <v>28030191</v>
      </c>
      <c r="B1752" s="2" t="str">
        <f>HYPERLINK("http://www.redfin.com/stingray/do/printable-listing?listing-id=1494795","Active")</f>
        <v>Active</v>
      </c>
      <c r="D1752" t="s">
        <v>2850</v>
      </c>
      <c r="E1752" t="s">
        <v>4492</v>
      </c>
      <c r="F1752">
        <v>849950</v>
      </c>
      <c r="G1752">
        <v>2008</v>
      </c>
      <c r="H1752">
        <v>2350</v>
      </c>
      <c r="I1752">
        <v>0</v>
      </c>
      <c r="J1752">
        <v>4</v>
      </c>
      <c r="K1752">
        <v>2.5</v>
      </c>
      <c r="M1752" s="2" t="str">
        <f>HYPERLINK("http://maps.live.com/default.aspx?v=2&amp;lvl=15&amp;sp=Point.47.706635_-122.223078_11831 89th Pl NE&amp;cp=47.706635~-122.223078","Map")</f>
        <v>Map</v>
      </c>
      <c r="N1752" s="2" t="str">
        <f>HYPERLINK("http://i-0.rfimg.us/photo/1/bigphoto/191/28030191_0.jpg","Photo")</f>
        <v>Photo</v>
      </c>
      <c r="AG1752">
        <v>47.706634999999999</v>
      </c>
      <c r="AH1752">
        <v>-122.223078</v>
      </c>
      <c r="AI1752" t="s">
        <v>1058</v>
      </c>
      <c r="AJ1752">
        <v>98034</v>
      </c>
      <c r="AM1752" t="s">
        <v>1722</v>
      </c>
      <c r="BC1752" s="22">
        <v>39498.505729166667</v>
      </c>
      <c r="BI1752" s="22">
        <v>39549.294907407406</v>
      </c>
      <c r="BL1752">
        <v>16999</v>
      </c>
      <c r="BM1752">
        <v>1494795</v>
      </c>
      <c r="BN1752" t="s">
        <v>1768</v>
      </c>
      <c r="BO1752" s="17">
        <f t="shared" ca="1" si="27"/>
        <v>50.803676736111811</v>
      </c>
      <c r="BP1752" t="b">
        <v>0</v>
      </c>
      <c r="BQ1752">
        <v>1</v>
      </c>
      <c r="BR1752" t="s">
        <v>1842</v>
      </c>
      <c r="BS1752" t="s">
        <v>2741</v>
      </c>
      <c r="BT1752" t="b">
        <v>0</v>
      </c>
      <c r="BV1752" t="s">
        <v>1668</v>
      </c>
      <c r="BW1752">
        <v>11831</v>
      </c>
      <c r="BX1752" t="s">
        <v>1738</v>
      </c>
      <c r="BY1752">
        <v>12172947</v>
      </c>
      <c r="BZ1752" t="s">
        <v>1762</v>
      </c>
      <c r="CA1752">
        <v>1</v>
      </c>
      <c r="CB1752" t="b">
        <v>1</v>
      </c>
      <c r="CC1752">
        <v>0</v>
      </c>
      <c r="CD1752" t="b">
        <v>0</v>
      </c>
      <c r="CE1752" t="b">
        <v>0</v>
      </c>
      <c r="CF1752" t="b">
        <v>0</v>
      </c>
      <c r="CG1752">
        <v>15529228</v>
      </c>
      <c r="CH1752" t="s">
        <v>1681</v>
      </c>
      <c r="CI1752" s="10">
        <v>849950</v>
      </c>
    </row>
    <row r="1753" spans="1:90">
      <c r="A1753">
        <v>28030192</v>
      </c>
      <c r="B1753" s="2" t="str">
        <f>HYPERLINK("http://www.redfin.com/stingray/do/printable-listing?listing-id=1494985","Active")</f>
        <v>Active</v>
      </c>
      <c r="D1753" t="s">
        <v>3704</v>
      </c>
      <c r="E1753" t="s">
        <v>4228</v>
      </c>
      <c r="F1753" s="19">
        <v>549750</v>
      </c>
      <c r="G1753">
        <v>1921</v>
      </c>
      <c r="H1753">
        <v>1225</v>
      </c>
      <c r="I1753">
        <v>4200</v>
      </c>
      <c r="J1753">
        <v>3</v>
      </c>
      <c r="K1753">
        <v>1</v>
      </c>
      <c r="M1753" s="2" t="str">
        <f>HYPERLINK("http://maps.live.com/default.aspx?v=2&amp;lvl=15&amp;sp=Point.47.621964_-122.304363_316 21st Ave E&amp;cp=47.621964~-122.304363","Map")</f>
        <v>Map</v>
      </c>
      <c r="N1753" s="2" t="str">
        <f>HYPERLINK("http://i-0.rfimg.us/photo/1/bigphoto/192/28030192_0.jpg","Photo")</f>
        <v>Photo</v>
      </c>
      <c r="AG1753">
        <v>47.621963999999998</v>
      </c>
      <c r="AH1753">
        <v>-122.304363</v>
      </c>
      <c r="AI1753" t="s">
        <v>66</v>
      </c>
      <c r="AJ1753">
        <v>98112</v>
      </c>
      <c r="AN1753">
        <v>112500</v>
      </c>
      <c r="BC1753" s="22">
        <v>39498.559502314813</v>
      </c>
      <c r="BI1753" s="22">
        <v>39549.294907407406</v>
      </c>
      <c r="BL1753">
        <v>11300</v>
      </c>
      <c r="BM1753">
        <v>1494985</v>
      </c>
      <c r="BN1753" t="s">
        <v>1939</v>
      </c>
      <c r="BO1753" s="17">
        <f t="shared" ca="1" si="27"/>
        <v>50.749903587966401</v>
      </c>
      <c r="BP1753" t="b">
        <v>0</v>
      </c>
      <c r="BQ1753">
        <v>1</v>
      </c>
      <c r="BR1753" t="s">
        <v>1667</v>
      </c>
      <c r="BS1753" t="s">
        <v>1903</v>
      </c>
      <c r="BT1753" t="b">
        <v>0</v>
      </c>
      <c r="BV1753" t="s">
        <v>1668</v>
      </c>
      <c r="BW1753">
        <v>316</v>
      </c>
      <c r="BX1753" t="s">
        <v>2436</v>
      </c>
      <c r="BY1753">
        <v>142110</v>
      </c>
      <c r="BZ1753" t="s">
        <v>1701</v>
      </c>
      <c r="CA1753">
        <v>1</v>
      </c>
      <c r="CB1753" t="b">
        <v>1</v>
      </c>
      <c r="CC1753">
        <v>0</v>
      </c>
      <c r="CD1753" t="b">
        <v>0</v>
      </c>
      <c r="CE1753" t="b">
        <v>0</v>
      </c>
      <c r="CF1753" t="b">
        <v>0</v>
      </c>
      <c r="CG1753">
        <v>2742498</v>
      </c>
      <c r="CH1753" t="s">
        <v>1681</v>
      </c>
      <c r="CI1753" s="10">
        <v>565000</v>
      </c>
      <c r="CJ1753" s="7">
        <v>34726</v>
      </c>
    </row>
    <row r="1754" spans="1:90">
      <c r="A1754">
        <v>28030226</v>
      </c>
      <c r="B1754" s="2" t="str">
        <f>HYPERLINK("http://www.redfin.com/stingray/do/printable-listing?listing-id=1498570","Active")</f>
        <v>Active</v>
      </c>
      <c r="D1754" t="s">
        <v>2850</v>
      </c>
      <c r="E1754" t="s">
        <v>4462</v>
      </c>
      <c r="F1754">
        <v>475000</v>
      </c>
      <c r="G1754">
        <v>1978</v>
      </c>
      <c r="H1754">
        <v>1780</v>
      </c>
      <c r="I1754">
        <v>10800</v>
      </c>
      <c r="J1754">
        <v>3</v>
      </c>
      <c r="K1754">
        <v>2.5</v>
      </c>
      <c r="M1754" s="2" t="str">
        <f>HYPERLINK("http://maps.live.com/default.aspx?v=2&amp;lvl=15&amp;sp=Point.47.720539_-122.234971_13310 79th Pl NE&amp;cp=47.720539~-122.234971","Map")</f>
        <v>Map</v>
      </c>
      <c r="N1754" s="2" t="str">
        <f>HYPERLINK("http://i-0.rfimg.us/photo/1/bigphoto/226/28030226_2.jpg","Photo")</f>
        <v>Photo</v>
      </c>
      <c r="AG1754">
        <v>47.720539000000002</v>
      </c>
      <c r="AH1754">
        <v>-122.234971</v>
      </c>
      <c r="AI1754" t="s">
        <v>1058</v>
      </c>
      <c r="AJ1754">
        <v>98034</v>
      </c>
      <c r="AN1754">
        <v>161000</v>
      </c>
      <c r="BC1754" s="22">
        <v>39499.599699074075</v>
      </c>
      <c r="BI1754" s="22">
        <v>39549.294907407406</v>
      </c>
      <c r="BL1754">
        <v>9500</v>
      </c>
      <c r="BM1754">
        <v>1498570</v>
      </c>
      <c r="BN1754" t="s">
        <v>2136</v>
      </c>
      <c r="BO1754" s="17">
        <f t="shared" ca="1" si="27"/>
        <v>49.709706828703929</v>
      </c>
      <c r="BP1754" t="b">
        <v>0</v>
      </c>
      <c r="BQ1754">
        <v>1</v>
      </c>
      <c r="BR1754" t="s">
        <v>1842</v>
      </c>
      <c r="BS1754" t="s">
        <v>3206</v>
      </c>
      <c r="BT1754" t="b">
        <v>0</v>
      </c>
      <c r="BV1754" t="s">
        <v>1668</v>
      </c>
      <c r="BW1754">
        <v>13310</v>
      </c>
      <c r="BX1754" t="s">
        <v>1738</v>
      </c>
      <c r="BY1754">
        <v>276868</v>
      </c>
      <c r="BZ1754" t="s">
        <v>2340</v>
      </c>
      <c r="CA1754">
        <v>1</v>
      </c>
      <c r="CB1754" t="b">
        <v>1</v>
      </c>
      <c r="CC1754">
        <v>0</v>
      </c>
      <c r="CD1754" t="b">
        <v>0</v>
      </c>
      <c r="CE1754" t="b">
        <v>0</v>
      </c>
      <c r="CF1754" t="b">
        <v>0</v>
      </c>
      <c r="CG1754">
        <v>2920410</v>
      </c>
      <c r="CH1754" t="s">
        <v>1681</v>
      </c>
      <c r="CI1754" s="10">
        <v>475000</v>
      </c>
      <c r="CJ1754" s="7">
        <v>34303</v>
      </c>
    </row>
    <row r="1755" spans="1:90">
      <c r="A1755">
        <v>28030257</v>
      </c>
      <c r="B1755" s="2" t="str">
        <f>HYPERLINK("http://www.redfin.com/stingray/do/printable-listing?listing-id=1494984","Active")</f>
        <v>Active</v>
      </c>
      <c r="D1755" t="s">
        <v>4611</v>
      </c>
      <c r="E1755" t="s">
        <v>4992</v>
      </c>
      <c r="F1755">
        <v>715000</v>
      </c>
      <c r="G1755">
        <v>1988</v>
      </c>
      <c r="H1755">
        <v>2190</v>
      </c>
      <c r="I1755">
        <v>8562</v>
      </c>
      <c r="J1755">
        <v>3</v>
      </c>
      <c r="K1755">
        <v>2.5</v>
      </c>
      <c r="M1755" s="2" t="str">
        <f>HYPERLINK("http://maps.live.com/default.aspx?v=2&amp;lvl=15&amp;sp=Point.47.658996_-122.143649_14765 NE 57th St&amp;cp=47.658996~-122.143649","Map")</f>
        <v>Map</v>
      </c>
      <c r="N1755" s="2" t="str">
        <f>HYPERLINK("http://i-0.rfimg.us/photo/1/bigphoto/257/28030257_0.jpg","Photo")</f>
        <v>Photo</v>
      </c>
      <c r="AG1755">
        <v>47.658996000000002</v>
      </c>
      <c r="AH1755">
        <v>-122.143649</v>
      </c>
      <c r="AI1755" t="s">
        <v>369</v>
      </c>
      <c r="AJ1755">
        <v>98007</v>
      </c>
      <c r="AN1755">
        <v>169900</v>
      </c>
      <c r="BC1755" s="22">
        <v>39498.559490740743</v>
      </c>
      <c r="BI1755" s="22">
        <v>39547.913935185185</v>
      </c>
      <c r="BL1755">
        <v>14300</v>
      </c>
      <c r="BM1755">
        <v>1494984</v>
      </c>
      <c r="BN1755" t="s">
        <v>2203</v>
      </c>
      <c r="BO1755" s="17">
        <f t="shared" ca="1" si="27"/>
        <v>50.749915162035904</v>
      </c>
      <c r="BP1755" t="b">
        <v>0</v>
      </c>
      <c r="BQ1755">
        <v>1</v>
      </c>
      <c r="BR1755" t="s">
        <v>1686</v>
      </c>
      <c r="BS1755" t="s">
        <v>1687</v>
      </c>
      <c r="BT1755" t="b">
        <v>0</v>
      </c>
      <c r="BU1755" t="s">
        <v>1738</v>
      </c>
      <c r="BV1755" t="s">
        <v>1668</v>
      </c>
      <c r="BW1755">
        <v>14765</v>
      </c>
      <c r="BY1755">
        <v>430961</v>
      </c>
      <c r="BZ1755" t="s">
        <v>1741</v>
      </c>
      <c r="CA1755">
        <v>1</v>
      </c>
      <c r="CB1755" t="b">
        <v>1</v>
      </c>
      <c r="CC1755">
        <v>0</v>
      </c>
      <c r="CD1755" t="b">
        <v>0</v>
      </c>
      <c r="CE1755" t="b">
        <v>0</v>
      </c>
      <c r="CF1755" t="b">
        <v>0</v>
      </c>
      <c r="CG1755">
        <v>2413138</v>
      </c>
      <c r="CH1755" t="s">
        <v>1681</v>
      </c>
      <c r="CI1755" s="10">
        <v>715000</v>
      </c>
      <c r="CJ1755" s="7">
        <v>32443</v>
      </c>
    </row>
    <row r="1756" spans="1:90">
      <c r="A1756">
        <v>28030300</v>
      </c>
      <c r="B1756" s="2" t="str">
        <f>HYPERLINK("http://www.redfin.com/stingray/do/printable-listing?listing-id=1499164","Active")</f>
        <v>Active</v>
      </c>
      <c r="D1756" t="s">
        <v>3929</v>
      </c>
      <c r="E1756" t="s">
        <v>6187</v>
      </c>
      <c r="F1756">
        <v>430000</v>
      </c>
      <c r="G1756">
        <v>2005</v>
      </c>
      <c r="H1756">
        <v>2150</v>
      </c>
      <c r="I1756">
        <v>7303</v>
      </c>
      <c r="J1756">
        <v>4</v>
      </c>
      <c r="K1756">
        <v>2.5</v>
      </c>
      <c r="M1756" s="2" t="str">
        <f>HYPERLINK("http://maps.live.com/default.aspx?v=2&amp;lvl=15&amp;sp=Point.47.510853_-122.181802_2103 Harrington Pl NE&amp;cp=47.510853~-122.181802","Map")</f>
        <v>Map</v>
      </c>
      <c r="N1756" s="2" t="str">
        <f>HYPERLINK("http://i-0.rfimg.us/photo/1/bigphoto/300/28030300_0.jpg","Photo")</f>
        <v>Photo</v>
      </c>
      <c r="AG1756">
        <v>47.510852999999997</v>
      </c>
      <c r="AH1756">
        <v>-122.181802</v>
      </c>
      <c r="AI1756" t="s">
        <v>1077</v>
      </c>
      <c r="AJ1756">
        <v>98056</v>
      </c>
      <c r="AN1756">
        <v>453495</v>
      </c>
      <c r="BC1756" s="22">
        <v>39499.725578703707</v>
      </c>
      <c r="BI1756" s="22">
        <v>39549.294907407406</v>
      </c>
      <c r="BL1756">
        <v>8600</v>
      </c>
      <c r="BM1756">
        <v>1499164</v>
      </c>
      <c r="BN1756" t="s">
        <v>1673</v>
      </c>
      <c r="BO1756" s="17">
        <f t="shared" ca="1" si="27"/>
        <v>49.583827199072402</v>
      </c>
      <c r="BP1756" t="b">
        <v>0</v>
      </c>
      <c r="BQ1756">
        <v>1</v>
      </c>
      <c r="BR1756" t="s">
        <v>1842</v>
      </c>
      <c r="BS1756" t="s">
        <v>6188</v>
      </c>
      <c r="BT1756" t="b">
        <v>0</v>
      </c>
      <c r="BV1756" t="s">
        <v>1668</v>
      </c>
      <c r="BW1756">
        <v>2103</v>
      </c>
      <c r="BX1756" t="s">
        <v>1738</v>
      </c>
      <c r="BY1756">
        <v>2083867</v>
      </c>
      <c r="BZ1756" t="s">
        <v>5025</v>
      </c>
      <c r="CA1756">
        <v>1</v>
      </c>
      <c r="CB1756" t="b">
        <v>1</v>
      </c>
      <c r="CC1756">
        <v>0</v>
      </c>
      <c r="CD1756" t="b">
        <v>0</v>
      </c>
      <c r="CE1756" t="b">
        <v>0</v>
      </c>
      <c r="CF1756" t="b">
        <v>0</v>
      </c>
      <c r="CG1756">
        <v>2776996</v>
      </c>
      <c r="CH1756" t="s">
        <v>1681</v>
      </c>
      <c r="CI1756" s="10">
        <v>430000</v>
      </c>
      <c r="CJ1756" s="7">
        <v>38883</v>
      </c>
    </row>
    <row r="1757" spans="1:90">
      <c r="A1757">
        <v>28030322</v>
      </c>
      <c r="B1757" s="15" t="str">
        <f>HYPERLINK("http://www.redfin.com/stingray/do/printable-listing?listing-id=1495120","Contingent")</f>
        <v>Contingent</v>
      </c>
      <c r="D1757" t="s">
        <v>3885</v>
      </c>
      <c r="E1757" t="s">
        <v>5672</v>
      </c>
      <c r="F1757">
        <v>455000</v>
      </c>
      <c r="G1757">
        <v>1977</v>
      </c>
      <c r="H1757">
        <v>2000</v>
      </c>
      <c r="I1757">
        <v>7419</v>
      </c>
      <c r="J1757">
        <v>4</v>
      </c>
      <c r="K1757">
        <v>2.5</v>
      </c>
      <c r="M1757" s="2" t="str">
        <f>HYPERLINK("http://maps.live.com/default.aspx?v=2&amp;lvl=15&amp;sp=Point.47.534026_-122.17334_12519 SE 75th Pl&amp;cp=47.534026~-122.17334","Map")</f>
        <v>Map</v>
      </c>
      <c r="N1757" s="2" t="str">
        <f>HYPERLINK("http://i-0.rfimg.us/photo/1/bigphoto/322/28030322_4.jpg","Photo")</f>
        <v>Photo</v>
      </c>
      <c r="AG1757">
        <v>47.534025999999997</v>
      </c>
      <c r="AH1757">
        <v>-122.17334</v>
      </c>
      <c r="AI1757" t="s">
        <v>3885</v>
      </c>
      <c r="AJ1757">
        <v>98056</v>
      </c>
      <c r="BC1757" s="22">
        <v>39498.589166666665</v>
      </c>
      <c r="BI1757" s="22">
        <v>39544.927187499998</v>
      </c>
      <c r="BL1757">
        <v>9100</v>
      </c>
      <c r="BM1757">
        <v>1495120</v>
      </c>
      <c r="BN1757" t="s">
        <v>2590</v>
      </c>
      <c r="BO1757" s="17">
        <f t="shared" ca="1" si="27"/>
        <v>50.720239236114139</v>
      </c>
      <c r="BP1757" t="b">
        <v>0</v>
      </c>
      <c r="BQ1757">
        <v>1</v>
      </c>
      <c r="BR1757" t="s">
        <v>1842</v>
      </c>
      <c r="BS1757" t="s">
        <v>1837</v>
      </c>
      <c r="BT1757" t="b">
        <v>0</v>
      </c>
      <c r="BU1757" t="s">
        <v>3856</v>
      </c>
      <c r="BV1757" t="s">
        <v>1668</v>
      </c>
      <c r="BW1757">
        <v>12519</v>
      </c>
      <c r="BY1757">
        <v>416292</v>
      </c>
      <c r="BZ1757" t="s">
        <v>5673</v>
      </c>
      <c r="CA1757">
        <v>1</v>
      </c>
      <c r="CB1757" t="b">
        <v>1</v>
      </c>
      <c r="CC1757">
        <v>0</v>
      </c>
      <c r="CD1757" t="b">
        <v>0</v>
      </c>
      <c r="CE1757" t="b">
        <v>0</v>
      </c>
      <c r="CF1757" t="b">
        <v>0</v>
      </c>
      <c r="CG1757">
        <v>2364732</v>
      </c>
      <c r="CH1757" t="s">
        <v>1681</v>
      </c>
      <c r="CI1757" s="10">
        <v>455000</v>
      </c>
    </row>
    <row r="1758" spans="1:90">
      <c r="A1758">
        <v>28030325</v>
      </c>
      <c r="B1758" s="15" t="str">
        <f>HYPERLINK("http://www.redfin.com/stingray/do/printable-listing?listing-id=1502125","Subject To Inspection")</f>
        <v>Subject To Inspection</v>
      </c>
      <c r="D1758" t="s">
        <v>2848</v>
      </c>
      <c r="E1758" t="s">
        <v>2851</v>
      </c>
      <c r="F1758">
        <v>699000</v>
      </c>
      <c r="G1758">
        <v>1977</v>
      </c>
      <c r="H1758">
        <v>2800</v>
      </c>
      <c r="I1758">
        <v>17500</v>
      </c>
      <c r="J1758">
        <v>4</v>
      </c>
      <c r="K1758">
        <v>2.75</v>
      </c>
      <c r="M1758" s="2" t="str">
        <f>HYPERLINK("http://maps.live.com/default.aspx?v=2&amp;lvl=15&amp;sp=Point.47.721596_-122.256653_13480 64th Ter NE&amp;cp=47.721596~-122.256653","Map")</f>
        <v>Map</v>
      </c>
      <c r="N1758" s="2" t="str">
        <f>HYPERLINK("http://i-0.rfimg.us/photo/1/bigphoto/325/28030325_2.jpg","Photo")</f>
        <v>Photo</v>
      </c>
      <c r="AG1758">
        <v>47.721595999999998</v>
      </c>
      <c r="AH1758">
        <v>-122.256653</v>
      </c>
      <c r="AI1758" t="s">
        <v>1058</v>
      </c>
      <c r="AJ1758">
        <v>98034</v>
      </c>
      <c r="AN1758">
        <v>550000</v>
      </c>
      <c r="BC1758" s="22">
        <v>39500.672685185185</v>
      </c>
      <c r="BI1758" s="22">
        <v>39549.294907407406</v>
      </c>
      <c r="BL1758">
        <v>13980</v>
      </c>
      <c r="BM1758">
        <v>1502125</v>
      </c>
      <c r="BN1758" t="s">
        <v>1674</v>
      </c>
      <c r="BO1758" s="17">
        <f t="shared" ca="1" si="27"/>
        <v>48.636720717593562</v>
      </c>
      <c r="BP1758" t="b">
        <v>0</v>
      </c>
      <c r="BQ1758">
        <v>1</v>
      </c>
      <c r="BR1758" t="s">
        <v>2852</v>
      </c>
      <c r="BS1758" t="s">
        <v>2405</v>
      </c>
      <c r="BT1758" t="b">
        <v>0</v>
      </c>
      <c r="BV1758" t="s">
        <v>1668</v>
      </c>
      <c r="BW1758">
        <v>13480</v>
      </c>
      <c r="BX1758" t="s">
        <v>1738</v>
      </c>
      <c r="BY1758">
        <v>280083</v>
      </c>
      <c r="BZ1758" t="s">
        <v>2853</v>
      </c>
      <c r="CA1758">
        <v>1</v>
      </c>
      <c r="CB1758" t="b">
        <v>1</v>
      </c>
      <c r="CC1758">
        <v>0</v>
      </c>
      <c r="CD1758" t="b">
        <v>0</v>
      </c>
      <c r="CE1758" t="b">
        <v>0</v>
      </c>
      <c r="CF1758" t="b">
        <v>0</v>
      </c>
      <c r="CG1758">
        <v>2715705</v>
      </c>
      <c r="CH1758" t="s">
        <v>1681</v>
      </c>
      <c r="CI1758" s="10">
        <v>699000</v>
      </c>
      <c r="CJ1758" s="7">
        <v>38100</v>
      </c>
    </row>
    <row r="1759" spans="1:90">
      <c r="A1759">
        <v>28030415</v>
      </c>
      <c r="B1759" s="2" t="str">
        <f>HYPERLINK("http://www.redfin.com/stingray/do/printable-listing?listing-id=1499119","Active")</f>
        <v>Active</v>
      </c>
      <c r="D1759" t="s">
        <v>100</v>
      </c>
      <c r="E1759" t="s">
        <v>1460</v>
      </c>
      <c r="F1759">
        <v>419000</v>
      </c>
      <c r="G1759">
        <v>1914</v>
      </c>
      <c r="H1759">
        <v>1300</v>
      </c>
      <c r="I1759">
        <v>0</v>
      </c>
      <c r="J1759">
        <v>4</v>
      </c>
      <c r="K1759">
        <v>2</v>
      </c>
      <c r="M1759" s="2" t="str">
        <f>HYPERLINK("http://maps.live.com/default.aspx?v=2&amp;lvl=15&amp;sp=Point.47.654237_-122.356095_204 N 39th St&amp;cp=47.654237~-122.356095","Map")</f>
        <v>Map</v>
      </c>
      <c r="N1759" s="2" t="str">
        <f>HYPERLINK("http://i-0.rfimg.us/photo/1/bigphoto/415/28030415_0.jpg","Photo")</f>
        <v>Photo</v>
      </c>
      <c r="AG1759">
        <v>47.654237000000002</v>
      </c>
      <c r="AH1759">
        <v>-122.356095</v>
      </c>
      <c r="AI1759" t="s">
        <v>66</v>
      </c>
      <c r="AJ1759">
        <v>98103</v>
      </c>
      <c r="BC1759" s="22">
        <v>39499.716354166667</v>
      </c>
      <c r="BI1759" s="22">
        <v>39549.294907407406</v>
      </c>
      <c r="BL1759">
        <v>8380</v>
      </c>
      <c r="BM1759">
        <v>1499119</v>
      </c>
      <c r="BN1759" t="s">
        <v>1766</v>
      </c>
      <c r="BO1759" s="17">
        <f t="shared" ca="1" si="27"/>
        <v>49.593051736112102</v>
      </c>
      <c r="BP1759" t="b">
        <v>0</v>
      </c>
      <c r="BQ1759">
        <v>1</v>
      </c>
      <c r="BR1759" t="s">
        <v>1686</v>
      </c>
      <c r="BS1759" t="s">
        <v>3124</v>
      </c>
      <c r="BT1759" t="b">
        <v>0</v>
      </c>
      <c r="BU1759" t="s">
        <v>1712</v>
      </c>
      <c r="BV1759" t="s">
        <v>1668</v>
      </c>
      <c r="BW1759">
        <v>204</v>
      </c>
      <c r="BY1759">
        <v>12417602</v>
      </c>
      <c r="BZ1759" t="s">
        <v>1696</v>
      </c>
      <c r="CA1759">
        <v>1</v>
      </c>
      <c r="CB1759" t="b">
        <v>1</v>
      </c>
      <c r="CC1759">
        <v>0</v>
      </c>
      <c r="CD1759" t="b">
        <v>0</v>
      </c>
      <c r="CE1759" t="b">
        <v>0</v>
      </c>
      <c r="CF1759" t="b">
        <v>0</v>
      </c>
      <c r="CG1759">
        <v>15621350</v>
      </c>
      <c r="CH1759" t="s">
        <v>1681</v>
      </c>
      <c r="CI1759" s="10">
        <v>419000</v>
      </c>
    </row>
    <row r="1760" spans="1:90">
      <c r="A1760">
        <v>28030482</v>
      </c>
      <c r="B1760" s="2" t="str">
        <f>HYPERLINK("http://www.redfin.com/stingray/do/printable-listing?listing-id=1498321","Active")</f>
        <v>Active</v>
      </c>
      <c r="D1760" t="s">
        <v>66</v>
      </c>
      <c r="E1760" t="s">
        <v>1416</v>
      </c>
      <c r="F1760">
        <v>365000</v>
      </c>
      <c r="G1760">
        <v>1998</v>
      </c>
      <c r="H1760">
        <v>1396</v>
      </c>
      <c r="I1760">
        <v>3227</v>
      </c>
      <c r="J1760">
        <v>3</v>
      </c>
      <c r="K1760">
        <v>2</v>
      </c>
      <c r="M1760" s="2" t="str">
        <f>HYPERLINK("http://maps.live.com/default.aspx?v=2&amp;lvl=15&amp;sp=Point.47.70369_-122.362267_346 NW 103 St&amp;cp=47.70369~-122.362267","Map")</f>
        <v>Map</v>
      </c>
      <c r="N1760" s="2" t="str">
        <f>HYPERLINK("http://i-0.rfimg.us/photo/1/bigphoto/482/28030482_4.jpg","Photo")</f>
        <v>Photo</v>
      </c>
      <c r="AG1760">
        <v>47.703690000000002</v>
      </c>
      <c r="AH1760">
        <v>-122.362267</v>
      </c>
      <c r="AI1760" t="s">
        <v>66</v>
      </c>
      <c r="AJ1760">
        <v>98177</v>
      </c>
      <c r="AN1760">
        <v>186950</v>
      </c>
      <c r="BC1760" s="22">
        <v>39499.558368055557</v>
      </c>
      <c r="BI1760" s="22">
        <v>39549.294907407406</v>
      </c>
      <c r="BL1760">
        <v>7300</v>
      </c>
      <c r="BM1760">
        <v>1498321</v>
      </c>
      <c r="BN1760" t="s">
        <v>1702</v>
      </c>
      <c r="BO1760" s="17">
        <f t="shared" ca="1" si="27"/>
        <v>49.751037847221596</v>
      </c>
      <c r="BP1760" t="b">
        <v>0</v>
      </c>
      <c r="BQ1760">
        <v>1</v>
      </c>
      <c r="BR1760" t="s">
        <v>1686</v>
      </c>
      <c r="BS1760">
        <v>103</v>
      </c>
      <c r="BT1760" t="b">
        <v>0</v>
      </c>
      <c r="BU1760" t="s">
        <v>1669</v>
      </c>
      <c r="BV1760" t="s">
        <v>1668</v>
      </c>
      <c r="BW1760">
        <v>346</v>
      </c>
      <c r="BY1760">
        <v>95494</v>
      </c>
      <c r="BZ1760" t="s">
        <v>2764</v>
      </c>
      <c r="CA1760">
        <v>1</v>
      </c>
      <c r="CB1760" t="b">
        <v>1</v>
      </c>
      <c r="CC1760">
        <v>0</v>
      </c>
      <c r="CD1760" t="b">
        <v>0</v>
      </c>
      <c r="CE1760" t="b">
        <v>0</v>
      </c>
      <c r="CF1760" t="b">
        <v>0</v>
      </c>
      <c r="CG1760">
        <v>2810984</v>
      </c>
      <c r="CH1760" t="s">
        <v>1681</v>
      </c>
      <c r="CI1760" s="10">
        <v>365000</v>
      </c>
      <c r="CJ1760" s="7">
        <v>35881</v>
      </c>
    </row>
    <row r="1761" spans="1:88">
      <c r="A1761">
        <v>28030488</v>
      </c>
      <c r="B1761" s="2" t="str">
        <f>HYPERLINK("http://www.redfin.com/stingray/do/printable-listing?listing-id=1495680","Active")</f>
        <v>Active</v>
      </c>
      <c r="D1761" t="s">
        <v>2850</v>
      </c>
      <c r="E1761" t="s">
        <v>4497</v>
      </c>
      <c r="F1761">
        <v>600000</v>
      </c>
      <c r="G1761">
        <v>1998</v>
      </c>
      <c r="H1761">
        <v>1920</v>
      </c>
      <c r="I1761">
        <v>7216</v>
      </c>
      <c r="J1761">
        <v>4</v>
      </c>
      <c r="K1761">
        <v>2.5</v>
      </c>
      <c r="M1761" s="2" t="str">
        <f>HYPERLINK("http://maps.live.com/default.aspx?v=2&amp;lvl=15&amp;sp=Point.47.712361_-122.230565_12433 83rd Pl NE&amp;cp=47.712361~-122.230565","Map")</f>
        <v>Map</v>
      </c>
      <c r="N1761" s="2" t="str">
        <f>HYPERLINK("http://i-0.rfimg.us/photo/1/bigphoto/488/28030488_0.jpg","Photo")</f>
        <v>Photo</v>
      </c>
      <c r="AG1761">
        <v>47.712361000000001</v>
      </c>
      <c r="AH1761">
        <v>-122.230565</v>
      </c>
      <c r="AI1761" t="s">
        <v>1058</v>
      </c>
      <c r="AJ1761">
        <v>98034</v>
      </c>
      <c r="AN1761">
        <v>375000</v>
      </c>
      <c r="BC1761" s="22">
        <v>39498.684120370373</v>
      </c>
      <c r="BI1761" s="22">
        <v>39549.294907407406</v>
      </c>
      <c r="BL1761">
        <v>12000</v>
      </c>
      <c r="BM1761">
        <v>1495680</v>
      </c>
      <c r="BN1761" t="s">
        <v>1674</v>
      </c>
      <c r="BO1761" s="17">
        <f t="shared" ca="1" si="27"/>
        <v>50.625285532405542</v>
      </c>
      <c r="BP1761" t="b">
        <v>0</v>
      </c>
      <c r="BQ1761">
        <v>1</v>
      </c>
      <c r="BR1761" t="s">
        <v>1842</v>
      </c>
      <c r="BS1761" t="s">
        <v>1867</v>
      </c>
      <c r="BT1761" t="b">
        <v>0</v>
      </c>
      <c r="BV1761" t="s">
        <v>1668</v>
      </c>
      <c r="BW1761">
        <v>12433</v>
      </c>
      <c r="BX1761" t="s">
        <v>1738</v>
      </c>
      <c r="BY1761">
        <v>275491</v>
      </c>
      <c r="BZ1761" t="s">
        <v>1672</v>
      </c>
      <c r="CA1761">
        <v>1</v>
      </c>
      <c r="CB1761" t="b">
        <v>1</v>
      </c>
      <c r="CC1761">
        <v>0</v>
      </c>
      <c r="CD1761" t="b">
        <v>0</v>
      </c>
      <c r="CE1761" t="b">
        <v>0</v>
      </c>
      <c r="CF1761" t="b">
        <v>0</v>
      </c>
      <c r="CG1761">
        <v>2769897</v>
      </c>
      <c r="CH1761" t="s">
        <v>1681</v>
      </c>
      <c r="CI1761" s="10">
        <v>600000</v>
      </c>
      <c r="CJ1761" s="7">
        <v>37832</v>
      </c>
    </row>
    <row r="1762" spans="1:88">
      <c r="A1762">
        <v>28030493</v>
      </c>
      <c r="B1762" s="2" t="str">
        <f>HYPERLINK("http://www.redfin.com/stingray/do/printable-listing?listing-id=1499163","Active")</f>
        <v>Active</v>
      </c>
      <c r="D1762" t="s">
        <v>3064</v>
      </c>
      <c r="E1762" t="s">
        <v>6190</v>
      </c>
      <c r="F1762" s="19">
        <v>369000</v>
      </c>
      <c r="G1762">
        <v>1958</v>
      </c>
      <c r="H1762">
        <v>1737</v>
      </c>
      <c r="I1762">
        <v>8537</v>
      </c>
      <c r="J1762">
        <v>3</v>
      </c>
      <c r="K1762">
        <v>1.75</v>
      </c>
      <c r="M1762" s="2" t="str">
        <f>HYPERLINK("http://maps.live.com/default.aspx?v=2&amp;lvl=15&amp;sp=Point.47.497122_-122.178426_3009 NE 9th St&amp;cp=47.497122~-122.178426","Map")</f>
        <v>Map</v>
      </c>
      <c r="N1762" s="2" t="str">
        <f>HYPERLINK("http://i-0.rfimg.us/photo/1/bigphoto/493/28030493_0.jpg","Photo")</f>
        <v>Photo</v>
      </c>
      <c r="AG1762">
        <v>47.497121999999997</v>
      </c>
      <c r="AH1762">
        <v>-122.178426</v>
      </c>
      <c r="AI1762" t="s">
        <v>1077</v>
      </c>
      <c r="AJ1762">
        <v>98056</v>
      </c>
      <c r="AN1762">
        <v>75000</v>
      </c>
      <c r="BC1762" s="22">
        <v>39499.725578703707</v>
      </c>
      <c r="BI1762" s="22">
        <v>39549.294907407406</v>
      </c>
      <c r="BL1762">
        <v>7780</v>
      </c>
      <c r="BM1762">
        <v>1499163</v>
      </c>
      <c r="BN1762" t="s">
        <v>3121</v>
      </c>
      <c r="BO1762" s="17">
        <f t="shared" ca="1" si="27"/>
        <v>49.583827199072402</v>
      </c>
      <c r="BP1762" t="b">
        <v>0</v>
      </c>
      <c r="BQ1762">
        <v>1</v>
      </c>
      <c r="BR1762" t="s">
        <v>1686</v>
      </c>
      <c r="BS1762" t="s">
        <v>1785</v>
      </c>
      <c r="BT1762" t="b">
        <v>0</v>
      </c>
      <c r="BU1762" t="s">
        <v>1738</v>
      </c>
      <c r="BV1762" t="s">
        <v>1668</v>
      </c>
      <c r="BW1762">
        <v>3009</v>
      </c>
      <c r="BY1762">
        <v>241517</v>
      </c>
      <c r="BZ1762" t="s">
        <v>1696</v>
      </c>
      <c r="CA1762">
        <v>1</v>
      </c>
      <c r="CB1762" t="b">
        <v>1</v>
      </c>
      <c r="CC1762">
        <v>0</v>
      </c>
      <c r="CD1762" t="b">
        <v>0</v>
      </c>
      <c r="CE1762" t="b">
        <v>0</v>
      </c>
      <c r="CF1762" t="b">
        <v>0</v>
      </c>
      <c r="CG1762">
        <v>2417348</v>
      </c>
      <c r="CH1762" t="s">
        <v>1681</v>
      </c>
      <c r="CI1762" s="10">
        <v>389000</v>
      </c>
      <c r="CJ1762" s="7">
        <v>30140</v>
      </c>
    </row>
    <row r="1763" spans="1:88">
      <c r="A1763">
        <v>28030509</v>
      </c>
      <c r="B1763" s="2" t="str">
        <f>HYPERLINK("http://www.redfin.com/stingray/do/printable-listing?listing-id=1499120","Active")</f>
        <v>Active</v>
      </c>
      <c r="D1763" t="s">
        <v>100</v>
      </c>
      <c r="E1763" t="s">
        <v>3341</v>
      </c>
      <c r="F1763">
        <v>449950</v>
      </c>
      <c r="G1763">
        <v>2001</v>
      </c>
      <c r="H1763">
        <v>1630</v>
      </c>
      <c r="I1763">
        <v>1350</v>
      </c>
      <c r="J1763">
        <v>2</v>
      </c>
      <c r="K1763">
        <v>2.25</v>
      </c>
      <c r="M1763" s="2" t="str">
        <f>HYPERLINK("http://maps.live.com/default.aspx?v=2&amp;lvl=15&amp;sp=Point.47.649582_-122.346027_931 N 35th St&amp;cp=47.649582~-122.346027","Map")</f>
        <v>Map</v>
      </c>
      <c r="N1763" s="2" t="str">
        <f>HYPERLINK("http://i-0.rfimg.us/photo/1/bigphoto/509/28030509_2.jpg","Photo")</f>
        <v>Photo</v>
      </c>
      <c r="AG1763">
        <v>47.649582000000002</v>
      </c>
      <c r="AH1763">
        <v>-122.34602700000001</v>
      </c>
      <c r="AI1763" t="s">
        <v>66</v>
      </c>
      <c r="AJ1763">
        <v>98103</v>
      </c>
      <c r="BC1763" s="22">
        <v>39499.716354166667</v>
      </c>
      <c r="BI1763" s="22">
        <v>39549.294907407406</v>
      </c>
      <c r="BL1763">
        <v>8999</v>
      </c>
      <c r="BM1763">
        <v>1499120</v>
      </c>
      <c r="BN1763" t="s">
        <v>1766</v>
      </c>
      <c r="BO1763" s="17">
        <f t="shared" ca="1" si="27"/>
        <v>49.593051736112102</v>
      </c>
      <c r="BP1763" t="b">
        <v>0</v>
      </c>
      <c r="BQ1763">
        <v>1</v>
      </c>
      <c r="BR1763" t="s">
        <v>1686</v>
      </c>
      <c r="BS1763" t="s">
        <v>2920</v>
      </c>
      <c r="BT1763" t="b">
        <v>0</v>
      </c>
      <c r="BU1763" t="s">
        <v>1712</v>
      </c>
      <c r="BV1763" t="s">
        <v>1668</v>
      </c>
      <c r="BW1763">
        <v>931</v>
      </c>
      <c r="BY1763">
        <v>12370101</v>
      </c>
      <c r="BZ1763" t="s">
        <v>1912</v>
      </c>
      <c r="CA1763">
        <v>1</v>
      </c>
      <c r="CB1763" t="b">
        <v>1</v>
      </c>
      <c r="CC1763">
        <v>0</v>
      </c>
      <c r="CD1763" t="b">
        <v>0</v>
      </c>
      <c r="CE1763" t="b">
        <v>0</v>
      </c>
      <c r="CF1763" t="b">
        <v>0</v>
      </c>
      <c r="CG1763">
        <v>15573849</v>
      </c>
      <c r="CH1763" t="s">
        <v>1681</v>
      </c>
      <c r="CI1763" s="10">
        <v>449950</v>
      </c>
    </row>
    <row r="1764" spans="1:88">
      <c r="A1764">
        <v>28030533</v>
      </c>
      <c r="B1764" s="2" t="str">
        <f>HYPERLINK("http://www.redfin.com/stingray/do/printable-listing?listing-id=1497908","Active")</f>
        <v>Active</v>
      </c>
      <c r="D1764" t="s">
        <v>6540</v>
      </c>
      <c r="E1764" t="s">
        <v>6539</v>
      </c>
      <c r="F1764">
        <v>269000</v>
      </c>
      <c r="G1764">
        <v>1948</v>
      </c>
      <c r="H1764">
        <v>1990</v>
      </c>
      <c r="I1764">
        <v>9399</v>
      </c>
      <c r="J1764">
        <v>3</v>
      </c>
      <c r="K1764">
        <v>1.75</v>
      </c>
      <c r="M1764" s="2" t="str">
        <f>HYPERLINK("http://maps.live.com/default.aspx?v=2&amp;lvl=15&amp;sp=adr.12825 15th Ave S (Unable to map),98168","Map")</f>
        <v>Map</v>
      </c>
      <c r="N1764" s="2" t="str">
        <f>HYPERLINK("http://i-0.rfimg.us/photo/1/bigphoto/533/28030533_1.jpg","Photo")</f>
        <v>Photo</v>
      </c>
      <c r="AI1764" t="s">
        <v>66</v>
      </c>
      <c r="AJ1764">
        <v>98168</v>
      </c>
      <c r="BC1764" s="22">
        <v>39499.484629629631</v>
      </c>
      <c r="BI1764" s="22">
        <v>39549.294907407406</v>
      </c>
      <c r="BL1764">
        <v>5070</v>
      </c>
      <c r="BM1764">
        <v>1497908</v>
      </c>
      <c r="BN1764" t="s">
        <v>1790</v>
      </c>
      <c r="BO1764" s="17">
        <f t="shared" ca="1" si="27"/>
        <v>49.824776273148018</v>
      </c>
      <c r="BP1764" t="b">
        <v>0</v>
      </c>
      <c r="BQ1764">
        <v>1</v>
      </c>
      <c r="BR1764" t="s">
        <v>1667</v>
      </c>
      <c r="BS1764" t="s">
        <v>1838</v>
      </c>
      <c r="BT1764" t="b">
        <v>0</v>
      </c>
      <c r="BV1764" t="s">
        <v>1668</v>
      </c>
      <c r="BW1764">
        <v>12825</v>
      </c>
      <c r="BX1764" t="s">
        <v>1881</v>
      </c>
      <c r="BY1764">
        <v>0</v>
      </c>
      <c r="BZ1764" t="s">
        <v>1820</v>
      </c>
      <c r="CA1764">
        <v>1</v>
      </c>
      <c r="CB1764" t="b">
        <v>1</v>
      </c>
      <c r="CC1764">
        <v>0</v>
      </c>
      <c r="CD1764" t="b">
        <v>0</v>
      </c>
      <c r="CE1764" t="b">
        <v>0</v>
      </c>
      <c r="CF1764" t="b">
        <v>0</v>
      </c>
      <c r="CG1764" t="s">
        <v>1870</v>
      </c>
      <c r="CH1764" t="s">
        <v>1681</v>
      </c>
      <c r="CI1764" s="10">
        <v>269000</v>
      </c>
    </row>
    <row r="1765" spans="1:88">
      <c r="A1765">
        <v>28030596</v>
      </c>
      <c r="B1765" s="2" t="str">
        <f>HYPERLINK("http://www.redfin.com/stingray/do/printable-listing?listing-id=1495957","Active")</f>
        <v>Active</v>
      </c>
      <c r="D1765" t="s">
        <v>4004</v>
      </c>
      <c r="E1765" t="s">
        <v>4210</v>
      </c>
      <c r="F1765">
        <v>2095000</v>
      </c>
      <c r="G1765">
        <v>1908</v>
      </c>
      <c r="H1765">
        <v>3870</v>
      </c>
      <c r="I1765">
        <v>5610</v>
      </c>
      <c r="J1765">
        <v>4</v>
      </c>
      <c r="K1765">
        <v>4.25</v>
      </c>
      <c r="M1765" s="2" t="str">
        <f>HYPERLINK("http://maps.live.com/default.aspx?v=2&amp;lvl=15&amp;sp=Point.47.620384_-122.283887_223 Maiden Ln E&amp;cp=47.620384~-122.283887","Map")</f>
        <v>Map</v>
      </c>
      <c r="N1765" s="2" t="str">
        <f>HYPERLINK("http://i-0.rfimg.us/photo/1/bigphoto/596/28030596_0.jpg","Photo")</f>
        <v>Photo</v>
      </c>
      <c r="AG1765">
        <v>47.620384000000001</v>
      </c>
      <c r="AH1765">
        <v>-122.28388700000001</v>
      </c>
      <c r="AI1765" t="s">
        <v>66</v>
      </c>
      <c r="AJ1765">
        <v>98112</v>
      </c>
      <c r="AN1765">
        <v>1041060</v>
      </c>
      <c r="BC1765" s="22">
        <v>39498.744768518518</v>
      </c>
      <c r="BI1765" s="22">
        <v>39549.294907407406</v>
      </c>
      <c r="BL1765">
        <v>41900</v>
      </c>
      <c r="BM1765">
        <v>1495957</v>
      </c>
      <c r="BN1765" t="s">
        <v>1710</v>
      </c>
      <c r="BO1765" s="17">
        <f t="shared" ca="1" si="27"/>
        <v>50.564637384261005</v>
      </c>
      <c r="BP1765" t="b">
        <v>0</v>
      </c>
      <c r="BQ1765">
        <v>1</v>
      </c>
      <c r="BR1765" t="s">
        <v>2963</v>
      </c>
      <c r="BS1765" t="s">
        <v>4003</v>
      </c>
      <c r="BT1765" t="b">
        <v>0</v>
      </c>
      <c r="BV1765" t="s">
        <v>1668</v>
      </c>
      <c r="BW1765">
        <v>223</v>
      </c>
      <c r="BX1765" t="s">
        <v>2436</v>
      </c>
      <c r="BY1765">
        <v>139514</v>
      </c>
      <c r="BZ1765" t="s">
        <v>1672</v>
      </c>
      <c r="CA1765">
        <v>1</v>
      </c>
      <c r="CB1765" t="b">
        <v>1</v>
      </c>
      <c r="CC1765">
        <v>0</v>
      </c>
      <c r="CD1765" t="b">
        <v>0</v>
      </c>
      <c r="CE1765" t="b">
        <v>0</v>
      </c>
      <c r="CF1765" t="b">
        <v>0</v>
      </c>
      <c r="CG1765">
        <v>2635876</v>
      </c>
      <c r="CH1765" t="s">
        <v>1681</v>
      </c>
      <c r="CI1765" s="10">
        <v>2095000</v>
      </c>
      <c r="CJ1765" s="7">
        <v>37407</v>
      </c>
    </row>
    <row r="1766" spans="1:88">
      <c r="A1766">
        <v>28030614</v>
      </c>
      <c r="B1766" s="2" t="str">
        <f>HYPERLINK("http://www.redfin.com/stingray/do/printable-listing?listing-id=1495992","Active")</f>
        <v>Active</v>
      </c>
      <c r="D1766" t="s">
        <v>5281</v>
      </c>
      <c r="E1766" t="s">
        <v>5859</v>
      </c>
      <c r="F1766">
        <v>575000</v>
      </c>
      <c r="G1766">
        <v>1978</v>
      </c>
      <c r="H1766">
        <v>2460</v>
      </c>
      <c r="I1766">
        <v>0</v>
      </c>
      <c r="J1766">
        <v>4</v>
      </c>
      <c r="K1766">
        <v>3.5</v>
      </c>
      <c r="M1766" s="2" t="str">
        <f>HYPERLINK("http://maps.live.com/default.aspx?v=2&amp;lvl=15&amp;sp=Point.47.563064_-122.090741_4553 187th Pl SE&amp;cp=47.563064~-122.090741","Map")</f>
        <v>Map</v>
      </c>
      <c r="N1766" s="2" t="str">
        <f>HYPERLINK("http://i-0.rfimg.us/photo/1/bigphoto/614/28030614_0.jpg","Photo")</f>
        <v>Photo</v>
      </c>
      <c r="AG1766">
        <v>47.563063999999997</v>
      </c>
      <c r="AH1766">
        <v>-122.09074099999999</v>
      </c>
      <c r="AI1766" t="s">
        <v>5280</v>
      </c>
      <c r="AJ1766">
        <v>98027</v>
      </c>
      <c r="BC1766" s="22">
        <v>39498.755370370367</v>
      </c>
      <c r="BI1766" s="22">
        <v>39549.294907407406</v>
      </c>
      <c r="BL1766">
        <v>11500</v>
      </c>
      <c r="BM1766">
        <v>1495992</v>
      </c>
      <c r="BN1766" t="s">
        <v>5858</v>
      </c>
      <c r="BO1766" s="17">
        <f t="shared" ca="1" si="27"/>
        <v>50.554035532411945</v>
      </c>
      <c r="BP1766" t="b">
        <v>0</v>
      </c>
      <c r="BQ1766">
        <v>1</v>
      </c>
      <c r="BR1766" t="s">
        <v>1842</v>
      </c>
      <c r="BS1766" t="s">
        <v>5860</v>
      </c>
      <c r="BT1766" t="b">
        <v>0</v>
      </c>
      <c r="BV1766" t="s">
        <v>1668</v>
      </c>
      <c r="BW1766">
        <v>4553</v>
      </c>
      <c r="BX1766" t="s">
        <v>3856</v>
      </c>
      <c r="BY1766">
        <v>327076</v>
      </c>
      <c r="BZ1766" t="s">
        <v>1696</v>
      </c>
      <c r="CA1766">
        <v>1</v>
      </c>
      <c r="CB1766" t="b">
        <v>1</v>
      </c>
      <c r="CC1766">
        <v>0</v>
      </c>
      <c r="CD1766" t="b">
        <v>0</v>
      </c>
      <c r="CE1766" t="b">
        <v>0</v>
      </c>
      <c r="CF1766" t="b">
        <v>0</v>
      </c>
      <c r="CG1766">
        <v>2532763</v>
      </c>
      <c r="CH1766" t="s">
        <v>1681</v>
      </c>
      <c r="CI1766" s="10">
        <v>575000</v>
      </c>
    </row>
    <row r="1767" spans="1:88">
      <c r="A1767">
        <v>28030632</v>
      </c>
      <c r="B1767" s="2" t="str">
        <f>HYPERLINK("http://www.redfin.com/stingray/do/printable-listing?listing-id=1496186","Active")</f>
        <v>Active</v>
      </c>
      <c r="D1767" t="s">
        <v>55</v>
      </c>
      <c r="E1767" t="s">
        <v>2701</v>
      </c>
      <c r="F1767" s="19">
        <v>339000</v>
      </c>
      <c r="G1767">
        <v>2008</v>
      </c>
      <c r="H1767">
        <v>1409</v>
      </c>
      <c r="I1767">
        <v>0</v>
      </c>
      <c r="J1767">
        <v>3</v>
      </c>
      <c r="K1767">
        <v>3.25</v>
      </c>
      <c r="M1767" s="2" t="str">
        <f>HYPERLINK("http://maps.live.com/default.aspx?v=2&amp;lvl=15&amp;sp=Point.47.709206_-122.355058_11014 Greenwood Ave N nC&amp;cp=47.709206~-122.355058","Map")</f>
        <v>Map</v>
      </c>
      <c r="N1767" s="2" t="str">
        <f>HYPERLINK("http://i-0.rfimg.us/photo/1/bigphoto/632/28030632_2.jpg","Photo")</f>
        <v>Photo</v>
      </c>
      <c r="AG1767">
        <v>47.709206000000002</v>
      </c>
      <c r="AH1767">
        <v>-122.355058</v>
      </c>
      <c r="AI1767" t="s">
        <v>66</v>
      </c>
      <c r="AJ1767">
        <v>98133</v>
      </c>
      <c r="AM1767" t="s">
        <v>2341</v>
      </c>
      <c r="BC1767" s="22">
        <v>39498.807650462964</v>
      </c>
      <c r="BI1767" s="22">
        <v>39549.294907407406</v>
      </c>
      <c r="BL1767">
        <v>6980</v>
      </c>
      <c r="BM1767">
        <v>1496186</v>
      </c>
      <c r="BN1767" t="s">
        <v>1718</v>
      </c>
      <c r="BO1767" s="17">
        <f t="shared" ca="1" si="27"/>
        <v>50.501755439814588</v>
      </c>
      <c r="BP1767" t="b">
        <v>0</v>
      </c>
      <c r="BQ1767">
        <v>1</v>
      </c>
      <c r="BR1767" t="s">
        <v>1667</v>
      </c>
      <c r="BS1767" t="s">
        <v>55</v>
      </c>
      <c r="BT1767" t="b">
        <v>0</v>
      </c>
      <c r="BV1767" t="s">
        <v>1668</v>
      </c>
      <c r="BW1767">
        <v>11014</v>
      </c>
      <c r="BX1767" t="s">
        <v>1712</v>
      </c>
      <c r="BY1767">
        <v>12417088</v>
      </c>
      <c r="BZ1767" t="s">
        <v>2700</v>
      </c>
      <c r="CA1767">
        <v>1</v>
      </c>
      <c r="CB1767" t="b">
        <v>1</v>
      </c>
      <c r="CC1767">
        <v>0</v>
      </c>
      <c r="CD1767" t="b">
        <v>0</v>
      </c>
      <c r="CE1767" t="b">
        <v>0</v>
      </c>
      <c r="CF1767" t="b">
        <v>0</v>
      </c>
      <c r="CG1767">
        <v>15588953</v>
      </c>
      <c r="CH1767" t="s">
        <v>1681</v>
      </c>
      <c r="CI1767" s="10">
        <v>349000</v>
      </c>
    </row>
    <row r="1768" spans="1:88">
      <c r="A1768">
        <v>28030653</v>
      </c>
      <c r="B1768" s="2" t="str">
        <f>HYPERLINK("http://www.redfin.com/stingray/do/printable-listing?listing-id=1499733","Active")</f>
        <v>Active</v>
      </c>
      <c r="D1768" t="s">
        <v>5119</v>
      </c>
      <c r="E1768" t="s">
        <v>5145</v>
      </c>
      <c r="F1768">
        <v>645000</v>
      </c>
      <c r="G1768">
        <v>1999</v>
      </c>
      <c r="H1768">
        <v>2490</v>
      </c>
      <c r="I1768">
        <v>2255</v>
      </c>
      <c r="J1768">
        <v>3</v>
      </c>
      <c r="K1768">
        <v>3.5</v>
      </c>
      <c r="M1768" s="2" t="str">
        <f>HYPERLINK("http://maps.live.com/default.aspx?v=2&amp;lvl=15&amp;sp=Point.47.589631_-122.165239_2381 132nd Ave SE&amp;cp=47.589631~-122.165239","Map")</f>
        <v>Map</v>
      </c>
      <c r="N1768" s="2" t="str">
        <f>HYPERLINK("http://i-0.rfimg.us/photo/1/bigphoto/653/28030653_2.jpg","Photo")</f>
        <v>Photo</v>
      </c>
      <c r="AG1768">
        <v>47.589630999999997</v>
      </c>
      <c r="AH1768">
        <v>-122.165239</v>
      </c>
      <c r="AI1768" t="s">
        <v>369</v>
      </c>
      <c r="AJ1768">
        <v>98005</v>
      </c>
      <c r="AN1768">
        <v>403000</v>
      </c>
      <c r="BC1768" s="22">
        <v>39499.931967592594</v>
      </c>
      <c r="BI1768" s="7">
        <v>39539</v>
      </c>
      <c r="BL1768">
        <v>12900</v>
      </c>
      <c r="BM1768">
        <v>1499733</v>
      </c>
      <c r="BN1768" t="s">
        <v>3034</v>
      </c>
      <c r="BO1768" s="17">
        <f t="shared" ca="1" si="27"/>
        <v>49.377438310184516</v>
      </c>
      <c r="BP1768" t="b">
        <v>0</v>
      </c>
      <c r="BQ1768">
        <v>1</v>
      </c>
      <c r="BR1768" t="s">
        <v>1667</v>
      </c>
      <c r="BS1768" t="s">
        <v>4362</v>
      </c>
      <c r="BT1768" t="b">
        <v>0</v>
      </c>
      <c r="BV1768" t="s">
        <v>1668</v>
      </c>
      <c r="BW1768">
        <v>2381</v>
      </c>
      <c r="BX1768" t="s">
        <v>3856</v>
      </c>
      <c r="BY1768">
        <v>508739</v>
      </c>
      <c r="BZ1768" t="s">
        <v>5146</v>
      </c>
      <c r="CA1768">
        <v>1</v>
      </c>
      <c r="CB1768" t="b">
        <v>1</v>
      </c>
      <c r="CC1768">
        <v>0</v>
      </c>
      <c r="CD1768" t="b">
        <v>0</v>
      </c>
      <c r="CE1768" t="b">
        <v>0</v>
      </c>
      <c r="CF1768" t="b">
        <v>0</v>
      </c>
      <c r="CG1768">
        <v>2679578</v>
      </c>
      <c r="CH1768" t="s">
        <v>1681</v>
      </c>
      <c r="CI1768" s="10">
        <v>645000</v>
      </c>
      <c r="CJ1768" s="7">
        <v>37694</v>
      </c>
    </row>
    <row r="1769" spans="1:88">
      <c r="A1769">
        <v>28030680</v>
      </c>
      <c r="B1769" s="2" t="str">
        <f>HYPERLINK("http://www.redfin.com/stingray/do/printable-listing?listing-id=1497122","Active")</f>
        <v>Active</v>
      </c>
      <c r="D1769" t="s">
        <v>207</v>
      </c>
      <c r="E1769" t="s">
        <v>1430</v>
      </c>
      <c r="F1769">
        <v>499950</v>
      </c>
      <c r="G1769">
        <v>1953</v>
      </c>
      <c r="H1769">
        <v>1800</v>
      </c>
      <c r="I1769">
        <v>5243</v>
      </c>
      <c r="J1769">
        <v>4</v>
      </c>
      <c r="K1769">
        <v>2</v>
      </c>
      <c r="M1769" s="2" t="str">
        <f>HYPERLINK("http://maps.live.com/default.aspx?v=2&amp;lvl=15&amp;sp=Point.47.676938_-122.286749_6538 38th Ave NE&amp;cp=47.676938~-122.286749","Map")</f>
        <v>Map</v>
      </c>
      <c r="N1769" s="2" t="str">
        <f>HYPERLINK("http://i-0.rfimg.us/photo/1/bigphoto/680/28030680_2.jpg","Photo")</f>
        <v>Photo</v>
      </c>
      <c r="AG1769">
        <v>47.676938</v>
      </c>
      <c r="AH1769">
        <v>-122.286749</v>
      </c>
      <c r="AI1769" t="s">
        <v>66</v>
      </c>
      <c r="AJ1769">
        <v>98115</v>
      </c>
      <c r="AN1769">
        <v>230000</v>
      </c>
      <c r="BC1769" s="22">
        <v>39499.088090277779</v>
      </c>
      <c r="BI1769" s="22">
        <v>39549.294907407406</v>
      </c>
      <c r="BL1769">
        <v>9999</v>
      </c>
      <c r="BM1769">
        <v>1497122</v>
      </c>
      <c r="BN1769" t="s">
        <v>2733</v>
      </c>
      <c r="BO1769" s="17">
        <f t="shared" ca="1" si="27"/>
        <v>50.221315624999988</v>
      </c>
      <c r="BP1769" t="b">
        <v>0</v>
      </c>
      <c r="BQ1769">
        <v>1</v>
      </c>
      <c r="BR1769" t="s">
        <v>1667</v>
      </c>
      <c r="BS1769" t="s">
        <v>3126</v>
      </c>
      <c r="BT1769" t="b">
        <v>0</v>
      </c>
      <c r="BV1769" t="s">
        <v>1668</v>
      </c>
      <c r="BW1769">
        <v>6538</v>
      </c>
      <c r="BX1769" t="s">
        <v>1738</v>
      </c>
      <c r="BY1769">
        <v>318102</v>
      </c>
      <c r="BZ1769" t="s">
        <v>3143</v>
      </c>
      <c r="CA1769">
        <v>1</v>
      </c>
      <c r="CB1769" t="b">
        <v>1</v>
      </c>
      <c r="CC1769">
        <v>0</v>
      </c>
      <c r="CD1769" t="b">
        <v>0</v>
      </c>
      <c r="CE1769" t="b">
        <v>0</v>
      </c>
      <c r="CF1769" t="b">
        <v>0</v>
      </c>
      <c r="CG1769">
        <v>2466767</v>
      </c>
      <c r="CH1769" t="s">
        <v>1681</v>
      </c>
      <c r="CI1769" s="10">
        <v>499950</v>
      </c>
      <c r="CJ1769" s="7">
        <v>35877</v>
      </c>
    </row>
    <row r="1770" spans="1:88">
      <c r="A1770">
        <v>28030704</v>
      </c>
      <c r="B1770" s="2" t="str">
        <f>HYPERLINK("http://www.redfin.com/stingray/do/printable-listing?listing-id=1497465","Active")</f>
        <v>Active</v>
      </c>
      <c r="D1770" t="s">
        <v>5878</v>
      </c>
      <c r="E1770" t="s">
        <v>5896</v>
      </c>
      <c r="F1770" s="19">
        <v>560000</v>
      </c>
      <c r="G1770">
        <v>1975</v>
      </c>
      <c r="H1770">
        <v>1770</v>
      </c>
      <c r="I1770">
        <v>9200</v>
      </c>
      <c r="J1770">
        <v>4</v>
      </c>
      <c r="K1770">
        <v>2</v>
      </c>
      <c r="M1770" s="2" t="str">
        <f>HYPERLINK("http://maps.live.com/default.aspx?v=2&amp;lvl=15&amp;sp=Point.47.558386_-122.139348_15033 SE 49th St&amp;cp=47.558386~-122.139348","Map")</f>
        <v>Map</v>
      </c>
      <c r="N1770" s="2" t="str">
        <f>HYPERLINK("http://i-0.rfimg.us/photo/1/bigphoto/704/28030704_7.jpg","Photo")</f>
        <v>Photo</v>
      </c>
      <c r="AG1770">
        <v>47.558385999999999</v>
      </c>
      <c r="AH1770">
        <v>-122.139348</v>
      </c>
      <c r="AI1770" t="s">
        <v>369</v>
      </c>
      <c r="AJ1770">
        <v>98006</v>
      </c>
      <c r="AN1770">
        <v>204950</v>
      </c>
      <c r="BC1770" s="22">
        <v>39499.358576388891</v>
      </c>
      <c r="BI1770" s="22">
        <v>39549.294907407406</v>
      </c>
      <c r="BL1770">
        <v>11499</v>
      </c>
      <c r="BM1770">
        <v>1497465</v>
      </c>
      <c r="BN1770" t="s">
        <v>1768</v>
      </c>
      <c r="BO1770" s="17">
        <f t="shared" ca="1" si="27"/>
        <v>49.950829513887584</v>
      </c>
      <c r="BP1770" t="b">
        <v>0</v>
      </c>
      <c r="BQ1770">
        <v>1</v>
      </c>
      <c r="BR1770" t="s">
        <v>1686</v>
      </c>
      <c r="BS1770" t="s">
        <v>2446</v>
      </c>
      <c r="BT1770" t="b">
        <v>0</v>
      </c>
      <c r="BU1770" t="s">
        <v>3856</v>
      </c>
      <c r="BV1770" t="s">
        <v>1668</v>
      </c>
      <c r="BW1770">
        <v>15033</v>
      </c>
      <c r="BY1770">
        <v>238899</v>
      </c>
      <c r="BZ1770" t="s">
        <v>5897</v>
      </c>
      <c r="CA1770">
        <v>1</v>
      </c>
      <c r="CB1770" t="b">
        <v>1</v>
      </c>
      <c r="CC1770">
        <v>0</v>
      </c>
      <c r="CD1770" t="b">
        <v>0</v>
      </c>
      <c r="CE1770" t="b">
        <v>0</v>
      </c>
      <c r="CF1770" t="b">
        <v>0</v>
      </c>
      <c r="CG1770">
        <v>2652825</v>
      </c>
      <c r="CH1770" t="s">
        <v>1681</v>
      </c>
      <c r="CI1770" s="10">
        <v>574950</v>
      </c>
      <c r="CJ1770" s="7">
        <v>35703</v>
      </c>
    </row>
    <row r="1771" spans="1:88">
      <c r="A1771">
        <v>28030709</v>
      </c>
      <c r="B1771" s="2" t="str">
        <f>HYPERLINK("http://www.redfin.com/stingray/do/printable-listing?listing-id=1497520","Active")</f>
        <v>Active</v>
      </c>
      <c r="D1771" t="s">
        <v>3249</v>
      </c>
      <c r="E1771" t="s">
        <v>3632</v>
      </c>
      <c r="F1771">
        <v>1800000</v>
      </c>
      <c r="G1771">
        <v>1928</v>
      </c>
      <c r="H1771">
        <v>1600</v>
      </c>
      <c r="I1771">
        <v>5200</v>
      </c>
      <c r="J1771">
        <v>2</v>
      </c>
      <c r="K1771">
        <v>1.5</v>
      </c>
      <c r="M1771" s="2" t="str">
        <f>HYPERLINK("http://maps.live.com/default.aspx?v=2&amp;lvl=15&amp;sp=Point.47.632082_-122.346504_1419 Taylor Ave N&amp;cp=47.632082~-122.346504","Map")</f>
        <v>Map</v>
      </c>
      <c r="N1771" s="2" t="str">
        <f>HYPERLINK("http://i-0.rfimg.us/photo/1/bigphoto/709/28030709_0.jpg","Photo")</f>
        <v>Photo</v>
      </c>
      <c r="AG1771">
        <v>47.632081999999997</v>
      </c>
      <c r="AH1771">
        <v>-122.346504</v>
      </c>
      <c r="AI1771" t="s">
        <v>66</v>
      </c>
      <c r="AJ1771">
        <v>98109</v>
      </c>
      <c r="AN1771">
        <v>693000</v>
      </c>
      <c r="BC1771" s="22">
        <v>39499.379791666666</v>
      </c>
      <c r="BI1771" s="22">
        <v>39549.294907407406</v>
      </c>
      <c r="BL1771">
        <v>36000</v>
      </c>
      <c r="BM1771">
        <v>1497520</v>
      </c>
      <c r="BN1771" t="s">
        <v>3631</v>
      </c>
      <c r="BO1771" s="17">
        <f t="shared" ca="1" si="27"/>
        <v>49.929614236112684</v>
      </c>
      <c r="BP1771" t="b">
        <v>0</v>
      </c>
      <c r="BQ1771">
        <v>1</v>
      </c>
      <c r="BR1771" t="s">
        <v>1667</v>
      </c>
      <c r="BS1771" t="s">
        <v>3054</v>
      </c>
      <c r="BT1771" t="b">
        <v>0</v>
      </c>
      <c r="BV1771" t="s">
        <v>1668</v>
      </c>
      <c r="BW1771">
        <v>1419</v>
      </c>
      <c r="BX1771" t="s">
        <v>1712</v>
      </c>
      <c r="BY1771">
        <v>131796</v>
      </c>
      <c r="BZ1771" t="s">
        <v>1747</v>
      </c>
      <c r="CA1771">
        <v>1</v>
      </c>
      <c r="CB1771" t="b">
        <v>1</v>
      </c>
      <c r="CC1771">
        <v>0</v>
      </c>
      <c r="CD1771" t="b">
        <v>0</v>
      </c>
      <c r="CE1771" t="b">
        <v>0</v>
      </c>
      <c r="CF1771" t="b">
        <v>0</v>
      </c>
      <c r="CG1771">
        <v>2848506</v>
      </c>
      <c r="CH1771" t="s">
        <v>1681</v>
      </c>
      <c r="CI1771" s="10">
        <v>1800000</v>
      </c>
      <c r="CJ1771" s="7">
        <v>36861</v>
      </c>
    </row>
    <row r="1772" spans="1:88">
      <c r="A1772">
        <v>28030711</v>
      </c>
      <c r="B1772" s="2" t="str">
        <f>HYPERLINK("http://www.redfin.com/stingray/do/printable-listing?listing-id=1497621","Active")</f>
        <v>Active</v>
      </c>
      <c r="D1772" t="s">
        <v>2552</v>
      </c>
      <c r="E1772" t="s">
        <v>3475</v>
      </c>
      <c r="F1772">
        <v>727000</v>
      </c>
      <c r="G1772">
        <v>1983</v>
      </c>
      <c r="H1772">
        <v>2450</v>
      </c>
      <c r="I1772">
        <v>7920</v>
      </c>
      <c r="J1772">
        <v>4</v>
      </c>
      <c r="K1772">
        <v>2.5</v>
      </c>
      <c r="M1772" s="2" t="str">
        <f>HYPERLINK("http://maps.live.com/default.aspx?v=2&amp;lvl=15&amp;sp=Point.47.656134_-122.396024_4003 30th Ave W&amp;cp=47.656134~-122.396024","Map")</f>
        <v>Map</v>
      </c>
      <c r="N1772" s="2" t="str">
        <f>HYPERLINK("http://i-0.rfimg.us/photo/1/bigphoto/711/28030711_1.jpg","Photo")</f>
        <v>Photo</v>
      </c>
      <c r="AG1772">
        <v>47.656134000000002</v>
      </c>
      <c r="AH1772">
        <v>-122.396024</v>
      </c>
      <c r="AI1772" t="s">
        <v>66</v>
      </c>
      <c r="AJ1772">
        <v>98199</v>
      </c>
      <c r="AN1772">
        <v>418000</v>
      </c>
      <c r="BC1772" s="22">
        <v>39499.400636574072</v>
      </c>
      <c r="BI1772" s="22">
        <v>39549.294907407406</v>
      </c>
      <c r="BL1772">
        <v>14540</v>
      </c>
      <c r="BM1772">
        <v>1497621</v>
      </c>
      <c r="BN1772" t="s">
        <v>1678</v>
      </c>
      <c r="BO1772" s="17">
        <f t="shared" ca="1" si="27"/>
        <v>49.908769328707422</v>
      </c>
      <c r="BP1772" t="b">
        <v>0</v>
      </c>
      <c r="BQ1772">
        <v>1</v>
      </c>
      <c r="BR1772" t="s">
        <v>1667</v>
      </c>
      <c r="BS1772" t="s">
        <v>1818</v>
      </c>
      <c r="BT1772" t="b">
        <v>0</v>
      </c>
      <c r="BV1772" t="s">
        <v>1668</v>
      </c>
      <c r="BW1772">
        <v>4003</v>
      </c>
      <c r="BX1772" t="s">
        <v>2423</v>
      </c>
      <c r="BY1772">
        <v>126880</v>
      </c>
      <c r="BZ1772" t="s">
        <v>1704</v>
      </c>
      <c r="CA1772">
        <v>1</v>
      </c>
      <c r="CB1772" t="b">
        <v>1</v>
      </c>
      <c r="CC1772">
        <v>0</v>
      </c>
      <c r="CD1772" t="b">
        <v>0</v>
      </c>
      <c r="CE1772" t="b">
        <v>0</v>
      </c>
      <c r="CF1772" t="b">
        <v>0</v>
      </c>
      <c r="CG1772">
        <v>2695711</v>
      </c>
      <c r="CH1772" t="s">
        <v>1681</v>
      </c>
      <c r="CI1772" s="10">
        <v>727000</v>
      </c>
      <c r="CJ1772" s="7">
        <v>37782</v>
      </c>
    </row>
    <row r="1773" spans="1:88">
      <c r="A1773">
        <v>28030715</v>
      </c>
      <c r="B1773" s="2" t="str">
        <f>HYPERLINK("http://www.redfin.com/stingray/do/printable-listing?listing-id=1497530","Active")</f>
        <v>Active</v>
      </c>
      <c r="D1773" t="s">
        <v>3249</v>
      </c>
      <c r="E1773" t="s">
        <v>3633</v>
      </c>
      <c r="F1773">
        <v>1735000</v>
      </c>
      <c r="G1773">
        <v>1908</v>
      </c>
      <c r="H1773">
        <v>1320</v>
      </c>
      <c r="I1773">
        <v>3800</v>
      </c>
      <c r="J1773">
        <v>3</v>
      </c>
      <c r="K1773">
        <v>1</v>
      </c>
      <c r="M1773" s="2" t="str">
        <f>HYPERLINK("http://maps.live.com/default.aspx?v=2&amp;lvl=15&amp;sp=Point.47.632082_-122.346841_513 Galer St&amp;cp=47.632082~-122.346841","Map")</f>
        <v>Map</v>
      </c>
      <c r="N1773" s="2" t="str">
        <f>HYPERLINK("http://i-0.rfimg.us/photo/1/bigphoto/715/28030715_0.jpg","Photo")</f>
        <v>Photo</v>
      </c>
      <c r="AG1773">
        <v>47.632081999999997</v>
      </c>
      <c r="AH1773">
        <v>-122.346841</v>
      </c>
      <c r="AI1773" t="s">
        <v>66</v>
      </c>
      <c r="AJ1773">
        <v>98109</v>
      </c>
      <c r="AN1773">
        <v>210000</v>
      </c>
      <c r="BC1773" s="22">
        <v>39499.389814814815</v>
      </c>
      <c r="BI1773" s="22">
        <v>39549.294907407406</v>
      </c>
      <c r="BL1773">
        <v>34700</v>
      </c>
      <c r="BM1773">
        <v>1497530</v>
      </c>
      <c r="BN1773" t="s">
        <v>3631</v>
      </c>
      <c r="BO1773" s="17">
        <f t="shared" ca="1" si="27"/>
        <v>49.919591087964363</v>
      </c>
      <c r="BP1773" t="b">
        <v>0</v>
      </c>
      <c r="BQ1773">
        <v>1</v>
      </c>
      <c r="BR1773" t="s">
        <v>1686</v>
      </c>
      <c r="BS1773" t="s">
        <v>3373</v>
      </c>
      <c r="BT1773" t="b">
        <v>0</v>
      </c>
      <c r="BV1773" t="s">
        <v>1668</v>
      </c>
      <c r="BW1773">
        <v>513</v>
      </c>
      <c r="BY1773">
        <v>131797</v>
      </c>
      <c r="BZ1773" t="s">
        <v>1747</v>
      </c>
      <c r="CA1773">
        <v>1</v>
      </c>
      <c r="CB1773" t="b">
        <v>1</v>
      </c>
      <c r="CC1773">
        <v>0</v>
      </c>
      <c r="CD1773" t="b">
        <v>0</v>
      </c>
      <c r="CE1773" t="b">
        <v>0</v>
      </c>
      <c r="CF1773" t="b">
        <v>0</v>
      </c>
      <c r="CG1773">
        <v>2543861</v>
      </c>
      <c r="CH1773" t="s">
        <v>1681</v>
      </c>
      <c r="CI1773" s="10">
        <v>1735000</v>
      </c>
      <c r="CJ1773" s="7">
        <v>34337</v>
      </c>
    </row>
    <row r="1774" spans="1:88">
      <c r="A1774">
        <v>28030723</v>
      </c>
      <c r="B1774" s="2" t="str">
        <f>HYPERLINK("http://www.redfin.com/stingray/do/printable-listing?listing-id=1497531","Active")</f>
        <v>Active</v>
      </c>
      <c r="D1774" t="s">
        <v>3249</v>
      </c>
      <c r="E1774" t="s">
        <v>3634</v>
      </c>
      <c r="F1774">
        <v>1735000</v>
      </c>
      <c r="G1774">
        <v>1913</v>
      </c>
      <c r="H1774">
        <v>2400</v>
      </c>
      <c r="I1774">
        <v>2890</v>
      </c>
      <c r="J1774">
        <v>4</v>
      </c>
      <c r="K1774">
        <v>2</v>
      </c>
      <c r="M1774" s="2" t="str">
        <f>HYPERLINK("http://maps.live.com/default.aspx?v=2&amp;lvl=15&amp;sp=Point.47.632103_-122.346987_511 Galer St&amp;cp=47.632103~-122.346987","Map")</f>
        <v>Map</v>
      </c>
      <c r="N1774" s="2" t="str">
        <f>HYPERLINK("http://i-0.rfimg.us/photo/1/bigphoto/723/28030723_0.jpg","Photo")</f>
        <v>Photo</v>
      </c>
      <c r="AG1774">
        <v>47.632103000000001</v>
      </c>
      <c r="AH1774">
        <v>-122.346987</v>
      </c>
      <c r="AI1774" t="s">
        <v>66</v>
      </c>
      <c r="AJ1774">
        <v>98109</v>
      </c>
      <c r="AN1774">
        <v>513000</v>
      </c>
      <c r="BC1774" s="22">
        <v>39499.389814814815</v>
      </c>
      <c r="BI1774" s="22">
        <v>39549.294907407406</v>
      </c>
      <c r="BL1774">
        <v>34700</v>
      </c>
      <c r="BM1774">
        <v>1497531</v>
      </c>
      <c r="BN1774" t="s">
        <v>3631</v>
      </c>
      <c r="BO1774" s="17">
        <f t="shared" ca="1" si="27"/>
        <v>49.919591087964363</v>
      </c>
      <c r="BP1774" t="b">
        <v>0</v>
      </c>
      <c r="BQ1774">
        <v>1</v>
      </c>
      <c r="BR1774" t="s">
        <v>1686</v>
      </c>
      <c r="BS1774" t="s">
        <v>3373</v>
      </c>
      <c r="BT1774" t="b">
        <v>0</v>
      </c>
      <c r="BV1774" t="s">
        <v>1668</v>
      </c>
      <c r="BW1774">
        <v>511</v>
      </c>
      <c r="BY1774">
        <v>132095</v>
      </c>
      <c r="BZ1774" t="s">
        <v>1747</v>
      </c>
      <c r="CA1774">
        <v>1</v>
      </c>
      <c r="CB1774" t="b">
        <v>1</v>
      </c>
      <c r="CC1774">
        <v>0</v>
      </c>
      <c r="CD1774" t="b">
        <v>0</v>
      </c>
      <c r="CE1774" t="b">
        <v>0</v>
      </c>
      <c r="CF1774" t="b">
        <v>0</v>
      </c>
      <c r="CG1774">
        <v>2857674</v>
      </c>
      <c r="CH1774" t="s">
        <v>1681</v>
      </c>
      <c r="CI1774" s="10">
        <v>1735000</v>
      </c>
      <c r="CJ1774" s="7">
        <v>37165</v>
      </c>
    </row>
    <row r="1775" spans="1:88">
      <c r="A1775">
        <v>28030731</v>
      </c>
      <c r="B1775" s="2" t="str">
        <f>HYPERLINK("http://www.redfin.com/stingray/do/printable-listing?listing-id=1497625","Active")</f>
        <v>Active</v>
      </c>
      <c r="D1775" t="s">
        <v>3249</v>
      </c>
      <c r="E1775" t="s">
        <v>3635</v>
      </c>
      <c r="F1775">
        <v>1735000</v>
      </c>
      <c r="G1775">
        <v>1913</v>
      </c>
      <c r="H1775">
        <v>1480</v>
      </c>
      <c r="I1775">
        <v>2890</v>
      </c>
      <c r="J1775">
        <v>2</v>
      </c>
      <c r="K1775">
        <v>2</v>
      </c>
      <c r="M1775" s="2" t="str">
        <f>HYPERLINK("http://maps.live.com/default.aspx?v=2&amp;lvl=15&amp;sp=Point.47.632103_-122.347125_507 Galer St&amp;cp=47.632103~-122.347125","Map")</f>
        <v>Map</v>
      </c>
      <c r="N1775" s="2" t="str">
        <f>HYPERLINK("http://i-0.rfimg.us/photo/1/bigphoto/731/28030731_0.jpg","Photo")</f>
        <v>Photo</v>
      </c>
      <c r="AG1775">
        <v>47.632103000000001</v>
      </c>
      <c r="AH1775">
        <v>-122.34712500000001</v>
      </c>
      <c r="AI1775" t="s">
        <v>66</v>
      </c>
      <c r="AJ1775">
        <v>98109</v>
      </c>
      <c r="AN1775">
        <v>513000</v>
      </c>
      <c r="BC1775" s="22">
        <v>39499.400694444441</v>
      </c>
      <c r="BI1775" s="22">
        <v>39549.294907407406</v>
      </c>
      <c r="BL1775">
        <v>34700</v>
      </c>
      <c r="BM1775">
        <v>1497625</v>
      </c>
      <c r="BN1775" t="s">
        <v>3631</v>
      </c>
      <c r="BO1775" s="17">
        <f t="shared" ca="1" si="27"/>
        <v>49.908711458338075</v>
      </c>
      <c r="BP1775" t="b">
        <v>0</v>
      </c>
      <c r="BQ1775">
        <v>1</v>
      </c>
      <c r="BR1775" t="s">
        <v>1686</v>
      </c>
      <c r="BS1775" t="s">
        <v>3373</v>
      </c>
      <c r="BT1775" t="b">
        <v>0</v>
      </c>
      <c r="BV1775" t="s">
        <v>1668</v>
      </c>
      <c r="BW1775">
        <v>507</v>
      </c>
      <c r="BY1775">
        <v>131921</v>
      </c>
      <c r="BZ1775" t="s">
        <v>1747</v>
      </c>
      <c r="CA1775">
        <v>1</v>
      </c>
      <c r="CB1775" t="b">
        <v>1</v>
      </c>
      <c r="CC1775">
        <v>0</v>
      </c>
      <c r="CD1775" t="b">
        <v>0</v>
      </c>
      <c r="CE1775" t="b">
        <v>0</v>
      </c>
      <c r="CF1775" t="b">
        <v>0</v>
      </c>
      <c r="CG1775">
        <v>2945228</v>
      </c>
      <c r="CH1775" t="s">
        <v>1681</v>
      </c>
      <c r="CI1775" s="10">
        <v>1735000</v>
      </c>
      <c r="CJ1775" s="7">
        <v>37452</v>
      </c>
    </row>
    <row r="1776" spans="1:88">
      <c r="A1776">
        <v>28030738</v>
      </c>
      <c r="B1776" s="2" t="str">
        <f>HYPERLINK("http://www.redfin.com/stingray/do/printable-listing?listing-id=1497626","Active")</f>
        <v>Active</v>
      </c>
      <c r="D1776" t="s">
        <v>3249</v>
      </c>
      <c r="E1776" t="s">
        <v>3636</v>
      </c>
      <c r="F1776">
        <v>1600000</v>
      </c>
      <c r="G1776">
        <v>2008</v>
      </c>
      <c r="H1776">
        <v>0</v>
      </c>
      <c r="I1776">
        <v>3800</v>
      </c>
      <c r="J1776">
        <v>0</v>
      </c>
      <c r="K1776">
        <v>0</v>
      </c>
      <c r="M1776" s="2" t="str">
        <f>HYPERLINK("http://maps.live.com/default.aspx?v=2&amp;lvl=15&amp;sp=Point.47.632082_-122.346686_517 Galer St&amp;cp=47.632082~-122.346686","Map")</f>
        <v>Map</v>
      </c>
      <c r="N1776" s="2" t="str">
        <f>HYPERLINK("http://i-0.rfimg.us/photo/1/bigphoto/738/28030738_0.jpg","Photo")</f>
        <v>Photo</v>
      </c>
      <c r="AG1776">
        <v>47.632081999999997</v>
      </c>
      <c r="AH1776">
        <v>-122.34668600000001</v>
      </c>
      <c r="AI1776" t="s">
        <v>66</v>
      </c>
      <c r="AJ1776">
        <v>98109</v>
      </c>
      <c r="AN1776">
        <v>215000</v>
      </c>
      <c r="BC1776" s="22">
        <v>39499.400694444441</v>
      </c>
      <c r="BI1776" s="22">
        <v>39549.294907407406</v>
      </c>
      <c r="BL1776">
        <v>32000</v>
      </c>
      <c r="BM1776">
        <v>1497626</v>
      </c>
      <c r="BN1776" t="s">
        <v>3631</v>
      </c>
      <c r="BO1776" s="17">
        <f t="shared" ca="1" si="27"/>
        <v>49.908711458338075</v>
      </c>
      <c r="BP1776" t="b">
        <v>0</v>
      </c>
      <c r="BQ1776">
        <v>1</v>
      </c>
      <c r="BR1776" t="s">
        <v>1686</v>
      </c>
      <c r="BS1776" t="s">
        <v>3373</v>
      </c>
      <c r="BT1776" t="b">
        <v>0</v>
      </c>
      <c r="BV1776" t="s">
        <v>1668</v>
      </c>
      <c r="BW1776">
        <v>517</v>
      </c>
      <c r="BY1776">
        <v>2067802</v>
      </c>
      <c r="BZ1776" t="s">
        <v>1747</v>
      </c>
      <c r="CA1776">
        <v>1</v>
      </c>
      <c r="CB1776" t="b">
        <v>1</v>
      </c>
      <c r="CC1776">
        <v>0</v>
      </c>
      <c r="CD1776" t="b">
        <v>0</v>
      </c>
      <c r="CE1776" t="b">
        <v>0</v>
      </c>
      <c r="CF1776" t="b">
        <v>0</v>
      </c>
      <c r="CG1776">
        <v>2486654</v>
      </c>
      <c r="CH1776" t="s">
        <v>1681</v>
      </c>
      <c r="CI1776" s="10">
        <v>1600000</v>
      </c>
      <c r="CJ1776" s="7">
        <v>34337</v>
      </c>
    </row>
    <row r="1777" spans="1:88">
      <c r="A1777">
        <v>28030742</v>
      </c>
      <c r="B1777" s="2" t="str">
        <f>HYPERLINK("http://www.redfin.com/stingray/do/printable-listing?listing-id=1497642","Active")</f>
        <v>Active</v>
      </c>
      <c r="D1777" t="s">
        <v>4041</v>
      </c>
      <c r="E1777" t="s">
        <v>4197</v>
      </c>
      <c r="F1777">
        <v>379950</v>
      </c>
      <c r="G1777">
        <v>2007</v>
      </c>
      <c r="H1777">
        <v>0</v>
      </c>
      <c r="I1777">
        <v>0</v>
      </c>
      <c r="J1777">
        <v>3</v>
      </c>
      <c r="K1777">
        <v>2</v>
      </c>
      <c r="M1777" s="2" t="str">
        <f>HYPERLINK("http://maps.live.com/default.aspx?v=2&amp;lvl=15&amp;sp=Point.47.601972_-122.314695_120 13th Ave&amp;cp=47.601972~-122.314695","Map")</f>
        <v>Map</v>
      </c>
      <c r="N1777" s="2" t="str">
        <f>HYPERLINK("http://i-0.rfimg.us/photo/1/bigphoto/742/28030742_0.jpg","Photo")</f>
        <v>Photo</v>
      </c>
      <c r="AG1777">
        <v>47.601972000000004</v>
      </c>
      <c r="AH1777">
        <v>-122.314695</v>
      </c>
      <c r="AI1777" t="s">
        <v>66</v>
      </c>
      <c r="AJ1777">
        <v>98122</v>
      </c>
      <c r="AN1777">
        <v>384915</v>
      </c>
      <c r="BC1777" s="22">
        <v>39499.410914351851</v>
      </c>
      <c r="BI1777" s="22">
        <v>39549.294907407406</v>
      </c>
      <c r="BL1777">
        <v>7599</v>
      </c>
      <c r="BM1777">
        <v>1497642</v>
      </c>
      <c r="BN1777" t="s">
        <v>1710</v>
      </c>
      <c r="BO1777" s="17">
        <f t="shared" ca="1" si="27"/>
        <v>49.898491550928156</v>
      </c>
      <c r="BP1777" t="b">
        <v>0</v>
      </c>
      <c r="BQ1777">
        <v>1</v>
      </c>
      <c r="BR1777" t="s">
        <v>1667</v>
      </c>
      <c r="BS1777" t="s">
        <v>1809</v>
      </c>
      <c r="BT1777" t="b">
        <v>0</v>
      </c>
      <c r="BV1777" t="s">
        <v>1668</v>
      </c>
      <c r="BW1777">
        <v>120</v>
      </c>
      <c r="BY1777">
        <v>12313925</v>
      </c>
      <c r="BZ1777" t="s">
        <v>1745</v>
      </c>
      <c r="CA1777">
        <v>1</v>
      </c>
      <c r="CB1777" t="b">
        <v>1</v>
      </c>
      <c r="CC1777">
        <v>0</v>
      </c>
      <c r="CD1777" t="b">
        <v>0</v>
      </c>
      <c r="CE1777" t="b">
        <v>0</v>
      </c>
      <c r="CF1777" t="b">
        <v>0</v>
      </c>
      <c r="CG1777">
        <v>2364988</v>
      </c>
      <c r="CH1777" t="s">
        <v>1681</v>
      </c>
      <c r="CI1777" s="10">
        <v>379950</v>
      </c>
      <c r="CJ1777" s="7">
        <v>38845</v>
      </c>
    </row>
    <row r="1778" spans="1:88">
      <c r="A1778">
        <v>28030753</v>
      </c>
      <c r="B1778" s="2" t="str">
        <f>HYPERLINK("http://www.redfin.com/stingray/do/printable-listing?listing-id=1497678","Active")</f>
        <v>Active</v>
      </c>
      <c r="D1778" t="s">
        <v>4611</v>
      </c>
      <c r="E1778" t="s">
        <v>5218</v>
      </c>
      <c r="F1778">
        <v>525000</v>
      </c>
      <c r="G1778">
        <v>1959</v>
      </c>
      <c r="H1778">
        <v>1700</v>
      </c>
      <c r="I1778">
        <v>8000</v>
      </c>
      <c r="J1778">
        <v>3</v>
      </c>
      <c r="K1778">
        <v>2</v>
      </c>
      <c r="M1778" s="2" t="str">
        <f>HYPERLINK("http://maps.live.com/default.aspx?v=2&amp;lvl=15&amp;sp=Point.47.617532_-122.118657_16608 NE 9th St&amp;cp=47.617532~-122.118657","Map")</f>
        <v>Map</v>
      </c>
      <c r="N1778" s="2" t="str">
        <f>HYPERLINK("http://i-0.rfimg.us/photo/1/bigphoto/753/28030753_0.jpg","Photo")</f>
        <v>Photo</v>
      </c>
      <c r="AG1778">
        <v>47.617531999999997</v>
      </c>
      <c r="AH1778">
        <v>-122.118657</v>
      </c>
      <c r="AI1778" t="s">
        <v>369</v>
      </c>
      <c r="AJ1778">
        <v>98008</v>
      </c>
      <c r="AN1778">
        <v>400000</v>
      </c>
      <c r="BC1778" s="22">
        <v>39499.421909722223</v>
      </c>
      <c r="BI1778" s="22">
        <v>39549.294907407406</v>
      </c>
      <c r="BL1778">
        <v>10500</v>
      </c>
      <c r="BM1778">
        <v>1497678</v>
      </c>
      <c r="BN1778" t="s">
        <v>1798</v>
      </c>
      <c r="BO1778" s="17">
        <f t="shared" ca="1" si="27"/>
        <v>49.8874961805559</v>
      </c>
      <c r="BP1778" t="b">
        <v>0</v>
      </c>
      <c r="BQ1778">
        <v>1</v>
      </c>
      <c r="BR1778" t="s">
        <v>1686</v>
      </c>
      <c r="BS1778" t="s">
        <v>1785</v>
      </c>
      <c r="BT1778" t="b">
        <v>0</v>
      </c>
      <c r="BU1778" t="s">
        <v>1738</v>
      </c>
      <c r="BV1778" t="s">
        <v>1668</v>
      </c>
      <c r="BW1778">
        <v>16608</v>
      </c>
      <c r="BY1778">
        <v>500262</v>
      </c>
      <c r="BZ1778" t="s">
        <v>1701</v>
      </c>
      <c r="CA1778">
        <v>1</v>
      </c>
      <c r="CB1778" t="b">
        <v>1</v>
      </c>
      <c r="CC1778">
        <v>0</v>
      </c>
      <c r="CD1778" t="b">
        <v>0</v>
      </c>
      <c r="CE1778" t="b">
        <v>0</v>
      </c>
      <c r="CF1778" t="b">
        <v>0</v>
      </c>
      <c r="CG1778">
        <v>2616289</v>
      </c>
      <c r="CH1778" t="s">
        <v>1681</v>
      </c>
      <c r="CI1778" s="10">
        <v>525000</v>
      </c>
      <c r="CJ1778" s="7">
        <v>39184</v>
      </c>
    </row>
    <row r="1779" spans="1:88">
      <c r="A1779">
        <v>28030759</v>
      </c>
      <c r="B1779" s="2" t="str">
        <f>HYPERLINK("http://www.redfin.com/stingray/do/printable-listing?listing-id=1497673","Active")</f>
        <v>Active</v>
      </c>
      <c r="D1779" t="s">
        <v>5181</v>
      </c>
      <c r="E1779" t="s">
        <v>5185</v>
      </c>
      <c r="F1779">
        <v>749950</v>
      </c>
      <c r="G1779">
        <v>1996</v>
      </c>
      <c r="H1779">
        <v>2750</v>
      </c>
      <c r="I1779">
        <v>13504</v>
      </c>
      <c r="J1779">
        <v>4</v>
      </c>
      <c r="K1779">
        <v>2.5</v>
      </c>
      <c r="M1779" s="2" t="str">
        <f>HYPERLINK("http://maps.live.com/default.aspx?v=2&amp;lvl=15&amp;sp=Point.47.594138_-122.157632_1801 136th Pl SE&amp;cp=47.594138~-122.157632","Map")</f>
        <v>Map</v>
      </c>
      <c r="N1779" s="2" t="str">
        <f>HYPERLINK("http://i-0.rfimg.us/photo/1/bigphoto/759/28030759_1.jpg","Photo")</f>
        <v>Photo</v>
      </c>
      <c r="AG1779">
        <v>47.594138000000001</v>
      </c>
      <c r="AH1779">
        <v>-122.15763200000001</v>
      </c>
      <c r="AI1779" t="s">
        <v>369</v>
      </c>
      <c r="AJ1779">
        <v>98005</v>
      </c>
      <c r="AN1779">
        <v>400000</v>
      </c>
      <c r="BC1779" s="22">
        <v>39499.421655092592</v>
      </c>
      <c r="BI1779" s="22">
        <v>39549.294907407406</v>
      </c>
      <c r="BL1779">
        <v>14999</v>
      </c>
      <c r="BM1779">
        <v>1497673</v>
      </c>
      <c r="BN1779" t="s">
        <v>1798</v>
      </c>
      <c r="BO1779" s="17">
        <f t="shared" ca="1" si="27"/>
        <v>49.887750810186844</v>
      </c>
      <c r="BP1779" t="b">
        <v>0</v>
      </c>
      <c r="BQ1779">
        <v>1</v>
      </c>
      <c r="BR1779" t="s">
        <v>1842</v>
      </c>
      <c r="BS1779" t="s">
        <v>4403</v>
      </c>
      <c r="BT1779" t="b">
        <v>0</v>
      </c>
      <c r="BV1779" t="s">
        <v>1668</v>
      </c>
      <c r="BW1779">
        <v>1801</v>
      </c>
      <c r="BX1779" t="s">
        <v>3856</v>
      </c>
      <c r="BY1779">
        <v>507534</v>
      </c>
      <c r="BZ1779" t="s">
        <v>1704</v>
      </c>
      <c r="CA1779">
        <v>1</v>
      </c>
      <c r="CB1779" t="b">
        <v>1</v>
      </c>
      <c r="CC1779">
        <v>0</v>
      </c>
      <c r="CD1779" t="b">
        <v>0</v>
      </c>
      <c r="CE1779" t="b">
        <v>0</v>
      </c>
      <c r="CF1779" t="b">
        <v>0</v>
      </c>
      <c r="CG1779">
        <v>2773249</v>
      </c>
      <c r="CH1779" t="s">
        <v>1681</v>
      </c>
      <c r="CI1779" s="10">
        <v>749950</v>
      </c>
      <c r="CJ1779" s="7">
        <v>36815</v>
      </c>
    </row>
    <row r="1780" spans="1:88">
      <c r="A1780">
        <v>28030762</v>
      </c>
      <c r="B1780" s="2" t="str">
        <f>HYPERLINK("http://www.redfin.com/stingray/do/printable-listing?listing-id=1498765","Active")</f>
        <v>Active</v>
      </c>
      <c r="D1780" t="s">
        <v>3704</v>
      </c>
      <c r="E1780" t="s">
        <v>4157</v>
      </c>
      <c r="F1780">
        <v>539950</v>
      </c>
      <c r="G1780">
        <v>1935</v>
      </c>
      <c r="H1780">
        <v>1811</v>
      </c>
      <c r="I1780">
        <v>2186</v>
      </c>
      <c r="J1780">
        <v>3</v>
      </c>
      <c r="K1780">
        <v>1.75</v>
      </c>
      <c r="M1780" s="2" t="str">
        <f>HYPERLINK("http://maps.live.com/default.aspx?v=2&amp;lvl=15&amp;sp=Point.47.619954_-122.302851_135 23rd Ave E&amp;cp=47.619954~-122.302851","Map")</f>
        <v>Map</v>
      </c>
      <c r="N1780" s="2" t="str">
        <f>HYPERLINK("http://i-0.rfimg.us/photo/1/bigphoto/762/28030762_0.jpg","Photo")</f>
        <v>Photo</v>
      </c>
      <c r="AG1780">
        <v>47.619954</v>
      </c>
      <c r="AH1780">
        <v>-122.302851</v>
      </c>
      <c r="AI1780" t="s">
        <v>66</v>
      </c>
      <c r="AJ1780">
        <v>98112</v>
      </c>
      <c r="AM1780" t="s">
        <v>4156</v>
      </c>
      <c r="AN1780">
        <v>472500</v>
      </c>
      <c r="BC1780" s="22">
        <v>39499.642488425925</v>
      </c>
      <c r="BI1780" s="22">
        <v>39549.294907407406</v>
      </c>
      <c r="BL1780">
        <v>10799</v>
      </c>
      <c r="BM1780">
        <v>1498765</v>
      </c>
      <c r="BN1780" t="s">
        <v>1768</v>
      </c>
      <c r="BO1780" s="17">
        <f t="shared" ca="1" si="27"/>
        <v>49.666917476853996</v>
      </c>
      <c r="BP1780" t="b">
        <v>0</v>
      </c>
      <c r="BQ1780">
        <v>1</v>
      </c>
      <c r="BR1780" t="s">
        <v>1667</v>
      </c>
      <c r="BS1780" t="s">
        <v>1839</v>
      </c>
      <c r="BT1780" t="b">
        <v>0</v>
      </c>
      <c r="BV1780" t="s">
        <v>1668</v>
      </c>
      <c r="BW1780">
        <v>135</v>
      </c>
      <c r="BX1780" t="s">
        <v>2436</v>
      </c>
      <c r="BY1780">
        <v>144475</v>
      </c>
      <c r="BZ1780" t="s">
        <v>1747</v>
      </c>
      <c r="CA1780">
        <v>1</v>
      </c>
      <c r="CB1780" t="b">
        <v>1</v>
      </c>
      <c r="CC1780">
        <v>0</v>
      </c>
      <c r="CD1780" t="b">
        <v>0</v>
      </c>
      <c r="CE1780" t="b">
        <v>0</v>
      </c>
      <c r="CF1780" t="b">
        <v>0</v>
      </c>
      <c r="CG1780">
        <v>15621107</v>
      </c>
      <c r="CH1780" t="s">
        <v>1681</v>
      </c>
      <c r="CI1780" s="10">
        <v>539950</v>
      </c>
      <c r="CJ1780" s="7">
        <v>38275</v>
      </c>
    </row>
    <row r="1781" spans="1:88">
      <c r="A1781">
        <v>28030832</v>
      </c>
      <c r="B1781" s="2" t="str">
        <f>HYPERLINK("http://www.redfin.com/stingray/do/printable-listing?listing-id=1497775","Subject To Inspection")</f>
        <v>Subject To Inspection</v>
      </c>
      <c r="D1781" t="s">
        <v>1022</v>
      </c>
      <c r="E1781" t="s">
        <v>1414</v>
      </c>
      <c r="F1781">
        <v>362000</v>
      </c>
      <c r="G1781">
        <v>1913</v>
      </c>
      <c r="H1781">
        <v>2130</v>
      </c>
      <c r="I1781">
        <v>6534</v>
      </c>
      <c r="J1781">
        <v>4</v>
      </c>
      <c r="K1781">
        <v>2</v>
      </c>
      <c r="M1781" s="2" t="str">
        <f>HYPERLINK("http://maps.live.com/default.aspx?v=2&amp;lvl=15&amp;sp=Point.47.686246_-122.374499_7741 14th Ave NW&amp;cp=47.686246~-122.374499","Map")</f>
        <v>Map</v>
      </c>
      <c r="N1781" s="2" t="str">
        <f>HYPERLINK("http://i-0.rfimg.us/photo/1/bigphoto/832/28030832_0.jpg","Photo")</f>
        <v>Photo</v>
      </c>
      <c r="AG1781">
        <v>47.686245999999997</v>
      </c>
      <c r="AH1781">
        <v>-122.374499</v>
      </c>
      <c r="AI1781" t="s">
        <v>66</v>
      </c>
      <c r="AJ1781">
        <v>98117</v>
      </c>
      <c r="AN1781">
        <v>375049</v>
      </c>
      <c r="BC1781" s="22">
        <v>39499.453125</v>
      </c>
      <c r="BI1781" s="7">
        <v>39528</v>
      </c>
      <c r="BL1781">
        <v>7240</v>
      </c>
      <c r="BM1781">
        <v>1497775</v>
      </c>
      <c r="BN1781" t="s">
        <v>1899</v>
      </c>
      <c r="BO1781" s="17">
        <f t="shared" ca="1" si="27"/>
        <v>49.85628101851762</v>
      </c>
      <c r="BP1781" t="b">
        <v>0</v>
      </c>
      <c r="BQ1781">
        <v>2</v>
      </c>
      <c r="BR1781" t="s">
        <v>1667</v>
      </c>
      <c r="BS1781" t="s">
        <v>1900</v>
      </c>
      <c r="BT1781" t="b">
        <v>0</v>
      </c>
      <c r="BV1781" t="s">
        <v>1668</v>
      </c>
      <c r="BW1781">
        <v>7741</v>
      </c>
      <c r="BX1781" t="s">
        <v>1669</v>
      </c>
      <c r="BY1781">
        <v>498676</v>
      </c>
      <c r="BZ1781" t="s">
        <v>1747</v>
      </c>
      <c r="CA1781">
        <v>1</v>
      </c>
      <c r="CB1781" t="b">
        <v>1</v>
      </c>
      <c r="CC1781">
        <v>0</v>
      </c>
      <c r="CD1781" t="b">
        <v>0</v>
      </c>
      <c r="CE1781" t="b">
        <v>0</v>
      </c>
      <c r="CF1781" t="b">
        <v>0</v>
      </c>
      <c r="CG1781">
        <v>2710095</v>
      </c>
      <c r="CH1781" t="s">
        <v>1681</v>
      </c>
      <c r="CI1781" s="10">
        <v>362000</v>
      </c>
      <c r="CJ1781" s="7">
        <v>39464</v>
      </c>
    </row>
    <row r="1782" spans="1:88">
      <c r="A1782">
        <v>28030866</v>
      </c>
      <c r="B1782" s="2" t="str">
        <f>HYPERLINK("http://www.redfin.com/stingray/do/printable-listing?listing-id=1502087","Active")</f>
        <v>Active</v>
      </c>
      <c r="D1782" t="s">
        <v>5014</v>
      </c>
      <c r="E1782" t="s">
        <v>5013</v>
      </c>
      <c r="F1782" s="19">
        <v>995000</v>
      </c>
      <c r="G1782">
        <v>1951</v>
      </c>
      <c r="H1782">
        <v>2553</v>
      </c>
      <c r="I1782">
        <v>10200</v>
      </c>
      <c r="J1782">
        <v>3</v>
      </c>
      <c r="K1782">
        <v>3</v>
      </c>
      <c r="M1782" s="2" t="str">
        <f>HYPERLINK("http://maps.live.com/default.aspx?v=2&amp;lvl=15&amp;sp=Point.47.637999_-122.218092_3023 92 Ave NE&amp;cp=47.637999~-122.218092","Map")</f>
        <v>Map</v>
      </c>
      <c r="N1782" s="2" t="str">
        <f>HYPERLINK("http://i-0.rfimg.us/photo/1/bigphoto/866/28030866_2.jpg","Photo")</f>
        <v>Photo</v>
      </c>
      <c r="AG1782">
        <v>47.637999000000001</v>
      </c>
      <c r="AH1782">
        <v>-122.218092</v>
      </c>
      <c r="AI1782" t="s">
        <v>5014</v>
      </c>
      <c r="AJ1782">
        <v>98004</v>
      </c>
      <c r="AN1782">
        <v>343000</v>
      </c>
      <c r="BC1782" s="22">
        <v>39500.662060185183</v>
      </c>
      <c r="BI1782" s="22">
        <v>39549.294907407406</v>
      </c>
      <c r="BL1782">
        <v>23900</v>
      </c>
      <c r="BM1782">
        <v>1502087</v>
      </c>
      <c r="BN1782" t="s">
        <v>1862</v>
      </c>
      <c r="BO1782" s="17">
        <f t="shared" ca="1" si="27"/>
        <v>48.647345717596181</v>
      </c>
      <c r="BP1782" t="b">
        <v>0</v>
      </c>
      <c r="BQ1782">
        <v>1</v>
      </c>
      <c r="BR1782" t="s">
        <v>1667</v>
      </c>
      <c r="BS1782">
        <v>92</v>
      </c>
      <c r="BT1782" t="b">
        <v>0</v>
      </c>
      <c r="BV1782" t="s">
        <v>1668</v>
      </c>
      <c r="BW1782">
        <v>3023</v>
      </c>
      <c r="BX1782" t="s">
        <v>1738</v>
      </c>
      <c r="BY1782">
        <v>252908</v>
      </c>
      <c r="BZ1782" t="s">
        <v>5015</v>
      </c>
      <c r="CA1782">
        <v>1</v>
      </c>
      <c r="CB1782" t="b">
        <v>1</v>
      </c>
      <c r="CC1782">
        <v>0</v>
      </c>
      <c r="CD1782" t="b">
        <v>0</v>
      </c>
      <c r="CE1782" t="b">
        <v>0</v>
      </c>
      <c r="CF1782" t="b">
        <v>0</v>
      </c>
      <c r="CG1782">
        <v>2861997</v>
      </c>
      <c r="CH1782" t="s">
        <v>1681</v>
      </c>
      <c r="CI1782" s="10">
        <v>1195000</v>
      </c>
      <c r="CJ1782" s="7">
        <v>33988</v>
      </c>
    </row>
    <row r="1783" spans="1:88">
      <c r="A1783">
        <v>28030887</v>
      </c>
      <c r="B1783" s="2" t="str">
        <f>HYPERLINK("http://www.redfin.com/stingray/do/printable-listing?listing-id=1513879","Active")</f>
        <v>Active</v>
      </c>
      <c r="D1783" t="s">
        <v>99</v>
      </c>
      <c r="E1783" t="s">
        <v>1548</v>
      </c>
      <c r="F1783">
        <v>412000</v>
      </c>
      <c r="G1783">
        <v>1916</v>
      </c>
      <c r="H1783">
        <v>1510</v>
      </c>
      <c r="I1783">
        <v>4960</v>
      </c>
      <c r="J1783">
        <v>3</v>
      </c>
      <c r="K1783">
        <v>1.75</v>
      </c>
      <c r="M1783" s="2" t="str">
        <f>HYPERLINK("http://maps.live.com/default.aspx?v=2&amp;lvl=15&amp;sp=Point.47.693913_-122.366386_8839 8 th Ave NW&amp;cp=47.693913~-122.366386","Map")</f>
        <v>Map</v>
      </c>
      <c r="N1783" s="2" t="str">
        <f>HYPERLINK("http://i-0.rfimg.us/photo/1/bigphoto/887/28030887_0.jpg","Photo")</f>
        <v>Photo</v>
      </c>
      <c r="AG1783">
        <v>47.693913000000002</v>
      </c>
      <c r="AH1783">
        <v>-122.36638600000001</v>
      </c>
      <c r="AI1783" t="s">
        <v>66</v>
      </c>
      <c r="AJ1783">
        <v>98117</v>
      </c>
      <c r="AN1783">
        <v>217000</v>
      </c>
      <c r="BC1783" s="22">
        <v>39505.869791666664</v>
      </c>
      <c r="BI1783" s="22">
        <v>39549.294907407406</v>
      </c>
      <c r="BL1783">
        <v>8240</v>
      </c>
      <c r="BM1783">
        <v>1513879</v>
      </c>
      <c r="BN1783" t="s">
        <v>1753</v>
      </c>
      <c r="BO1783" s="17">
        <f t="shared" ca="1" si="27"/>
        <v>43.439614351853379</v>
      </c>
      <c r="BP1783" t="b">
        <v>0</v>
      </c>
      <c r="BQ1783">
        <v>1</v>
      </c>
      <c r="BR1783" t="s">
        <v>1667</v>
      </c>
      <c r="BS1783" t="s">
        <v>1853</v>
      </c>
      <c r="BT1783" t="b">
        <v>0</v>
      </c>
      <c r="BV1783" t="s">
        <v>1668</v>
      </c>
      <c r="BW1783">
        <v>8839</v>
      </c>
      <c r="BX1783" t="s">
        <v>1669</v>
      </c>
      <c r="BY1783">
        <v>100314</v>
      </c>
      <c r="BZ1783" t="s">
        <v>1670</v>
      </c>
      <c r="CA1783">
        <v>1</v>
      </c>
      <c r="CB1783" t="b">
        <v>1</v>
      </c>
      <c r="CC1783">
        <v>0</v>
      </c>
      <c r="CD1783" t="b">
        <v>0</v>
      </c>
      <c r="CE1783" t="b">
        <v>0</v>
      </c>
      <c r="CF1783" t="b">
        <v>0</v>
      </c>
      <c r="CG1783">
        <v>2402395</v>
      </c>
      <c r="CH1783" t="s">
        <v>1681</v>
      </c>
      <c r="CI1783" s="10">
        <v>412000</v>
      </c>
      <c r="CJ1783" s="7">
        <v>37481</v>
      </c>
    </row>
    <row r="1784" spans="1:88">
      <c r="A1784">
        <v>28030907</v>
      </c>
      <c r="B1784" s="2" t="str">
        <f>HYPERLINK("http://www.redfin.com/stingray/do/printable-listing?listing-id=1505216","Active")</f>
        <v>Active</v>
      </c>
      <c r="D1784" t="s">
        <v>5216</v>
      </c>
      <c r="E1784" t="s">
        <v>5457</v>
      </c>
      <c r="F1784">
        <v>589000</v>
      </c>
      <c r="G1784">
        <v>1960</v>
      </c>
      <c r="H1784">
        <v>1705</v>
      </c>
      <c r="I1784">
        <v>8025</v>
      </c>
      <c r="J1784">
        <v>3</v>
      </c>
      <c r="K1784">
        <v>2.5</v>
      </c>
      <c r="M1784" s="2" t="str">
        <f>HYPERLINK("http://maps.live.com/default.aspx?v=2&amp;lvl=15&amp;sp=Point.47.61466_-122.115635_17104 NE 5th Pl&amp;cp=47.61466~-122.115635","Map")</f>
        <v>Map</v>
      </c>
      <c r="N1784" s="2" t="str">
        <f>HYPERLINK("http://i-0.rfimg.us/photo/1/bigphoto/907/28030907_3.jpg","Photo")</f>
        <v>Photo</v>
      </c>
      <c r="AG1784">
        <v>47.614660000000001</v>
      </c>
      <c r="AH1784">
        <v>-122.115635</v>
      </c>
      <c r="AI1784" t="s">
        <v>369</v>
      </c>
      <c r="AJ1784">
        <v>98008</v>
      </c>
      <c r="BC1784" s="22">
        <v>39502.525520833333</v>
      </c>
      <c r="BI1784" s="22">
        <v>39549.294907407406</v>
      </c>
      <c r="BL1784">
        <v>11780</v>
      </c>
      <c r="BM1784">
        <v>1505216</v>
      </c>
      <c r="BN1784" t="s">
        <v>1674</v>
      </c>
      <c r="BO1784" s="17">
        <f t="shared" ca="1" si="27"/>
        <v>46.783885069446114</v>
      </c>
      <c r="BP1784" t="b">
        <v>0</v>
      </c>
      <c r="BQ1784">
        <v>1</v>
      </c>
      <c r="BR1784" t="s">
        <v>1842</v>
      </c>
      <c r="BS1784" t="s">
        <v>1832</v>
      </c>
      <c r="BT1784" t="b">
        <v>0</v>
      </c>
      <c r="BU1784" t="s">
        <v>1738</v>
      </c>
      <c r="BV1784" t="s">
        <v>1668</v>
      </c>
      <c r="BW1784">
        <v>17104</v>
      </c>
      <c r="BY1784">
        <v>501779</v>
      </c>
      <c r="BZ1784" t="s">
        <v>5458</v>
      </c>
      <c r="CA1784">
        <v>1</v>
      </c>
      <c r="CB1784" t="b">
        <v>1</v>
      </c>
      <c r="CC1784">
        <v>0</v>
      </c>
      <c r="CD1784" t="b">
        <v>0</v>
      </c>
      <c r="CE1784" t="b">
        <v>0</v>
      </c>
      <c r="CF1784" t="b">
        <v>0</v>
      </c>
      <c r="CG1784">
        <v>2388622</v>
      </c>
      <c r="CH1784" t="s">
        <v>1681</v>
      </c>
      <c r="CI1784" s="10">
        <v>589000</v>
      </c>
    </row>
    <row r="1785" spans="1:88">
      <c r="A1785">
        <v>28030911</v>
      </c>
      <c r="B1785" s="2" t="str">
        <f>HYPERLINK("http://www.redfin.com/stingray/do/printable-listing?listing-id=1500831","Active")</f>
        <v>Active</v>
      </c>
      <c r="D1785" t="s">
        <v>5565</v>
      </c>
      <c r="E1785" t="s">
        <v>5810</v>
      </c>
      <c r="F1785">
        <v>488000</v>
      </c>
      <c r="G1785">
        <v>1958</v>
      </c>
      <c r="H1785">
        <v>1610</v>
      </c>
      <c r="I1785">
        <v>8400</v>
      </c>
      <c r="J1785">
        <v>3</v>
      </c>
      <c r="K1785">
        <v>1.75</v>
      </c>
      <c r="M1785" s="2" t="str">
        <f>HYPERLINK("http://maps.live.com/default.aspx?v=2&amp;lvl=15&amp;sp=Point.47.554508_-122.184169_5412 116th Ave SE&amp;cp=47.554508~-122.184169","Map")</f>
        <v>Map</v>
      </c>
      <c r="N1785" s="2" t="str">
        <f>HYPERLINK("http://i-0.rfimg.us/photo/1/bigphoto/911/28030911_1.jpg","Photo")</f>
        <v>Photo</v>
      </c>
      <c r="AG1785">
        <v>47.554507999999998</v>
      </c>
      <c r="AH1785">
        <v>-122.184169</v>
      </c>
      <c r="AI1785" t="s">
        <v>369</v>
      </c>
      <c r="AJ1785">
        <v>98006</v>
      </c>
      <c r="AN1785">
        <v>192200</v>
      </c>
      <c r="BC1785" s="22">
        <v>39500.421354166669</v>
      </c>
      <c r="BI1785" s="22">
        <v>39549.294907407406</v>
      </c>
      <c r="BL1785">
        <v>9760</v>
      </c>
      <c r="BM1785">
        <v>1500831</v>
      </c>
      <c r="BN1785" t="s">
        <v>1674</v>
      </c>
      <c r="BO1785" s="17">
        <f t="shared" ca="1" si="27"/>
        <v>48.888051736110356</v>
      </c>
      <c r="BP1785" t="b">
        <v>0</v>
      </c>
      <c r="BQ1785">
        <v>1</v>
      </c>
      <c r="BR1785" t="s">
        <v>1667</v>
      </c>
      <c r="BS1785" t="s">
        <v>4441</v>
      </c>
      <c r="BT1785" t="b">
        <v>0</v>
      </c>
      <c r="BV1785" t="s">
        <v>1668</v>
      </c>
      <c r="BW1785">
        <v>5412</v>
      </c>
      <c r="BX1785" t="s">
        <v>3856</v>
      </c>
      <c r="BY1785">
        <v>413651</v>
      </c>
      <c r="BZ1785" t="s">
        <v>1689</v>
      </c>
      <c r="CA1785">
        <v>1</v>
      </c>
      <c r="CB1785" t="b">
        <v>1</v>
      </c>
      <c r="CC1785">
        <v>0</v>
      </c>
      <c r="CD1785" t="b">
        <v>0</v>
      </c>
      <c r="CE1785" t="b">
        <v>0</v>
      </c>
      <c r="CF1785" t="b">
        <v>0</v>
      </c>
      <c r="CG1785">
        <v>2497985</v>
      </c>
      <c r="CH1785" t="s">
        <v>1681</v>
      </c>
      <c r="CI1785" s="10">
        <v>488000</v>
      </c>
      <c r="CJ1785" s="7">
        <v>35691</v>
      </c>
    </row>
    <row r="1786" spans="1:88">
      <c r="A1786">
        <v>28030915</v>
      </c>
      <c r="B1786" s="2" t="str">
        <f>HYPERLINK("http://www.redfin.com/stingray/do/printable-listing?listing-id=1516210","Active")</f>
        <v>Active</v>
      </c>
      <c r="D1786" t="s">
        <v>5281</v>
      </c>
      <c r="E1786" t="s">
        <v>5862</v>
      </c>
      <c r="F1786">
        <v>694500</v>
      </c>
      <c r="G1786">
        <v>1984</v>
      </c>
      <c r="H1786">
        <v>2370</v>
      </c>
      <c r="I1786">
        <v>8820</v>
      </c>
      <c r="J1786">
        <v>4</v>
      </c>
      <c r="K1786">
        <v>2.25</v>
      </c>
      <c r="M1786" s="2" t="str">
        <f>HYPERLINK("http://maps.live.com/default.aspx?v=2&amp;lvl=15&amp;sp=Point.47.563115_-122.085269_4523 191st Ave SE&amp;cp=47.563115~-122.085269","Map")</f>
        <v>Map</v>
      </c>
      <c r="N1786" s="2" t="str">
        <f>HYPERLINK("http://i-0.rfimg.us/photo/1/bigphoto/915/28030915_7.jpg","Photo")</f>
        <v>Photo</v>
      </c>
      <c r="AG1786">
        <v>47.563115000000003</v>
      </c>
      <c r="AH1786">
        <v>-122.085269</v>
      </c>
      <c r="AI1786" t="s">
        <v>5280</v>
      </c>
      <c r="AJ1786">
        <v>98027</v>
      </c>
      <c r="AN1786">
        <v>132000</v>
      </c>
      <c r="BC1786" s="22">
        <v>39506.673125000001</v>
      </c>
      <c r="BI1786" s="7">
        <v>39539</v>
      </c>
      <c r="BL1786">
        <v>13890</v>
      </c>
      <c r="BM1786">
        <v>1516210</v>
      </c>
      <c r="BN1786" t="s">
        <v>1768</v>
      </c>
      <c r="BO1786" s="17">
        <f t="shared" ca="1" si="27"/>
        <v>42.636280902777798</v>
      </c>
      <c r="BP1786" t="b">
        <v>0</v>
      </c>
      <c r="BQ1786">
        <v>1</v>
      </c>
      <c r="BR1786" t="s">
        <v>1667</v>
      </c>
      <c r="BS1786" t="s">
        <v>5279</v>
      </c>
      <c r="BT1786" t="b">
        <v>0</v>
      </c>
      <c r="BV1786" t="s">
        <v>1668</v>
      </c>
      <c r="BW1786">
        <v>4523</v>
      </c>
      <c r="BX1786" t="s">
        <v>3856</v>
      </c>
      <c r="BY1786">
        <v>326835</v>
      </c>
      <c r="BZ1786" t="s">
        <v>5863</v>
      </c>
      <c r="CA1786">
        <v>1</v>
      </c>
      <c r="CB1786" t="b">
        <v>1</v>
      </c>
      <c r="CC1786">
        <v>0</v>
      </c>
      <c r="CD1786" t="b">
        <v>0</v>
      </c>
      <c r="CE1786" t="b">
        <v>0</v>
      </c>
      <c r="CF1786" t="b">
        <v>0</v>
      </c>
      <c r="CG1786">
        <v>2842294</v>
      </c>
      <c r="CH1786" t="s">
        <v>1681</v>
      </c>
      <c r="CI1786" s="10">
        <v>694500</v>
      </c>
      <c r="CJ1786" s="7">
        <v>31121</v>
      </c>
    </row>
    <row r="1787" spans="1:88">
      <c r="A1787">
        <v>28030942</v>
      </c>
      <c r="B1787" s="2" t="str">
        <f>HYPERLINK("http://www.redfin.com/stingray/do/printable-listing?listing-id=1498112","Active")</f>
        <v>Active</v>
      </c>
      <c r="D1787" t="s">
        <v>3066</v>
      </c>
      <c r="E1787" t="s">
        <v>4849</v>
      </c>
      <c r="F1787">
        <v>729500</v>
      </c>
      <c r="G1787">
        <v>2008</v>
      </c>
      <c r="H1787">
        <v>3000</v>
      </c>
      <c r="I1787">
        <v>0</v>
      </c>
      <c r="J1787">
        <v>4</v>
      </c>
      <c r="K1787">
        <v>3</v>
      </c>
      <c r="M1787" s="2" t="str">
        <f>HYPERLINK("http://maps.live.com/default.aspx?v=2&amp;lvl=15&amp;sp=Point.47.686201_-122.181724_9533 Slater Ave NE&amp;cp=47.686201~-122.181724","Map")</f>
        <v>Map</v>
      </c>
      <c r="N1787" s="2" t="str">
        <f>HYPERLINK("http://i-0.rfimg.us/photo/1/bigphoto/942/28030942_4.jpg","Photo")</f>
        <v>Photo</v>
      </c>
      <c r="AG1787">
        <v>47.686200999999997</v>
      </c>
      <c r="AH1787">
        <v>-122.181724</v>
      </c>
      <c r="AI1787" t="s">
        <v>1058</v>
      </c>
      <c r="AJ1787">
        <v>98033</v>
      </c>
      <c r="BC1787" s="22">
        <v>39499.527662037035</v>
      </c>
      <c r="BI1787" s="22">
        <v>39549.294907407406</v>
      </c>
      <c r="BL1787">
        <v>14590</v>
      </c>
      <c r="BM1787">
        <v>1498112</v>
      </c>
      <c r="BN1787" t="s">
        <v>1917</v>
      </c>
      <c r="BO1787" s="17">
        <f t="shared" ca="1" si="27"/>
        <v>49.78174386574392</v>
      </c>
      <c r="BP1787" t="b">
        <v>0</v>
      </c>
      <c r="BQ1787">
        <v>1</v>
      </c>
      <c r="BR1787" t="s">
        <v>1667</v>
      </c>
      <c r="BS1787" t="s">
        <v>4800</v>
      </c>
      <c r="BT1787" t="b">
        <v>0</v>
      </c>
      <c r="BV1787" t="s">
        <v>1668</v>
      </c>
      <c r="BW1787">
        <v>9533</v>
      </c>
      <c r="BX1787" t="s">
        <v>1738</v>
      </c>
      <c r="BY1787">
        <v>12417251</v>
      </c>
      <c r="BZ1787" t="s">
        <v>4850</v>
      </c>
      <c r="CA1787">
        <v>1</v>
      </c>
      <c r="CB1787" t="b">
        <v>1</v>
      </c>
      <c r="CC1787">
        <v>0</v>
      </c>
      <c r="CD1787" t="b">
        <v>0</v>
      </c>
      <c r="CE1787" t="b">
        <v>0</v>
      </c>
      <c r="CF1787" t="b">
        <v>0</v>
      </c>
      <c r="CG1787">
        <v>15620999</v>
      </c>
      <c r="CH1787" t="s">
        <v>1681</v>
      </c>
      <c r="CI1787" s="10">
        <v>729500</v>
      </c>
    </row>
    <row r="1788" spans="1:88">
      <c r="A1788">
        <v>28030955</v>
      </c>
      <c r="B1788" s="2" t="str">
        <f>HYPERLINK("http://www.redfin.com/stingray/do/printable-listing?listing-id=1501173","Active")</f>
        <v>Active</v>
      </c>
      <c r="D1788" t="s">
        <v>2552</v>
      </c>
      <c r="E1788" t="s">
        <v>3423</v>
      </c>
      <c r="F1788" s="19">
        <v>409950</v>
      </c>
      <c r="G1788">
        <v>1910</v>
      </c>
      <c r="H1788">
        <v>1640</v>
      </c>
      <c r="I1788">
        <v>3600</v>
      </c>
      <c r="J1788">
        <v>3</v>
      </c>
      <c r="K1788">
        <v>2</v>
      </c>
      <c r="M1788" s="2" t="str">
        <f>HYPERLINK("http://maps.live.com/default.aspx?v=2&amp;lvl=15&amp;sp=Point.47.651571_-122.383747_3443 21st Ave W&amp;cp=47.651571~-122.383747","Map")</f>
        <v>Map</v>
      </c>
      <c r="N1788" s="2" t="str">
        <f>HYPERLINK("http://i-0.rfimg.us/photo/1/bigphoto/955/28030955_2.jpg","Photo")</f>
        <v>Photo</v>
      </c>
      <c r="AG1788">
        <v>47.651570999999997</v>
      </c>
      <c r="AH1788">
        <v>-122.383747</v>
      </c>
      <c r="AI1788" t="s">
        <v>66</v>
      </c>
      <c r="AJ1788">
        <v>98199</v>
      </c>
      <c r="AN1788">
        <v>107019</v>
      </c>
      <c r="BC1788" s="22">
        <v>39500.495740740742</v>
      </c>
      <c r="BI1788" s="22">
        <v>39549.294907407406</v>
      </c>
      <c r="BL1788">
        <v>9300</v>
      </c>
      <c r="BM1788">
        <v>1501173</v>
      </c>
      <c r="BN1788" t="s">
        <v>2733</v>
      </c>
      <c r="BO1788" s="17">
        <f t="shared" ca="1" si="27"/>
        <v>48.813665162037069</v>
      </c>
      <c r="BP1788" t="b">
        <v>0</v>
      </c>
      <c r="BQ1788">
        <v>1</v>
      </c>
      <c r="BR1788" t="s">
        <v>1667</v>
      </c>
      <c r="BS1788" t="s">
        <v>1903</v>
      </c>
      <c r="BT1788" t="b">
        <v>0</v>
      </c>
      <c r="BV1788" t="s">
        <v>1668</v>
      </c>
      <c r="BW1788">
        <v>3443</v>
      </c>
      <c r="BX1788" t="s">
        <v>2423</v>
      </c>
      <c r="BY1788">
        <v>124064</v>
      </c>
      <c r="BZ1788" t="s">
        <v>3424</v>
      </c>
      <c r="CA1788">
        <v>1</v>
      </c>
      <c r="CB1788" t="b">
        <v>1</v>
      </c>
      <c r="CC1788">
        <v>0</v>
      </c>
      <c r="CD1788" t="b">
        <v>0</v>
      </c>
      <c r="CE1788" t="b">
        <v>0</v>
      </c>
      <c r="CF1788" t="b">
        <v>0</v>
      </c>
      <c r="CG1788">
        <v>2616436</v>
      </c>
      <c r="CH1788" t="s">
        <v>1681</v>
      </c>
      <c r="CI1788" s="10">
        <v>465000</v>
      </c>
      <c r="CJ1788" s="7">
        <v>36734</v>
      </c>
    </row>
    <row r="1789" spans="1:88">
      <c r="A1789">
        <v>28031064</v>
      </c>
      <c r="B1789" s="2" t="str">
        <f>HYPERLINK("http://www.redfin.com/stingray/do/printable-listing?listing-id=1498493","Active")</f>
        <v>Active</v>
      </c>
      <c r="D1789" t="s">
        <v>1141</v>
      </c>
      <c r="E1789" t="s">
        <v>2637</v>
      </c>
      <c r="F1789">
        <v>520000</v>
      </c>
      <c r="G1789">
        <v>1910</v>
      </c>
      <c r="H1789">
        <v>1530</v>
      </c>
      <c r="I1789">
        <v>2520</v>
      </c>
      <c r="J1789">
        <v>3</v>
      </c>
      <c r="K1789">
        <v>2</v>
      </c>
      <c r="M1789" s="2" t="str">
        <f>HYPERLINK("http://maps.live.com/default.aspx?v=2&amp;lvl=15&amp;sp=Point.47.664829_-122.346249_923 50th N&amp;cp=47.664829~-122.346249","Map")</f>
        <v>Map</v>
      </c>
      <c r="N1789" s="2" t="str">
        <f>HYPERLINK("http://i-0.rfimg.us/photo/1/bigphoto/064/28031064_1.jpg","Photo")</f>
        <v>Photo</v>
      </c>
      <c r="AG1789">
        <v>47.664828999999997</v>
      </c>
      <c r="AH1789">
        <v>-122.346249</v>
      </c>
      <c r="AI1789" t="s">
        <v>66</v>
      </c>
      <c r="AJ1789">
        <v>98103</v>
      </c>
      <c r="AN1789">
        <v>337000</v>
      </c>
      <c r="BC1789" s="22">
        <v>39499.58997685185</v>
      </c>
      <c r="BI1789" s="7">
        <v>39535</v>
      </c>
      <c r="BL1789">
        <v>10400</v>
      </c>
      <c r="BM1789">
        <v>1498493</v>
      </c>
      <c r="BN1789" t="s">
        <v>2636</v>
      </c>
      <c r="BO1789" s="17">
        <f t="shared" ca="1" si="27"/>
        <v>49.719429166667396</v>
      </c>
      <c r="BP1789" t="b">
        <v>0</v>
      </c>
      <c r="BQ1789">
        <v>1</v>
      </c>
      <c r="BS1789" t="s">
        <v>2638</v>
      </c>
      <c r="BT1789" t="b">
        <v>0</v>
      </c>
      <c r="BV1789" t="s">
        <v>1668</v>
      </c>
      <c r="BW1789">
        <v>923</v>
      </c>
      <c r="BX1789" t="s">
        <v>1712</v>
      </c>
      <c r="BY1789">
        <v>119636</v>
      </c>
      <c r="BZ1789" t="s">
        <v>1704</v>
      </c>
      <c r="CA1789">
        <v>1</v>
      </c>
      <c r="CB1789" t="b">
        <v>1</v>
      </c>
      <c r="CC1789">
        <v>0</v>
      </c>
      <c r="CD1789" t="b">
        <v>0</v>
      </c>
      <c r="CE1789" t="b">
        <v>0</v>
      </c>
      <c r="CF1789" t="b">
        <v>0</v>
      </c>
      <c r="CG1789">
        <v>2841696</v>
      </c>
      <c r="CH1789" t="s">
        <v>1681</v>
      </c>
      <c r="CI1789" s="10">
        <v>520000</v>
      </c>
      <c r="CJ1789" s="7">
        <v>39402</v>
      </c>
    </row>
    <row r="1790" spans="1:88">
      <c r="A1790">
        <v>28031106</v>
      </c>
      <c r="B1790" s="2" t="str">
        <f>HYPERLINK("http://www.redfin.com/stingray/do/printable-listing?listing-id=1500494","Active")</f>
        <v>Active</v>
      </c>
      <c r="D1790" t="s">
        <v>6041</v>
      </c>
      <c r="E1790" t="s">
        <v>6039</v>
      </c>
      <c r="F1790">
        <v>599900</v>
      </c>
      <c r="G1790">
        <v>1998</v>
      </c>
      <c r="H1790">
        <v>2658</v>
      </c>
      <c r="I1790">
        <v>6470</v>
      </c>
      <c r="J1790">
        <v>4</v>
      </c>
      <c r="K1790">
        <v>2.5</v>
      </c>
      <c r="M1790" s="2" t="str">
        <f>HYPERLINK("http://maps.live.com/default.aspx?v=2&amp;lvl=15&amp;sp=Point.47.51222_-122.175225_3420 NE 23rd Pl&amp;cp=47.51222~-122.175225","Map")</f>
        <v>Map</v>
      </c>
      <c r="N1790" s="2" t="str">
        <f>HYPERLINK("http://i-0.rfimg.us/photo/1/bigphoto/106/28031106_2.jpg","Photo")</f>
        <v>Photo</v>
      </c>
      <c r="AG1790">
        <v>47.512219999999999</v>
      </c>
      <c r="AH1790">
        <v>-122.175225</v>
      </c>
      <c r="AI1790" t="s">
        <v>1077</v>
      </c>
      <c r="AJ1790">
        <v>98056</v>
      </c>
      <c r="AN1790">
        <v>387000</v>
      </c>
      <c r="BC1790" s="22">
        <v>39500.306261574071</v>
      </c>
      <c r="BI1790" s="22">
        <v>39549.294907407406</v>
      </c>
      <c r="BL1790">
        <v>11998</v>
      </c>
      <c r="BM1790">
        <v>1500494</v>
      </c>
      <c r="BN1790" t="s">
        <v>6038</v>
      </c>
      <c r="BO1790" s="17">
        <f t="shared" ca="1" si="27"/>
        <v>49.003144328708004</v>
      </c>
      <c r="BP1790" t="b">
        <v>0</v>
      </c>
      <c r="BQ1790">
        <v>1</v>
      </c>
      <c r="BR1790" t="s">
        <v>1842</v>
      </c>
      <c r="BS1790" t="s">
        <v>1839</v>
      </c>
      <c r="BT1790" t="b">
        <v>0</v>
      </c>
      <c r="BU1790" t="s">
        <v>1738</v>
      </c>
      <c r="BV1790" t="s">
        <v>1668</v>
      </c>
      <c r="BW1790">
        <v>3420</v>
      </c>
      <c r="BY1790">
        <v>411397</v>
      </c>
      <c r="BZ1790" t="s">
        <v>6040</v>
      </c>
      <c r="CA1790">
        <v>1</v>
      </c>
      <c r="CB1790" t="b">
        <v>1</v>
      </c>
      <c r="CC1790">
        <v>0</v>
      </c>
      <c r="CD1790" t="b">
        <v>0</v>
      </c>
      <c r="CE1790" t="b">
        <v>0</v>
      </c>
      <c r="CF1790" t="b">
        <v>0</v>
      </c>
      <c r="CG1790">
        <v>2676691</v>
      </c>
      <c r="CH1790" t="s">
        <v>1681</v>
      </c>
      <c r="CI1790" s="10">
        <v>599900</v>
      </c>
      <c r="CJ1790" s="7">
        <v>36669</v>
      </c>
    </row>
    <row r="1791" spans="1:88">
      <c r="A1791">
        <v>28031135</v>
      </c>
      <c r="B1791" s="2" t="str">
        <f>HYPERLINK("http://www.redfin.com/stingray/do/printable-listing?listing-id=1506559","Active")</f>
        <v>Active</v>
      </c>
      <c r="D1791" t="s">
        <v>3249</v>
      </c>
      <c r="E1791" t="s">
        <v>3639</v>
      </c>
      <c r="F1791">
        <v>776821</v>
      </c>
      <c r="G1791">
        <v>1907</v>
      </c>
      <c r="H1791">
        <v>2050</v>
      </c>
      <c r="I1791">
        <v>5000</v>
      </c>
      <c r="J1791">
        <v>3</v>
      </c>
      <c r="K1791">
        <v>1.75</v>
      </c>
      <c r="M1791" s="2" t="str">
        <f>HYPERLINK("http://maps.live.com/default.aspx?v=2&amp;lvl=15&amp;sp=Point.47.642744_-122.348944_411 Raye St&amp;cp=47.642744~-122.348944","Map")</f>
        <v>Map</v>
      </c>
      <c r="N1791" s="2" t="str">
        <f>HYPERLINK("http://i-0.rfimg.us/photo/1/bigphoto/135/28031135_2.jpg","Photo")</f>
        <v>Photo</v>
      </c>
      <c r="AG1791">
        <v>47.642744</v>
      </c>
      <c r="AH1791">
        <v>-122.348944</v>
      </c>
      <c r="AI1791" t="s">
        <v>66</v>
      </c>
      <c r="AJ1791">
        <v>98109</v>
      </c>
      <c r="AN1791">
        <v>599950</v>
      </c>
      <c r="BC1791" s="22">
        <v>39503.526203703703</v>
      </c>
      <c r="BI1791" s="22">
        <v>39549.294907407406</v>
      </c>
      <c r="BL1791">
        <v>15536</v>
      </c>
      <c r="BM1791">
        <v>1506559</v>
      </c>
      <c r="BN1791" t="s">
        <v>1688</v>
      </c>
      <c r="BO1791" s="17">
        <f t="shared" ca="1" si="27"/>
        <v>45.783202199076186</v>
      </c>
      <c r="BP1791" t="b">
        <v>0</v>
      </c>
      <c r="BQ1791">
        <v>1</v>
      </c>
      <c r="BR1791" t="s">
        <v>1686</v>
      </c>
      <c r="BS1791" t="s">
        <v>3258</v>
      </c>
      <c r="BT1791" t="b">
        <v>0</v>
      </c>
      <c r="BV1791" t="s">
        <v>1668</v>
      </c>
      <c r="BW1791">
        <v>411</v>
      </c>
      <c r="BY1791">
        <v>135218</v>
      </c>
      <c r="BZ1791" t="s">
        <v>3640</v>
      </c>
      <c r="CA1791">
        <v>1</v>
      </c>
      <c r="CB1791" t="b">
        <v>1</v>
      </c>
      <c r="CC1791">
        <v>0</v>
      </c>
      <c r="CD1791" t="b">
        <v>0</v>
      </c>
      <c r="CE1791" t="b">
        <v>0</v>
      </c>
      <c r="CF1791" t="b">
        <v>0</v>
      </c>
      <c r="CG1791">
        <v>2736903</v>
      </c>
      <c r="CH1791" t="s">
        <v>1681</v>
      </c>
      <c r="CI1791" s="10">
        <v>776821</v>
      </c>
      <c r="CJ1791" s="7">
        <v>38293</v>
      </c>
    </row>
    <row r="1792" spans="1:88">
      <c r="A1792">
        <v>28031140</v>
      </c>
      <c r="B1792" s="2" t="str">
        <f>HYPERLINK("http://www.redfin.com/stingray/do/printable-listing?listing-id=1498868","Active")</f>
        <v>Active</v>
      </c>
      <c r="D1792" t="s">
        <v>3066</v>
      </c>
      <c r="E1792" t="s">
        <v>4898</v>
      </c>
      <c r="F1792">
        <v>1037000</v>
      </c>
      <c r="G1792">
        <v>2008</v>
      </c>
      <c r="H1792">
        <v>3510</v>
      </c>
      <c r="I1792">
        <v>10309</v>
      </c>
      <c r="J1792">
        <v>5</v>
      </c>
      <c r="K1792">
        <v>3</v>
      </c>
      <c r="M1792" s="2" t="str">
        <f>HYPERLINK("http://maps.live.com/default.aspx?v=2&amp;lvl=15&amp;sp=Point.47.678745_-122.151977_14007 NE 85 Ct&amp;cp=47.678745~-122.151977","Map")</f>
        <v>Map</v>
      </c>
      <c r="N1792" s="2" t="str">
        <f>HYPERLINK("http://i-0.rfimg.us/photo/1/bigphoto/140/28031140_3.jpg","Photo")</f>
        <v>Photo</v>
      </c>
      <c r="AG1792">
        <v>47.678744999999999</v>
      </c>
      <c r="AH1792">
        <v>-122.151977</v>
      </c>
      <c r="AI1792" t="s">
        <v>4363</v>
      </c>
      <c r="AJ1792">
        <v>98052</v>
      </c>
      <c r="BC1792" s="22">
        <v>39499.673761574071</v>
      </c>
      <c r="BI1792" s="22">
        <v>39549.294907407406</v>
      </c>
      <c r="BL1792">
        <v>20740</v>
      </c>
      <c r="BM1792">
        <v>1498868</v>
      </c>
      <c r="BN1792" t="s">
        <v>1768</v>
      </c>
      <c r="BO1792" s="17">
        <f t="shared" ca="1" si="27"/>
        <v>49.635644328707713</v>
      </c>
      <c r="BP1792" t="b">
        <v>0</v>
      </c>
      <c r="BQ1792">
        <v>1</v>
      </c>
      <c r="BR1792" t="s">
        <v>3768</v>
      </c>
      <c r="BS1792">
        <v>85</v>
      </c>
      <c r="BT1792" t="b">
        <v>0</v>
      </c>
      <c r="BU1792" t="s">
        <v>1738</v>
      </c>
      <c r="BV1792" t="s">
        <v>1668</v>
      </c>
      <c r="BW1792">
        <v>14007</v>
      </c>
      <c r="BY1792">
        <v>12417374</v>
      </c>
      <c r="BZ1792" t="s">
        <v>4899</v>
      </c>
      <c r="CA1792">
        <v>1</v>
      </c>
      <c r="CB1792" t="b">
        <v>1</v>
      </c>
      <c r="CC1792">
        <v>0</v>
      </c>
      <c r="CD1792" t="b">
        <v>0</v>
      </c>
      <c r="CE1792" t="b">
        <v>0</v>
      </c>
      <c r="CF1792" t="b">
        <v>0</v>
      </c>
      <c r="CG1792">
        <v>15621122</v>
      </c>
      <c r="CH1792" t="s">
        <v>1681</v>
      </c>
      <c r="CI1792" s="10">
        <v>1037000</v>
      </c>
    </row>
    <row r="1793" spans="1:88">
      <c r="A1793">
        <v>28031170</v>
      </c>
      <c r="B1793" s="15" t="str">
        <f>HYPERLINK("http://www.redfin.com/stingray/do/printable-listing?listing-id=1503958","Active")</f>
        <v>Active</v>
      </c>
      <c r="D1793" t="s">
        <v>1152</v>
      </c>
      <c r="E1793" t="s">
        <v>3246</v>
      </c>
      <c r="F1793">
        <v>895000</v>
      </c>
      <c r="G1793">
        <v>1942</v>
      </c>
      <c r="H1793">
        <v>3900</v>
      </c>
      <c r="I1793">
        <v>5733</v>
      </c>
      <c r="J1793">
        <v>4</v>
      </c>
      <c r="K1793">
        <v>3</v>
      </c>
      <c r="M1793" s="2" t="str">
        <f>HYPERLINK("http://maps.live.com/default.aspx?v=2&amp;lvl=15&amp;sp=Point.47.675116_-122.275007_4836 NE Princeton Way&amp;cp=47.675116~-122.275007","Map")</f>
        <v>Map</v>
      </c>
      <c r="N1793" s="2" t="str">
        <f>HYPERLINK("http://i-0.rfimg.us/photo/1/bigphoto/170/28031170_2.jpg","Photo")</f>
        <v>Photo</v>
      </c>
      <c r="AG1793">
        <v>47.675116000000003</v>
      </c>
      <c r="AH1793">
        <v>-122.275007</v>
      </c>
      <c r="AI1793" t="s">
        <v>66</v>
      </c>
      <c r="AJ1793">
        <v>98115</v>
      </c>
      <c r="AN1793">
        <v>330000</v>
      </c>
      <c r="BC1793" s="22">
        <v>39501.536793981482</v>
      </c>
      <c r="BI1793" s="22">
        <v>39549.294907407406</v>
      </c>
      <c r="BL1793">
        <v>17900</v>
      </c>
      <c r="BM1793">
        <v>1503958</v>
      </c>
      <c r="BN1793" t="s">
        <v>1766</v>
      </c>
      <c r="BO1793" s="17">
        <f t="shared" ca="1" si="27"/>
        <v>47.77261192129663</v>
      </c>
      <c r="BP1793" t="b">
        <v>0</v>
      </c>
      <c r="BQ1793">
        <v>1</v>
      </c>
      <c r="BR1793" t="s">
        <v>2463</v>
      </c>
      <c r="BS1793" t="s">
        <v>3247</v>
      </c>
      <c r="BT1793" t="b">
        <v>0</v>
      </c>
      <c r="BU1793" t="s">
        <v>1738</v>
      </c>
      <c r="BV1793" t="s">
        <v>1668</v>
      </c>
      <c r="BW1793">
        <v>4836</v>
      </c>
      <c r="BY1793">
        <v>320576</v>
      </c>
      <c r="BZ1793" t="s">
        <v>1730</v>
      </c>
      <c r="CA1793">
        <v>1</v>
      </c>
      <c r="CB1793" t="b">
        <v>1</v>
      </c>
      <c r="CC1793">
        <v>0</v>
      </c>
      <c r="CD1793" t="b">
        <v>0</v>
      </c>
      <c r="CE1793" t="b">
        <v>0</v>
      </c>
      <c r="CF1793" t="b">
        <v>0</v>
      </c>
      <c r="CG1793">
        <v>2673396</v>
      </c>
      <c r="CH1793" t="s">
        <v>1681</v>
      </c>
      <c r="CI1793" s="10">
        <v>895000</v>
      </c>
      <c r="CJ1793" s="7">
        <v>34548</v>
      </c>
    </row>
    <row r="1794" spans="1:88">
      <c r="A1794">
        <v>28031236</v>
      </c>
      <c r="B1794" s="2" t="str">
        <f>HYPERLINK("http://www.redfin.com/stingray/do/printable-listing?listing-id=1498992","Active")</f>
        <v>Active</v>
      </c>
      <c r="D1794" t="s">
        <v>100</v>
      </c>
      <c r="E1794" t="s">
        <v>2461</v>
      </c>
      <c r="F1794">
        <v>394500</v>
      </c>
      <c r="G1794">
        <v>2000</v>
      </c>
      <c r="H1794">
        <v>905</v>
      </c>
      <c r="I1794">
        <v>0</v>
      </c>
      <c r="J1794">
        <v>2</v>
      </c>
      <c r="K1794">
        <v>1.5</v>
      </c>
      <c r="M1794" s="2" t="str">
        <f>HYPERLINK("http://maps.live.com/default.aspx?v=2&amp;lvl=15&amp;sp=Point.47.661963_-122.35117_611 N 46 St&amp;cp=47.661963~-122.35117","Map")</f>
        <v>Map</v>
      </c>
      <c r="N1794" s="2" t="str">
        <f>HYPERLINK("http://i-0.rfimg.us/photo/1/bigphoto/236/28031236_0.jpg","Photo")</f>
        <v>Photo</v>
      </c>
      <c r="AG1794">
        <v>47.661963</v>
      </c>
      <c r="AH1794">
        <v>-122.35117</v>
      </c>
      <c r="AI1794" t="s">
        <v>66</v>
      </c>
      <c r="AJ1794">
        <v>98103</v>
      </c>
      <c r="BC1794" s="22">
        <v>39499.694340277776</v>
      </c>
      <c r="BI1794" s="22">
        <v>39549.294907407406</v>
      </c>
      <c r="BL1794">
        <v>7890</v>
      </c>
      <c r="BM1794">
        <v>1498992</v>
      </c>
      <c r="BN1794" t="s">
        <v>1688</v>
      </c>
      <c r="BO1794" s="17">
        <f t="shared" ref="BO1794:BO1857" ca="1" si="28">NOW()-BC1794</f>
        <v>49.615065625002899</v>
      </c>
      <c r="BP1794" t="b">
        <v>0</v>
      </c>
      <c r="BQ1794">
        <v>1</v>
      </c>
      <c r="BR1794" t="s">
        <v>1686</v>
      </c>
      <c r="BS1794">
        <v>46</v>
      </c>
      <c r="BT1794" t="b">
        <v>0</v>
      </c>
      <c r="BU1794" t="s">
        <v>1712</v>
      </c>
      <c r="BV1794" t="s">
        <v>1668</v>
      </c>
      <c r="BW1794">
        <v>611</v>
      </c>
      <c r="BY1794">
        <v>2093193</v>
      </c>
      <c r="BZ1794" t="s">
        <v>1670</v>
      </c>
      <c r="CA1794">
        <v>1</v>
      </c>
      <c r="CB1794" t="b">
        <v>1</v>
      </c>
      <c r="CC1794">
        <v>0</v>
      </c>
      <c r="CD1794" t="b">
        <v>0</v>
      </c>
      <c r="CE1794" t="b">
        <v>0</v>
      </c>
      <c r="CF1794" t="b">
        <v>0</v>
      </c>
      <c r="CG1794">
        <v>2945548</v>
      </c>
      <c r="CH1794" t="s">
        <v>1681</v>
      </c>
      <c r="CI1794" s="10">
        <v>394500</v>
      </c>
    </row>
    <row r="1795" spans="1:88">
      <c r="A1795">
        <v>28031305</v>
      </c>
      <c r="B1795" s="2" t="str">
        <f>HYPERLINK("http://www.redfin.com/stingray/do/printable-listing?listing-id=1555208","Active")</f>
        <v>Active</v>
      </c>
      <c r="D1795" t="s">
        <v>2552</v>
      </c>
      <c r="E1795" t="s">
        <v>3365</v>
      </c>
      <c r="F1795">
        <v>799950</v>
      </c>
      <c r="G1795">
        <v>1936</v>
      </c>
      <c r="H1795">
        <v>2700</v>
      </c>
      <c r="I1795">
        <v>4640</v>
      </c>
      <c r="J1795">
        <v>4</v>
      </c>
      <c r="K1795">
        <v>2.25</v>
      </c>
      <c r="M1795" s="2" t="str">
        <f>HYPERLINK("http://maps.live.com/default.aspx?v=2&amp;lvl=15&amp;sp=Point.47.641629_-122.393828_2514 29th Ave W&amp;cp=47.641629~-122.393828","Map")</f>
        <v>Map</v>
      </c>
      <c r="N1795" s="2" t="str">
        <f>HYPERLINK("http://i-0.rfimg.us/photo/1/bigphoto/305/28031305_2.jpg","Photo")</f>
        <v>Photo</v>
      </c>
      <c r="AG1795">
        <v>47.641629000000002</v>
      </c>
      <c r="AH1795">
        <v>-122.393828</v>
      </c>
      <c r="AI1795" t="s">
        <v>66</v>
      </c>
      <c r="AJ1795">
        <v>98199</v>
      </c>
      <c r="AN1795">
        <v>733000</v>
      </c>
      <c r="BC1795" s="22">
        <v>39520.369791666664</v>
      </c>
      <c r="BI1795" s="22">
        <v>39549.294907407406</v>
      </c>
      <c r="BL1795">
        <v>15999</v>
      </c>
      <c r="BM1795">
        <v>1555208</v>
      </c>
      <c r="BN1795" t="s">
        <v>1671</v>
      </c>
      <c r="BO1795" s="17">
        <f t="shared" ca="1" si="28"/>
        <v>28.939614236114721</v>
      </c>
      <c r="BP1795" t="b">
        <v>0</v>
      </c>
      <c r="BQ1795">
        <v>1</v>
      </c>
      <c r="BR1795" t="s">
        <v>1667</v>
      </c>
      <c r="BS1795" t="s">
        <v>1772</v>
      </c>
      <c r="BT1795" t="b">
        <v>0</v>
      </c>
      <c r="BV1795" t="s">
        <v>1668</v>
      </c>
      <c r="BW1795">
        <v>2514</v>
      </c>
      <c r="BX1795" t="s">
        <v>2423</v>
      </c>
      <c r="BY1795">
        <v>128088</v>
      </c>
      <c r="BZ1795" t="s">
        <v>3366</v>
      </c>
      <c r="CA1795">
        <v>1</v>
      </c>
      <c r="CB1795" t="b">
        <v>1</v>
      </c>
      <c r="CC1795">
        <v>0</v>
      </c>
      <c r="CD1795" t="b">
        <v>0</v>
      </c>
      <c r="CE1795" t="b">
        <v>0</v>
      </c>
      <c r="CF1795" t="b">
        <v>0</v>
      </c>
      <c r="CG1795">
        <v>2806122</v>
      </c>
      <c r="CH1795" t="s">
        <v>1681</v>
      </c>
      <c r="CI1795" s="10">
        <v>799950</v>
      </c>
      <c r="CJ1795" s="7">
        <v>39013</v>
      </c>
    </row>
    <row r="1796" spans="1:88">
      <c r="A1796">
        <v>28031312</v>
      </c>
      <c r="B1796" s="2" t="str">
        <f>HYPERLINK("http://www.redfin.com/stingray/do/printable-listing?listing-id=1499206","Active")</f>
        <v>Active</v>
      </c>
      <c r="D1796" t="s">
        <v>3249</v>
      </c>
      <c r="E1796" t="s">
        <v>3586</v>
      </c>
      <c r="F1796">
        <v>889000</v>
      </c>
      <c r="G1796">
        <v>2007</v>
      </c>
      <c r="H1796">
        <v>1760</v>
      </c>
      <c r="I1796">
        <v>1200</v>
      </c>
      <c r="J1796">
        <v>3</v>
      </c>
      <c r="K1796">
        <v>2.5</v>
      </c>
      <c r="M1796" s="2" t="str">
        <f>HYPERLINK("http://maps.live.com/default.aspx?v=2&amp;lvl=15&amp;sp=Point.47.631094_-122.359957_215 W Lee St&amp;cp=47.631094~-122.359957","Map")</f>
        <v>Map</v>
      </c>
      <c r="N1796" s="2" t="str">
        <f>HYPERLINK("http://i-0.rfimg.us/photo/1/bigphoto/312/28031312_0.jpg","Photo")</f>
        <v>Photo</v>
      </c>
      <c r="AG1796">
        <v>47.631093999999997</v>
      </c>
      <c r="AH1796">
        <v>-122.35995699999999</v>
      </c>
      <c r="AI1796" t="s">
        <v>66</v>
      </c>
      <c r="AJ1796">
        <v>98119</v>
      </c>
      <c r="BC1796" s="22">
        <v>39499.736203703702</v>
      </c>
      <c r="BI1796" s="7">
        <v>39539</v>
      </c>
      <c r="BL1796">
        <v>17780</v>
      </c>
      <c r="BM1796">
        <v>1499206</v>
      </c>
      <c r="BN1796" t="s">
        <v>1766</v>
      </c>
      <c r="BO1796" s="17">
        <f t="shared" ca="1" si="28"/>
        <v>49.573202199077059</v>
      </c>
      <c r="BP1796" t="b">
        <v>0</v>
      </c>
      <c r="BQ1796">
        <v>1</v>
      </c>
      <c r="BR1796" t="s">
        <v>1686</v>
      </c>
      <c r="BS1796" t="s">
        <v>3567</v>
      </c>
      <c r="BT1796" t="b">
        <v>0</v>
      </c>
      <c r="BU1796" t="s">
        <v>2423</v>
      </c>
      <c r="BV1796" t="s">
        <v>1668</v>
      </c>
      <c r="BW1796">
        <v>215</v>
      </c>
      <c r="BY1796">
        <v>12417398</v>
      </c>
      <c r="BZ1796" t="s">
        <v>1676</v>
      </c>
      <c r="CA1796">
        <v>1</v>
      </c>
      <c r="CB1796" t="b">
        <v>1</v>
      </c>
      <c r="CC1796">
        <v>0</v>
      </c>
      <c r="CD1796" t="b">
        <v>0</v>
      </c>
      <c r="CE1796" t="b">
        <v>0</v>
      </c>
      <c r="CF1796" t="b">
        <v>0</v>
      </c>
      <c r="CG1796">
        <v>15621146</v>
      </c>
      <c r="CH1796" t="s">
        <v>1681</v>
      </c>
      <c r="CI1796" s="10">
        <v>889000</v>
      </c>
    </row>
    <row r="1797" spans="1:88">
      <c r="A1797">
        <v>28031314</v>
      </c>
      <c r="B1797" s="2" t="str">
        <f>HYPERLINK("http://www.redfin.com/stingray/do/printable-listing?listing-id=1499207","Active")</f>
        <v>Active</v>
      </c>
      <c r="D1797" t="s">
        <v>2552</v>
      </c>
      <c r="E1797" t="s">
        <v>3476</v>
      </c>
      <c r="F1797">
        <v>425000</v>
      </c>
      <c r="G1797">
        <v>1950</v>
      </c>
      <c r="H1797">
        <v>1600</v>
      </c>
      <c r="I1797">
        <v>6615</v>
      </c>
      <c r="J1797">
        <v>3</v>
      </c>
      <c r="K1797">
        <v>1.5</v>
      </c>
      <c r="M1797" s="2" t="str">
        <f>HYPERLINK("http://maps.live.com/default.aspx?v=2&amp;lvl=15&amp;sp=Point.47.657796_-122.390251_4201 26th Ave W&amp;cp=47.657796~-122.390251","Map")</f>
        <v>Map</v>
      </c>
      <c r="N1797" s="2" t="str">
        <f>HYPERLINK("http://i-0.rfimg.us/photo/1/bigphoto/314/28031314_2.jpg","Photo")</f>
        <v>Photo</v>
      </c>
      <c r="AG1797">
        <v>47.657795999999998</v>
      </c>
      <c r="AH1797">
        <v>-122.39025100000001</v>
      </c>
      <c r="AI1797" t="s">
        <v>66</v>
      </c>
      <c r="AJ1797">
        <v>98199</v>
      </c>
      <c r="AN1797">
        <v>172000</v>
      </c>
      <c r="BC1797" s="22">
        <v>39499.736203703702</v>
      </c>
      <c r="BI1797" s="22">
        <v>39549.294907407406</v>
      </c>
      <c r="BL1797">
        <v>8500</v>
      </c>
      <c r="BM1797">
        <v>1499207</v>
      </c>
      <c r="BN1797" t="s">
        <v>1675</v>
      </c>
      <c r="BO1797" s="17">
        <f t="shared" ca="1" si="28"/>
        <v>49.573202199077059</v>
      </c>
      <c r="BP1797" t="b">
        <v>0</v>
      </c>
      <c r="BQ1797">
        <v>1</v>
      </c>
      <c r="BR1797" t="s">
        <v>1667</v>
      </c>
      <c r="BS1797" t="s">
        <v>1769</v>
      </c>
      <c r="BT1797" t="b">
        <v>0</v>
      </c>
      <c r="BV1797" t="s">
        <v>1668</v>
      </c>
      <c r="BW1797">
        <v>4201</v>
      </c>
      <c r="BX1797" t="s">
        <v>2423</v>
      </c>
      <c r="BY1797">
        <v>124270</v>
      </c>
      <c r="BZ1797" t="s">
        <v>3477</v>
      </c>
      <c r="CA1797">
        <v>1</v>
      </c>
      <c r="CB1797" t="b">
        <v>1</v>
      </c>
      <c r="CC1797">
        <v>0</v>
      </c>
      <c r="CD1797" t="b">
        <v>0</v>
      </c>
      <c r="CE1797" t="b">
        <v>0</v>
      </c>
      <c r="CF1797" t="b">
        <v>0</v>
      </c>
      <c r="CG1797">
        <v>2445946</v>
      </c>
      <c r="CH1797" t="s">
        <v>1681</v>
      </c>
      <c r="CI1797" s="10">
        <v>425000</v>
      </c>
      <c r="CJ1797" s="7">
        <v>35909</v>
      </c>
    </row>
    <row r="1798" spans="1:88">
      <c r="A1798">
        <v>28031330</v>
      </c>
      <c r="B1798" s="2" t="str">
        <f>HYPERLINK("http://www.redfin.com/stingray/do/printable-listing?listing-id=1500833","Active")</f>
        <v>Active</v>
      </c>
      <c r="D1798" t="s">
        <v>3249</v>
      </c>
      <c r="E1798" t="s">
        <v>4341</v>
      </c>
      <c r="F1798">
        <v>1995000</v>
      </c>
      <c r="G1798">
        <v>1996</v>
      </c>
      <c r="H1798">
        <v>4220</v>
      </c>
      <c r="I1798">
        <v>9400</v>
      </c>
      <c r="J1798">
        <v>4</v>
      </c>
      <c r="K1798">
        <v>3.5</v>
      </c>
      <c r="M1798" s="2" t="str">
        <f>HYPERLINK("http://maps.live.com/default.aspx?v=2&amp;lvl=15&amp;sp=Point.47.627302_-122.361001_917 3rd Ave W&amp;cp=47.627302~-122.361001","Map")</f>
        <v>Map</v>
      </c>
      <c r="N1798" s="2" t="str">
        <f>HYPERLINK("http://i-0.rfimg.us/photo/1/bigphoto/330/28031330_0.jpg","Photo")</f>
        <v>Photo</v>
      </c>
      <c r="AG1798">
        <v>47.627302</v>
      </c>
      <c r="AH1798">
        <v>-122.361001</v>
      </c>
      <c r="AI1798" t="s">
        <v>66</v>
      </c>
      <c r="AJ1798">
        <v>98119</v>
      </c>
      <c r="AN1798">
        <v>439000</v>
      </c>
      <c r="BC1798" s="22">
        <v>39500.421377314815</v>
      </c>
      <c r="BI1798" s="22">
        <v>39549.294907407406</v>
      </c>
      <c r="BL1798">
        <v>39900</v>
      </c>
      <c r="BM1798">
        <v>1500833</v>
      </c>
      <c r="BN1798" t="s">
        <v>1678</v>
      </c>
      <c r="BO1798" s="17">
        <f t="shared" ca="1" si="28"/>
        <v>48.888028587964072</v>
      </c>
      <c r="BP1798" t="b">
        <v>0</v>
      </c>
      <c r="BQ1798">
        <v>1</v>
      </c>
      <c r="BR1798" t="s">
        <v>1667</v>
      </c>
      <c r="BS1798" t="s">
        <v>1796</v>
      </c>
      <c r="BT1798" t="b">
        <v>0</v>
      </c>
      <c r="BV1798" t="s">
        <v>1668</v>
      </c>
      <c r="BW1798">
        <v>917</v>
      </c>
      <c r="BX1798" t="s">
        <v>2423</v>
      </c>
      <c r="BY1798">
        <v>134209</v>
      </c>
      <c r="BZ1798" t="s">
        <v>1672</v>
      </c>
      <c r="CA1798">
        <v>1</v>
      </c>
      <c r="CB1798" t="b">
        <v>1</v>
      </c>
      <c r="CC1798">
        <v>0</v>
      </c>
      <c r="CD1798" t="b">
        <v>0</v>
      </c>
      <c r="CE1798" t="b">
        <v>0</v>
      </c>
      <c r="CF1798" t="b">
        <v>0</v>
      </c>
      <c r="CG1798">
        <v>2856752</v>
      </c>
      <c r="CH1798" t="s">
        <v>1681</v>
      </c>
      <c r="CI1798" s="10">
        <v>1995000</v>
      </c>
      <c r="CJ1798" s="7">
        <v>35359</v>
      </c>
    </row>
    <row r="1799" spans="1:88">
      <c r="A1799">
        <v>28031382</v>
      </c>
      <c r="B1799" s="15" t="str">
        <f>HYPERLINK("http://www.redfin.com/stingray/do/printable-listing?listing-id=1510644","Subject To Inspection")</f>
        <v>Subject To Inspection</v>
      </c>
      <c r="D1799" t="s">
        <v>3959</v>
      </c>
      <c r="E1799" t="s">
        <v>4161</v>
      </c>
      <c r="F1799">
        <v>619000</v>
      </c>
      <c r="G1799">
        <v>2008</v>
      </c>
      <c r="H1799">
        <v>1957</v>
      </c>
      <c r="I1799">
        <v>800</v>
      </c>
      <c r="J1799">
        <v>3</v>
      </c>
      <c r="K1799">
        <v>2</v>
      </c>
      <c r="M1799" s="2" t="str">
        <f>HYPERLINK("http://maps.live.com/default.aspx?v=2&amp;lvl=15&amp;sp=Point.47.612763_-122.301002_2421 E UNION St&amp;cp=47.612763~-122.301002","Map")</f>
        <v>Map</v>
      </c>
      <c r="N1799" s="2" t="str">
        <f>HYPERLINK("http://i-0.rfimg.us/photo/1/bigphoto/382/28031382_0.jpg","Photo")</f>
        <v>Photo</v>
      </c>
      <c r="AG1799">
        <v>47.612763000000001</v>
      </c>
      <c r="AH1799">
        <v>-122.301002</v>
      </c>
      <c r="AI1799" t="s">
        <v>66</v>
      </c>
      <c r="AJ1799">
        <v>98122</v>
      </c>
      <c r="BC1799" s="22">
        <v>39504.76703703704</v>
      </c>
      <c r="BI1799" s="22">
        <v>39549.294907407406</v>
      </c>
      <c r="BL1799">
        <v>12380</v>
      </c>
      <c r="BM1799">
        <v>1510644</v>
      </c>
      <c r="BN1799" t="s">
        <v>1710</v>
      </c>
      <c r="BO1799" s="17">
        <f t="shared" ca="1" si="28"/>
        <v>44.542368865739263</v>
      </c>
      <c r="BP1799" t="b">
        <v>0</v>
      </c>
      <c r="BQ1799">
        <v>1</v>
      </c>
      <c r="BR1799" t="s">
        <v>1686</v>
      </c>
      <c r="BS1799" t="s">
        <v>4162</v>
      </c>
      <c r="BT1799" t="b">
        <v>0</v>
      </c>
      <c r="BU1799" t="s">
        <v>2436</v>
      </c>
      <c r="BV1799" t="s">
        <v>1668</v>
      </c>
      <c r="BW1799">
        <v>2421</v>
      </c>
      <c r="BY1799">
        <v>12419426</v>
      </c>
      <c r="BZ1799" t="s">
        <v>1713</v>
      </c>
      <c r="CA1799">
        <v>1</v>
      </c>
      <c r="CB1799" t="b">
        <v>1</v>
      </c>
      <c r="CC1799">
        <v>0</v>
      </c>
      <c r="CD1799" t="b">
        <v>0</v>
      </c>
      <c r="CE1799" t="b">
        <v>0</v>
      </c>
      <c r="CF1799" t="b">
        <v>0</v>
      </c>
      <c r="CG1799">
        <v>15623174</v>
      </c>
      <c r="CH1799" t="s">
        <v>1681</v>
      </c>
      <c r="CI1799" s="10">
        <v>619000</v>
      </c>
    </row>
    <row r="1800" spans="1:88">
      <c r="A1800">
        <v>28031440</v>
      </c>
      <c r="B1800" s="2" t="str">
        <f>HYPERLINK("http://www.redfin.com/stingray/do/printable-listing?listing-id=1500607","Subject To Inspection")</f>
        <v>Subject To Inspection</v>
      </c>
      <c r="D1800" t="s">
        <v>3885</v>
      </c>
      <c r="E1800" t="s">
        <v>5965</v>
      </c>
      <c r="F1800">
        <v>634950</v>
      </c>
      <c r="G1800">
        <v>1985</v>
      </c>
      <c r="H1800">
        <v>2440</v>
      </c>
      <c r="I1800">
        <v>9104</v>
      </c>
      <c r="J1800">
        <v>4</v>
      </c>
      <c r="K1800">
        <v>2.5</v>
      </c>
      <c r="M1800" s="2" t="str">
        <f>HYPERLINK("http://maps.live.com/default.aspx?v=2&amp;lvl=15&amp;sp=Point.47.535568_-122.158511_13504 SE 75th St&amp;cp=47.535568~-122.158511","Map")</f>
        <v>Map</v>
      </c>
      <c r="N1800" s="2" t="str">
        <f>HYPERLINK("http://i-0.rfimg.us/photo/1/bigphoto/440/28031440_2.jpg","Photo")</f>
        <v>Photo</v>
      </c>
      <c r="AG1800">
        <v>47.535567999999998</v>
      </c>
      <c r="AH1800">
        <v>-122.158511</v>
      </c>
      <c r="AI1800" t="s">
        <v>3885</v>
      </c>
      <c r="AJ1800">
        <v>98059</v>
      </c>
      <c r="AN1800">
        <v>370000</v>
      </c>
      <c r="BC1800" s="22">
        <v>39500.358576388891</v>
      </c>
      <c r="BI1800" s="22">
        <v>39549.294907407406</v>
      </c>
      <c r="BL1800">
        <v>12699</v>
      </c>
      <c r="BM1800">
        <v>1500607</v>
      </c>
      <c r="BN1800" t="s">
        <v>2419</v>
      </c>
      <c r="BO1800" s="17">
        <f t="shared" ca="1" si="28"/>
        <v>48.950829513887584</v>
      </c>
      <c r="BP1800" t="b">
        <v>0</v>
      </c>
      <c r="BQ1800">
        <v>2</v>
      </c>
      <c r="BR1800" t="s">
        <v>1686</v>
      </c>
      <c r="BS1800" t="s">
        <v>1837</v>
      </c>
      <c r="BT1800" t="b">
        <v>0</v>
      </c>
      <c r="BU1800" t="s">
        <v>3856</v>
      </c>
      <c r="BV1800" t="s">
        <v>1668</v>
      </c>
      <c r="BW1800">
        <v>13504</v>
      </c>
      <c r="BY1800">
        <v>415505</v>
      </c>
      <c r="BZ1800" t="s">
        <v>2540</v>
      </c>
      <c r="CA1800">
        <v>1</v>
      </c>
      <c r="CB1800" t="b">
        <v>1</v>
      </c>
      <c r="CC1800">
        <v>0</v>
      </c>
      <c r="CD1800" t="b">
        <v>0</v>
      </c>
      <c r="CE1800" t="b">
        <v>0</v>
      </c>
      <c r="CF1800" t="b">
        <v>0</v>
      </c>
      <c r="CG1800">
        <v>2769704</v>
      </c>
      <c r="CH1800" t="s">
        <v>1681</v>
      </c>
      <c r="CI1800" s="10">
        <v>634950</v>
      </c>
      <c r="CJ1800" s="7">
        <v>37771</v>
      </c>
    </row>
    <row r="1801" spans="1:88">
      <c r="A1801">
        <v>28031443</v>
      </c>
      <c r="B1801" s="2" t="str">
        <f>HYPERLINK("http://www.redfin.com/stingray/do/printable-listing?listing-id=1511900","Active")</f>
        <v>Active</v>
      </c>
      <c r="D1801" t="s">
        <v>3685</v>
      </c>
      <c r="E1801" t="s">
        <v>3797</v>
      </c>
      <c r="F1801" s="19">
        <v>1288000</v>
      </c>
      <c r="G1801">
        <v>1926</v>
      </c>
      <c r="H1801">
        <v>2720</v>
      </c>
      <c r="I1801">
        <v>4000</v>
      </c>
      <c r="J1801">
        <v>3</v>
      </c>
      <c r="K1801">
        <v>3</v>
      </c>
      <c r="M1801" s="2" t="str">
        <f>HYPERLINK("http://maps.live.com/default.aspx?v=2&amp;lvl=15&amp;sp=Point.47.638534_-122.279935_2053 41st Ave E&amp;cp=47.638534~-122.279935","Map")</f>
        <v>Map</v>
      </c>
      <c r="N1801" s="2" t="str">
        <f>HYPERLINK("http://i-0.rfimg.us/photo/1/bigphoto/443/28031443_2.jpg","Photo")</f>
        <v>Photo</v>
      </c>
      <c r="AG1801">
        <v>47.638534</v>
      </c>
      <c r="AH1801">
        <v>-122.27993499999999</v>
      </c>
      <c r="AI1801" t="s">
        <v>66</v>
      </c>
      <c r="AJ1801">
        <v>98112</v>
      </c>
      <c r="AN1801">
        <v>267500</v>
      </c>
      <c r="BC1801" s="22">
        <v>39505.368784722225</v>
      </c>
      <c r="BI1801" s="22">
        <v>39549.294907407406</v>
      </c>
      <c r="BL1801">
        <v>27000</v>
      </c>
      <c r="BM1801">
        <v>1511900</v>
      </c>
      <c r="BN1801" t="s">
        <v>1674</v>
      </c>
      <c r="BO1801" s="17">
        <f t="shared" ca="1" si="28"/>
        <v>43.940621180554444</v>
      </c>
      <c r="BP1801" t="b">
        <v>0</v>
      </c>
      <c r="BQ1801">
        <v>1</v>
      </c>
      <c r="BR1801" t="s">
        <v>1667</v>
      </c>
      <c r="BS1801" t="s">
        <v>3222</v>
      </c>
      <c r="BT1801" t="b">
        <v>0</v>
      </c>
      <c r="BV1801" t="s">
        <v>1668</v>
      </c>
      <c r="BW1801">
        <v>2053</v>
      </c>
      <c r="BX1801" t="s">
        <v>2436</v>
      </c>
      <c r="BY1801">
        <v>140064</v>
      </c>
      <c r="BZ1801" t="s">
        <v>3798</v>
      </c>
      <c r="CA1801">
        <v>1</v>
      </c>
      <c r="CB1801" t="b">
        <v>1</v>
      </c>
      <c r="CC1801">
        <v>0</v>
      </c>
      <c r="CD1801" t="b">
        <v>0</v>
      </c>
      <c r="CE1801" t="b">
        <v>0</v>
      </c>
      <c r="CF1801" t="b">
        <v>0</v>
      </c>
      <c r="CG1801">
        <v>2391810</v>
      </c>
      <c r="CH1801" t="s">
        <v>1681</v>
      </c>
      <c r="CI1801" s="10">
        <v>1350000</v>
      </c>
      <c r="CJ1801" s="7">
        <v>35520</v>
      </c>
    </row>
    <row r="1802" spans="1:88">
      <c r="A1802">
        <v>28031453</v>
      </c>
      <c r="B1802" s="2" t="str">
        <f>HYPERLINK("http://www.redfin.com/stingray/do/printable-listing?listing-id=1500972","Active")</f>
        <v>Active</v>
      </c>
      <c r="D1802" t="s">
        <v>60</v>
      </c>
      <c r="E1802" t="s">
        <v>2597</v>
      </c>
      <c r="F1802" s="19">
        <v>650000</v>
      </c>
      <c r="G1802">
        <v>1919</v>
      </c>
      <c r="H1802">
        <v>2880</v>
      </c>
      <c r="I1802">
        <v>3840</v>
      </c>
      <c r="J1802">
        <v>4</v>
      </c>
      <c r="K1802">
        <v>3.5</v>
      </c>
      <c r="M1802" s="2" t="str">
        <f>HYPERLINK("http://maps.live.com/default.aspx?v=2&amp;lvl=15&amp;sp=Point.47.665204_-122.333468_5002 Meridian Ave N&amp;cp=47.665204~-122.333468","Map")</f>
        <v>Map</v>
      </c>
      <c r="N1802" s="2" t="str">
        <f>HYPERLINK("http://i-0.rfimg.us/photo/1/bigphoto/453/28031453_2.jpg","Photo")</f>
        <v>Photo</v>
      </c>
      <c r="AG1802">
        <v>47.665204000000003</v>
      </c>
      <c r="AH1802">
        <v>-122.333468</v>
      </c>
      <c r="AI1802" t="s">
        <v>66</v>
      </c>
      <c r="AJ1802">
        <v>98103</v>
      </c>
      <c r="BC1802" s="22">
        <v>39500.452719907407</v>
      </c>
      <c r="BI1802" s="22">
        <v>39549.294907407406</v>
      </c>
      <c r="BL1802">
        <v>13499</v>
      </c>
      <c r="BM1802">
        <v>1500972</v>
      </c>
      <c r="BN1802" t="s">
        <v>1702</v>
      </c>
      <c r="BO1802" s="17">
        <f t="shared" ca="1" si="28"/>
        <v>48.856686111110321</v>
      </c>
      <c r="BP1802" t="b">
        <v>0</v>
      </c>
      <c r="BQ1802">
        <v>1</v>
      </c>
      <c r="BR1802" t="s">
        <v>1667</v>
      </c>
      <c r="BS1802" t="s">
        <v>2413</v>
      </c>
      <c r="BT1802" t="b">
        <v>0</v>
      </c>
      <c r="BV1802" t="s">
        <v>1668</v>
      </c>
      <c r="BW1802">
        <v>5002</v>
      </c>
      <c r="BX1802" t="s">
        <v>1712</v>
      </c>
      <c r="BY1802">
        <v>304182</v>
      </c>
      <c r="BZ1802" t="s">
        <v>2598</v>
      </c>
      <c r="CA1802">
        <v>1</v>
      </c>
      <c r="CB1802" t="b">
        <v>1</v>
      </c>
      <c r="CC1802">
        <v>0</v>
      </c>
      <c r="CD1802" t="b">
        <v>0</v>
      </c>
      <c r="CE1802" t="b">
        <v>0</v>
      </c>
      <c r="CF1802" t="b">
        <v>0</v>
      </c>
      <c r="CG1802">
        <v>2697113</v>
      </c>
      <c r="CH1802" t="s">
        <v>1681</v>
      </c>
      <c r="CI1802" s="10">
        <v>674950</v>
      </c>
    </row>
    <row r="1803" spans="1:88">
      <c r="A1803">
        <v>28031494</v>
      </c>
      <c r="B1803" s="15" t="str">
        <f>HYPERLINK("http://www.redfin.com/stingray/do/printable-listing?listing-id=1500832","Active")</f>
        <v>Active</v>
      </c>
      <c r="D1803" t="s">
        <v>63</v>
      </c>
      <c r="E1803" t="s">
        <v>1469</v>
      </c>
      <c r="F1803" s="19">
        <v>459950</v>
      </c>
      <c r="G1803">
        <v>1941</v>
      </c>
      <c r="H1803">
        <v>1337</v>
      </c>
      <c r="I1803">
        <v>5110</v>
      </c>
      <c r="J1803">
        <v>3</v>
      </c>
      <c r="K1803">
        <v>1.75</v>
      </c>
      <c r="M1803" s="2" t="str">
        <f>HYPERLINK("http://maps.live.com/default.aspx?v=2&amp;lvl=15&amp;sp=Point.47.677086_-122.392594_6614 28th Ave NW&amp;cp=47.677086~-122.392594","Map")</f>
        <v>Map</v>
      </c>
      <c r="N1803" s="2" t="str">
        <f>HYPERLINK("http://i-0.rfimg.us/photo/1/bigphoto/494/28031494_3.jpg","Photo")</f>
        <v>Photo</v>
      </c>
      <c r="AG1803">
        <v>47.677086000000003</v>
      </c>
      <c r="AH1803">
        <v>-122.392594</v>
      </c>
      <c r="AI1803" t="s">
        <v>66</v>
      </c>
      <c r="AJ1803">
        <v>98117</v>
      </c>
      <c r="AN1803">
        <v>130000</v>
      </c>
      <c r="BC1803" s="22">
        <v>39500.421354166669</v>
      </c>
      <c r="BI1803" s="22">
        <v>39549.294907407406</v>
      </c>
      <c r="BL1803">
        <v>9656</v>
      </c>
      <c r="BM1803">
        <v>1500832</v>
      </c>
      <c r="BN1803" t="s">
        <v>1775</v>
      </c>
      <c r="BO1803" s="17">
        <f t="shared" ca="1" si="28"/>
        <v>48.888051851849013</v>
      </c>
      <c r="BP1803" t="b">
        <v>0</v>
      </c>
      <c r="BQ1803">
        <v>1</v>
      </c>
      <c r="BR1803" t="s">
        <v>1667</v>
      </c>
      <c r="BS1803" t="s">
        <v>1760</v>
      </c>
      <c r="BT1803" t="b">
        <v>0</v>
      </c>
      <c r="BV1803" t="s">
        <v>1668</v>
      </c>
      <c r="BW1803">
        <v>6614</v>
      </c>
      <c r="BX1803" t="s">
        <v>1669</v>
      </c>
      <c r="BY1803">
        <v>165526</v>
      </c>
      <c r="BZ1803" t="s">
        <v>2105</v>
      </c>
      <c r="CA1803">
        <v>1</v>
      </c>
      <c r="CB1803" t="b">
        <v>1</v>
      </c>
      <c r="CC1803">
        <v>0</v>
      </c>
      <c r="CD1803" t="b">
        <v>0</v>
      </c>
      <c r="CE1803" t="b">
        <v>0</v>
      </c>
      <c r="CF1803" t="b">
        <v>0</v>
      </c>
      <c r="CG1803">
        <v>2616510</v>
      </c>
      <c r="CH1803" t="s">
        <v>1681</v>
      </c>
      <c r="CI1803" s="10">
        <v>482800</v>
      </c>
      <c r="CJ1803" s="7">
        <v>35647</v>
      </c>
    </row>
    <row r="1804" spans="1:88">
      <c r="A1804">
        <v>28031563</v>
      </c>
      <c r="B1804" s="2" t="str">
        <f>HYPERLINK("http://www.redfin.com/stingray/do/printable-listing?listing-id=1501169","Active")</f>
        <v>Active</v>
      </c>
      <c r="D1804" t="s">
        <v>63</v>
      </c>
      <c r="E1804" t="s">
        <v>1757</v>
      </c>
      <c r="F1804" s="19">
        <v>299950</v>
      </c>
      <c r="G1804">
        <v>1928</v>
      </c>
      <c r="H1804">
        <v>0</v>
      </c>
      <c r="I1804">
        <v>0</v>
      </c>
      <c r="J1804">
        <v>1</v>
      </c>
      <c r="K1804">
        <v>1</v>
      </c>
      <c r="M1804" s="2" t="str">
        <f>HYPERLINK("http://maps.live.com/default.aspx?v=2&amp;lvl=15&amp;sp=Point.47.679852_-122.393382_2806 NW 70th St&amp;cp=47.679852~-122.393382","Map")</f>
        <v>Map</v>
      </c>
      <c r="N1804" s="2" t="str">
        <f>HYPERLINK("http://i-0.rfimg.us/photo/1/bigphoto/563/28031563_0.jpg","Photo")</f>
        <v>Photo</v>
      </c>
      <c r="AG1804">
        <v>47.679851999999997</v>
      </c>
      <c r="AH1804">
        <v>-122.393382</v>
      </c>
      <c r="AI1804" t="s">
        <v>66</v>
      </c>
      <c r="AJ1804">
        <v>98177</v>
      </c>
      <c r="AN1804">
        <v>170000</v>
      </c>
      <c r="BC1804" s="22">
        <v>39500.495729166665</v>
      </c>
      <c r="BI1804" s="22">
        <v>39549.294907407406</v>
      </c>
      <c r="BL1804">
        <v>6300</v>
      </c>
      <c r="BM1804">
        <v>1501169</v>
      </c>
      <c r="BN1804" t="s">
        <v>1674</v>
      </c>
      <c r="BO1804" s="17">
        <f t="shared" ca="1" si="28"/>
        <v>48.813676851852506</v>
      </c>
      <c r="BP1804" t="b">
        <v>0</v>
      </c>
      <c r="BQ1804">
        <v>1</v>
      </c>
      <c r="BR1804" t="s">
        <v>1686</v>
      </c>
      <c r="BS1804" t="s">
        <v>1703</v>
      </c>
      <c r="BT1804" t="b">
        <v>0</v>
      </c>
      <c r="BU1804" t="s">
        <v>1669</v>
      </c>
      <c r="BV1804" t="s">
        <v>1668</v>
      </c>
      <c r="BW1804">
        <v>2806</v>
      </c>
      <c r="BY1804">
        <v>164908</v>
      </c>
      <c r="BZ1804" t="s">
        <v>1713</v>
      </c>
      <c r="CA1804">
        <v>1</v>
      </c>
      <c r="CB1804" t="b">
        <v>1</v>
      </c>
      <c r="CC1804">
        <v>0</v>
      </c>
      <c r="CD1804" t="b">
        <v>0</v>
      </c>
      <c r="CE1804" t="b">
        <v>0</v>
      </c>
      <c r="CF1804" t="b">
        <v>0</v>
      </c>
      <c r="CG1804">
        <v>2374850</v>
      </c>
      <c r="CH1804" t="s">
        <v>1681</v>
      </c>
      <c r="CI1804" s="10">
        <v>315000</v>
      </c>
      <c r="CJ1804" s="7">
        <v>38629</v>
      </c>
    </row>
    <row r="1805" spans="1:88">
      <c r="A1805">
        <v>28031574</v>
      </c>
      <c r="B1805" s="2" t="str">
        <f>HYPERLINK("http://www.redfin.com/stingray/do/printable-listing?listing-id=1501118","Active")</f>
        <v>Active</v>
      </c>
      <c r="D1805" t="s">
        <v>109</v>
      </c>
      <c r="E1805" t="s">
        <v>1466</v>
      </c>
      <c r="F1805">
        <v>449950</v>
      </c>
      <c r="G1805">
        <v>2008</v>
      </c>
      <c r="H1805">
        <v>1439</v>
      </c>
      <c r="I1805">
        <v>0</v>
      </c>
      <c r="J1805">
        <v>2</v>
      </c>
      <c r="K1805">
        <v>2.25</v>
      </c>
      <c r="M1805" s="2" t="str">
        <f>HYPERLINK("http://maps.live.com/default.aspx?v=2&amp;lvl=15&amp;sp=Point.47.654246_-122.345704_3900 Whitman Ave N&amp;cp=47.654246~-122.345704","Map")</f>
        <v>Map</v>
      </c>
      <c r="N1805" s="2" t="str">
        <f>HYPERLINK("http://i-0.rfimg.us/photo/1/bigphoto/574/28031574_1.jpg","Photo")</f>
        <v>Photo</v>
      </c>
      <c r="AG1805">
        <v>47.654246000000001</v>
      </c>
      <c r="AH1805">
        <v>-122.345704</v>
      </c>
      <c r="AI1805" t="s">
        <v>66</v>
      </c>
      <c r="AJ1805">
        <v>98103</v>
      </c>
      <c r="BC1805" s="22">
        <v>39500.48474537037</v>
      </c>
      <c r="BI1805" s="22">
        <v>39547.913935185185</v>
      </c>
      <c r="BL1805">
        <v>8999</v>
      </c>
      <c r="BM1805">
        <v>1501118</v>
      </c>
      <c r="BN1805" t="s">
        <v>1720</v>
      </c>
      <c r="BO1805" s="17">
        <f t="shared" ca="1" si="28"/>
        <v>48.824660532409325</v>
      </c>
      <c r="BP1805" t="b">
        <v>0</v>
      </c>
      <c r="BQ1805">
        <v>1</v>
      </c>
      <c r="BR1805" t="s">
        <v>1667</v>
      </c>
      <c r="BS1805" t="s">
        <v>2811</v>
      </c>
      <c r="BT1805" t="b">
        <v>0</v>
      </c>
      <c r="BV1805" t="s">
        <v>1668</v>
      </c>
      <c r="BW1805">
        <v>3900</v>
      </c>
      <c r="BX1805" t="s">
        <v>1712</v>
      </c>
      <c r="BY1805">
        <v>12417664</v>
      </c>
      <c r="BZ1805" t="s">
        <v>1836</v>
      </c>
      <c r="CA1805">
        <v>1</v>
      </c>
      <c r="CB1805" t="b">
        <v>1</v>
      </c>
      <c r="CC1805">
        <v>0</v>
      </c>
      <c r="CD1805" t="b">
        <v>0</v>
      </c>
      <c r="CE1805" t="b">
        <v>0</v>
      </c>
      <c r="CF1805" t="b">
        <v>0</v>
      </c>
      <c r="CG1805">
        <v>15621412</v>
      </c>
      <c r="CH1805" t="s">
        <v>1681</v>
      </c>
      <c r="CI1805" s="10">
        <v>449950</v>
      </c>
    </row>
    <row r="1806" spans="1:88">
      <c r="A1806">
        <v>28031581</v>
      </c>
      <c r="B1806" s="2" t="str">
        <f>HYPERLINK("http://www.redfin.com/stingray/do/printable-listing?listing-id=1519977","Active")</f>
        <v>Active</v>
      </c>
      <c r="D1806" t="s">
        <v>3966</v>
      </c>
      <c r="E1806" t="s">
        <v>4287</v>
      </c>
      <c r="F1806">
        <v>889000</v>
      </c>
      <c r="G1806">
        <v>1933</v>
      </c>
      <c r="H1806">
        <v>3180</v>
      </c>
      <c r="I1806">
        <v>0</v>
      </c>
      <c r="J1806">
        <v>5</v>
      </c>
      <c r="K1806">
        <v>3</v>
      </c>
      <c r="M1806" s="2" t="str">
        <f>HYPERLINK("http://maps.live.com/default.aspx?v=2&amp;lvl=15&amp;sp=Point.47.618097_-122.288467_3409 E Denny Way&amp;cp=47.618097~-122.288467","Map")</f>
        <v>Map</v>
      </c>
      <c r="N1806" s="2" t="str">
        <f>HYPERLINK("http://i-0.rfimg.us/photo/1/bigphoto/581/28031581_2.jpg","Photo")</f>
        <v>Photo</v>
      </c>
      <c r="AG1806">
        <v>47.618096999999999</v>
      </c>
      <c r="AH1806">
        <v>-122.288467</v>
      </c>
      <c r="AI1806" t="s">
        <v>66</v>
      </c>
      <c r="AJ1806">
        <v>98122</v>
      </c>
      <c r="AN1806">
        <v>585000</v>
      </c>
      <c r="BC1806" s="22">
        <v>39507.657418981478</v>
      </c>
      <c r="BI1806" s="7">
        <v>39540</v>
      </c>
      <c r="BL1806">
        <v>17780</v>
      </c>
      <c r="BM1806">
        <v>1519977</v>
      </c>
      <c r="BN1806" t="s">
        <v>1678</v>
      </c>
      <c r="BO1806" s="17">
        <f t="shared" ca="1" si="28"/>
        <v>41.651986921300704</v>
      </c>
      <c r="BP1806" t="b">
        <v>0</v>
      </c>
      <c r="BQ1806">
        <v>1</v>
      </c>
      <c r="BR1806" t="s">
        <v>2463</v>
      </c>
      <c r="BS1806" t="s">
        <v>4085</v>
      </c>
      <c r="BT1806" t="b">
        <v>0</v>
      </c>
      <c r="BU1806" t="s">
        <v>2436</v>
      </c>
      <c r="BV1806" t="s">
        <v>1668</v>
      </c>
      <c r="BW1806">
        <v>3409</v>
      </c>
      <c r="BY1806">
        <v>141088</v>
      </c>
      <c r="BZ1806" t="s">
        <v>4288</v>
      </c>
      <c r="CA1806">
        <v>1</v>
      </c>
      <c r="CB1806" t="b">
        <v>1</v>
      </c>
      <c r="CC1806">
        <v>0</v>
      </c>
      <c r="CD1806" t="b">
        <v>0</v>
      </c>
      <c r="CE1806" t="b">
        <v>0</v>
      </c>
      <c r="CF1806" t="b">
        <v>0</v>
      </c>
      <c r="CG1806">
        <v>2448220</v>
      </c>
      <c r="CH1806" t="s">
        <v>1681</v>
      </c>
      <c r="CI1806" s="10">
        <v>889000</v>
      </c>
      <c r="CJ1806" s="7">
        <v>39003</v>
      </c>
    </row>
    <row r="1807" spans="1:88">
      <c r="A1807">
        <v>28031588</v>
      </c>
      <c r="B1807" s="15" t="str">
        <f>HYPERLINK("http://www.redfin.com/stingray/do/printable-listing?listing-id=1501585","Subject To Inspection")</f>
        <v>Subject To Inspection</v>
      </c>
      <c r="D1807" t="s">
        <v>109</v>
      </c>
      <c r="E1807" t="s">
        <v>1464</v>
      </c>
      <c r="F1807">
        <v>429950</v>
      </c>
      <c r="G1807">
        <v>2008</v>
      </c>
      <c r="H1807">
        <v>1439</v>
      </c>
      <c r="I1807">
        <v>0</v>
      </c>
      <c r="J1807">
        <v>2</v>
      </c>
      <c r="K1807">
        <v>2.25</v>
      </c>
      <c r="M1807" s="2" t="str">
        <f>HYPERLINK("http://maps.live.com/default.aspx?v=2&amp;lvl=15&amp;sp=Point.47.654308_-122.345709_3906 Whitman Ave N&amp;cp=47.654308~-122.345709","Map")</f>
        <v>Map</v>
      </c>
      <c r="N1807" s="2" t="str">
        <f>HYPERLINK("http://i-0.rfimg.us/photo/1/bigphoto/588/28031588_1.jpg","Photo")</f>
        <v>Photo</v>
      </c>
      <c r="AG1807">
        <v>47.654308</v>
      </c>
      <c r="AH1807">
        <v>-122.345709</v>
      </c>
      <c r="AI1807" t="s">
        <v>66</v>
      </c>
      <c r="AJ1807">
        <v>98103</v>
      </c>
      <c r="BC1807" s="22">
        <v>39500.577893518515</v>
      </c>
      <c r="BI1807" s="7">
        <v>39542</v>
      </c>
      <c r="BL1807">
        <v>8599</v>
      </c>
      <c r="BM1807">
        <v>1501585</v>
      </c>
      <c r="BN1807" t="s">
        <v>1720</v>
      </c>
      <c r="BO1807" s="17">
        <f t="shared" ca="1" si="28"/>
        <v>48.731512384263624</v>
      </c>
      <c r="BP1807" t="b">
        <v>0</v>
      </c>
      <c r="BQ1807">
        <v>1</v>
      </c>
      <c r="BR1807" t="s">
        <v>1667</v>
      </c>
      <c r="BS1807" t="s">
        <v>2811</v>
      </c>
      <c r="BT1807" t="b">
        <v>0</v>
      </c>
      <c r="BV1807" t="s">
        <v>1668</v>
      </c>
      <c r="BW1807">
        <v>3906</v>
      </c>
      <c r="BX1807" t="s">
        <v>1712</v>
      </c>
      <c r="BY1807">
        <v>12417723</v>
      </c>
      <c r="BZ1807" t="s">
        <v>2200</v>
      </c>
      <c r="CA1807">
        <v>1</v>
      </c>
      <c r="CB1807" t="b">
        <v>1</v>
      </c>
      <c r="CC1807">
        <v>0</v>
      </c>
      <c r="CD1807" t="b">
        <v>0</v>
      </c>
      <c r="CE1807" t="b">
        <v>0</v>
      </c>
      <c r="CF1807" t="b">
        <v>0</v>
      </c>
      <c r="CG1807">
        <v>15621471</v>
      </c>
      <c r="CH1807" t="s">
        <v>1681</v>
      </c>
      <c r="CI1807" s="10">
        <v>429950</v>
      </c>
    </row>
    <row r="1808" spans="1:88">
      <c r="A1808">
        <v>28031660</v>
      </c>
      <c r="B1808" s="2" t="str">
        <f>HYPERLINK("http://www.redfin.com/stingray/do/printable-listing?listing-id=1501328","Active")</f>
        <v>Active</v>
      </c>
      <c r="D1808" t="s">
        <v>3249</v>
      </c>
      <c r="E1808" t="s">
        <v>3317</v>
      </c>
      <c r="F1808">
        <v>829900</v>
      </c>
      <c r="G1808">
        <v>1911</v>
      </c>
      <c r="H1808">
        <v>2940</v>
      </c>
      <c r="I1808">
        <v>3000</v>
      </c>
      <c r="J1808">
        <v>6</v>
      </c>
      <c r="K1808">
        <v>3</v>
      </c>
      <c r="M1808" s="2" t="str">
        <f>HYPERLINK("http://maps.live.com/default.aspx?v=2&amp;lvl=15&amp;sp=Point.47.63997_-122.361232_2411 3rd Ave W&amp;cp=47.63997~-122.361232","Map")</f>
        <v>Map</v>
      </c>
      <c r="N1808" s="2" t="str">
        <f>HYPERLINK("http://i-0.rfimg.us/photo/1/bigphoto/660/28031660_3.jpg","Photo")</f>
        <v>Photo</v>
      </c>
      <c r="AG1808">
        <v>47.639969999999998</v>
      </c>
      <c r="AH1808">
        <v>-122.361232</v>
      </c>
      <c r="AI1808" t="s">
        <v>66</v>
      </c>
      <c r="AJ1808">
        <v>98119</v>
      </c>
      <c r="AN1808">
        <v>575000</v>
      </c>
      <c r="BC1808" s="22">
        <v>39500.52652777778</v>
      </c>
      <c r="BI1808" s="22">
        <v>39547.913935185185</v>
      </c>
      <c r="BL1808">
        <v>16598</v>
      </c>
      <c r="BM1808">
        <v>1501328</v>
      </c>
      <c r="BN1808" t="s">
        <v>1753</v>
      </c>
      <c r="BO1808" s="17">
        <f t="shared" ca="1" si="28"/>
        <v>48.782878124999115</v>
      </c>
      <c r="BP1808" t="b">
        <v>0</v>
      </c>
      <c r="BQ1808">
        <v>1</v>
      </c>
      <c r="BR1808" t="s">
        <v>1667</v>
      </c>
      <c r="BS1808" t="s">
        <v>1796</v>
      </c>
      <c r="BT1808" t="b">
        <v>0</v>
      </c>
      <c r="BV1808" t="s">
        <v>1668</v>
      </c>
      <c r="BW1808">
        <v>2411</v>
      </c>
      <c r="BX1808" t="s">
        <v>2423</v>
      </c>
      <c r="BY1808">
        <v>130881</v>
      </c>
      <c r="BZ1808" t="s">
        <v>3318</v>
      </c>
      <c r="CA1808">
        <v>1</v>
      </c>
      <c r="CB1808" t="b">
        <v>1</v>
      </c>
      <c r="CC1808">
        <v>0</v>
      </c>
      <c r="CD1808" t="b">
        <v>0</v>
      </c>
      <c r="CE1808" t="b">
        <v>0</v>
      </c>
      <c r="CF1808" t="b">
        <v>0</v>
      </c>
      <c r="CG1808">
        <v>2719197</v>
      </c>
      <c r="CH1808" t="s">
        <v>1681</v>
      </c>
      <c r="CI1808" s="10">
        <v>829900</v>
      </c>
      <c r="CJ1808" s="7">
        <v>38778</v>
      </c>
    </row>
    <row r="1809" spans="1:89">
      <c r="A1809">
        <v>28031699</v>
      </c>
      <c r="B1809" s="2" t="str">
        <f>HYPERLINK("http://www.redfin.com/stingray/do/printable-listing?listing-id=1501514","Active")</f>
        <v>Active</v>
      </c>
      <c r="D1809" t="s">
        <v>109</v>
      </c>
      <c r="E1809" t="s">
        <v>3665</v>
      </c>
      <c r="F1809">
        <v>750000</v>
      </c>
      <c r="G1809">
        <v>1916</v>
      </c>
      <c r="H1809">
        <v>2520</v>
      </c>
      <c r="I1809">
        <v>4040</v>
      </c>
      <c r="J1809">
        <v>4</v>
      </c>
      <c r="K1809">
        <v>2</v>
      </c>
      <c r="M1809" s="2" t="str">
        <f>HYPERLINK("http://maps.live.com/default.aspx?v=2&amp;lvl=15&amp;sp=Point.47.656257_-122.34008_4019 Ashworth Ave N&amp;cp=47.656257~-122.34008","Map")</f>
        <v>Map</v>
      </c>
      <c r="N1809" s="2" t="str">
        <f>HYPERLINK("http://i-0.rfimg.us/photo/1/bigphoto/699/28031699_2.jpg","Photo")</f>
        <v>Photo</v>
      </c>
      <c r="AG1809">
        <v>47.656256999999997</v>
      </c>
      <c r="AH1809">
        <v>-122.34008</v>
      </c>
      <c r="AI1809" t="s">
        <v>66</v>
      </c>
      <c r="AJ1809">
        <v>98103</v>
      </c>
      <c r="AN1809">
        <v>150000</v>
      </c>
      <c r="BC1809" s="22">
        <v>39500.567893518521</v>
      </c>
      <c r="BI1809" s="22">
        <v>39549.294907407406</v>
      </c>
      <c r="BL1809">
        <v>15000</v>
      </c>
      <c r="BM1809">
        <v>1501514</v>
      </c>
      <c r="BN1809" t="s">
        <v>1749</v>
      </c>
      <c r="BO1809" s="17">
        <f t="shared" ca="1" si="28"/>
        <v>48.741512384258385</v>
      </c>
      <c r="BP1809" t="b">
        <v>0</v>
      </c>
      <c r="BQ1809">
        <v>1</v>
      </c>
      <c r="BR1809" t="s">
        <v>1667</v>
      </c>
      <c r="BS1809" t="s">
        <v>1825</v>
      </c>
      <c r="BT1809" t="b">
        <v>0</v>
      </c>
      <c r="BV1809" t="s">
        <v>1668</v>
      </c>
      <c r="BW1809">
        <v>4019</v>
      </c>
      <c r="BX1809" t="s">
        <v>1712</v>
      </c>
      <c r="BY1809">
        <v>118499</v>
      </c>
      <c r="BZ1809" t="s">
        <v>2886</v>
      </c>
      <c r="CA1809">
        <v>1</v>
      </c>
      <c r="CB1809" t="b">
        <v>1</v>
      </c>
      <c r="CC1809">
        <v>0</v>
      </c>
      <c r="CD1809" t="b">
        <v>0</v>
      </c>
      <c r="CE1809" t="b">
        <v>0</v>
      </c>
      <c r="CF1809" t="b">
        <v>0</v>
      </c>
      <c r="CG1809">
        <v>2953991</v>
      </c>
      <c r="CH1809" t="s">
        <v>1681</v>
      </c>
      <c r="CI1809" s="10">
        <v>750000</v>
      </c>
      <c r="CJ1809" s="7">
        <v>32869</v>
      </c>
    </row>
    <row r="1810" spans="1:89">
      <c r="A1810">
        <v>28031702</v>
      </c>
      <c r="B1810" s="2" t="str">
        <f>HYPERLINK("http://www.redfin.com/stingray/do/printable-listing?listing-id=1501490","Active")</f>
        <v>Active</v>
      </c>
      <c r="D1810" t="s">
        <v>5195</v>
      </c>
      <c r="E1810" t="s">
        <v>5460</v>
      </c>
      <c r="F1810" s="19">
        <v>734950</v>
      </c>
      <c r="G1810">
        <v>1972</v>
      </c>
      <c r="H1810">
        <v>2760</v>
      </c>
      <c r="I1810">
        <v>9135</v>
      </c>
      <c r="J1810">
        <v>4</v>
      </c>
      <c r="K1810">
        <v>3</v>
      </c>
      <c r="M1810" s="2" t="str">
        <f>HYPERLINK("http://maps.live.com/default.aspx?v=2&amp;lvl=15&amp;sp=Point.47.582021_-122.118102_16523 SE 31st St&amp;cp=47.582021~-122.118102","Map")</f>
        <v>Map</v>
      </c>
      <c r="N1810" s="2" t="str">
        <f>HYPERLINK("http://i-0.rfimg.us/photo/1/bigphoto/702/28031702_0.jpg","Photo")</f>
        <v>Photo</v>
      </c>
      <c r="AG1810">
        <v>47.582020999999997</v>
      </c>
      <c r="AH1810">
        <v>-122.11810199999999</v>
      </c>
      <c r="AI1810" t="s">
        <v>369</v>
      </c>
      <c r="AJ1810">
        <v>98008</v>
      </c>
      <c r="AN1810">
        <v>200800</v>
      </c>
      <c r="BC1810" s="22">
        <v>39500.557696759257</v>
      </c>
      <c r="BI1810" s="22">
        <v>39549.294907407406</v>
      </c>
      <c r="BL1810">
        <v>15500</v>
      </c>
      <c r="BM1810">
        <v>1501490</v>
      </c>
      <c r="BN1810" t="s">
        <v>5459</v>
      </c>
      <c r="BO1810" s="17">
        <f t="shared" ca="1" si="28"/>
        <v>48.751709143522021</v>
      </c>
      <c r="BP1810" t="b">
        <v>0</v>
      </c>
      <c r="BQ1810">
        <v>1</v>
      </c>
      <c r="BR1810" t="s">
        <v>1686</v>
      </c>
      <c r="BS1810" t="s">
        <v>1732</v>
      </c>
      <c r="BT1810" t="b">
        <v>0</v>
      </c>
      <c r="BU1810" t="s">
        <v>3856</v>
      </c>
      <c r="BV1810" t="s">
        <v>1668</v>
      </c>
      <c r="BW1810">
        <v>16523</v>
      </c>
      <c r="BY1810">
        <v>429570</v>
      </c>
      <c r="BZ1810" t="s">
        <v>1813</v>
      </c>
      <c r="CA1810">
        <v>1</v>
      </c>
      <c r="CB1810" t="b">
        <v>1</v>
      </c>
      <c r="CC1810">
        <v>0</v>
      </c>
      <c r="CD1810" t="b">
        <v>0</v>
      </c>
      <c r="CE1810" t="b">
        <v>0</v>
      </c>
      <c r="CF1810" t="b">
        <v>0</v>
      </c>
      <c r="CG1810">
        <v>2701182</v>
      </c>
      <c r="CH1810" t="s">
        <v>1681</v>
      </c>
      <c r="CI1810" s="10">
        <v>775000</v>
      </c>
      <c r="CJ1810" s="7">
        <v>33863</v>
      </c>
    </row>
    <row r="1811" spans="1:89">
      <c r="A1811">
        <v>28031721</v>
      </c>
      <c r="B1811" s="2" t="str">
        <f>HYPERLINK("http://www.redfin.com/stingray/do/printable-listing?listing-id=1501510","Active")</f>
        <v>Active</v>
      </c>
      <c r="D1811" t="s">
        <v>369</v>
      </c>
      <c r="E1811" t="s">
        <v>5085</v>
      </c>
      <c r="F1811" s="19">
        <v>949000</v>
      </c>
      <c r="G1811">
        <v>1948</v>
      </c>
      <c r="H1811">
        <v>2270</v>
      </c>
      <c r="I1811">
        <v>13589</v>
      </c>
      <c r="J1811">
        <v>3</v>
      </c>
      <c r="K1811">
        <v>2</v>
      </c>
      <c r="M1811" s="2" t="str">
        <f>HYPERLINK("http://maps.live.com/default.aspx?v=2&amp;lvl=15&amp;sp=Point.47.618509_-122.221018_844 Lake Washington Blvd NE&amp;cp=47.618509~-122.221018","Map")</f>
        <v>Map</v>
      </c>
      <c r="N1811" s="2" t="str">
        <f>HYPERLINK("http://i-0.rfimg.us/photo/1/bigphoto/721/28031721_1.jpg","Photo")</f>
        <v>Photo</v>
      </c>
      <c r="AG1811">
        <v>47.618509000000003</v>
      </c>
      <c r="AH1811">
        <v>-122.221018</v>
      </c>
      <c r="AI1811" t="s">
        <v>369</v>
      </c>
      <c r="AJ1811">
        <v>98004</v>
      </c>
      <c r="AN1811">
        <v>929900</v>
      </c>
      <c r="BC1811" s="22">
        <v>39500.567870370367</v>
      </c>
      <c r="BI1811" s="22">
        <v>39549.294907407406</v>
      </c>
      <c r="BL1811">
        <v>20500</v>
      </c>
      <c r="BM1811">
        <v>1501510</v>
      </c>
      <c r="BN1811" t="s">
        <v>5028</v>
      </c>
      <c r="BO1811" s="17">
        <f t="shared" ca="1" si="28"/>
        <v>48.741535532411945</v>
      </c>
      <c r="BP1811" t="b">
        <v>0</v>
      </c>
      <c r="BQ1811">
        <v>1</v>
      </c>
      <c r="BR1811" t="s">
        <v>3141</v>
      </c>
      <c r="BS1811" t="s">
        <v>4293</v>
      </c>
      <c r="BT1811" t="b">
        <v>0</v>
      </c>
      <c r="BV1811" t="s">
        <v>1668</v>
      </c>
      <c r="BW1811">
        <v>844</v>
      </c>
      <c r="BX1811" t="s">
        <v>1738</v>
      </c>
      <c r="BY1811">
        <v>250710</v>
      </c>
      <c r="BZ1811" t="s">
        <v>5086</v>
      </c>
      <c r="CA1811">
        <v>1</v>
      </c>
      <c r="CB1811" t="b">
        <v>1</v>
      </c>
      <c r="CC1811">
        <v>0</v>
      </c>
      <c r="CD1811" t="b">
        <v>0</v>
      </c>
      <c r="CE1811" t="b">
        <v>0</v>
      </c>
      <c r="CF1811" t="b">
        <v>0</v>
      </c>
      <c r="CG1811">
        <v>2627271</v>
      </c>
      <c r="CH1811" t="s">
        <v>1681</v>
      </c>
      <c r="CI1811" s="10">
        <v>1025000</v>
      </c>
      <c r="CJ1811" s="7">
        <v>39301</v>
      </c>
    </row>
    <row r="1812" spans="1:89">
      <c r="A1812">
        <v>28031750</v>
      </c>
      <c r="B1812" s="2" t="str">
        <f>HYPERLINK("http://www.redfin.com/stingray/do/printable-listing?listing-id=1501679","Active")</f>
        <v>Active</v>
      </c>
      <c r="D1812" t="s">
        <v>4375</v>
      </c>
      <c r="E1812" t="s">
        <v>4552</v>
      </c>
      <c r="F1812">
        <v>949000</v>
      </c>
      <c r="G1812">
        <v>2007</v>
      </c>
      <c r="H1812">
        <v>3413</v>
      </c>
      <c r="I1812">
        <v>7918</v>
      </c>
      <c r="J1812">
        <v>5</v>
      </c>
      <c r="K1812">
        <v>4</v>
      </c>
      <c r="M1812" s="2" t="str">
        <f>HYPERLINK("http://maps.live.com/default.aspx?v=2&amp;lvl=15&amp;sp=Point.47.701893_-122.198895_11322 106 Ave NE&amp;cp=47.701893~-122.198895","Map")</f>
        <v>Map</v>
      </c>
      <c r="N1812" s="2" t="str">
        <f>HYPERLINK("http://i-0.rfimg.us/photo/1/bigphoto/750/28031750_1.jpg","Photo")</f>
        <v>Photo</v>
      </c>
      <c r="AG1812">
        <v>47.701892999999998</v>
      </c>
      <c r="AH1812">
        <v>-122.19889499999999</v>
      </c>
      <c r="AI1812" t="s">
        <v>1058</v>
      </c>
      <c r="AJ1812">
        <v>98033</v>
      </c>
      <c r="BC1812" s="22">
        <v>39500.599502314813</v>
      </c>
      <c r="BI1812" s="22">
        <v>39549.294907407406</v>
      </c>
      <c r="BL1812">
        <v>18980</v>
      </c>
      <c r="BM1812">
        <v>1501679</v>
      </c>
      <c r="BN1812" t="s">
        <v>1674</v>
      </c>
      <c r="BO1812" s="17">
        <f t="shared" ca="1" si="28"/>
        <v>48.709903587965528</v>
      </c>
      <c r="BP1812" t="b">
        <v>0</v>
      </c>
      <c r="BQ1812">
        <v>1</v>
      </c>
      <c r="BR1812" t="s">
        <v>1667</v>
      </c>
      <c r="BS1812">
        <v>106</v>
      </c>
      <c r="BT1812" t="b">
        <v>0</v>
      </c>
      <c r="BV1812" t="s">
        <v>1668</v>
      </c>
      <c r="BW1812">
        <v>11322</v>
      </c>
      <c r="BX1812" t="s">
        <v>1738</v>
      </c>
      <c r="BY1812">
        <v>11897161</v>
      </c>
      <c r="BZ1812" t="s">
        <v>1756</v>
      </c>
      <c r="CA1812">
        <v>1</v>
      </c>
      <c r="CB1812" t="b">
        <v>1</v>
      </c>
      <c r="CC1812">
        <v>0</v>
      </c>
      <c r="CD1812" t="b">
        <v>0</v>
      </c>
      <c r="CE1812" t="b">
        <v>0</v>
      </c>
      <c r="CF1812" t="b">
        <v>0</v>
      </c>
      <c r="CG1812">
        <v>15151386</v>
      </c>
      <c r="CH1812" t="s">
        <v>1681</v>
      </c>
      <c r="CI1812" s="10">
        <v>949000</v>
      </c>
    </row>
    <row r="1813" spans="1:89">
      <c r="A1813">
        <v>28031779</v>
      </c>
      <c r="B1813" s="2" t="str">
        <f>HYPERLINK("http://www.redfin.com/stingray/do/printable-listing?listing-id=1505686","Subject To Inspection")</f>
        <v>Subject To Inspection</v>
      </c>
      <c r="D1813" t="s">
        <v>192</v>
      </c>
      <c r="E1813" t="s">
        <v>3111</v>
      </c>
      <c r="F1813">
        <v>639000</v>
      </c>
      <c r="G1813">
        <v>1927</v>
      </c>
      <c r="H1813">
        <v>2790</v>
      </c>
      <c r="I1813">
        <v>3610</v>
      </c>
      <c r="J1813">
        <v>4</v>
      </c>
      <c r="K1813">
        <v>2</v>
      </c>
      <c r="M1813" s="2" t="str">
        <f>HYPERLINK("http://maps.live.com/default.aspx?v=2&amp;lvl=15&amp;sp=Point.47.688058_-122.312959_8044 14th Ave NE&amp;cp=47.688058~-122.312959","Map")</f>
        <v>Map</v>
      </c>
      <c r="N1813" s="2" t="str">
        <f>HYPERLINK("http://i-0.rfimg.us/photo/1/bigphoto/779/28031779_9.jpg","Photo")</f>
        <v>Photo</v>
      </c>
      <c r="AG1813">
        <v>47.688057999999998</v>
      </c>
      <c r="AH1813">
        <v>-122.31295900000001</v>
      </c>
      <c r="AI1813" t="s">
        <v>66</v>
      </c>
      <c r="AJ1813">
        <v>98115</v>
      </c>
      <c r="AN1813">
        <v>381000</v>
      </c>
      <c r="BC1813" s="22">
        <v>39502.952233796299</v>
      </c>
      <c r="BI1813" s="7">
        <v>39535</v>
      </c>
      <c r="BL1813">
        <v>12780</v>
      </c>
      <c r="BM1813">
        <v>1505686</v>
      </c>
      <c r="BN1813" t="s">
        <v>1768</v>
      </c>
      <c r="BO1813" s="17">
        <f t="shared" ca="1" si="28"/>
        <v>46.357172106479993</v>
      </c>
      <c r="BP1813" t="b">
        <v>0</v>
      </c>
      <c r="BQ1813">
        <v>2</v>
      </c>
      <c r="BR1813" t="s">
        <v>1667</v>
      </c>
      <c r="BS1813" t="s">
        <v>1900</v>
      </c>
      <c r="BT1813" t="b">
        <v>0</v>
      </c>
      <c r="BV1813" t="s">
        <v>1668</v>
      </c>
      <c r="BW1813">
        <v>8044</v>
      </c>
      <c r="BX1813" t="s">
        <v>1738</v>
      </c>
      <c r="BY1813">
        <v>108643</v>
      </c>
      <c r="BZ1813" t="s">
        <v>3112</v>
      </c>
      <c r="CA1813">
        <v>1</v>
      </c>
      <c r="CB1813" t="b">
        <v>1</v>
      </c>
      <c r="CC1813">
        <v>0</v>
      </c>
      <c r="CD1813" t="b">
        <v>0</v>
      </c>
      <c r="CE1813" t="b">
        <v>0</v>
      </c>
      <c r="CF1813" t="b">
        <v>0</v>
      </c>
      <c r="CG1813">
        <v>2876510</v>
      </c>
      <c r="CH1813" t="s">
        <v>1681</v>
      </c>
      <c r="CI1813" s="10">
        <v>639000</v>
      </c>
      <c r="CJ1813" s="7">
        <v>37573</v>
      </c>
    </row>
    <row r="1814" spans="1:89">
      <c r="A1814">
        <v>28031826</v>
      </c>
      <c r="B1814" s="2" t="str">
        <f>HYPERLINK("http://www.redfin.com/stingray/do/printable-listing?listing-id=1506162","Active")</f>
        <v>Active</v>
      </c>
      <c r="D1814" t="s">
        <v>5014</v>
      </c>
      <c r="E1814" t="s">
        <v>5062</v>
      </c>
      <c r="F1814">
        <v>1150000</v>
      </c>
      <c r="G1814">
        <v>1949</v>
      </c>
      <c r="H1814">
        <v>2310</v>
      </c>
      <c r="I1814">
        <v>12223</v>
      </c>
      <c r="J1814">
        <v>3</v>
      </c>
      <c r="K1814">
        <v>2</v>
      </c>
      <c r="M1814" s="2" t="str">
        <f>HYPERLINK("http://maps.live.com/default.aspx?v=2&amp;lvl=15&amp;sp=Point.47.621595_-122.216702_9226 NE 13th St&amp;cp=47.621595~-122.216702","Map")</f>
        <v>Map</v>
      </c>
      <c r="N1814" s="2" t="str">
        <f>HYPERLINK("http://i-0.rfimg.us/photo/1/bigphoto/826/28031826_3.jpg","Photo")</f>
        <v>Photo</v>
      </c>
      <c r="AG1814">
        <v>47.621594999999999</v>
      </c>
      <c r="AH1814">
        <v>-122.216702</v>
      </c>
      <c r="AI1814" t="s">
        <v>5014</v>
      </c>
      <c r="AJ1814">
        <v>98004</v>
      </c>
      <c r="BC1814" s="22">
        <v>39503.421678240738</v>
      </c>
      <c r="BI1814" s="22">
        <v>39549.294907407406</v>
      </c>
      <c r="BL1814">
        <v>23000</v>
      </c>
      <c r="BM1814">
        <v>1506162</v>
      </c>
      <c r="BN1814" t="s">
        <v>1674</v>
      </c>
      <c r="BO1814" s="17">
        <f t="shared" ca="1" si="28"/>
        <v>45.887727662040561</v>
      </c>
      <c r="BP1814" t="b">
        <v>0</v>
      </c>
      <c r="BQ1814">
        <v>1</v>
      </c>
      <c r="BR1814" t="s">
        <v>1686</v>
      </c>
      <c r="BS1814" t="s">
        <v>1809</v>
      </c>
      <c r="BT1814" t="b">
        <v>0</v>
      </c>
      <c r="BU1814" t="s">
        <v>1738</v>
      </c>
      <c r="BV1814" t="s">
        <v>1668</v>
      </c>
      <c r="BW1814">
        <v>9226</v>
      </c>
      <c r="BY1814">
        <v>252337</v>
      </c>
      <c r="BZ1814" t="s">
        <v>5063</v>
      </c>
      <c r="CA1814">
        <v>1</v>
      </c>
      <c r="CB1814" t="b">
        <v>1</v>
      </c>
      <c r="CC1814">
        <v>0</v>
      </c>
      <c r="CD1814" t="b">
        <v>0</v>
      </c>
      <c r="CE1814" t="b">
        <v>0</v>
      </c>
      <c r="CF1814" t="b">
        <v>0</v>
      </c>
      <c r="CG1814">
        <v>2716309</v>
      </c>
      <c r="CH1814" t="s">
        <v>1681</v>
      </c>
      <c r="CI1814" s="10">
        <v>1150000</v>
      </c>
    </row>
    <row r="1815" spans="1:89">
      <c r="A1815">
        <v>28031892</v>
      </c>
      <c r="B1815" s="2" t="str">
        <f>HYPERLINK("http://www.redfin.com/stingray/do/printable-listing?listing-id=1502086","Active")</f>
        <v>Active</v>
      </c>
      <c r="D1815" t="s">
        <v>192</v>
      </c>
      <c r="E1815" t="s">
        <v>2868</v>
      </c>
      <c r="F1815">
        <v>599500</v>
      </c>
      <c r="G1815">
        <v>1930</v>
      </c>
      <c r="H1815">
        <v>2500</v>
      </c>
      <c r="I1815">
        <v>6380</v>
      </c>
      <c r="J1815">
        <v>5</v>
      </c>
      <c r="K1815">
        <v>2</v>
      </c>
      <c r="M1815" s="2" t="str">
        <f>HYPERLINK("http://maps.live.com/default.aspx?v=2&amp;lvl=15&amp;sp=Point.47.693752_-122.316789_1019 NE 90th St&amp;cp=47.693752~-122.316789","Map")</f>
        <v>Map</v>
      </c>
      <c r="N1815" s="2" t="str">
        <f>HYPERLINK("http://i-0.rfimg.us/photo/1/bigphoto/892/28031892_0.jpg","Photo")</f>
        <v>Photo</v>
      </c>
      <c r="AG1815">
        <v>47.693752000000003</v>
      </c>
      <c r="AH1815">
        <v>-122.316789</v>
      </c>
      <c r="AI1815" t="s">
        <v>66</v>
      </c>
      <c r="AJ1815">
        <v>98115</v>
      </c>
      <c r="BC1815" s="22">
        <v>39500.662060185183</v>
      </c>
      <c r="BI1815" s="22">
        <v>39549.294907407406</v>
      </c>
      <c r="BL1815">
        <v>11990</v>
      </c>
      <c r="BM1815">
        <v>1502086</v>
      </c>
      <c r="BN1815" t="s">
        <v>2444</v>
      </c>
      <c r="BO1815" s="17">
        <f t="shared" ca="1" si="28"/>
        <v>48.647345717596181</v>
      </c>
      <c r="BP1815" t="b">
        <v>0</v>
      </c>
      <c r="BQ1815">
        <v>1</v>
      </c>
      <c r="BR1815" t="s">
        <v>1686</v>
      </c>
      <c r="BS1815" t="s">
        <v>1761</v>
      </c>
      <c r="BT1815" t="b">
        <v>0</v>
      </c>
      <c r="BU1815" t="s">
        <v>1738</v>
      </c>
      <c r="BV1815" t="s">
        <v>1668</v>
      </c>
      <c r="BW1815">
        <v>1019</v>
      </c>
      <c r="BY1815">
        <v>109404</v>
      </c>
      <c r="BZ1815" s="21">
        <v>0</v>
      </c>
      <c r="CA1815">
        <v>1</v>
      </c>
      <c r="CB1815" t="b">
        <v>1</v>
      </c>
      <c r="CC1815">
        <v>0</v>
      </c>
      <c r="CD1815" t="b">
        <v>0</v>
      </c>
      <c r="CE1815" t="b">
        <v>0</v>
      </c>
      <c r="CF1815" t="b">
        <v>0</v>
      </c>
      <c r="CG1815">
        <v>2560520</v>
      </c>
      <c r="CH1815" t="s">
        <v>1681</v>
      </c>
      <c r="CI1815" s="10">
        <v>599500</v>
      </c>
    </row>
    <row r="1816" spans="1:89">
      <c r="A1816">
        <v>28031943</v>
      </c>
      <c r="B1816" s="2" t="str">
        <f>HYPERLINK("http://www.redfin.com/stingray/do/printable-listing?listing-id=1503819","Active")</f>
        <v>Active</v>
      </c>
      <c r="D1816" t="s">
        <v>207</v>
      </c>
      <c r="E1816" t="s">
        <v>3238</v>
      </c>
      <c r="F1816">
        <v>619000</v>
      </c>
      <c r="G1816">
        <v>1925</v>
      </c>
      <c r="H1816">
        <v>0</v>
      </c>
      <c r="I1816">
        <v>0</v>
      </c>
      <c r="J1816">
        <v>3</v>
      </c>
      <c r="K1816">
        <v>1.75</v>
      </c>
      <c r="M1816" s="2" t="str">
        <f>HYPERLINK("http://maps.live.com/default.aspx?v=2&amp;lvl=15&amp;sp=Point.47.673788_-122.299914_6059 26th Ave NE&amp;cp=47.673788~-122.299914","Map")</f>
        <v>Map</v>
      </c>
      <c r="N1816" s="2" t="str">
        <f>HYPERLINK("http://i-0.rfimg.us/photo/1/bigphoto/943/28031943_3.jpg","Photo")</f>
        <v>Photo</v>
      </c>
      <c r="AG1816">
        <v>47.673788000000002</v>
      </c>
      <c r="AH1816">
        <v>-122.299914</v>
      </c>
      <c r="AI1816" t="s">
        <v>66</v>
      </c>
      <c r="AJ1816">
        <v>98115</v>
      </c>
      <c r="BC1816" s="22">
        <v>39501.411064814813</v>
      </c>
      <c r="BI1816" s="22">
        <v>39549.294907407406</v>
      </c>
      <c r="BL1816">
        <v>12380</v>
      </c>
      <c r="BM1816">
        <v>1503819</v>
      </c>
      <c r="BN1816" t="s">
        <v>1710</v>
      </c>
      <c r="BO1816" s="17">
        <f t="shared" ca="1" si="28"/>
        <v>47.898341087966401</v>
      </c>
      <c r="BP1816" t="b">
        <v>0</v>
      </c>
      <c r="BQ1816">
        <v>1</v>
      </c>
      <c r="BR1816" t="s">
        <v>1667</v>
      </c>
      <c r="BS1816" t="s">
        <v>1769</v>
      </c>
      <c r="BT1816" t="b">
        <v>0</v>
      </c>
      <c r="BV1816" t="s">
        <v>1668</v>
      </c>
      <c r="BW1816">
        <v>6059</v>
      </c>
      <c r="BX1816" t="s">
        <v>1738</v>
      </c>
      <c r="BY1816">
        <v>313297</v>
      </c>
      <c r="BZ1816" t="s">
        <v>3239</v>
      </c>
      <c r="CA1816">
        <v>1</v>
      </c>
      <c r="CB1816" t="b">
        <v>1</v>
      </c>
      <c r="CC1816">
        <v>0</v>
      </c>
      <c r="CD1816" t="b">
        <v>0</v>
      </c>
      <c r="CE1816" t="b">
        <v>0</v>
      </c>
      <c r="CF1816" t="b">
        <v>0</v>
      </c>
      <c r="CG1816">
        <v>2350832</v>
      </c>
      <c r="CH1816" t="s">
        <v>1681</v>
      </c>
      <c r="CI1816" s="10">
        <v>619000</v>
      </c>
    </row>
    <row r="1817" spans="1:89">
      <c r="A1817">
        <v>28031979</v>
      </c>
      <c r="B1817" s="2" t="str">
        <f>HYPERLINK("http://www.redfin.com/stingray/do/printable-listing?listing-id=1502387","Active")</f>
        <v>Active</v>
      </c>
      <c r="D1817" t="s">
        <v>78</v>
      </c>
      <c r="E1817" t="s">
        <v>1479</v>
      </c>
      <c r="F1817" s="19">
        <v>699950</v>
      </c>
      <c r="G1817">
        <v>1924</v>
      </c>
      <c r="H1817">
        <v>2320</v>
      </c>
      <c r="I1817">
        <v>4046</v>
      </c>
      <c r="J1817">
        <v>4</v>
      </c>
      <c r="K1817">
        <v>2.5</v>
      </c>
      <c r="M1817" s="2" t="str">
        <f>HYPERLINK("http://maps.live.com/default.aspx?v=2&amp;lvl=15&amp;sp=Point.47.687326_-122.381398_8015 19th Ave NW&amp;cp=47.687326~-122.381398","Map")</f>
        <v>Map</v>
      </c>
      <c r="N1817" s="2" t="str">
        <f>HYPERLINK("http://i-0.rfimg.us/photo/1/bigphoto/979/28031979_0.jpg","Photo")</f>
        <v>Photo</v>
      </c>
      <c r="AG1817">
        <v>47.687325999999999</v>
      </c>
      <c r="AH1817">
        <v>-122.381398</v>
      </c>
      <c r="AI1817" t="s">
        <v>66</v>
      </c>
      <c r="AJ1817">
        <v>98117</v>
      </c>
      <c r="AN1817">
        <v>395000</v>
      </c>
      <c r="BC1817" s="22">
        <v>39500.703796296293</v>
      </c>
      <c r="BI1817" s="22">
        <v>39549.294907407406</v>
      </c>
      <c r="BL1817">
        <v>14299</v>
      </c>
      <c r="BM1817">
        <v>1502387</v>
      </c>
      <c r="BN1817" t="s">
        <v>1905</v>
      </c>
      <c r="BO1817" s="17">
        <f t="shared" ca="1" si="28"/>
        <v>48.605609722224472</v>
      </c>
      <c r="BP1817" t="b">
        <v>0</v>
      </c>
      <c r="BQ1817">
        <v>1</v>
      </c>
      <c r="BR1817" t="s">
        <v>1667</v>
      </c>
      <c r="BS1817" t="s">
        <v>1906</v>
      </c>
      <c r="BT1817" t="b">
        <v>0</v>
      </c>
      <c r="BV1817" t="s">
        <v>1668</v>
      </c>
      <c r="BW1817">
        <v>8015</v>
      </c>
      <c r="BX1817" t="s">
        <v>1669</v>
      </c>
      <c r="BY1817">
        <v>164450</v>
      </c>
      <c r="BZ1817" t="s">
        <v>1713</v>
      </c>
      <c r="CA1817">
        <v>1</v>
      </c>
      <c r="CB1817" t="b">
        <v>1</v>
      </c>
      <c r="CC1817">
        <v>0</v>
      </c>
      <c r="CD1817" t="b">
        <v>0</v>
      </c>
      <c r="CE1817" t="b">
        <v>0</v>
      </c>
      <c r="CF1817" t="b">
        <v>0</v>
      </c>
      <c r="CG1817">
        <v>2381228</v>
      </c>
      <c r="CH1817" t="s">
        <v>1681</v>
      </c>
      <c r="CI1817" s="10">
        <v>714950</v>
      </c>
      <c r="CJ1817" s="7">
        <v>39274</v>
      </c>
    </row>
    <row r="1818" spans="1:89">
      <c r="A1818">
        <v>28032004</v>
      </c>
      <c r="B1818" s="2" t="str">
        <f>HYPERLINK("http://www.redfin.com/stingray/do/printable-listing?listing-id=1506911","Active")</f>
        <v>Active</v>
      </c>
      <c r="D1818" t="s">
        <v>184</v>
      </c>
      <c r="E1818" t="s">
        <v>2904</v>
      </c>
      <c r="F1818">
        <v>550000</v>
      </c>
      <c r="G1818">
        <v>1940</v>
      </c>
      <c r="H1818">
        <v>3380</v>
      </c>
      <c r="I1818">
        <v>1002</v>
      </c>
      <c r="J1818">
        <v>6</v>
      </c>
      <c r="K1818">
        <v>2.75</v>
      </c>
      <c r="M1818" s="2" t="str">
        <f>HYPERLINK("http://maps.live.com/default.aspx?v=2&amp;lvl=15&amp;sp=Point.47.721334_-122.310385_12564 17 Ave NE&amp;cp=47.721334~-122.310385","Map")</f>
        <v>Map</v>
      </c>
      <c r="N1818" s="2" t="str">
        <f>HYPERLINK("http://i-0.rfimg.us/photo/1/bigphoto/004/28032004_0.jpg","Photo")</f>
        <v>Photo</v>
      </c>
      <c r="AG1818">
        <v>47.721333999999999</v>
      </c>
      <c r="AH1818">
        <v>-122.310385</v>
      </c>
      <c r="AI1818" t="s">
        <v>66</v>
      </c>
      <c r="AJ1818">
        <v>98125</v>
      </c>
      <c r="AN1818">
        <v>178000</v>
      </c>
      <c r="BC1818" s="22">
        <v>39503.590416666666</v>
      </c>
      <c r="BI1818" s="22">
        <v>39549.294907407406</v>
      </c>
      <c r="BL1818">
        <v>11000</v>
      </c>
      <c r="BM1818">
        <v>1506911</v>
      </c>
      <c r="BN1818" t="s">
        <v>1675</v>
      </c>
      <c r="BO1818" s="17">
        <f t="shared" ca="1" si="28"/>
        <v>45.718989236112975</v>
      </c>
      <c r="BP1818" t="b">
        <v>0</v>
      </c>
      <c r="BQ1818">
        <v>1</v>
      </c>
      <c r="BR1818" t="s">
        <v>1667</v>
      </c>
      <c r="BS1818">
        <v>17</v>
      </c>
      <c r="BT1818" t="b">
        <v>0</v>
      </c>
      <c r="BV1818" t="s">
        <v>1668</v>
      </c>
      <c r="BW1818">
        <v>12564</v>
      </c>
      <c r="BX1818" t="s">
        <v>1738</v>
      </c>
      <c r="BY1818">
        <v>116150</v>
      </c>
      <c r="BZ1818" t="s">
        <v>1670</v>
      </c>
      <c r="CA1818">
        <v>1</v>
      </c>
      <c r="CB1818" t="b">
        <v>1</v>
      </c>
      <c r="CC1818">
        <v>0</v>
      </c>
      <c r="CD1818" t="b">
        <v>0</v>
      </c>
      <c r="CE1818" t="b">
        <v>0</v>
      </c>
      <c r="CF1818" t="b">
        <v>0</v>
      </c>
      <c r="CG1818">
        <v>2821185</v>
      </c>
      <c r="CH1818" t="s">
        <v>1681</v>
      </c>
      <c r="CI1818" s="10">
        <v>550000</v>
      </c>
      <c r="CJ1818" s="7">
        <v>33886</v>
      </c>
    </row>
    <row r="1819" spans="1:89">
      <c r="A1819">
        <v>28032010</v>
      </c>
      <c r="B1819" s="2" t="str">
        <f>HYPERLINK("http://www.redfin.com/stingray/do/printable-listing?listing-id=1502525","Active")</f>
        <v>Active</v>
      </c>
      <c r="D1819" t="s">
        <v>369</v>
      </c>
      <c r="E1819" t="s">
        <v>5074</v>
      </c>
      <c r="F1819" s="19">
        <v>735000</v>
      </c>
      <c r="G1819">
        <v>1963</v>
      </c>
      <c r="H1819">
        <v>1228</v>
      </c>
      <c r="I1819">
        <v>11463</v>
      </c>
      <c r="J1819">
        <v>3</v>
      </c>
      <c r="K1819">
        <v>1.5</v>
      </c>
      <c r="M1819" s="2" t="str">
        <f>HYPERLINK("http://maps.live.com/default.aspx?v=2&amp;lvl=15&amp;sp=Point.47.636317_-122.202879_10304 NE 28th Pl&amp;cp=47.636317~-122.202879","Map")</f>
        <v>Map</v>
      </c>
      <c r="N1819" s="2" t="str">
        <f>HYPERLINK("http://i-0.rfimg.us/photo/1/bigphoto/010/28032010_0.jpg","Photo")</f>
        <v>Photo</v>
      </c>
      <c r="AG1819">
        <v>47.636316999999998</v>
      </c>
      <c r="AH1819">
        <v>-122.202879</v>
      </c>
      <c r="AI1819" t="s">
        <v>369</v>
      </c>
      <c r="AJ1819">
        <v>98004</v>
      </c>
      <c r="AN1819">
        <v>650000</v>
      </c>
      <c r="BC1819" s="22">
        <v>39500.746631944443</v>
      </c>
      <c r="BI1819" s="22">
        <v>39549.294907407406</v>
      </c>
      <c r="BL1819">
        <v>15380</v>
      </c>
      <c r="BM1819">
        <v>1502525</v>
      </c>
      <c r="BN1819" t="s">
        <v>5028</v>
      </c>
      <c r="BO1819" s="17">
        <f t="shared" ca="1" si="28"/>
        <v>48.562773958336038</v>
      </c>
      <c r="BP1819" t="b">
        <v>0</v>
      </c>
      <c r="BQ1819">
        <v>1</v>
      </c>
      <c r="BR1819" t="s">
        <v>1842</v>
      </c>
      <c r="BS1819" t="s">
        <v>1760</v>
      </c>
      <c r="BT1819" t="b">
        <v>0</v>
      </c>
      <c r="BU1819" t="s">
        <v>1738</v>
      </c>
      <c r="BV1819" t="s">
        <v>1668</v>
      </c>
      <c r="BW1819">
        <v>10304</v>
      </c>
      <c r="BY1819">
        <v>506878</v>
      </c>
      <c r="BZ1819" t="s">
        <v>1762</v>
      </c>
      <c r="CA1819">
        <v>1</v>
      </c>
      <c r="CB1819" t="b">
        <v>1</v>
      </c>
      <c r="CC1819">
        <v>0</v>
      </c>
      <c r="CD1819" t="b">
        <v>0</v>
      </c>
      <c r="CE1819" t="b">
        <v>0</v>
      </c>
      <c r="CF1819" t="b">
        <v>0</v>
      </c>
      <c r="CG1819">
        <v>2465750</v>
      </c>
      <c r="CH1819" t="s">
        <v>1681</v>
      </c>
      <c r="CI1819" s="10">
        <v>769000</v>
      </c>
      <c r="CJ1819" s="7">
        <v>39269</v>
      </c>
    </row>
    <row r="1820" spans="1:89">
      <c r="A1820">
        <v>28032011</v>
      </c>
      <c r="B1820" s="2" t="str">
        <f>HYPERLINK("http://www.redfin.com/stingray/do/printable-listing?listing-id=1510876","Active")</f>
        <v>Active</v>
      </c>
      <c r="D1820" t="s">
        <v>63</v>
      </c>
      <c r="E1820" t="s">
        <v>1542</v>
      </c>
      <c r="F1820" s="19">
        <v>678000</v>
      </c>
      <c r="G1820">
        <v>1936</v>
      </c>
      <c r="H1820">
        <v>0</v>
      </c>
      <c r="I1820">
        <v>5300</v>
      </c>
      <c r="J1820">
        <v>4</v>
      </c>
      <c r="K1820">
        <v>2</v>
      </c>
      <c r="M1820" s="2" t="str">
        <f>HYPERLINK("http://maps.live.com/default.aspx?v=2&amp;lvl=15&amp;sp=Point.47.678711_-122.366914_6731 Division Ave NW&amp;cp=47.678711~-122.366914","Map")</f>
        <v>Map</v>
      </c>
      <c r="N1820" s="2" t="str">
        <f>HYPERLINK("http://i-0.rfimg.us/photo/1/bigphoto/011/28032011_1.jpg","Photo")</f>
        <v>Photo</v>
      </c>
      <c r="AG1820">
        <v>47.678711</v>
      </c>
      <c r="AH1820">
        <v>-122.36691399999999</v>
      </c>
      <c r="AI1820" t="s">
        <v>66</v>
      </c>
      <c r="AJ1820">
        <v>98117</v>
      </c>
      <c r="AN1820">
        <v>219950</v>
      </c>
      <c r="BC1820" s="22">
        <v>39504.8906712963</v>
      </c>
      <c r="BI1820" s="22">
        <v>39549.294907407406</v>
      </c>
      <c r="BL1820">
        <v>14500</v>
      </c>
      <c r="BM1820">
        <v>1510876</v>
      </c>
      <c r="BN1820" t="s">
        <v>1768</v>
      </c>
      <c r="BO1820" s="17">
        <f t="shared" ca="1" si="28"/>
        <v>44.418734722217778</v>
      </c>
      <c r="BP1820" t="b">
        <v>0</v>
      </c>
      <c r="BQ1820">
        <v>1</v>
      </c>
      <c r="BR1820" t="s">
        <v>1667</v>
      </c>
      <c r="BS1820" t="s">
        <v>1891</v>
      </c>
      <c r="BT1820" t="b">
        <v>0</v>
      </c>
      <c r="BV1820" t="s">
        <v>1668</v>
      </c>
      <c r="BW1820">
        <v>6731</v>
      </c>
      <c r="BX1820" t="s">
        <v>1669</v>
      </c>
      <c r="BY1820">
        <v>495414</v>
      </c>
      <c r="BZ1820" t="s">
        <v>1892</v>
      </c>
      <c r="CA1820">
        <v>1</v>
      </c>
      <c r="CB1820" t="b">
        <v>1</v>
      </c>
      <c r="CC1820">
        <v>0</v>
      </c>
      <c r="CD1820" t="b">
        <v>0</v>
      </c>
      <c r="CE1820" t="b">
        <v>0</v>
      </c>
      <c r="CF1820" t="b">
        <v>0</v>
      </c>
      <c r="CG1820">
        <v>2465767</v>
      </c>
      <c r="CH1820" t="s">
        <v>1681</v>
      </c>
      <c r="CI1820" s="10">
        <v>725000</v>
      </c>
      <c r="CJ1820" s="7">
        <v>35803</v>
      </c>
      <c r="CK1820" t="s">
        <v>1994</v>
      </c>
    </row>
    <row r="1821" spans="1:89">
      <c r="A1821">
        <v>28032052</v>
      </c>
      <c r="B1821" s="2" t="str">
        <f>HYPERLINK("http://www.redfin.com/stingray/do/printable-listing?listing-id=1502660","Active")</f>
        <v>Active</v>
      </c>
      <c r="D1821" t="s">
        <v>4359</v>
      </c>
      <c r="E1821" t="s">
        <v>4538</v>
      </c>
      <c r="F1821">
        <v>625000</v>
      </c>
      <c r="G1821">
        <v>1981</v>
      </c>
      <c r="H1821">
        <v>2430</v>
      </c>
      <c r="I1821">
        <v>7700</v>
      </c>
      <c r="J1821">
        <v>4</v>
      </c>
      <c r="K1821">
        <v>2.5</v>
      </c>
      <c r="M1821" s="2" t="str">
        <f>HYPERLINK("http://maps.live.com/default.aspx?v=2&amp;lvl=15&amp;sp=Point.47.700059_-122.167034_11042 130th Ave NE&amp;cp=47.700059~-122.167034","Map")</f>
        <v>Map</v>
      </c>
      <c r="N1821" s="2" t="str">
        <f>HYPERLINK("http://i-0.rfimg.us/photo/1/bigphoto/052/28032052_0.jpg","Photo")</f>
        <v>Photo</v>
      </c>
      <c r="AG1821">
        <v>47.700059000000003</v>
      </c>
      <c r="AH1821">
        <v>-122.167034</v>
      </c>
      <c r="AI1821" t="s">
        <v>1058</v>
      </c>
      <c r="AJ1821">
        <v>98033</v>
      </c>
      <c r="AN1821">
        <v>335000</v>
      </c>
      <c r="BC1821" s="22">
        <v>39500.807222222225</v>
      </c>
      <c r="BI1821" s="22">
        <v>39549.294907407406</v>
      </c>
      <c r="BL1821">
        <v>12500</v>
      </c>
      <c r="BM1821">
        <v>1502660</v>
      </c>
      <c r="BN1821" t="s">
        <v>1674</v>
      </c>
      <c r="BO1821" s="17">
        <f t="shared" ca="1" si="28"/>
        <v>48.502183680553571</v>
      </c>
      <c r="BP1821" t="b">
        <v>0</v>
      </c>
      <c r="BQ1821">
        <v>1</v>
      </c>
      <c r="BR1821" t="s">
        <v>1667</v>
      </c>
      <c r="BS1821" t="s">
        <v>2964</v>
      </c>
      <c r="BT1821" t="b">
        <v>0</v>
      </c>
      <c r="BV1821" t="s">
        <v>1668</v>
      </c>
      <c r="BW1821">
        <v>11042</v>
      </c>
      <c r="BX1821" t="s">
        <v>1738</v>
      </c>
      <c r="BY1821">
        <v>513075</v>
      </c>
      <c r="BZ1821" t="s">
        <v>1762</v>
      </c>
      <c r="CA1821">
        <v>1</v>
      </c>
      <c r="CB1821" t="b">
        <v>1</v>
      </c>
      <c r="CC1821">
        <v>0</v>
      </c>
      <c r="CD1821" t="b">
        <v>0</v>
      </c>
      <c r="CE1821" t="b">
        <v>0</v>
      </c>
      <c r="CF1821" t="b">
        <v>0</v>
      </c>
      <c r="CG1821">
        <v>2642657</v>
      </c>
      <c r="CH1821" t="s">
        <v>1681</v>
      </c>
      <c r="CI1821" s="10">
        <v>625000</v>
      </c>
      <c r="CJ1821" s="7">
        <v>36829</v>
      </c>
    </row>
    <row r="1822" spans="1:89">
      <c r="A1822">
        <v>28032085</v>
      </c>
      <c r="B1822" s="2" t="str">
        <f>HYPERLINK("http://www.redfin.com/stingray/do/printable-listing?listing-id=1502810","Subject To Inspection")</f>
        <v>Subject To Inspection</v>
      </c>
      <c r="D1822" t="s">
        <v>5204</v>
      </c>
      <c r="E1822" t="s">
        <v>5247</v>
      </c>
      <c r="F1822">
        <v>429000</v>
      </c>
      <c r="G1822">
        <v>1957</v>
      </c>
      <c r="H1822">
        <v>1450</v>
      </c>
      <c r="I1822">
        <v>8957</v>
      </c>
      <c r="J1822">
        <v>3</v>
      </c>
      <c r="K1822">
        <v>1.75</v>
      </c>
      <c r="M1822" s="2" t="str">
        <f>HYPERLINK("http://maps.live.com/default.aspx?v=2&amp;lvl=15&amp;sp=Point.47.600752_-122.118426_1112 166 Ave SE&amp;cp=47.600752~-122.118426","Map")</f>
        <v>Map</v>
      </c>
      <c r="N1822" s="2" t="str">
        <f>HYPERLINK("http://i-0.rfimg.us/photo/1/bigphoto/085/28032085_1.jpg","Photo")</f>
        <v>Photo</v>
      </c>
      <c r="AG1822">
        <v>47.600752</v>
      </c>
      <c r="AH1822">
        <v>-122.118426</v>
      </c>
      <c r="AI1822" t="s">
        <v>369</v>
      </c>
      <c r="AJ1822">
        <v>98008</v>
      </c>
      <c r="AN1822">
        <v>229950</v>
      </c>
      <c r="BC1822" s="22">
        <v>39500.881273148145</v>
      </c>
      <c r="BI1822" s="7">
        <v>39536</v>
      </c>
      <c r="BL1822">
        <v>8580</v>
      </c>
      <c r="BM1822">
        <v>1502810</v>
      </c>
      <c r="BN1822" t="s">
        <v>1680</v>
      </c>
      <c r="BO1822" s="17">
        <f t="shared" ca="1" si="28"/>
        <v>48.428132754634134</v>
      </c>
      <c r="BP1822" t="b">
        <v>0</v>
      </c>
      <c r="BQ1822">
        <v>2</v>
      </c>
      <c r="BR1822" t="s">
        <v>1667</v>
      </c>
      <c r="BS1822">
        <v>166</v>
      </c>
      <c r="BT1822" t="b">
        <v>0</v>
      </c>
      <c r="BV1822" t="s">
        <v>1668</v>
      </c>
      <c r="BW1822">
        <v>1112</v>
      </c>
      <c r="BX1822" t="s">
        <v>3856</v>
      </c>
      <c r="BY1822">
        <v>429031</v>
      </c>
      <c r="BZ1822" t="s">
        <v>5248</v>
      </c>
      <c r="CA1822">
        <v>1</v>
      </c>
      <c r="CB1822" t="b">
        <v>1</v>
      </c>
      <c r="CC1822">
        <v>0</v>
      </c>
      <c r="CD1822" t="b">
        <v>0</v>
      </c>
      <c r="CE1822" t="b">
        <v>0</v>
      </c>
      <c r="CF1822" t="b">
        <v>0</v>
      </c>
      <c r="CG1822">
        <v>2536353</v>
      </c>
      <c r="CH1822" t="s">
        <v>1681</v>
      </c>
      <c r="CI1822" s="10">
        <v>429000</v>
      </c>
      <c r="CJ1822" s="7">
        <v>36739</v>
      </c>
    </row>
    <row r="1823" spans="1:89">
      <c r="A1823">
        <v>28032106</v>
      </c>
      <c r="B1823" s="2" t="str">
        <f>HYPERLINK("http://www.redfin.com/stingray/do/printable-listing?listing-id=1503389","Active")</f>
        <v>Active</v>
      </c>
      <c r="D1823" t="s">
        <v>3064</v>
      </c>
      <c r="E1823" t="s">
        <v>6191</v>
      </c>
      <c r="F1823" s="19">
        <v>444950</v>
      </c>
      <c r="G1823">
        <v>2000</v>
      </c>
      <c r="H1823">
        <v>2040</v>
      </c>
      <c r="I1823">
        <v>0</v>
      </c>
      <c r="J1823">
        <v>3</v>
      </c>
      <c r="K1823">
        <v>2.5</v>
      </c>
      <c r="M1823" s="2" t="str">
        <f>HYPERLINK("http://maps.live.com/default.aspx?v=2&amp;lvl=15&amp;sp=Point.47.494082_-122.173117_665 Newport Ct NE&amp;cp=47.494082~-122.173117","Map")</f>
        <v>Map</v>
      </c>
      <c r="N1823" s="2" t="str">
        <f>HYPERLINK("http://i-0.rfimg.us/photo/1/bigphoto/106/28032106_0.jpg","Photo")</f>
        <v>Photo</v>
      </c>
      <c r="AG1823">
        <v>47.494081999999999</v>
      </c>
      <c r="AH1823">
        <v>-122.173117</v>
      </c>
      <c r="AI1823" t="s">
        <v>1077</v>
      </c>
      <c r="AJ1823">
        <v>98056</v>
      </c>
      <c r="AN1823">
        <v>418000</v>
      </c>
      <c r="BC1823" s="22">
        <v>39501.087766203702</v>
      </c>
      <c r="BI1823" s="22">
        <v>39549.294907407406</v>
      </c>
      <c r="BL1823">
        <v>8999</v>
      </c>
      <c r="BM1823">
        <v>1503389</v>
      </c>
      <c r="BN1823" t="s">
        <v>5418</v>
      </c>
      <c r="BO1823" s="17">
        <f t="shared" ca="1" si="28"/>
        <v>48.221639699077059</v>
      </c>
      <c r="BP1823" t="b">
        <v>0</v>
      </c>
      <c r="BQ1823">
        <v>1</v>
      </c>
      <c r="BR1823" t="s">
        <v>3768</v>
      </c>
      <c r="BS1823" t="s">
        <v>5326</v>
      </c>
      <c r="BT1823" t="b">
        <v>0</v>
      </c>
      <c r="BV1823" t="s">
        <v>1668</v>
      </c>
      <c r="BW1823">
        <v>665</v>
      </c>
      <c r="BX1823" t="s">
        <v>1738</v>
      </c>
      <c r="BY1823">
        <v>242579</v>
      </c>
      <c r="BZ1823" t="s">
        <v>1713</v>
      </c>
      <c r="CA1823">
        <v>1</v>
      </c>
      <c r="CB1823" t="b">
        <v>1</v>
      </c>
      <c r="CC1823">
        <v>0</v>
      </c>
      <c r="CD1823" t="b">
        <v>0</v>
      </c>
      <c r="CE1823" t="b">
        <v>0</v>
      </c>
      <c r="CF1823" t="b">
        <v>0</v>
      </c>
      <c r="CG1823">
        <v>2875854</v>
      </c>
      <c r="CH1823" t="s">
        <v>1681</v>
      </c>
      <c r="CI1823" s="10">
        <v>449950</v>
      </c>
      <c r="CJ1823" s="7">
        <v>39014</v>
      </c>
    </row>
    <row r="1824" spans="1:89">
      <c r="A1824">
        <v>28032145</v>
      </c>
      <c r="B1824" s="2" t="str">
        <f>HYPERLINK("http://www.redfin.com/stingray/do/printable-listing?listing-id=1510000","Active")</f>
        <v>Active</v>
      </c>
      <c r="D1824" t="s">
        <v>55</v>
      </c>
      <c r="E1824" t="s">
        <v>2135</v>
      </c>
      <c r="F1824">
        <v>450000</v>
      </c>
      <c r="G1824">
        <v>1919</v>
      </c>
      <c r="H1824">
        <v>1640</v>
      </c>
      <c r="I1824">
        <v>3790</v>
      </c>
      <c r="J1824">
        <v>3</v>
      </c>
      <c r="K1824">
        <v>1</v>
      </c>
      <c r="M1824" s="2" t="str">
        <f>HYPERLINK("http://maps.live.com/default.aspx?v=2&amp;lvl=15&amp;sp=Point.47.688611_-122.353866_332 N 82nd St&amp;cp=47.688611~-122.353866","Map")</f>
        <v>Map</v>
      </c>
      <c r="N1824" s="2" t="str">
        <f>HYPERLINK("http://i-0.rfimg.us/photo/1/bigphoto/145/28032145_0.jpg","Photo")</f>
        <v>Photo</v>
      </c>
      <c r="AG1824">
        <v>47.688611000000002</v>
      </c>
      <c r="AH1824">
        <v>-122.353866</v>
      </c>
      <c r="AI1824" t="s">
        <v>66</v>
      </c>
      <c r="AJ1824">
        <v>98103</v>
      </c>
      <c r="AN1824">
        <v>310000</v>
      </c>
      <c r="BC1824" s="22">
        <v>39504.612071759257</v>
      </c>
      <c r="BI1824" s="22">
        <v>39549.294907407406</v>
      </c>
      <c r="BL1824">
        <v>9000</v>
      </c>
      <c r="BM1824">
        <v>1510000</v>
      </c>
      <c r="BN1824" t="s">
        <v>1737</v>
      </c>
      <c r="BO1824" s="17">
        <f t="shared" ca="1" si="28"/>
        <v>44.69733425926097</v>
      </c>
      <c r="BP1824" t="b">
        <v>0</v>
      </c>
      <c r="BQ1824">
        <v>1</v>
      </c>
      <c r="BR1824" t="s">
        <v>1686</v>
      </c>
      <c r="BS1824" t="s">
        <v>2359</v>
      </c>
      <c r="BT1824" t="b">
        <v>0</v>
      </c>
      <c r="BU1824" t="s">
        <v>1712</v>
      </c>
      <c r="BV1824" t="s">
        <v>1668</v>
      </c>
      <c r="BW1824">
        <v>332</v>
      </c>
      <c r="BY1824">
        <v>300710</v>
      </c>
      <c r="BZ1824" t="s">
        <v>1701</v>
      </c>
      <c r="CA1824">
        <v>1</v>
      </c>
      <c r="CB1824" t="b">
        <v>1</v>
      </c>
      <c r="CC1824">
        <v>0</v>
      </c>
      <c r="CD1824" t="b">
        <v>0</v>
      </c>
      <c r="CE1824" t="b">
        <v>0</v>
      </c>
      <c r="CF1824" t="b">
        <v>0</v>
      </c>
      <c r="CG1824">
        <v>2803430</v>
      </c>
      <c r="CH1824" t="s">
        <v>1681</v>
      </c>
      <c r="CI1824" s="10">
        <v>450000</v>
      </c>
      <c r="CJ1824" s="7">
        <v>39146</v>
      </c>
    </row>
    <row r="1825" spans="1:88">
      <c r="A1825">
        <v>28032152</v>
      </c>
      <c r="B1825" s="2" t="str">
        <f>HYPERLINK("http://www.redfin.com/stingray/do/printable-listing?listing-id=1505001","Active")</f>
        <v>Active</v>
      </c>
      <c r="D1825" t="s">
        <v>88</v>
      </c>
      <c r="E1825" t="s">
        <v>2576</v>
      </c>
      <c r="F1825" s="19">
        <v>525000</v>
      </c>
      <c r="G1825">
        <v>1927</v>
      </c>
      <c r="H1825">
        <v>2020</v>
      </c>
      <c r="I1825">
        <v>4792</v>
      </c>
      <c r="J1825">
        <v>3</v>
      </c>
      <c r="K1825">
        <v>2</v>
      </c>
      <c r="M1825" s="2" t="str">
        <f>HYPERLINK("http://maps.live.com/default.aspx?v=2&amp;lvl=15&amp;sp=Point.47.675368_-122.360369_6238 3rd Ave NW&amp;cp=47.675368~-122.360369","Map")</f>
        <v>Map</v>
      </c>
      <c r="N1825" s="2" t="str">
        <f>HYPERLINK("http://i-0.rfimg.us/photo/1/bigphoto/152/28032152_2.jpg","Photo")</f>
        <v>Photo</v>
      </c>
      <c r="AG1825">
        <v>47.675367999999999</v>
      </c>
      <c r="AH1825">
        <v>-122.36036900000001</v>
      </c>
      <c r="AI1825" t="s">
        <v>66</v>
      </c>
      <c r="AJ1825">
        <v>98107</v>
      </c>
      <c r="AN1825">
        <v>129950</v>
      </c>
      <c r="BC1825" s="22">
        <v>39502.358414351853</v>
      </c>
      <c r="BI1825" s="22">
        <v>39549.294907407406</v>
      </c>
      <c r="BL1825">
        <v>10799</v>
      </c>
      <c r="BM1825">
        <v>1505001</v>
      </c>
      <c r="BN1825" t="s">
        <v>1674</v>
      </c>
      <c r="BO1825" s="17">
        <f t="shared" ca="1" si="28"/>
        <v>46.950991666664777</v>
      </c>
      <c r="BP1825" t="b">
        <v>0</v>
      </c>
      <c r="BQ1825">
        <v>1</v>
      </c>
      <c r="BR1825" t="s">
        <v>1667</v>
      </c>
      <c r="BS1825" t="s">
        <v>1796</v>
      </c>
      <c r="BT1825" t="b">
        <v>0</v>
      </c>
      <c r="BV1825" t="s">
        <v>1668</v>
      </c>
      <c r="BW1825">
        <v>6238</v>
      </c>
      <c r="BX1825" t="s">
        <v>1669</v>
      </c>
      <c r="BY1825">
        <v>299764</v>
      </c>
      <c r="BZ1825" t="s">
        <v>2577</v>
      </c>
      <c r="CA1825">
        <v>1</v>
      </c>
      <c r="CB1825" t="b">
        <v>1</v>
      </c>
      <c r="CC1825">
        <v>0</v>
      </c>
      <c r="CD1825" t="b">
        <v>0</v>
      </c>
      <c r="CE1825" t="b">
        <v>0</v>
      </c>
      <c r="CF1825" t="b">
        <v>0</v>
      </c>
      <c r="CG1825">
        <v>2703475</v>
      </c>
      <c r="CH1825" t="s">
        <v>1681</v>
      </c>
      <c r="CI1825" s="10">
        <v>539950</v>
      </c>
      <c r="CJ1825" s="7">
        <v>33557</v>
      </c>
    </row>
    <row r="1826" spans="1:88">
      <c r="A1826">
        <v>28032208</v>
      </c>
      <c r="B1826" s="2" t="str">
        <f>HYPERLINK("http://www.redfin.com/stingray/do/printable-listing?listing-id=1504051","Active")</f>
        <v>Active</v>
      </c>
      <c r="D1826" t="s">
        <v>63</v>
      </c>
      <c r="E1826" t="s">
        <v>2328</v>
      </c>
      <c r="F1826">
        <v>193000</v>
      </c>
      <c r="G1826">
        <v>1928</v>
      </c>
      <c r="H1826">
        <v>0</v>
      </c>
      <c r="I1826">
        <v>0</v>
      </c>
      <c r="J1826">
        <v>1</v>
      </c>
      <c r="K1826">
        <v>1</v>
      </c>
      <c r="M1826" s="2" t="str">
        <f>HYPERLINK("http://maps.live.com/default.aspx?v=2&amp;lvl=15&amp;sp=Point.47.683981_-122.387395_7526 24th Ave NW n2&amp;cp=47.683981~-122.387395","Map")</f>
        <v>Map</v>
      </c>
      <c r="N1826" s="2" t="str">
        <f>HYPERLINK("http://i-0.rfimg.us/photo/1/bigphoto/208/28032208_1.jpg","Photo")</f>
        <v>Photo</v>
      </c>
      <c r="AG1826">
        <v>47.683981000000003</v>
      </c>
      <c r="AH1826">
        <v>-122.387395</v>
      </c>
      <c r="AI1826" t="s">
        <v>66</v>
      </c>
      <c r="AJ1826">
        <v>98117</v>
      </c>
      <c r="AM1826" t="s">
        <v>2329</v>
      </c>
      <c r="BC1826" s="22">
        <v>39501.57775462963</v>
      </c>
      <c r="BI1826" s="22">
        <v>39549.294907407406</v>
      </c>
      <c r="BL1826">
        <v>2790</v>
      </c>
      <c r="BM1826">
        <v>1504051</v>
      </c>
      <c r="BN1826" t="s">
        <v>1710</v>
      </c>
      <c r="BO1826" s="17">
        <f t="shared" ca="1" si="28"/>
        <v>47.7316512731486</v>
      </c>
      <c r="BP1826" t="b">
        <v>0</v>
      </c>
      <c r="BQ1826">
        <v>1</v>
      </c>
      <c r="BR1826" t="s">
        <v>1667</v>
      </c>
      <c r="BS1826" t="s">
        <v>1740</v>
      </c>
      <c r="BT1826" t="b">
        <v>0</v>
      </c>
      <c r="BV1826" t="s">
        <v>1668</v>
      </c>
      <c r="BW1826">
        <v>7526</v>
      </c>
      <c r="BX1826" t="s">
        <v>1669</v>
      </c>
      <c r="BY1826">
        <v>12266154</v>
      </c>
      <c r="BZ1826" s="21" t="s">
        <v>2133</v>
      </c>
      <c r="CA1826">
        <v>1</v>
      </c>
      <c r="CB1826" t="b">
        <v>1</v>
      </c>
      <c r="CC1826">
        <v>0</v>
      </c>
      <c r="CD1826" t="b">
        <v>0</v>
      </c>
      <c r="CE1826" t="b">
        <v>0</v>
      </c>
      <c r="CF1826" t="b">
        <v>0</v>
      </c>
      <c r="CG1826">
        <v>15621795</v>
      </c>
      <c r="CH1826" t="s">
        <v>1666</v>
      </c>
      <c r="CI1826" s="10">
        <v>193000</v>
      </c>
    </row>
    <row r="1827" spans="1:88">
      <c r="A1827">
        <v>28032231</v>
      </c>
      <c r="B1827" s="2" t="str">
        <f>HYPERLINK("http://www.redfin.com/stingray/do/printable-listing?listing-id=1504423","Active")</f>
        <v>Active</v>
      </c>
      <c r="D1827" t="s">
        <v>4611</v>
      </c>
      <c r="E1827" t="s">
        <v>5115</v>
      </c>
      <c r="F1827">
        <v>399000</v>
      </c>
      <c r="G1827">
        <v>1960</v>
      </c>
      <c r="H1827">
        <v>1200</v>
      </c>
      <c r="I1827">
        <v>7350</v>
      </c>
      <c r="J1827">
        <v>4</v>
      </c>
      <c r="K1827">
        <v>1</v>
      </c>
      <c r="M1827" s="2" t="str">
        <f>HYPERLINK("http://maps.live.com/default.aspx?v=2&amp;lvl=15&amp;sp=Point.47.624206_-122.111701_17115 NE 16th Pl&amp;cp=47.624206~-122.111701","Map")</f>
        <v>Map</v>
      </c>
      <c r="N1827" s="2" t="str">
        <f>HYPERLINK("http://i-0.rfimg.us/photo/1/bigphoto/231/28032231_0.jpg","Photo")</f>
        <v>Photo</v>
      </c>
      <c r="AG1827">
        <v>47.624206000000001</v>
      </c>
      <c r="AH1827">
        <v>-122.111701</v>
      </c>
      <c r="AI1827" t="s">
        <v>369</v>
      </c>
      <c r="AJ1827">
        <v>98008</v>
      </c>
      <c r="AN1827">
        <v>362500</v>
      </c>
      <c r="BC1827" s="22">
        <v>39501.827523148146</v>
      </c>
      <c r="BI1827" s="22">
        <v>39549.294907407406</v>
      </c>
      <c r="BL1827">
        <v>7980</v>
      </c>
      <c r="BM1827">
        <v>1504423</v>
      </c>
      <c r="BN1827" t="s">
        <v>5114</v>
      </c>
      <c r="BO1827" s="17">
        <f t="shared" ca="1" si="28"/>
        <v>47.481882754633261</v>
      </c>
      <c r="BP1827" t="b">
        <v>0</v>
      </c>
      <c r="BQ1827">
        <v>1</v>
      </c>
      <c r="BR1827" t="s">
        <v>1842</v>
      </c>
      <c r="BS1827" t="s">
        <v>1695</v>
      </c>
      <c r="BT1827" t="b">
        <v>0</v>
      </c>
      <c r="BU1827" t="s">
        <v>1738</v>
      </c>
      <c r="BV1827" t="s">
        <v>1668</v>
      </c>
      <c r="BW1827">
        <v>17115</v>
      </c>
      <c r="BY1827">
        <v>431883</v>
      </c>
      <c r="BZ1827" t="s">
        <v>1676</v>
      </c>
      <c r="CA1827">
        <v>1</v>
      </c>
      <c r="CB1827" t="b">
        <v>1</v>
      </c>
      <c r="CC1827">
        <v>0</v>
      </c>
      <c r="CD1827" t="b">
        <v>0</v>
      </c>
      <c r="CE1827" t="b">
        <v>0</v>
      </c>
      <c r="CF1827" t="b">
        <v>0</v>
      </c>
      <c r="CG1827">
        <v>2848808</v>
      </c>
      <c r="CH1827" t="s">
        <v>1681</v>
      </c>
      <c r="CI1827" s="10">
        <v>399000</v>
      </c>
      <c r="CJ1827" s="7">
        <v>38677</v>
      </c>
    </row>
    <row r="1828" spans="1:88">
      <c r="A1828">
        <v>28032270</v>
      </c>
      <c r="B1828" s="2" t="str">
        <f>HYPERLINK("http://www.redfin.com/stingray/do/printable-listing?listing-id=1508965","Active")</f>
        <v>Active</v>
      </c>
      <c r="D1828" t="s">
        <v>5281</v>
      </c>
      <c r="E1828" t="s">
        <v>5553</v>
      </c>
      <c r="F1828">
        <v>576950</v>
      </c>
      <c r="G1828">
        <v>2008</v>
      </c>
      <c r="H1828">
        <v>2029</v>
      </c>
      <c r="I1828">
        <v>0</v>
      </c>
      <c r="J1828">
        <v>3</v>
      </c>
      <c r="K1828">
        <v>2.5</v>
      </c>
      <c r="M1828" s="2" t="str">
        <f>HYPERLINK("http://maps.live.com/default.aspx?v=2&amp;lvl=15&amp;sp=adr.4537 185th St SE (Unable to map),98027","Map")</f>
        <v>Map</v>
      </c>
      <c r="N1828" s="2" t="str">
        <f>HYPERLINK("http://i-0.rfimg.us/photo/1/bigphoto/270/28032270_1.jpg","Photo")</f>
        <v>Photo</v>
      </c>
      <c r="AI1828" t="s">
        <v>5280</v>
      </c>
      <c r="AJ1828">
        <v>98027</v>
      </c>
      <c r="BC1828" s="22">
        <v>39504.369988425926</v>
      </c>
      <c r="BI1828" s="22">
        <v>39549.294907407406</v>
      </c>
      <c r="BL1828">
        <v>11539</v>
      </c>
      <c r="BM1828">
        <v>1508965</v>
      </c>
      <c r="BN1828" t="s">
        <v>1674</v>
      </c>
      <c r="BO1828" s="17">
        <f t="shared" ca="1" si="28"/>
        <v>44.939417476853123</v>
      </c>
      <c r="BP1828" t="b">
        <v>0</v>
      </c>
      <c r="BQ1828">
        <v>1</v>
      </c>
      <c r="BR1828" t="s">
        <v>1686</v>
      </c>
      <c r="BS1828" t="s">
        <v>5479</v>
      </c>
      <c r="BT1828" t="b">
        <v>0</v>
      </c>
      <c r="BV1828" t="s">
        <v>1668</v>
      </c>
      <c r="BW1828">
        <v>4537</v>
      </c>
      <c r="BX1828" t="s">
        <v>3856</v>
      </c>
      <c r="BY1828">
        <v>0</v>
      </c>
      <c r="BZ1828" t="s">
        <v>1704</v>
      </c>
      <c r="CA1828">
        <v>1</v>
      </c>
      <c r="CB1828" t="b">
        <v>1</v>
      </c>
      <c r="CC1828">
        <v>0</v>
      </c>
      <c r="CD1828" t="b">
        <v>0</v>
      </c>
      <c r="CE1828" t="b">
        <v>0</v>
      </c>
      <c r="CF1828" t="b">
        <v>0</v>
      </c>
      <c r="CG1828" t="s">
        <v>1870</v>
      </c>
      <c r="CH1828" t="s">
        <v>1681</v>
      </c>
      <c r="CI1828" s="10">
        <v>576950</v>
      </c>
    </row>
    <row r="1829" spans="1:88">
      <c r="A1829">
        <v>28032274</v>
      </c>
      <c r="B1829" s="2" t="str">
        <f>HYPERLINK("http://www.redfin.com/stingray/do/printable-listing?listing-id=1508964","Active")</f>
        <v>Active</v>
      </c>
      <c r="D1829" t="s">
        <v>5281</v>
      </c>
      <c r="E1829" t="s">
        <v>5572</v>
      </c>
      <c r="F1829">
        <v>579950</v>
      </c>
      <c r="G1829">
        <v>2008</v>
      </c>
      <c r="H1829">
        <v>1936</v>
      </c>
      <c r="I1829">
        <v>0</v>
      </c>
      <c r="J1829">
        <v>3</v>
      </c>
      <c r="K1829">
        <v>2.5</v>
      </c>
      <c r="M1829" s="2" t="str">
        <f>HYPERLINK("http://maps.live.com/default.aspx?v=2&amp;lvl=15&amp;sp=adr.4540 185th St SE (Unable to map),98027","Map")</f>
        <v>Map</v>
      </c>
      <c r="N1829" s="2" t="str">
        <f>HYPERLINK("http://i-0.rfimg.us/photo/1/bigphoto/274/28032274_2.jpg","Photo")</f>
        <v>Photo</v>
      </c>
      <c r="AI1829" t="s">
        <v>5280</v>
      </c>
      <c r="AJ1829">
        <v>98027</v>
      </c>
      <c r="BC1829" s="22">
        <v>39504.369988425926</v>
      </c>
      <c r="BI1829" s="22">
        <v>39549.294907407406</v>
      </c>
      <c r="BL1829">
        <v>11599</v>
      </c>
      <c r="BM1829">
        <v>1508964</v>
      </c>
      <c r="BN1829" t="s">
        <v>1674</v>
      </c>
      <c r="BO1829" s="17">
        <f t="shared" ca="1" si="28"/>
        <v>44.939417476853123</v>
      </c>
      <c r="BP1829" t="b">
        <v>0</v>
      </c>
      <c r="BQ1829">
        <v>1</v>
      </c>
      <c r="BR1829" t="s">
        <v>1686</v>
      </c>
      <c r="BS1829" t="s">
        <v>5479</v>
      </c>
      <c r="BT1829" t="b">
        <v>0</v>
      </c>
      <c r="BV1829" t="s">
        <v>1668</v>
      </c>
      <c r="BW1829">
        <v>4540</v>
      </c>
      <c r="BX1829" t="s">
        <v>3856</v>
      </c>
      <c r="BY1829">
        <v>0</v>
      </c>
      <c r="BZ1829" t="s">
        <v>5573</v>
      </c>
      <c r="CA1829">
        <v>1</v>
      </c>
      <c r="CB1829" t="b">
        <v>1</v>
      </c>
      <c r="CC1829">
        <v>0</v>
      </c>
      <c r="CD1829" t="b">
        <v>0</v>
      </c>
      <c r="CE1829" t="b">
        <v>0</v>
      </c>
      <c r="CF1829" t="b">
        <v>0</v>
      </c>
      <c r="CG1829" t="s">
        <v>1870</v>
      </c>
      <c r="CH1829" t="s">
        <v>1681</v>
      </c>
      <c r="CI1829" s="10">
        <v>579950</v>
      </c>
    </row>
    <row r="1830" spans="1:88">
      <c r="A1830">
        <v>28032319</v>
      </c>
      <c r="B1830" s="2" t="str">
        <f>HYPERLINK("http://www.redfin.com/stingray/do/printable-listing?listing-id=1504415","Active")</f>
        <v>Active</v>
      </c>
      <c r="D1830" t="s">
        <v>218</v>
      </c>
      <c r="E1830" t="s">
        <v>3234</v>
      </c>
      <c r="F1830" s="19">
        <v>648500</v>
      </c>
      <c r="G1830">
        <v>1980</v>
      </c>
      <c r="H1830">
        <v>1800</v>
      </c>
      <c r="I1830">
        <v>5120</v>
      </c>
      <c r="J1830">
        <v>3</v>
      </c>
      <c r="K1830">
        <v>1.75</v>
      </c>
      <c r="M1830" s="2" t="str">
        <f>HYPERLINK("http://maps.live.com/default.aspx?v=2&amp;lvl=15&amp;sp=Point.47.679687_-122.305639_7003 21st Ave NE&amp;cp=47.679687~-122.305639","Map")</f>
        <v>Map</v>
      </c>
      <c r="N1830" s="2" t="str">
        <f>HYPERLINK("http://i-0.rfimg.us/photo/1/bigphoto/319/28032319_1.jpg","Photo")</f>
        <v>Photo</v>
      </c>
      <c r="AG1830">
        <v>47.679687000000001</v>
      </c>
      <c r="AH1830">
        <v>-122.305639</v>
      </c>
      <c r="AI1830" t="s">
        <v>66</v>
      </c>
      <c r="AJ1830">
        <v>98115</v>
      </c>
      <c r="BC1830" s="22">
        <v>39501.817511574074</v>
      </c>
      <c r="BI1830" s="22">
        <v>39549.294907407406</v>
      </c>
      <c r="BL1830">
        <v>13970</v>
      </c>
      <c r="BM1830">
        <v>1504415</v>
      </c>
      <c r="BN1830" t="s">
        <v>1680</v>
      </c>
      <c r="BO1830" s="17">
        <f t="shared" ca="1" si="28"/>
        <v>47.491894328704802</v>
      </c>
      <c r="BP1830" t="b">
        <v>0</v>
      </c>
      <c r="BQ1830">
        <v>1</v>
      </c>
      <c r="BR1830" t="s">
        <v>1667</v>
      </c>
      <c r="BS1830" t="s">
        <v>1903</v>
      </c>
      <c r="BT1830" t="b">
        <v>0</v>
      </c>
      <c r="BV1830" t="s">
        <v>1668</v>
      </c>
      <c r="BW1830">
        <v>7003</v>
      </c>
      <c r="BX1830" t="s">
        <v>1738</v>
      </c>
      <c r="BY1830">
        <v>309587</v>
      </c>
      <c r="BZ1830" t="s">
        <v>3235</v>
      </c>
      <c r="CA1830">
        <v>1</v>
      </c>
      <c r="CB1830" t="b">
        <v>1</v>
      </c>
      <c r="CC1830">
        <v>0</v>
      </c>
      <c r="CD1830" t="b">
        <v>0</v>
      </c>
      <c r="CE1830" t="b">
        <v>0</v>
      </c>
      <c r="CF1830" t="b">
        <v>0</v>
      </c>
      <c r="CG1830">
        <v>2546625</v>
      </c>
      <c r="CH1830" t="s">
        <v>1681</v>
      </c>
      <c r="CI1830" s="10">
        <v>698500</v>
      </c>
    </row>
    <row r="1831" spans="1:88">
      <c r="A1831">
        <v>28032321</v>
      </c>
      <c r="B1831" s="2" t="str">
        <f>HYPERLINK("http://www.redfin.com/stingray/do/printable-listing?listing-id=1504416","Active")</f>
        <v>Active</v>
      </c>
      <c r="D1831" t="s">
        <v>4777</v>
      </c>
      <c r="E1831" t="s">
        <v>4963</v>
      </c>
      <c r="F1831">
        <v>455000</v>
      </c>
      <c r="G1831">
        <v>1942</v>
      </c>
      <c r="H1831">
        <v>720</v>
      </c>
      <c r="I1831">
        <v>4421</v>
      </c>
      <c r="J1831">
        <v>2</v>
      </c>
      <c r="K1831">
        <v>1</v>
      </c>
      <c r="M1831" s="2" t="str">
        <f>HYPERLINK("http://maps.live.com/default.aspx?v=2&amp;lvl=15&amp;sp=Point.47.666499_-122.202615_10232 NE 68th Pl&amp;cp=47.666499~-122.202615","Map")</f>
        <v>Map</v>
      </c>
      <c r="N1831" s="2" t="str">
        <f>HYPERLINK("http://i-0.rfimg.us/photo/1/bigphoto/321/28032321_1.jpg","Photo")</f>
        <v>Photo</v>
      </c>
      <c r="AG1831">
        <v>47.666499000000002</v>
      </c>
      <c r="AH1831">
        <v>-122.20261499999999</v>
      </c>
      <c r="AI1831" t="s">
        <v>1058</v>
      </c>
      <c r="AJ1831">
        <v>98033</v>
      </c>
      <c r="AN1831">
        <v>250000</v>
      </c>
      <c r="BC1831" s="22">
        <v>39501.81753472222</v>
      </c>
      <c r="BI1831" s="22">
        <v>39549.294907407406</v>
      </c>
      <c r="BL1831">
        <v>9100</v>
      </c>
      <c r="BM1831">
        <v>1504416</v>
      </c>
      <c r="BN1831" t="s">
        <v>3034</v>
      </c>
      <c r="BO1831" s="17">
        <f t="shared" ca="1" si="28"/>
        <v>47.491871180558519</v>
      </c>
      <c r="BP1831" t="b">
        <v>0</v>
      </c>
      <c r="BQ1831">
        <v>1</v>
      </c>
      <c r="BR1831" t="s">
        <v>1842</v>
      </c>
      <c r="BS1831" t="s">
        <v>1863</v>
      </c>
      <c r="BT1831" t="b">
        <v>0</v>
      </c>
      <c r="BU1831" t="s">
        <v>1738</v>
      </c>
      <c r="BV1831" t="s">
        <v>1668</v>
      </c>
      <c r="BW1831">
        <v>10232</v>
      </c>
      <c r="BY1831">
        <v>460125</v>
      </c>
      <c r="BZ1831" t="s">
        <v>3229</v>
      </c>
      <c r="CA1831">
        <v>1</v>
      </c>
      <c r="CB1831" t="b">
        <v>1</v>
      </c>
      <c r="CC1831">
        <v>0</v>
      </c>
      <c r="CD1831" t="b">
        <v>0</v>
      </c>
      <c r="CE1831" t="b">
        <v>0</v>
      </c>
      <c r="CF1831" t="b">
        <v>0</v>
      </c>
      <c r="CG1831">
        <v>2944149</v>
      </c>
      <c r="CH1831" t="s">
        <v>1681</v>
      </c>
      <c r="CI1831" s="10">
        <v>455000</v>
      </c>
      <c r="CJ1831" s="7">
        <v>37825</v>
      </c>
    </row>
    <row r="1832" spans="1:88">
      <c r="A1832">
        <v>28032355</v>
      </c>
      <c r="B1832" s="2" t="str">
        <f>HYPERLINK("http://www.redfin.com/stingray/do/printable-listing?listing-id=1504939","Active")</f>
        <v>Active</v>
      </c>
      <c r="D1832" t="s">
        <v>4004</v>
      </c>
      <c r="E1832" t="s">
        <v>4002</v>
      </c>
      <c r="F1832">
        <v>5495000</v>
      </c>
      <c r="G1832">
        <v>1918</v>
      </c>
      <c r="H1832">
        <v>6288</v>
      </c>
      <c r="I1832">
        <v>17730</v>
      </c>
      <c r="J1832">
        <v>6</v>
      </c>
      <c r="K1832">
        <v>4.5</v>
      </c>
      <c r="M1832" s="2" t="str">
        <f>HYPERLINK("http://maps.live.com/default.aspx?v=2&amp;lvl=15&amp;sp=Point.47.621168_-122.283643_280 Maiden Ln E&amp;cp=47.621168~-122.283643","Map")</f>
        <v>Map</v>
      </c>
      <c r="N1832" s="2" t="str">
        <f>HYPERLINK("http://i-0.rfimg.us/photo/1/bigphoto/355/28032355_1.jpg","Photo")</f>
        <v>Photo</v>
      </c>
      <c r="AG1832">
        <v>47.621167999999997</v>
      </c>
      <c r="AH1832">
        <v>-122.283643</v>
      </c>
      <c r="AI1832" t="s">
        <v>66</v>
      </c>
      <c r="AJ1832">
        <v>98112</v>
      </c>
      <c r="AN1832">
        <v>1585000</v>
      </c>
      <c r="BC1832" s="22">
        <v>39502.087812500002</v>
      </c>
      <c r="BI1832" s="7">
        <v>39543</v>
      </c>
      <c r="BL1832">
        <v>109900</v>
      </c>
      <c r="BM1832">
        <v>1504939</v>
      </c>
      <c r="BN1832" t="s">
        <v>1710</v>
      </c>
      <c r="BO1832" s="17">
        <f t="shared" ca="1" si="28"/>
        <v>47.221593402777216</v>
      </c>
      <c r="BP1832" t="b">
        <v>0</v>
      </c>
      <c r="BQ1832">
        <v>1</v>
      </c>
      <c r="BR1832" t="s">
        <v>2963</v>
      </c>
      <c r="BS1832" t="s">
        <v>4003</v>
      </c>
      <c r="BT1832" t="b">
        <v>0</v>
      </c>
      <c r="BV1832" t="s">
        <v>1668</v>
      </c>
      <c r="BW1832">
        <v>280</v>
      </c>
      <c r="BX1832" t="s">
        <v>2436</v>
      </c>
      <c r="BY1832">
        <v>139048</v>
      </c>
      <c r="BZ1832" t="s">
        <v>1679</v>
      </c>
      <c r="CA1832">
        <v>1</v>
      </c>
      <c r="CB1832" t="b">
        <v>1</v>
      </c>
      <c r="CC1832">
        <v>0</v>
      </c>
      <c r="CD1832" t="b">
        <v>0</v>
      </c>
      <c r="CE1832" t="b">
        <v>0</v>
      </c>
      <c r="CF1832" t="b">
        <v>0</v>
      </c>
      <c r="CG1832">
        <v>2513710</v>
      </c>
      <c r="CH1832" t="s">
        <v>1681</v>
      </c>
      <c r="CI1832" s="10">
        <v>5495000</v>
      </c>
      <c r="CJ1832" s="7">
        <v>35604</v>
      </c>
    </row>
    <row r="1833" spans="1:88">
      <c r="A1833">
        <v>28032390</v>
      </c>
      <c r="B1833" s="2" t="str">
        <f>HYPERLINK("http://www.redfin.com/stingray/do/printable-listing?listing-id=1511764","Active")</f>
        <v>Active</v>
      </c>
      <c r="D1833" t="s">
        <v>3966</v>
      </c>
      <c r="E1833" t="s">
        <v>4290</v>
      </c>
      <c r="F1833">
        <v>769000</v>
      </c>
      <c r="G1833">
        <v>2005</v>
      </c>
      <c r="H1833">
        <v>2090</v>
      </c>
      <c r="I1833">
        <v>1718</v>
      </c>
      <c r="J1833">
        <v>3</v>
      </c>
      <c r="K1833">
        <v>2.5</v>
      </c>
      <c r="M1833" s="2" t="str">
        <f>HYPERLINK("http://maps.live.com/default.aspx?v=2&amp;lvl=15&amp;sp=Point.47.611544_-122.289112_3401 E Spring&amp;cp=47.611544~-122.289112","Map")</f>
        <v>Map</v>
      </c>
      <c r="N1833" s="2" t="str">
        <f>HYPERLINK("http://i-0.rfimg.us/photo/1/bigphoto/390/28032390_4.jpg","Photo")</f>
        <v>Photo</v>
      </c>
      <c r="AG1833">
        <v>47.611544000000002</v>
      </c>
      <c r="AH1833">
        <v>-122.289112</v>
      </c>
      <c r="AI1833" t="s">
        <v>66</v>
      </c>
      <c r="AJ1833">
        <v>98122</v>
      </c>
      <c r="BC1833" s="22">
        <v>39505.317129629628</v>
      </c>
      <c r="BI1833" s="22">
        <v>39549.294907407406</v>
      </c>
      <c r="BL1833">
        <v>15380</v>
      </c>
      <c r="BM1833">
        <v>1511764</v>
      </c>
      <c r="BN1833" t="s">
        <v>1674</v>
      </c>
      <c r="BO1833" s="17">
        <f t="shared" ca="1" si="28"/>
        <v>43.992276273151219</v>
      </c>
      <c r="BP1833" t="b">
        <v>0</v>
      </c>
      <c r="BQ1833">
        <v>1</v>
      </c>
      <c r="BS1833" t="s">
        <v>4178</v>
      </c>
      <c r="BT1833" t="b">
        <v>0</v>
      </c>
      <c r="BU1833" t="s">
        <v>2436</v>
      </c>
      <c r="BV1833" t="s">
        <v>1668</v>
      </c>
      <c r="BW1833">
        <v>3401</v>
      </c>
      <c r="BY1833">
        <v>12419676</v>
      </c>
      <c r="BZ1833" t="s">
        <v>4291</v>
      </c>
      <c r="CA1833">
        <v>1</v>
      </c>
      <c r="CB1833" t="b">
        <v>1</v>
      </c>
      <c r="CC1833">
        <v>0</v>
      </c>
      <c r="CD1833" t="b">
        <v>0</v>
      </c>
      <c r="CE1833" t="b">
        <v>0</v>
      </c>
      <c r="CF1833" t="b">
        <v>0</v>
      </c>
      <c r="CG1833">
        <v>15623424</v>
      </c>
      <c r="CH1833" t="s">
        <v>1681</v>
      </c>
      <c r="CI1833" s="10">
        <v>769000</v>
      </c>
    </row>
    <row r="1834" spans="1:88">
      <c r="A1834">
        <v>28032404</v>
      </c>
      <c r="B1834" s="2" t="str">
        <f>HYPERLINK("http://www.redfin.com/stingray/do/printable-listing?listing-id=1511734","Active")</f>
        <v>Active</v>
      </c>
      <c r="D1834" t="s">
        <v>218</v>
      </c>
      <c r="E1834" t="s">
        <v>3168</v>
      </c>
      <c r="F1834">
        <v>550000</v>
      </c>
      <c r="G1834">
        <v>2005</v>
      </c>
      <c r="H1834">
        <v>1880</v>
      </c>
      <c r="I1834">
        <v>1644</v>
      </c>
      <c r="J1834">
        <v>3</v>
      </c>
      <c r="K1834">
        <v>2.5</v>
      </c>
      <c r="M1834" s="2" t="str">
        <f>HYPERLINK("http://maps.live.com/default.aspx?v=2&amp;lvl=15&amp;sp=Point.47.677045_-122.300803_6517 25th Ave NE&amp;cp=47.677045~-122.300803","Map")</f>
        <v>Map</v>
      </c>
      <c r="N1834" s="2" t="str">
        <f>HYPERLINK("http://i-0.rfimg.us/photo/1/bigphoto/404/28032404_1.jpg","Photo")</f>
        <v>Photo</v>
      </c>
      <c r="AG1834">
        <v>47.677045</v>
      </c>
      <c r="AH1834">
        <v>-122.300803</v>
      </c>
      <c r="AI1834" t="s">
        <v>66</v>
      </c>
      <c r="AJ1834">
        <v>98115</v>
      </c>
      <c r="BC1834" s="22">
        <v>39505.292233796295</v>
      </c>
      <c r="BI1834" s="22">
        <v>39549.294907407406</v>
      </c>
      <c r="BL1834">
        <v>11000</v>
      </c>
      <c r="BM1834">
        <v>1511734</v>
      </c>
      <c r="BN1834" t="s">
        <v>1725</v>
      </c>
      <c r="BO1834" s="17">
        <f t="shared" ca="1" si="28"/>
        <v>44.017172106483486</v>
      </c>
      <c r="BP1834" t="b">
        <v>0</v>
      </c>
      <c r="BQ1834">
        <v>1</v>
      </c>
      <c r="BR1834" t="s">
        <v>1667</v>
      </c>
      <c r="BS1834" t="s">
        <v>1819</v>
      </c>
      <c r="BT1834" t="b">
        <v>0</v>
      </c>
      <c r="BV1834" t="s">
        <v>1668</v>
      </c>
      <c r="BW1834">
        <v>6517</v>
      </c>
      <c r="BX1834" t="s">
        <v>1738</v>
      </c>
      <c r="BY1834">
        <v>12419674</v>
      </c>
      <c r="BZ1834" t="s">
        <v>1709</v>
      </c>
      <c r="CA1834">
        <v>1</v>
      </c>
      <c r="CB1834" t="b">
        <v>1</v>
      </c>
      <c r="CC1834">
        <v>0</v>
      </c>
      <c r="CD1834" t="b">
        <v>0</v>
      </c>
      <c r="CE1834" t="b">
        <v>0</v>
      </c>
      <c r="CF1834" t="b">
        <v>0</v>
      </c>
      <c r="CG1834">
        <v>15623422</v>
      </c>
      <c r="CH1834" t="s">
        <v>1681</v>
      </c>
      <c r="CI1834" s="10">
        <v>550000</v>
      </c>
    </row>
    <row r="1835" spans="1:88">
      <c r="A1835">
        <v>28032421</v>
      </c>
      <c r="B1835" s="2" t="str">
        <f>HYPERLINK("http://www.redfin.com/stingray/do/printable-listing?listing-id=1508086","Active")</f>
        <v>Active</v>
      </c>
      <c r="D1835" t="s">
        <v>192</v>
      </c>
      <c r="E1835" t="s">
        <v>1530</v>
      </c>
      <c r="F1835">
        <v>450000</v>
      </c>
      <c r="G1835">
        <v>1957</v>
      </c>
      <c r="H1835">
        <v>1610</v>
      </c>
      <c r="I1835">
        <v>2550</v>
      </c>
      <c r="J1835">
        <v>3</v>
      </c>
      <c r="K1835">
        <v>1.75</v>
      </c>
      <c r="M1835" s="2" t="str">
        <f>HYPERLINK("http://maps.live.com/default.aspx?v=2&amp;lvl=15&amp;sp=Point.47.690229_-122.320097_801 NE 85 St&amp;cp=47.690229~-122.320097","Map")</f>
        <v>Map</v>
      </c>
      <c r="N1835" s="2" t="str">
        <f>HYPERLINK("http://i-0.rfimg.us/photo/1/bigphoto/421/28032421_1.jpg","Photo")</f>
        <v>Photo</v>
      </c>
      <c r="AG1835">
        <v>47.690229000000002</v>
      </c>
      <c r="AH1835">
        <v>-122.320097</v>
      </c>
      <c r="AI1835" t="s">
        <v>66</v>
      </c>
      <c r="AJ1835">
        <v>98115</v>
      </c>
      <c r="BC1835" s="22">
        <v>39503.911527777775</v>
      </c>
      <c r="BI1835" s="22">
        <v>39549.294907407406</v>
      </c>
      <c r="BL1835">
        <v>9000</v>
      </c>
      <c r="BM1835">
        <v>1508086</v>
      </c>
      <c r="BN1835" t="s">
        <v>1674</v>
      </c>
      <c r="BO1835" s="17">
        <f t="shared" ca="1" si="28"/>
        <v>45.397878125004354</v>
      </c>
      <c r="BP1835" t="b">
        <v>0</v>
      </c>
      <c r="BQ1835">
        <v>1</v>
      </c>
      <c r="BR1835" t="s">
        <v>1686</v>
      </c>
      <c r="BS1835">
        <v>85</v>
      </c>
      <c r="BT1835" t="b">
        <v>0</v>
      </c>
      <c r="BU1835" t="s">
        <v>1738</v>
      </c>
      <c r="BV1835" t="s">
        <v>1668</v>
      </c>
      <c r="BW1835">
        <v>801</v>
      </c>
      <c r="BY1835">
        <v>108203</v>
      </c>
      <c r="BZ1835" t="s">
        <v>1679</v>
      </c>
      <c r="CA1835">
        <v>1</v>
      </c>
      <c r="CB1835" t="b">
        <v>1</v>
      </c>
      <c r="CC1835">
        <v>0</v>
      </c>
      <c r="CD1835" t="b">
        <v>0</v>
      </c>
      <c r="CE1835" t="b">
        <v>0</v>
      </c>
      <c r="CF1835" t="b">
        <v>0</v>
      </c>
      <c r="CG1835">
        <v>2720832</v>
      </c>
      <c r="CH1835" t="s">
        <v>1681</v>
      </c>
      <c r="CI1835" s="10">
        <v>450000</v>
      </c>
    </row>
    <row r="1836" spans="1:88">
      <c r="A1836">
        <v>28032465</v>
      </c>
      <c r="B1836" s="2" t="str">
        <f>HYPERLINK("http://www.redfin.com/stingray/do/printable-listing?listing-id=1511795","Subject To Inspection")</f>
        <v>Subject To Inspection</v>
      </c>
      <c r="D1836" t="s">
        <v>1058</v>
      </c>
      <c r="E1836" t="s">
        <v>4397</v>
      </c>
      <c r="F1836">
        <v>459000</v>
      </c>
      <c r="G1836">
        <v>1954</v>
      </c>
      <c r="H1836">
        <v>1320</v>
      </c>
      <c r="I1836">
        <v>14250</v>
      </c>
      <c r="J1836">
        <v>3</v>
      </c>
      <c r="K1836">
        <v>1.5</v>
      </c>
      <c r="M1836" s="2" t="str">
        <f>HYPERLINK("http://maps.live.com/default.aspx?v=2&amp;lvl=15&amp;sp=Point.47.701611_-122.198571_11240 106 Ave NE&amp;cp=47.701611~-122.198571","Map")</f>
        <v>Map</v>
      </c>
      <c r="N1836" s="2" t="str">
        <f>HYPERLINK("http://i-0.rfimg.us/photo/1/bigphoto/465/28032465_7.jpg","Photo")</f>
        <v>Photo</v>
      </c>
      <c r="AG1836">
        <v>47.701611</v>
      </c>
      <c r="AH1836">
        <v>-122.198571</v>
      </c>
      <c r="AI1836" t="s">
        <v>1058</v>
      </c>
      <c r="AJ1836">
        <v>98033</v>
      </c>
      <c r="AN1836">
        <v>167500</v>
      </c>
      <c r="BC1836" s="22">
        <v>39505.337962962964</v>
      </c>
      <c r="BI1836" s="22">
        <v>39545.917314814818</v>
      </c>
      <c r="BL1836">
        <v>9180</v>
      </c>
      <c r="BM1836">
        <v>1511795</v>
      </c>
      <c r="BN1836" t="s">
        <v>1798</v>
      </c>
      <c r="BO1836" s="17">
        <f t="shared" ca="1" si="28"/>
        <v>43.971442939815461</v>
      </c>
      <c r="BP1836" t="b">
        <v>0</v>
      </c>
      <c r="BQ1836">
        <v>2</v>
      </c>
      <c r="BR1836" t="s">
        <v>1667</v>
      </c>
      <c r="BS1836">
        <v>106</v>
      </c>
      <c r="BT1836" t="b">
        <v>0</v>
      </c>
      <c r="BV1836" t="s">
        <v>1668</v>
      </c>
      <c r="BW1836">
        <v>11240</v>
      </c>
      <c r="BX1836" t="s">
        <v>1738</v>
      </c>
      <c r="BY1836">
        <v>463405</v>
      </c>
      <c r="BZ1836" t="s">
        <v>4398</v>
      </c>
      <c r="CA1836">
        <v>1</v>
      </c>
      <c r="CB1836" t="b">
        <v>1</v>
      </c>
      <c r="CC1836">
        <v>0</v>
      </c>
      <c r="CD1836" t="b">
        <v>0</v>
      </c>
      <c r="CE1836" t="b">
        <v>0</v>
      </c>
      <c r="CF1836" t="b">
        <v>0</v>
      </c>
      <c r="CG1836">
        <v>2965049</v>
      </c>
      <c r="CH1836" t="s">
        <v>1681</v>
      </c>
      <c r="CI1836" s="10">
        <v>459000</v>
      </c>
      <c r="CJ1836" s="7">
        <v>35328</v>
      </c>
    </row>
    <row r="1837" spans="1:88">
      <c r="A1837">
        <v>28032471</v>
      </c>
      <c r="B1837" s="2" t="str">
        <f>HYPERLINK("http://www.redfin.com/stingray/do/printable-listing?listing-id=1506403","Active")</f>
        <v>Active</v>
      </c>
      <c r="D1837" t="s">
        <v>4611</v>
      </c>
      <c r="E1837" t="s">
        <v>5393</v>
      </c>
      <c r="F1837">
        <v>539800</v>
      </c>
      <c r="G1837">
        <v>1979</v>
      </c>
      <c r="H1837">
        <v>1830</v>
      </c>
      <c r="I1837">
        <v>16553</v>
      </c>
      <c r="J1837">
        <v>4</v>
      </c>
      <c r="K1837">
        <v>2.5</v>
      </c>
      <c r="M1837" s="2" t="str">
        <f>HYPERLINK("http://maps.live.com/default.aspx?v=2&amp;lvl=15&amp;sp=Point.47.618626_-122.143724_920 147th Ln NE&amp;cp=47.618626~-122.143724","Map")</f>
        <v>Map</v>
      </c>
      <c r="N1837" s="2" t="str">
        <f>HYPERLINK("http://i-0.rfimg.us/photo/1/bigphoto/471/28032471_2.jpg","Photo")</f>
        <v>Photo</v>
      </c>
      <c r="AG1837">
        <v>47.618625999999999</v>
      </c>
      <c r="AH1837">
        <v>-122.14372400000001</v>
      </c>
      <c r="AI1837" t="s">
        <v>369</v>
      </c>
      <c r="AJ1837">
        <v>98007</v>
      </c>
      <c r="BC1837" s="22">
        <v>39503.49523148148</v>
      </c>
      <c r="BI1837" s="22">
        <v>39549.294907407406</v>
      </c>
      <c r="BL1837">
        <v>10796</v>
      </c>
      <c r="BM1837">
        <v>1506403</v>
      </c>
      <c r="BN1837" t="s">
        <v>1674</v>
      </c>
      <c r="BO1837" s="17">
        <f t="shared" ca="1" si="28"/>
        <v>45.814174421298958</v>
      </c>
      <c r="BP1837" t="b">
        <v>0</v>
      </c>
      <c r="BQ1837">
        <v>1</v>
      </c>
      <c r="BR1837" t="s">
        <v>2963</v>
      </c>
      <c r="BS1837" t="s">
        <v>4610</v>
      </c>
      <c r="BT1837" t="b">
        <v>0</v>
      </c>
      <c r="BV1837" t="s">
        <v>1668</v>
      </c>
      <c r="BW1837">
        <v>920</v>
      </c>
      <c r="BX1837" t="s">
        <v>1738</v>
      </c>
      <c r="BY1837">
        <v>500937</v>
      </c>
      <c r="BZ1837" t="s">
        <v>5394</v>
      </c>
      <c r="CA1837">
        <v>1</v>
      </c>
      <c r="CB1837" t="b">
        <v>1</v>
      </c>
      <c r="CC1837">
        <v>0</v>
      </c>
      <c r="CD1837" t="b">
        <v>0</v>
      </c>
      <c r="CE1837" t="b">
        <v>0</v>
      </c>
      <c r="CF1837" t="b">
        <v>0</v>
      </c>
      <c r="CG1837">
        <v>2837324</v>
      </c>
      <c r="CH1837" t="s">
        <v>1681</v>
      </c>
      <c r="CI1837" s="10">
        <v>539800</v>
      </c>
    </row>
    <row r="1838" spans="1:88">
      <c r="A1838">
        <v>28032502</v>
      </c>
      <c r="B1838" s="2" t="str">
        <f>HYPERLINK("http://www.redfin.com/stingray/do/printable-listing?listing-id=1518947","Active")</f>
        <v>Active</v>
      </c>
      <c r="D1838" t="s">
        <v>1152</v>
      </c>
      <c r="E1838" t="s">
        <v>3214</v>
      </c>
      <c r="F1838" s="19">
        <v>589950</v>
      </c>
      <c r="G1838">
        <v>1950</v>
      </c>
      <c r="H1838">
        <v>2200</v>
      </c>
      <c r="I1838">
        <v>5330</v>
      </c>
      <c r="J1838">
        <v>3</v>
      </c>
      <c r="K1838">
        <v>2</v>
      </c>
      <c r="M1838" s="2" t="str">
        <f>HYPERLINK("http://maps.live.com/default.aspx?v=2&amp;lvl=15&amp;sp=Point.47.675602_-122.269963_5307 NE 65th St&amp;cp=47.675602~-122.269963","Map")</f>
        <v>Map</v>
      </c>
      <c r="N1838" s="2" t="str">
        <f>HYPERLINK("http://i-0.rfimg.us/photo/1/bigphoto/502/28032502_1.jpg","Photo")</f>
        <v>Photo</v>
      </c>
      <c r="AG1838">
        <v>47.675601999999998</v>
      </c>
      <c r="AH1838">
        <v>-122.269963</v>
      </c>
      <c r="AI1838" t="s">
        <v>66</v>
      </c>
      <c r="AJ1838">
        <v>98115</v>
      </c>
      <c r="AN1838">
        <v>450000</v>
      </c>
      <c r="BC1838" s="22">
        <v>39507.484699074077</v>
      </c>
      <c r="BI1838" s="22">
        <v>39549.294907407406</v>
      </c>
      <c r="BL1838">
        <v>12290</v>
      </c>
      <c r="BM1838">
        <v>1518947</v>
      </c>
      <c r="BN1838" t="s">
        <v>1700</v>
      </c>
      <c r="BO1838" s="17">
        <f t="shared" ca="1" si="28"/>
        <v>41.824706828701892</v>
      </c>
      <c r="BP1838" t="b">
        <v>0</v>
      </c>
      <c r="BQ1838">
        <v>1</v>
      </c>
      <c r="BR1838" t="s">
        <v>1686</v>
      </c>
      <c r="BS1838" t="s">
        <v>1708</v>
      </c>
      <c r="BT1838" t="b">
        <v>0</v>
      </c>
      <c r="BU1838" t="s">
        <v>1738</v>
      </c>
      <c r="BV1838" t="s">
        <v>1668</v>
      </c>
      <c r="BW1838">
        <v>5307</v>
      </c>
      <c r="BY1838">
        <v>320313</v>
      </c>
      <c r="BZ1838" t="s">
        <v>3215</v>
      </c>
      <c r="CA1838">
        <v>1</v>
      </c>
      <c r="CB1838" t="b">
        <v>1</v>
      </c>
      <c r="CC1838">
        <v>0</v>
      </c>
      <c r="CD1838" t="b">
        <v>0</v>
      </c>
      <c r="CE1838" t="b">
        <v>0</v>
      </c>
      <c r="CF1838" t="b">
        <v>0</v>
      </c>
      <c r="CG1838">
        <v>2400127</v>
      </c>
      <c r="CH1838" t="s">
        <v>1681</v>
      </c>
      <c r="CI1838" s="10">
        <v>614500</v>
      </c>
      <c r="CJ1838" s="7">
        <v>38653</v>
      </c>
    </row>
    <row r="1839" spans="1:88">
      <c r="A1839">
        <v>28032537</v>
      </c>
      <c r="B1839" s="15" t="str">
        <f>HYPERLINK("http://www.redfin.com/stingray/do/printable-listing?listing-id=1506163","Subject To Inspection")</f>
        <v>Subject To Inspection</v>
      </c>
      <c r="D1839" t="s">
        <v>6064</v>
      </c>
      <c r="E1839" t="s">
        <v>6173</v>
      </c>
      <c r="F1839" s="19">
        <v>487500</v>
      </c>
      <c r="G1839">
        <v>1989</v>
      </c>
      <c r="H1839">
        <v>2260</v>
      </c>
      <c r="I1839">
        <v>9566</v>
      </c>
      <c r="J1839">
        <v>4</v>
      </c>
      <c r="K1839">
        <v>2.5</v>
      </c>
      <c r="M1839" s="2" t="str">
        <f>HYPERLINK("http://maps.live.com/default.aspx?v=2&amp;lvl=15&amp;sp=Point.47.51223_-122.149842_5124 NE 23rd St&amp;cp=47.51223~-122.149842","Map")</f>
        <v>Map</v>
      </c>
      <c r="N1839" s="2" t="str">
        <f>HYPERLINK("http://i-0.rfimg.us/photo/1/bigphoto/537/28032537_2.jpg","Photo")</f>
        <v>Photo</v>
      </c>
      <c r="AG1839">
        <v>47.512230000000002</v>
      </c>
      <c r="AH1839">
        <v>-122.14984200000001</v>
      </c>
      <c r="AI1839" t="s">
        <v>1077</v>
      </c>
      <c r="AJ1839">
        <v>98059</v>
      </c>
      <c r="AN1839">
        <v>467950</v>
      </c>
      <c r="BC1839" s="22">
        <v>39503.421689814815</v>
      </c>
      <c r="BI1839" s="22">
        <v>39549.294907407406</v>
      </c>
      <c r="BL1839">
        <v>9950</v>
      </c>
      <c r="BM1839">
        <v>1506163</v>
      </c>
      <c r="BN1839" t="s">
        <v>2945</v>
      </c>
      <c r="BO1839" s="17">
        <f t="shared" ca="1" si="28"/>
        <v>45.887716087963781</v>
      </c>
      <c r="BP1839" t="b">
        <v>0</v>
      </c>
      <c r="BQ1839">
        <v>1</v>
      </c>
      <c r="BR1839" t="s">
        <v>1686</v>
      </c>
      <c r="BS1839" t="s">
        <v>1839</v>
      </c>
      <c r="BT1839" t="b">
        <v>0</v>
      </c>
      <c r="BU1839" t="s">
        <v>1738</v>
      </c>
      <c r="BV1839" t="s">
        <v>1668</v>
      </c>
      <c r="BW1839">
        <v>5124</v>
      </c>
      <c r="BY1839">
        <v>412411</v>
      </c>
      <c r="BZ1839" t="s">
        <v>3832</v>
      </c>
      <c r="CA1839">
        <v>1</v>
      </c>
      <c r="CB1839" t="b">
        <v>1</v>
      </c>
      <c r="CC1839">
        <v>0</v>
      </c>
      <c r="CD1839" t="b">
        <v>0</v>
      </c>
      <c r="CE1839" t="b">
        <v>0</v>
      </c>
      <c r="CF1839" t="b">
        <v>0</v>
      </c>
      <c r="CG1839">
        <v>2903950</v>
      </c>
      <c r="CH1839" t="s">
        <v>1681</v>
      </c>
      <c r="CI1839" s="10">
        <v>497500</v>
      </c>
      <c r="CJ1839" s="7">
        <v>38806</v>
      </c>
    </row>
    <row r="1840" spans="1:88">
      <c r="A1840">
        <v>28032560</v>
      </c>
      <c r="B1840" s="2" t="str">
        <f>HYPERLINK("http://www.redfin.com/stingray/do/printable-listing?listing-id=1505954","Active")</f>
        <v>Active</v>
      </c>
      <c r="D1840" t="s">
        <v>218</v>
      </c>
      <c r="E1840" t="s">
        <v>1499</v>
      </c>
      <c r="F1840">
        <v>499000</v>
      </c>
      <c r="G1840">
        <v>1913</v>
      </c>
      <c r="H1840">
        <v>1930</v>
      </c>
      <c r="I1840">
        <v>3348</v>
      </c>
      <c r="J1840">
        <v>3</v>
      </c>
      <c r="K1840">
        <v>1.5</v>
      </c>
      <c r="M1840" s="2" t="str">
        <f>HYPERLINK("http://maps.live.com/default.aspx?v=2&amp;lvl=15&amp;sp=Point.47.685307_-122.311365_7711 16th Ave NE&amp;cp=47.685307~-122.311365","Map")</f>
        <v>Map</v>
      </c>
      <c r="N1840" s="2" t="str">
        <f>HYPERLINK("http://i-0.rfimg.us/photo/1/bigphoto/560/28032560_0.jpg","Photo")</f>
        <v>Photo</v>
      </c>
      <c r="AG1840">
        <v>47.685307000000002</v>
      </c>
      <c r="AH1840">
        <v>-122.311365</v>
      </c>
      <c r="AI1840" t="s">
        <v>66</v>
      </c>
      <c r="AJ1840">
        <v>98115</v>
      </c>
      <c r="AN1840">
        <v>315000</v>
      </c>
      <c r="BC1840" s="22">
        <v>39503.337696759256</v>
      </c>
      <c r="BI1840" s="7">
        <v>39532</v>
      </c>
      <c r="BL1840">
        <v>9980</v>
      </c>
      <c r="BM1840">
        <v>1505954</v>
      </c>
      <c r="BN1840" t="s">
        <v>1766</v>
      </c>
      <c r="BO1840" s="17">
        <f t="shared" ca="1" si="28"/>
        <v>45.971709143523185</v>
      </c>
      <c r="BP1840" t="b">
        <v>0</v>
      </c>
      <c r="BQ1840">
        <v>1</v>
      </c>
      <c r="BR1840" t="s">
        <v>1667</v>
      </c>
      <c r="BS1840" t="s">
        <v>1695</v>
      </c>
      <c r="BT1840" t="b">
        <v>0</v>
      </c>
      <c r="BV1840" t="s">
        <v>1668</v>
      </c>
      <c r="BW1840">
        <v>7711</v>
      </c>
      <c r="BX1840" t="s">
        <v>1738</v>
      </c>
      <c r="BY1840">
        <v>309599</v>
      </c>
      <c r="BZ1840" t="s">
        <v>1672</v>
      </c>
      <c r="CA1840">
        <v>1</v>
      </c>
      <c r="CB1840" t="b">
        <v>1</v>
      </c>
      <c r="CC1840">
        <v>0</v>
      </c>
      <c r="CD1840" t="b">
        <v>0</v>
      </c>
      <c r="CE1840" t="b">
        <v>0</v>
      </c>
      <c r="CF1840" t="b">
        <v>0</v>
      </c>
      <c r="CG1840">
        <v>2374391</v>
      </c>
      <c r="CH1840" t="s">
        <v>1681</v>
      </c>
      <c r="CI1840" s="10">
        <v>499000</v>
      </c>
      <c r="CJ1840" s="7">
        <v>37575</v>
      </c>
    </row>
    <row r="1841" spans="1:90">
      <c r="A1841">
        <v>28032595</v>
      </c>
      <c r="B1841" s="2" t="str">
        <f>HYPERLINK("http://www.redfin.com/stingray/do/printable-listing?listing-id=1519973","Active")</f>
        <v>Active</v>
      </c>
      <c r="D1841" t="s">
        <v>3249</v>
      </c>
      <c r="E1841" t="s">
        <v>3603</v>
      </c>
      <c r="F1841">
        <v>600000</v>
      </c>
      <c r="G1841">
        <v>1907</v>
      </c>
      <c r="H1841">
        <v>2800</v>
      </c>
      <c r="I1841">
        <v>0</v>
      </c>
      <c r="J1841">
        <v>4</v>
      </c>
      <c r="K1841">
        <v>2</v>
      </c>
      <c r="M1841" s="2" t="str">
        <f>HYPERLINK("http://maps.live.com/default.aspx?v=2&amp;lvl=15&amp;sp=Point.47.638988_-122.370819_2141 10 Ave W&amp;cp=47.638988~-122.370819","Map")</f>
        <v>Map</v>
      </c>
      <c r="N1841" s="2" t="str">
        <f>HYPERLINK("http://i-0.rfimg.us/photo/1/bigphoto/595/28032595_0.jpg","Photo")</f>
        <v>Photo</v>
      </c>
      <c r="AG1841">
        <v>47.638987999999998</v>
      </c>
      <c r="AH1841">
        <v>-122.370819</v>
      </c>
      <c r="AI1841" t="s">
        <v>66</v>
      </c>
      <c r="AJ1841">
        <v>98119</v>
      </c>
      <c r="AN1841">
        <v>67000</v>
      </c>
      <c r="BC1841" s="22">
        <v>39507.657418981478</v>
      </c>
      <c r="BI1841" s="22">
        <v>39549.294907407406</v>
      </c>
      <c r="BL1841">
        <v>12000</v>
      </c>
      <c r="BM1841">
        <v>1519973</v>
      </c>
      <c r="BN1841" t="s">
        <v>1674</v>
      </c>
      <c r="BO1841" s="17">
        <f t="shared" ca="1" si="28"/>
        <v>41.651986921300704</v>
      </c>
      <c r="BP1841" t="b">
        <v>0</v>
      </c>
      <c r="BQ1841">
        <v>1</v>
      </c>
      <c r="BR1841" t="s">
        <v>1667</v>
      </c>
      <c r="BS1841">
        <v>10</v>
      </c>
      <c r="BT1841" t="b">
        <v>0</v>
      </c>
      <c r="BV1841" t="s">
        <v>1668</v>
      </c>
      <c r="BW1841">
        <v>2141</v>
      </c>
      <c r="BX1841" t="s">
        <v>2423</v>
      </c>
      <c r="BY1841">
        <v>133526</v>
      </c>
      <c r="BZ1841" t="s">
        <v>1747</v>
      </c>
      <c r="CA1841">
        <v>1</v>
      </c>
      <c r="CB1841" t="b">
        <v>1</v>
      </c>
      <c r="CC1841">
        <v>0</v>
      </c>
      <c r="CD1841" t="b">
        <v>0</v>
      </c>
      <c r="CE1841" t="b">
        <v>0</v>
      </c>
      <c r="CF1841" t="b">
        <v>0</v>
      </c>
      <c r="CG1841">
        <v>2688528</v>
      </c>
      <c r="CH1841" t="s">
        <v>1681</v>
      </c>
      <c r="CI1841" s="10">
        <v>600000</v>
      </c>
      <c r="CJ1841" s="7">
        <v>32370</v>
      </c>
    </row>
    <row r="1842" spans="1:90">
      <c r="A1842">
        <v>28032650</v>
      </c>
      <c r="B1842" s="15" t="str">
        <f>HYPERLINK("http://www.redfin.com/stingray/do/printable-listing?listing-id=1517890","Subject To Inspection")</f>
        <v>Subject To Inspection</v>
      </c>
      <c r="D1842" t="s">
        <v>983</v>
      </c>
      <c r="E1842" t="s">
        <v>1580</v>
      </c>
      <c r="F1842">
        <v>419500</v>
      </c>
      <c r="G1842">
        <v>1947</v>
      </c>
      <c r="H1842">
        <v>1460</v>
      </c>
      <c r="I1842">
        <v>9900</v>
      </c>
      <c r="J1842">
        <v>3</v>
      </c>
      <c r="K1842">
        <v>1</v>
      </c>
      <c r="M1842" s="2" t="str">
        <f>HYPERLINK("http://maps.live.com/default.aspx?v=2&amp;lvl=15&amp;sp=Point.47.707402_-122.279938_10717 Sand Point Way NE&amp;cp=47.707402~-122.279938","Map")</f>
        <v>Map</v>
      </c>
      <c r="N1842" s="2" t="str">
        <f>HYPERLINK("http://i-0.rfimg.us/photo/1/bigphoto/650/28032650_1.jpg","Photo")</f>
        <v>Photo</v>
      </c>
      <c r="AG1842">
        <v>47.707402000000002</v>
      </c>
      <c r="AH1842">
        <v>-122.279938</v>
      </c>
      <c r="AI1842" t="s">
        <v>66</v>
      </c>
      <c r="AJ1842">
        <v>98125</v>
      </c>
      <c r="AN1842">
        <v>260000</v>
      </c>
      <c r="BC1842" s="22">
        <v>39507.360219907408</v>
      </c>
      <c r="BI1842" s="7">
        <v>39542</v>
      </c>
      <c r="BL1842">
        <v>8390</v>
      </c>
      <c r="BM1842">
        <v>1517890</v>
      </c>
      <c r="BN1842" t="s">
        <v>1710</v>
      </c>
      <c r="BO1842" s="17">
        <f t="shared" ca="1" si="28"/>
        <v>41.949185995370499</v>
      </c>
      <c r="BP1842" t="b">
        <v>0</v>
      </c>
      <c r="BQ1842">
        <v>1</v>
      </c>
      <c r="BR1842" t="s">
        <v>2463</v>
      </c>
      <c r="BS1842" t="s">
        <v>1129</v>
      </c>
      <c r="BT1842" t="b">
        <v>0</v>
      </c>
      <c r="BV1842" t="s">
        <v>1668</v>
      </c>
      <c r="BW1842">
        <v>10717</v>
      </c>
      <c r="BX1842" t="s">
        <v>1738</v>
      </c>
      <c r="BY1842">
        <v>112680</v>
      </c>
      <c r="BZ1842" t="s">
        <v>2948</v>
      </c>
      <c r="CA1842">
        <v>1</v>
      </c>
      <c r="CB1842" t="b">
        <v>1</v>
      </c>
      <c r="CC1842">
        <v>0</v>
      </c>
      <c r="CD1842" t="b">
        <v>0</v>
      </c>
      <c r="CE1842" t="b">
        <v>0</v>
      </c>
      <c r="CF1842" t="b">
        <v>0</v>
      </c>
      <c r="CG1842">
        <v>2485709</v>
      </c>
      <c r="CH1842" t="s">
        <v>1681</v>
      </c>
      <c r="CI1842" s="10">
        <v>419500</v>
      </c>
      <c r="CJ1842" s="7">
        <v>37796</v>
      </c>
    </row>
    <row r="1843" spans="1:90">
      <c r="A1843">
        <v>28032713</v>
      </c>
      <c r="B1843" s="2" t="str">
        <f>HYPERLINK("http://www.redfin.com/stingray/do/printable-listing?listing-id=1506310","Active")</f>
        <v>Active</v>
      </c>
      <c r="D1843" t="s">
        <v>1238</v>
      </c>
      <c r="E1843" t="s">
        <v>3824</v>
      </c>
      <c r="F1843">
        <v>3920000</v>
      </c>
      <c r="G1843">
        <v>2007</v>
      </c>
      <c r="H1843">
        <v>0</v>
      </c>
      <c r="I1843">
        <v>8906</v>
      </c>
      <c r="J1843">
        <v>5</v>
      </c>
      <c r="K1843">
        <v>4.25</v>
      </c>
      <c r="M1843" s="2" t="str">
        <f>HYPERLINK("http://maps.live.com/default.aspx?v=2&amp;lvl=15&amp;sp=Point.47.636262_-122.313205_1910 15th Ave E&amp;cp=47.636262~-122.313205","Map")</f>
        <v>Map</v>
      </c>
      <c r="N1843" s="2" t="str">
        <f>HYPERLINK("http://i-0.rfimg.us/photo/1/bigphoto/713/28032713_1.jpg","Photo")</f>
        <v>Photo</v>
      </c>
      <c r="AG1843">
        <v>47.636262000000002</v>
      </c>
      <c r="AH1843">
        <v>-122.313205</v>
      </c>
      <c r="AI1843" t="s">
        <v>66</v>
      </c>
      <c r="AJ1843">
        <v>98112</v>
      </c>
      <c r="AN1843">
        <v>775000</v>
      </c>
      <c r="BC1843" s="22">
        <v>39503.463958333334</v>
      </c>
      <c r="BI1843" s="22">
        <v>39549.294907407406</v>
      </c>
      <c r="BL1843">
        <v>78400</v>
      </c>
      <c r="BM1843">
        <v>1506310</v>
      </c>
      <c r="BN1843" t="s">
        <v>1674</v>
      </c>
      <c r="BO1843" s="17">
        <f t="shared" ca="1" si="28"/>
        <v>45.845447569445241</v>
      </c>
      <c r="BP1843" t="b">
        <v>0</v>
      </c>
      <c r="BQ1843">
        <v>1</v>
      </c>
      <c r="BR1843" t="s">
        <v>1667</v>
      </c>
      <c r="BS1843" t="s">
        <v>1838</v>
      </c>
      <c r="BT1843" t="b">
        <v>0</v>
      </c>
      <c r="BV1843" t="s">
        <v>1668</v>
      </c>
      <c r="BW1843">
        <v>1910</v>
      </c>
      <c r="BX1843" t="s">
        <v>2436</v>
      </c>
      <c r="BY1843">
        <v>135428</v>
      </c>
      <c r="BZ1843" t="s">
        <v>1804</v>
      </c>
      <c r="CA1843">
        <v>1</v>
      </c>
      <c r="CB1843" t="b">
        <v>1</v>
      </c>
      <c r="CC1843">
        <v>0</v>
      </c>
      <c r="CD1843" t="b">
        <v>0</v>
      </c>
      <c r="CE1843" t="b">
        <v>0</v>
      </c>
      <c r="CF1843" t="b">
        <v>0</v>
      </c>
      <c r="CG1843">
        <v>2563419</v>
      </c>
      <c r="CH1843" t="s">
        <v>1681</v>
      </c>
      <c r="CI1843" s="10">
        <v>3920000</v>
      </c>
      <c r="CJ1843" s="7">
        <v>38383</v>
      </c>
    </row>
    <row r="1844" spans="1:90">
      <c r="A1844">
        <v>28032755</v>
      </c>
      <c r="B1844" s="2" t="str">
        <f>HYPERLINK("http://www.redfin.com/stingray/do/printable-listing?listing-id=1511928","Active")</f>
        <v>Active</v>
      </c>
      <c r="D1844" t="s">
        <v>88</v>
      </c>
      <c r="E1844" t="s">
        <v>2458</v>
      </c>
      <c r="F1844" s="19">
        <v>629950</v>
      </c>
      <c r="G1844">
        <v>1933</v>
      </c>
      <c r="H1844">
        <v>3110</v>
      </c>
      <c r="I1844">
        <v>5000</v>
      </c>
      <c r="J1844">
        <v>4</v>
      </c>
      <c r="K1844">
        <v>1.5</v>
      </c>
      <c r="M1844" s="2" t="str">
        <f>HYPERLINK("http://maps.live.com/default.aspx?v=2&amp;lvl=15&amp;sp=Point.47.665219_-122.361443_312 NW 50th (Not Busy) St&amp;cp=47.665219~-122.361443","Map")</f>
        <v>Map</v>
      </c>
      <c r="N1844" s="2" t="str">
        <f>HYPERLINK("http://i-0.rfimg.us/photo/1/bigphoto/755/28032755_5.jpg","Photo")</f>
        <v>Photo</v>
      </c>
      <c r="AG1844">
        <v>47.665219</v>
      </c>
      <c r="AH1844">
        <v>-122.36144299999999</v>
      </c>
      <c r="AI1844" t="s">
        <v>66</v>
      </c>
      <c r="AJ1844">
        <v>98107</v>
      </c>
      <c r="BC1844" s="22">
        <v>39505.379780092589</v>
      </c>
      <c r="BI1844" s="22">
        <v>39549.294907407406</v>
      </c>
      <c r="BL1844">
        <v>12999</v>
      </c>
      <c r="BM1844">
        <v>1511928</v>
      </c>
      <c r="BN1844" t="s">
        <v>1700</v>
      </c>
      <c r="BO1844" s="17">
        <f t="shared" ca="1" si="28"/>
        <v>43.929625925928121</v>
      </c>
      <c r="BP1844" t="b">
        <v>0</v>
      </c>
      <c r="BQ1844">
        <v>1</v>
      </c>
      <c r="BR1844" t="s">
        <v>1686</v>
      </c>
      <c r="BS1844" t="s">
        <v>2459</v>
      </c>
      <c r="BT1844" t="b">
        <v>0</v>
      </c>
      <c r="BU1844" t="s">
        <v>1669</v>
      </c>
      <c r="BV1844" t="s">
        <v>1668</v>
      </c>
      <c r="BW1844">
        <v>312</v>
      </c>
      <c r="BY1844">
        <v>301857</v>
      </c>
      <c r="BZ1844" t="s">
        <v>2460</v>
      </c>
      <c r="CA1844">
        <v>1</v>
      </c>
      <c r="CB1844" t="b">
        <v>1</v>
      </c>
      <c r="CC1844">
        <v>0</v>
      </c>
      <c r="CD1844" t="b">
        <v>0</v>
      </c>
      <c r="CE1844" t="b">
        <v>0</v>
      </c>
      <c r="CF1844" t="b">
        <v>0</v>
      </c>
      <c r="CG1844">
        <v>2503239</v>
      </c>
      <c r="CH1844" t="s">
        <v>1681</v>
      </c>
      <c r="CI1844" s="10">
        <v>649950</v>
      </c>
    </row>
    <row r="1845" spans="1:90">
      <c r="A1845">
        <v>28032756</v>
      </c>
      <c r="B1845" s="2" t="str">
        <f>HYPERLINK("http://www.redfin.com/stingray/do/printable-listing?listing-id=1506380","Active")</f>
        <v>Active</v>
      </c>
      <c r="D1845" t="s">
        <v>226</v>
      </c>
      <c r="E1845" t="s">
        <v>3789</v>
      </c>
      <c r="F1845">
        <v>549950</v>
      </c>
      <c r="G1845">
        <v>1925</v>
      </c>
      <c r="H1845">
        <v>1860</v>
      </c>
      <c r="I1845">
        <v>2500</v>
      </c>
      <c r="J1845">
        <v>3</v>
      </c>
      <c r="K1845">
        <v>1.5</v>
      </c>
      <c r="M1845" s="2" t="str">
        <f>HYPERLINK("http://maps.live.com/default.aspx?v=2&amp;lvl=15&amp;sp=Point.47.659312_-122.320614_703 NE 43rd St&amp;cp=47.659312~-122.320614","Map")</f>
        <v>Map</v>
      </c>
      <c r="N1845" s="2" t="str">
        <f>HYPERLINK("http://i-0.rfimg.us/photo/1/bigphoto/756/28032756_1.jpg","Photo")</f>
        <v>Photo</v>
      </c>
      <c r="AG1845">
        <v>47.659312</v>
      </c>
      <c r="AH1845">
        <v>-122.32061400000001</v>
      </c>
      <c r="AI1845" t="s">
        <v>66</v>
      </c>
      <c r="AJ1845">
        <v>98105</v>
      </c>
      <c r="BC1845" s="22">
        <v>39503.484895833331</v>
      </c>
      <c r="BI1845" s="22">
        <v>39549.294907407406</v>
      </c>
      <c r="BL1845">
        <v>10999</v>
      </c>
      <c r="BM1845">
        <v>1506380</v>
      </c>
      <c r="BN1845" t="s">
        <v>1766</v>
      </c>
      <c r="BO1845" s="17">
        <f t="shared" ca="1" si="28"/>
        <v>45.82451006944757</v>
      </c>
      <c r="BP1845" t="b">
        <v>0</v>
      </c>
      <c r="BQ1845">
        <v>1</v>
      </c>
      <c r="BR1845" t="s">
        <v>1686</v>
      </c>
      <c r="BS1845" t="s">
        <v>3134</v>
      </c>
      <c r="BT1845" t="b">
        <v>0</v>
      </c>
      <c r="BU1845" t="s">
        <v>1738</v>
      </c>
      <c r="BV1845" t="s">
        <v>1668</v>
      </c>
      <c r="BW1845">
        <v>703</v>
      </c>
      <c r="BY1845">
        <v>312084</v>
      </c>
      <c r="BZ1845" t="s">
        <v>1836</v>
      </c>
      <c r="CA1845">
        <v>1</v>
      </c>
      <c r="CB1845" t="b">
        <v>1</v>
      </c>
      <c r="CC1845">
        <v>0</v>
      </c>
      <c r="CD1845" t="b">
        <v>0</v>
      </c>
      <c r="CE1845" t="b">
        <v>0</v>
      </c>
      <c r="CF1845" t="b">
        <v>0</v>
      </c>
      <c r="CG1845">
        <v>2477960</v>
      </c>
      <c r="CH1845" t="s">
        <v>1681</v>
      </c>
      <c r="CI1845" s="10">
        <v>549950</v>
      </c>
      <c r="CL1845" t="s">
        <v>7024</v>
      </c>
    </row>
    <row r="1846" spans="1:90">
      <c r="A1846">
        <v>28032778</v>
      </c>
      <c r="B1846" s="2" t="str">
        <f>HYPERLINK("http://www.redfin.com/stingray/do/printable-listing?listing-id=1506466","Active")</f>
        <v>Active</v>
      </c>
      <c r="D1846" t="s">
        <v>60</v>
      </c>
      <c r="E1846" t="s">
        <v>3110</v>
      </c>
      <c r="F1846" s="19">
        <v>649950</v>
      </c>
      <c r="G1846">
        <v>1928</v>
      </c>
      <c r="H1846">
        <v>2350</v>
      </c>
      <c r="I1846">
        <v>0</v>
      </c>
      <c r="J1846">
        <v>3</v>
      </c>
      <c r="K1846">
        <v>2</v>
      </c>
      <c r="M1846" s="2" t="str">
        <f>HYPERLINK("http://maps.live.com/default.aspx?v=2&amp;lvl=15&amp;sp=Point.47.685438_-122.313043_7714 14th Ave NE&amp;cp=47.685438~-122.313043","Map")</f>
        <v>Map</v>
      </c>
      <c r="N1846" s="2" t="str">
        <f>HYPERLINK("http://i-0.rfimg.us/photo/1/bigphoto/778/28032778_1.jpg","Photo")</f>
        <v>Photo</v>
      </c>
      <c r="AG1846">
        <v>47.685437999999998</v>
      </c>
      <c r="AH1846">
        <v>-122.31304299999999</v>
      </c>
      <c r="AI1846" t="s">
        <v>66</v>
      </c>
      <c r="AJ1846">
        <v>98115</v>
      </c>
      <c r="AN1846">
        <v>255000</v>
      </c>
      <c r="BC1846" s="22">
        <v>39503.505532407406</v>
      </c>
      <c r="BI1846" s="22">
        <v>39549.294907407406</v>
      </c>
      <c r="BL1846">
        <v>13300</v>
      </c>
      <c r="BM1846">
        <v>1506466</v>
      </c>
      <c r="BN1846" t="s">
        <v>1710</v>
      </c>
      <c r="BO1846" s="17">
        <f t="shared" ca="1" si="28"/>
        <v>45.803873495373409</v>
      </c>
      <c r="BP1846" t="b">
        <v>0</v>
      </c>
      <c r="BQ1846">
        <v>1</v>
      </c>
      <c r="BR1846" t="s">
        <v>1667</v>
      </c>
      <c r="BS1846" t="s">
        <v>1900</v>
      </c>
      <c r="BT1846" t="b">
        <v>0</v>
      </c>
      <c r="BV1846" t="s">
        <v>1668</v>
      </c>
      <c r="BW1846">
        <v>7714</v>
      </c>
      <c r="BX1846" t="s">
        <v>1738</v>
      </c>
      <c r="BY1846">
        <v>310023</v>
      </c>
      <c r="BZ1846" t="s">
        <v>1704</v>
      </c>
      <c r="CA1846">
        <v>1</v>
      </c>
      <c r="CB1846" t="b">
        <v>1</v>
      </c>
      <c r="CC1846">
        <v>0</v>
      </c>
      <c r="CD1846" t="b">
        <v>0</v>
      </c>
      <c r="CE1846" t="b">
        <v>0</v>
      </c>
      <c r="CF1846" t="b">
        <v>0</v>
      </c>
      <c r="CG1846">
        <v>2989501</v>
      </c>
      <c r="CH1846" t="s">
        <v>1681</v>
      </c>
      <c r="CI1846" s="10">
        <v>665000</v>
      </c>
      <c r="CJ1846" s="7">
        <v>36342</v>
      </c>
    </row>
    <row r="1847" spans="1:90">
      <c r="A1847">
        <v>28032839</v>
      </c>
      <c r="B1847" s="2" t="str">
        <f>HYPERLINK("http://www.redfin.com/stingray/do/printable-listing?listing-id=1506586","Active")</f>
        <v>Active</v>
      </c>
      <c r="D1847" t="s">
        <v>5161</v>
      </c>
      <c r="E1847" t="s">
        <v>5484</v>
      </c>
      <c r="F1847">
        <v>684500</v>
      </c>
      <c r="G1847">
        <v>1947</v>
      </c>
      <c r="H1847">
        <v>1540</v>
      </c>
      <c r="I1847">
        <v>10800</v>
      </c>
      <c r="J1847">
        <v>3</v>
      </c>
      <c r="K1847">
        <v>1.75</v>
      </c>
      <c r="M1847" s="2" t="str">
        <f>HYPERLINK("http://maps.live.com/default.aspx?v=2&amp;lvl=15&amp;sp=Point.47.576261_-122.222545_3721 88th Ave SE&amp;cp=47.576261~-122.222545","Map")</f>
        <v>Map</v>
      </c>
      <c r="N1847" s="2" t="str">
        <f>HYPERLINK("http://i-0.rfimg.us/photo/1/bigphoto/839/28032839_0.jpg","Photo")</f>
        <v>Photo</v>
      </c>
      <c r="AG1847">
        <v>47.576261000000002</v>
      </c>
      <c r="AH1847">
        <v>-122.222545</v>
      </c>
      <c r="AI1847" t="s">
        <v>5139</v>
      </c>
      <c r="AJ1847">
        <v>98040</v>
      </c>
      <c r="AN1847">
        <v>489000</v>
      </c>
      <c r="BC1847" s="22">
        <v>39503.536400462966</v>
      </c>
      <c r="BI1847" s="22">
        <v>39549.294907407406</v>
      </c>
      <c r="BL1847">
        <v>13690</v>
      </c>
      <c r="BM1847">
        <v>1506586</v>
      </c>
      <c r="BN1847" t="s">
        <v>1674</v>
      </c>
      <c r="BO1847" s="17">
        <f t="shared" ca="1" si="28"/>
        <v>45.77300543981255</v>
      </c>
      <c r="BP1847" t="b">
        <v>0</v>
      </c>
      <c r="BQ1847">
        <v>1</v>
      </c>
      <c r="BR1847" t="s">
        <v>1667</v>
      </c>
      <c r="BS1847" t="s">
        <v>1719</v>
      </c>
      <c r="BT1847" t="b">
        <v>0</v>
      </c>
      <c r="BV1847" t="s">
        <v>1668</v>
      </c>
      <c r="BW1847">
        <v>3721</v>
      </c>
      <c r="BX1847" t="s">
        <v>3856</v>
      </c>
      <c r="BY1847">
        <v>254617</v>
      </c>
      <c r="BZ1847" t="s">
        <v>1701</v>
      </c>
      <c r="CA1847">
        <v>1</v>
      </c>
      <c r="CB1847" t="b">
        <v>1</v>
      </c>
      <c r="CC1847">
        <v>0</v>
      </c>
      <c r="CD1847" t="b">
        <v>0</v>
      </c>
      <c r="CE1847" t="b">
        <v>0</v>
      </c>
      <c r="CF1847" t="b">
        <v>0</v>
      </c>
      <c r="CG1847">
        <v>2686509</v>
      </c>
      <c r="CH1847" t="s">
        <v>1681</v>
      </c>
      <c r="CI1847" s="10">
        <v>684500</v>
      </c>
      <c r="CJ1847" s="7">
        <v>38663</v>
      </c>
    </row>
    <row r="1848" spans="1:90">
      <c r="A1848">
        <v>28032855</v>
      </c>
      <c r="B1848" s="2" t="str">
        <f>HYPERLINK("http://www.redfin.com/stingray/do/printable-listing?listing-id=1506620","Active")</f>
        <v>Active</v>
      </c>
      <c r="D1848" t="s">
        <v>63</v>
      </c>
      <c r="E1848" t="s">
        <v>1503</v>
      </c>
      <c r="F1848" s="19">
        <v>525000</v>
      </c>
      <c r="G1848">
        <v>1924</v>
      </c>
      <c r="H1848">
        <v>2610</v>
      </c>
      <c r="I1848">
        <v>5000</v>
      </c>
      <c r="J1848">
        <v>5</v>
      </c>
      <c r="K1848">
        <v>1.75</v>
      </c>
      <c r="M1848" s="2" t="str">
        <f>HYPERLINK("http://maps.live.com/default.aspx?v=2&amp;lvl=15&amp;sp=Point.47.676606_-122.365228_6518 Cleopatra Pl NW&amp;cp=47.676606~-122.365228","Map")</f>
        <v>Map</v>
      </c>
      <c r="N1848" s="2" t="str">
        <f>HYPERLINK("http://i-0.rfimg.us/photo/1/bigphoto/855/28032855_0.jpg","Photo")</f>
        <v>Photo</v>
      </c>
      <c r="AG1848">
        <v>47.676606</v>
      </c>
      <c r="AH1848">
        <v>-122.365228</v>
      </c>
      <c r="AI1848" t="s">
        <v>66</v>
      </c>
      <c r="AJ1848">
        <v>98117</v>
      </c>
      <c r="AN1848">
        <v>310000</v>
      </c>
      <c r="BC1848" s="22">
        <v>39503.547199074077</v>
      </c>
      <c r="BI1848" s="22">
        <v>39549.294907407406</v>
      </c>
      <c r="BL1848">
        <v>10990</v>
      </c>
      <c r="BM1848">
        <v>1506620</v>
      </c>
      <c r="BN1848" t="s">
        <v>1852</v>
      </c>
      <c r="BO1848" s="17">
        <f t="shared" ca="1" si="28"/>
        <v>45.76220694444055</v>
      </c>
      <c r="BP1848" t="b">
        <v>0</v>
      </c>
      <c r="BQ1848">
        <v>1</v>
      </c>
      <c r="BR1848" t="s">
        <v>1842</v>
      </c>
      <c r="BS1848" t="s">
        <v>1641</v>
      </c>
      <c r="BT1848" t="b">
        <v>0</v>
      </c>
      <c r="BV1848" t="s">
        <v>1668</v>
      </c>
      <c r="BW1848">
        <v>6518</v>
      </c>
      <c r="BX1848" t="s">
        <v>1669</v>
      </c>
      <c r="BY1848">
        <v>497971</v>
      </c>
      <c r="BZ1848" t="s">
        <v>1741</v>
      </c>
      <c r="CA1848">
        <v>1</v>
      </c>
      <c r="CB1848" t="b">
        <v>1</v>
      </c>
      <c r="CC1848">
        <v>0</v>
      </c>
      <c r="CD1848" t="b">
        <v>0</v>
      </c>
      <c r="CE1848" t="b">
        <v>0</v>
      </c>
      <c r="CF1848" t="b">
        <v>0</v>
      </c>
      <c r="CG1848">
        <v>2786488</v>
      </c>
      <c r="CH1848" t="s">
        <v>1681</v>
      </c>
      <c r="CI1848" s="10">
        <v>549500</v>
      </c>
      <c r="CJ1848" s="7">
        <v>36860</v>
      </c>
    </row>
    <row r="1849" spans="1:90">
      <c r="A1849">
        <v>28032873</v>
      </c>
      <c r="B1849" s="2" t="str">
        <f>HYPERLINK("http://www.redfin.com/stingray/do/printable-listing?listing-id=1515207","Active")</f>
        <v>Active</v>
      </c>
      <c r="D1849" t="s">
        <v>4611</v>
      </c>
      <c r="E1849" t="s">
        <v>4822</v>
      </c>
      <c r="F1849">
        <v>899950</v>
      </c>
      <c r="G1849">
        <v>2000</v>
      </c>
      <c r="H1849">
        <v>3290</v>
      </c>
      <c r="I1849">
        <v>6227</v>
      </c>
      <c r="J1849">
        <v>3</v>
      </c>
      <c r="K1849">
        <v>2.5</v>
      </c>
      <c r="M1849" s="2" t="str">
        <f>HYPERLINK("http://maps.live.com/default.aspx?v=2&amp;lvl=15&amp;sp=Point.47.670306_-122.142697_7237 148th Pl NE&amp;cp=47.670306~-122.142697","Map")</f>
        <v>Map</v>
      </c>
      <c r="N1849" s="2" t="str">
        <f>HYPERLINK("http://i-0.rfimg.us/photo/1/bigphoto/873/28032873_.jpg","Photo")</f>
        <v>Photo</v>
      </c>
      <c r="AG1849">
        <v>47.670305999999997</v>
      </c>
      <c r="AH1849">
        <v>-122.142697</v>
      </c>
      <c r="AI1849" t="s">
        <v>4363</v>
      </c>
      <c r="AJ1849">
        <v>98052</v>
      </c>
      <c r="AN1849">
        <v>586950</v>
      </c>
      <c r="BC1849" s="22">
        <v>39506.422430555554</v>
      </c>
      <c r="BI1849" s="22">
        <v>39549.294907407406</v>
      </c>
      <c r="BL1849">
        <v>17999</v>
      </c>
      <c r="BM1849">
        <v>1515207</v>
      </c>
      <c r="BN1849" t="s">
        <v>4593</v>
      </c>
      <c r="BO1849" s="17">
        <f t="shared" ca="1" si="28"/>
        <v>42.886975347224507</v>
      </c>
      <c r="BP1849" t="b">
        <v>0</v>
      </c>
      <c r="BQ1849">
        <v>1</v>
      </c>
      <c r="BR1849" t="s">
        <v>1842</v>
      </c>
      <c r="BS1849" t="s">
        <v>4823</v>
      </c>
      <c r="BT1849" t="b">
        <v>0</v>
      </c>
      <c r="BV1849" t="s">
        <v>1668</v>
      </c>
      <c r="BW1849">
        <v>7237</v>
      </c>
      <c r="BX1849" t="s">
        <v>1738</v>
      </c>
      <c r="BY1849">
        <v>516773</v>
      </c>
      <c r="CA1849">
        <v>1</v>
      </c>
      <c r="CB1849" t="b">
        <v>1</v>
      </c>
      <c r="CC1849">
        <v>0</v>
      </c>
      <c r="CD1849" t="b">
        <v>0</v>
      </c>
      <c r="CE1849" t="b">
        <v>0</v>
      </c>
      <c r="CF1849" t="b">
        <v>0</v>
      </c>
      <c r="CG1849">
        <v>2898224</v>
      </c>
      <c r="CH1849" t="s">
        <v>1681</v>
      </c>
      <c r="CI1849" s="10">
        <v>899950</v>
      </c>
      <c r="CJ1849" s="7">
        <v>37022</v>
      </c>
    </row>
    <row r="1850" spans="1:90">
      <c r="A1850">
        <v>28032909</v>
      </c>
      <c r="B1850" s="2" t="str">
        <f>HYPERLINK("http://www.redfin.com/stingray/do/printable-listing?listing-id=1506826","Active")</f>
        <v>Active</v>
      </c>
      <c r="D1850" t="s">
        <v>60</v>
      </c>
      <c r="E1850" t="s">
        <v>3207</v>
      </c>
      <c r="F1850">
        <v>629000</v>
      </c>
      <c r="G1850">
        <v>2008</v>
      </c>
      <c r="H1850">
        <v>1830</v>
      </c>
      <c r="I1850">
        <v>0</v>
      </c>
      <c r="J1850">
        <v>4</v>
      </c>
      <c r="K1850">
        <v>3.25</v>
      </c>
      <c r="M1850" s="2" t="str">
        <f>HYPERLINK("http://maps.live.com/default.aspx?v=2&amp;lvl=15&amp;sp=Point.47.682771_-122.323358_468 NE Maple Leaf Pl&amp;cp=47.682771~-122.323358","Map")</f>
        <v>Map</v>
      </c>
      <c r="N1850" s="2" t="str">
        <f>HYPERLINK("http://i-0.rfimg.us/photo/1/bigphoto/909/28032909_0.jpg","Photo")</f>
        <v>Photo</v>
      </c>
      <c r="AG1850">
        <v>47.682771000000002</v>
      </c>
      <c r="AH1850">
        <v>-122.323358</v>
      </c>
      <c r="AI1850" t="s">
        <v>66</v>
      </c>
      <c r="AJ1850">
        <v>98103</v>
      </c>
      <c r="AN1850">
        <v>435000</v>
      </c>
      <c r="BC1850" s="22">
        <v>39503.568043981482</v>
      </c>
      <c r="BI1850" s="22">
        <v>39547.913935185185</v>
      </c>
      <c r="BL1850">
        <v>12580</v>
      </c>
      <c r="BM1850">
        <v>1506826</v>
      </c>
      <c r="BN1850" t="s">
        <v>1718</v>
      </c>
      <c r="BO1850" s="17">
        <f t="shared" ca="1" si="28"/>
        <v>45.74136192129663</v>
      </c>
      <c r="BP1850" t="b">
        <v>0</v>
      </c>
      <c r="BQ1850">
        <v>1</v>
      </c>
      <c r="BR1850" t="s">
        <v>1842</v>
      </c>
      <c r="BS1850" t="s">
        <v>192</v>
      </c>
      <c r="BT1850" t="b">
        <v>0</v>
      </c>
      <c r="BU1850" t="s">
        <v>1738</v>
      </c>
      <c r="BV1850" t="s">
        <v>1668</v>
      </c>
      <c r="BW1850">
        <v>468</v>
      </c>
      <c r="BY1850">
        <v>306354</v>
      </c>
      <c r="BZ1850" t="s">
        <v>1672</v>
      </c>
      <c r="CA1850">
        <v>1</v>
      </c>
      <c r="CB1850" t="b">
        <v>1</v>
      </c>
      <c r="CC1850">
        <v>0</v>
      </c>
      <c r="CD1850" t="b">
        <v>0</v>
      </c>
      <c r="CE1850" t="b">
        <v>0</v>
      </c>
      <c r="CF1850" t="b">
        <v>0</v>
      </c>
      <c r="CG1850">
        <v>2428804</v>
      </c>
      <c r="CH1850" t="s">
        <v>1681</v>
      </c>
      <c r="CI1850" s="10">
        <v>629000</v>
      </c>
      <c r="CJ1850" s="7">
        <v>38642</v>
      </c>
    </row>
    <row r="1851" spans="1:90">
      <c r="A1851">
        <v>28032916</v>
      </c>
      <c r="B1851" s="2" t="str">
        <f>HYPERLINK("http://www.redfin.com/stingray/do/printable-listing?listing-id=1506828","Active")</f>
        <v>Active</v>
      </c>
      <c r="D1851" t="s">
        <v>2552</v>
      </c>
      <c r="E1851" t="s">
        <v>3404</v>
      </c>
      <c r="F1851">
        <v>635000</v>
      </c>
      <c r="G1851">
        <v>1939</v>
      </c>
      <c r="H1851">
        <v>1620</v>
      </c>
      <c r="I1851">
        <v>6967</v>
      </c>
      <c r="J1851">
        <v>2</v>
      </c>
      <c r="K1851">
        <v>1</v>
      </c>
      <c r="M1851" s="2" t="str">
        <f>HYPERLINK("http://maps.live.com/default.aspx?v=2&amp;lvl=15&amp;sp=Point.47.651007_-122.410513_3428 42 Ave W&amp;cp=47.651007~-122.410513","Map")</f>
        <v>Map</v>
      </c>
      <c r="N1851" s="2" t="str">
        <f>HYPERLINK("http://i-0.rfimg.us/photo/1/bigphoto/916/28032916_0.jpg","Photo")</f>
        <v>Photo</v>
      </c>
      <c r="AG1851">
        <v>47.651007</v>
      </c>
      <c r="AH1851">
        <v>-122.41051299999999</v>
      </c>
      <c r="AI1851" t="s">
        <v>66</v>
      </c>
      <c r="AJ1851">
        <v>98199</v>
      </c>
      <c r="AN1851">
        <v>228500</v>
      </c>
      <c r="BC1851" s="22">
        <v>39503.568796296298</v>
      </c>
      <c r="BI1851" s="22">
        <v>39549.294907407406</v>
      </c>
      <c r="BL1851">
        <v>12700</v>
      </c>
      <c r="BM1851">
        <v>1506828</v>
      </c>
      <c r="BN1851" t="s">
        <v>1710</v>
      </c>
      <c r="BO1851" s="17">
        <f t="shared" ca="1" si="28"/>
        <v>45.740609606480575</v>
      </c>
      <c r="BP1851" t="b">
        <v>0</v>
      </c>
      <c r="BQ1851">
        <v>1</v>
      </c>
      <c r="BR1851" t="s">
        <v>1667</v>
      </c>
      <c r="BS1851">
        <v>42</v>
      </c>
      <c r="BT1851" t="b">
        <v>0</v>
      </c>
      <c r="BV1851" t="s">
        <v>1668</v>
      </c>
      <c r="BW1851">
        <v>3428</v>
      </c>
      <c r="BX1851" t="s">
        <v>2423</v>
      </c>
      <c r="BY1851">
        <v>127371</v>
      </c>
      <c r="BZ1851" t="s">
        <v>1747</v>
      </c>
      <c r="CA1851">
        <v>1</v>
      </c>
      <c r="CB1851" t="b">
        <v>1</v>
      </c>
      <c r="CC1851">
        <v>0</v>
      </c>
      <c r="CD1851" t="b">
        <v>0</v>
      </c>
      <c r="CE1851" t="b">
        <v>0</v>
      </c>
      <c r="CF1851" t="b">
        <v>0</v>
      </c>
      <c r="CG1851">
        <v>2409558</v>
      </c>
      <c r="CH1851" t="s">
        <v>1681</v>
      </c>
      <c r="CI1851" s="10">
        <v>635000</v>
      </c>
      <c r="CJ1851" s="7">
        <v>34605</v>
      </c>
    </row>
    <row r="1852" spans="1:90">
      <c r="A1852">
        <v>28032926</v>
      </c>
      <c r="B1852" s="2" t="str">
        <f>HYPERLINK("http://www.redfin.com/stingray/do/printable-listing?listing-id=1507323","Subject To Inspection")</f>
        <v>Subject To Inspection</v>
      </c>
      <c r="D1852" t="s">
        <v>70</v>
      </c>
      <c r="E1852" t="s">
        <v>1491</v>
      </c>
      <c r="F1852">
        <v>425000</v>
      </c>
      <c r="G1852">
        <v>1923</v>
      </c>
      <c r="H1852">
        <v>2360</v>
      </c>
      <c r="I1852">
        <v>7500</v>
      </c>
      <c r="J1852">
        <v>3</v>
      </c>
      <c r="K1852">
        <v>2</v>
      </c>
      <c r="M1852" s="2" t="str">
        <f>HYPERLINK("http://maps.live.com/default.aspx?v=2&amp;lvl=15&amp;sp=Point.47.705429_-122.357161_10507 Palatine Ave N&amp;cp=47.705429~-122.357161","Map")</f>
        <v>Map</v>
      </c>
      <c r="N1852" s="2" t="str">
        <f>HYPERLINK("http://i-0.rfimg.us/photo/1/bigphoto/926/28032926_2.jpg","Photo")</f>
        <v>Photo</v>
      </c>
      <c r="AG1852">
        <v>47.705429000000002</v>
      </c>
      <c r="AH1852">
        <v>-122.357161</v>
      </c>
      <c r="AI1852" t="s">
        <v>66</v>
      </c>
      <c r="AJ1852">
        <v>98133</v>
      </c>
      <c r="AN1852">
        <v>135000</v>
      </c>
      <c r="BC1852" s="22">
        <v>39503.68341435185</v>
      </c>
      <c r="BI1852" s="7">
        <v>39530</v>
      </c>
      <c r="BL1852">
        <v>8500</v>
      </c>
      <c r="BM1852">
        <v>1507323</v>
      </c>
      <c r="BN1852" t="s">
        <v>1688</v>
      </c>
      <c r="BO1852" s="17">
        <f t="shared" ca="1" si="28"/>
        <v>45.625991550929029</v>
      </c>
      <c r="BP1852" t="b">
        <v>0</v>
      </c>
      <c r="BQ1852">
        <v>2</v>
      </c>
      <c r="BR1852" t="s">
        <v>1667</v>
      </c>
      <c r="BS1852" t="s">
        <v>2605</v>
      </c>
      <c r="BT1852" t="b">
        <v>0</v>
      </c>
      <c r="BV1852" t="s">
        <v>1668</v>
      </c>
      <c r="BW1852">
        <v>10507</v>
      </c>
      <c r="BX1852" t="s">
        <v>1712</v>
      </c>
      <c r="BY1852">
        <v>96868</v>
      </c>
      <c r="BZ1852" t="s">
        <v>2794</v>
      </c>
      <c r="CA1852">
        <v>1</v>
      </c>
      <c r="CB1852" t="b">
        <v>1</v>
      </c>
      <c r="CC1852">
        <v>0</v>
      </c>
      <c r="CD1852" t="b">
        <v>0</v>
      </c>
      <c r="CE1852" t="b">
        <v>0</v>
      </c>
      <c r="CF1852" t="b">
        <v>0</v>
      </c>
      <c r="CG1852">
        <v>2905294</v>
      </c>
      <c r="CH1852" t="s">
        <v>1681</v>
      </c>
      <c r="CI1852" s="10">
        <v>425000</v>
      </c>
      <c r="CJ1852" s="7">
        <v>35422</v>
      </c>
    </row>
    <row r="1853" spans="1:90">
      <c r="A1853">
        <v>28032934</v>
      </c>
      <c r="B1853" s="2" t="str">
        <f>HYPERLINK("http://www.redfin.com/stingray/do/printable-listing?listing-id=1506857","Active")</f>
        <v>Active</v>
      </c>
      <c r="D1853" t="s">
        <v>3924</v>
      </c>
      <c r="E1853" t="s">
        <v>4274</v>
      </c>
      <c r="F1853">
        <v>699000</v>
      </c>
      <c r="G1853">
        <v>1994</v>
      </c>
      <c r="H1853">
        <v>1660</v>
      </c>
      <c r="I1853">
        <v>0</v>
      </c>
      <c r="J1853">
        <v>2</v>
      </c>
      <c r="K1853">
        <v>2.5</v>
      </c>
      <c r="M1853" s="2" t="str">
        <f>HYPERLINK("http://maps.live.com/default.aspx?v=2&amp;lvl=15&amp;sp=Point.47.61728_-122.295127_1729 29th Ave&amp;cp=47.61728~-122.295127","Map")</f>
        <v>Map</v>
      </c>
      <c r="N1853" s="2" t="str">
        <f>HYPERLINK("http://i-0.rfimg.us/photo/1/bigphoto/934/28032934_1.jpg","Photo")</f>
        <v>Photo</v>
      </c>
      <c r="AG1853">
        <v>47.617280000000001</v>
      </c>
      <c r="AH1853">
        <v>-122.29512699999999</v>
      </c>
      <c r="AI1853" t="s">
        <v>66</v>
      </c>
      <c r="AJ1853">
        <v>98122</v>
      </c>
      <c r="AN1853">
        <v>339900</v>
      </c>
      <c r="BC1853" s="22">
        <v>39503.5784375</v>
      </c>
      <c r="BI1853" s="22">
        <v>39549.294907407406</v>
      </c>
      <c r="BL1853">
        <v>13980</v>
      </c>
      <c r="BM1853">
        <v>1506857</v>
      </c>
      <c r="BN1853" t="s">
        <v>4273</v>
      </c>
      <c r="BO1853" s="17">
        <f t="shared" ca="1" si="28"/>
        <v>45.730968402778672</v>
      </c>
      <c r="BP1853" t="b">
        <v>0</v>
      </c>
      <c r="BQ1853">
        <v>1</v>
      </c>
      <c r="BR1853" t="s">
        <v>1667</v>
      </c>
      <c r="BS1853" t="s">
        <v>1772</v>
      </c>
      <c r="BT1853" t="b">
        <v>0</v>
      </c>
      <c r="BV1853" t="s">
        <v>1668</v>
      </c>
      <c r="BW1853">
        <v>1729</v>
      </c>
      <c r="BY1853">
        <v>146045</v>
      </c>
      <c r="BZ1853" t="s">
        <v>2200</v>
      </c>
      <c r="CA1853">
        <v>1</v>
      </c>
      <c r="CB1853" t="b">
        <v>1</v>
      </c>
      <c r="CC1853">
        <v>0</v>
      </c>
      <c r="CD1853" t="b">
        <v>0</v>
      </c>
      <c r="CE1853" t="b">
        <v>0</v>
      </c>
      <c r="CF1853" t="b">
        <v>0</v>
      </c>
      <c r="CG1853">
        <v>2463616</v>
      </c>
      <c r="CH1853" t="s">
        <v>1681</v>
      </c>
      <c r="CI1853" s="10">
        <v>699000</v>
      </c>
      <c r="CJ1853" s="7">
        <v>36644</v>
      </c>
    </row>
    <row r="1854" spans="1:90">
      <c r="A1854">
        <v>28032945</v>
      </c>
      <c r="B1854" s="2" t="str">
        <f>HYPERLINK("http://www.redfin.com/stingray/do/printable-listing?listing-id=1507117","Active")</f>
        <v>Active</v>
      </c>
      <c r="D1854" t="s">
        <v>4663</v>
      </c>
      <c r="E1854" t="s">
        <v>5070</v>
      </c>
      <c r="F1854">
        <v>1249950</v>
      </c>
      <c r="G1854">
        <v>1988</v>
      </c>
      <c r="H1854">
        <v>3100</v>
      </c>
      <c r="I1854">
        <v>9001</v>
      </c>
      <c r="J1854">
        <v>4</v>
      </c>
      <c r="K1854">
        <v>3.5</v>
      </c>
      <c r="M1854" s="2" t="str">
        <f>HYPERLINK("http://maps.live.com/default.aspx?v=2&amp;lvl=15&amp;sp=Point.47.634316_-122.151095_2713 142nd Pl NE&amp;cp=47.634316~-122.151095","Map")</f>
        <v>Map</v>
      </c>
      <c r="N1854" s="2" t="str">
        <f>HYPERLINK("http://i-0.rfimg.us/photo/1/bigphoto/945/28032945_0.jpg","Photo")</f>
        <v>Photo</v>
      </c>
      <c r="AG1854">
        <v>47.634315999999998</v>
      </c>
      <c r="AH1854">
        <v>-122.151095</v>
      </c>
      <c r="AI1854" t="s">
        <v>369</v>
      </c>
      <c r="AJ1854">
        <v>98007</v>
      </c>
      <c r="AN1854">
        <v>1099000</v>
      </c>
      <c r="BC1854" s="22">
        <v>39503.631620370368</v>
      </c>
      <c r="BI1854" s="22">
        <v>39549.294907407406</v>
      </c>
      <c r="BL1854">
        <v>24999</v>
      </c>
      <c r="BM1854">
        <v>1507117</v>
      </c>
      <c r="BN1854" t="s">
        <v>1737</v>
      </c>
      <c r="BO1854" s="17">
        <f t="shared" ca="1" si="28"/>
        <v>45.67778553241078</v>
      </c>
      <c r="BP1854" t="b">
        <v>0</v>
      </c>
      <c r="BQ1854">
        <v>1</v>
      </c>
      <c r="BR1854" t="s">
        <v>1842</v>
      </c>
      <c r="BS1854" t="s">
        <v>4694</v>
      </c>
      <c r="BT1854" t="b">
        <v>0</v>
      </c>
      <c r="BV1854" t="s">
        <v>1668</v>
      </c>
      <c r="BW1854">
        <v>2713</v>
      </c>
      <c r="BX1854" t="s">
        <v>1738</v>
      </c>
      <c r="BY1854">
        <v>430071</v>
      </c>
      <c r="BZ1854" t="s">
        <v>1713</v>
      </c>
      <c r="CA1854">
        <v>1</v>
      </c>
      <c r="CB1854" t="b">
        <v>1</v>
      </c>
      <c r="CC1854">
        <v>0</v>
      </c>
      <c r="CD1854" t="b">
        <v>0</v>
      </c>
      <c r="CE1854" t="b">
        <v>0</v>
      </c>
      <c r="CF1854" t="b">
        <v>0</v>
      </c>
      <c r="CG1854">
        <v>2626561</v>
      </c>
      <c r="CH1854" t="s">
        <v>1681</v>
      </c>
      <c r="CI1854" s="10">
        <v>1249950</v>
      </c>
      <c r="CJ1854" s="7">
        <v>39057</v>
      </c>
    </row>
    <row r="1855" spans="1:90">
      <c r="A1855">
        <v>28032948</v>
      </c>
      <c r="B1855" s="2" t="str">
        <f>HYPERLINK("http://www.redfin.com/stingray/do/printable-listing?listing-id=1509654","Active")</f>
        <v>Active</v>
      </c>
      <c r="D1855" t="s">
        <v>5161</v>
      </c>
      <c r="E1855" t="s">
        <v>5192</v>
      </c>
      <c r="F1855">
        <v>749800</v>
      </c>
      <c r="G1855">
        <v>1951</v>
      </c>
      <c r="H1855">
        <v>1230</v>
      </c>
      <c r="I1855">
        <v>8502</v>
      </c>
      <c r="J1855">
        <v>3</v>
      </c>
      <c r="K1855">
        <v>1.75</v>
      </c>
      <c r="M1855" s="2" t="str">
        <f>HYPERLINK("http://maps.live.com/default.aspx?v=2&amp;lvl=15&amp;sp=Point.47.576863_-122.221241_8821 SE 37th St&amp;cp=47.576863~-122.221241","Map")</f>
        <v>Map</v>
      </c>
      <c r="N1855" s="2" t="str">
        <f>HYPERLINK("http://i-0.rfimg.us/photo/1/bigphoto/948/28032948_1.jpg","Photo")</f>
        <v>Photo</v>
      </c>
      <c r="AG1855">
        <v>47.576863000000003</v>
      </c>
      <c r="AH1855">
        <v>-122.22124100000001</v>
      </c>
      <c r="AI1855" t="s">
        <v>5139</v>
      </c>
      <c r="AJ1855">
        <v>98040</v>
      </c>
      <c r="AN1855">
        <v>439000</v>
      </c>
      <c r="BC1855" s="22">
        <v>39504.537523148145</v>
      </c>
      <c r="BI1855" s="7">
        <v>39538</v>
      </c>
      <c r="BL1855">
        <v>14996</v>
      </c>
      <c r="BM1855">
        <v>1509654</v>
      </c>
      <c r="BN1855" t="s">
        <v>1688</v>
      </c>
      <c r="BO1855" s="17">
        <f t="shared" ca="1" si="28"/>
        <v>44.771882754634134</v>
      </c>
      <c r="BP1855" t="b">
        <v>0</v>
      </c>
      <c r="BQ1855">
        <v>1</v>
      </c>
      <c r="BR1855" t="s">
        <v>1686</v>
      </c>
      <c r="BS1855" t="s">
        <v>2192</v>
      </c>
      <c r="BT1855" t="b">
        <v>0</v>
      </c>
      <c r="BU1855" t="s">
        <v>3856</v>
      </c>
      <c r="BV1855" t="s">
        <v>1668</v>
      </c>
      <c r="BW1855">
        <v>8821</v>
      </c>
      <c r="BY1855">
        <v>255023</v>
      </c>
      <c r="BZ1855" t="s">
        <v>2799</v>
      </c>
      <c r="CA1855">
        <v>1</v>
      </c>
      <c r="CB1855" t="b">
        <v>1</v>
      </c>
      <c r="CC1855">
        <v>0</v>
      </c>
      <c r="CD1855" t="b">
        <v>0</v>
      </c>
      <c r="CE1855" t="b">
        <v>0</v>
      </c>
      <c r="CF1855" t="b">
        <v>0</v>
      </c>
      <c r="CG1855">
        <v>2576367</v>
      </c>
      <c r="CH1855" t="s">
        <v>1681</v>
      </c>
      <c r="CI1855" s="10">
        <v>749800</v>
      </c>
      <c r="CJ1855" s="7">
        <v>38413</v>
      </c>
    </row>
    <row r="1856" spans="1:90">
      <c r="A1856">
        <v>28032997</v>
      </c>
      <c r="B1856" s="2" t="str">
        <f>HYPERLINK("http://www.redfin.com/stingray/do/printable-listing?listing-id=1511554","Active")</f>
        <v>Active</v>
      </c>
      <c r="D1856" t="s">
        <v>1115</v>
      </c>
      <c r="E1856" t="s">
        <v>3216</v>
      </c>
      <c r="F1856">
        <v>1198000</v>
      </c>
      <c r="G1856">
        <v>2008</v>
      </c>
      <c r="H1856">
        <v>3700</v>
      </c>
      <c r="I1856">
        <v>5160</v>
      </c>
      <c r="J1856">
        <v>5</v>
      </c>
      <c r="K1856">
        <v>3.5</v>
      </c>
      <c r="M1856" s="2" t="str">
        <f>HYPERLINK("http://maps.live.com/default.aspx?v=2&amp;lvl=15&amp;sp=Point.47.685094_-122.28043_4414 NE 77th St&amp;cp=47.685094~-122.28043","Map")</f>
        <v>Map</v>
      </c>
      <c r="N1856" s="2" t="str">
        <f>HYPERLINK("http://i-0.rfimg.us/photo/1/bigphoto/997/28032997_1.jpg","Photo")</f>
        <v>Photo</v>
      </c>
      <c r="AG1856">
        <v>47.685093999999999</v>
      </c>
      <c r="AH1856">
        <v>-122.28043</v>
      </c>
      <c r="AI1856" t="s">
        <v>66</v>
      </c>
      <c r="AJ1856">
        <v>98115</v>
      </c>
      <c r="AN1856">
        <v>420000</v>
      </c>
      <c r="BC1856" s="22">
        <v>39505.088229166664</v>
      </c>
      <c r="BI1856" s="22">
        <v>39549.294907407406</v>
      </c>
      <c r="BL1856">
        <v>23960</v>
      </c>
      <c r="BM1856">
        <v>1511554</v>
      </c>
      <c r="BN1856" t="s">
        <v>1710</v>
      </c>
      <c r="BO1856" s="17">
        <f t="shared" ca="1" si="28"/>
        <v>44.221176736115012</v>
      </c>
      <c r="BP1856" t="b">
        <v>0</v>
      </c>
      <c r="BQ1856">
        <v>1</v>
      </c>
      <c r="BR1856" t="s">
        <v>1686</v>
      </c>
      <c r="BS1856" t="s">
        <v>1714</v>
      </c>
      <c r="BT1856" t="b">
        <v>0</v>
      </c>
      <c r="BU1856" t="s">
        <v>1738</v>
      </c>
      <c r="BV1856" t="s">
        <v>1668</v>
      </c>
      <c r="BW1856">
        <v>4414</v>
      </c>
      <c r="BY1856">
        <v>318646</v>
      </c>
      <c r="BZ1856" t="s">
        <v>1709</v>
      </c>
      <c r="CA1856">
        <v>1</v>
      </c>
      <c r="CB1856" t="b">
        <v>1</v>
      </c>
      <c r="CC1856">
        <v>0</v>
      </c>
      <c r="CD1856" t="b">
        <v>0</v>
      </c>
      <c r="CE1856" t="b">
        <v>0</v>
      </c>
      <c r="CF1856" t="b">
        <v>0</v>
      </c>
      <c r="CG1856">
        <v>2402277</v>
      </c>
      <c r="CH1856" t="s">
        <v>1681</v>
      </c>
      <c r="CI1856" s="10">
        <v>1198000</v>
      </c>
      <c r="CJ1856" s="7">
        <v>39038</v>
      </c>
    </row>
    <row r="1857" spans="1:90">
      <c r="A1857">
        <v>28033035</v>
      </c>
      <c r="B1857" s="2" t="str">
        <f>HYPERLINK("http://www.redfin.com/stingray/do/printable-listing?listing-id=1509232","Subject To Inspection")</f>
        <v>Subject To Inspection</v>
      </c>
      <c r="D1857" t="s">
        <v>60</v>
      </c>
      <c r="E1857" t="s">
        <v>2435</v>
      </c>
      <c r="F1857">
        <v>1220000</v>
      </c>
      <c r="G1857">
        <v>1902</v>
      </c>
      <c r="H1857">
        <v>2790</v>
      </c>
      <c r="I1857">
        <v>4488</v>
      </c>
      <c r="J1857">
        <v>3</v>
      </c>
      <c r="K1857">
        <v>1.5</v>
      </c>
      <c r="M1857" s="2" t="str">
        <f>HYPERLINK("http://maps.live.com/default.aspx?v=2&amp;lvl=15&amp;sp=Point.47.682913_-122.33085_7510 E Green Lake Dr N&amp;cp=47.682913~-122.33085","Map")</f>
        <v>Map</v>
      </c>
      <c r="N1857" s="2" t="str">
        <f>HYPERLINK("http://i-0.rfimg.us/photo/1/bigphoto/035/28033035_1.jpg","Photo")</f>
        <v>Photo</v>
      </c>
      <c r="AG1857">
        <v>47.682912999999999</v>
      </c>
      <c r="AH1857">
        <v>-122.33085</v>
      </c>
      <c r="AI1857" t="s">
        <v>66</v>
      </c>
      <c r="AJ1857">
        <v>98103</v>
      </c>
      <c r="AN1857">
        <v>238000</v>
      </c>
      <c r="BC1857" s="22">
        <v>39504.43240740741</v>
      </c>
      <c r="BI1857" s="7">
        <v>39533</v>
      </c>
      <c r="BL1857">
        <v>24400</v>
      </c>
      <c r="BM1857">
        <v>1509232</v>
      </c>
      <c r="BN1857" t="s">
        <v>1710</v>
      </c>
      <c r="BO1857" s="17">
        <f t="shared" ca="1" si="28"/>
        <v>44.87699861110741</v>
      </c>
      <c r="BP1857" t="b">
        <v>0</v>
      </c>
      <c r="BQ1857">
        <v>2</v>
      </c>
      <c r="BR1857" t="s">
        <v>1816</v>
      </c>
      <c r="BS1857" t="s">
        <v>60</v>
      </c>
      <c r="BT1857" t="b">
        <v>0</v>
      </c>
      <c r="BU1857" t="s">
        <v>2436</v>
      </c>
      <c r="BV1857" t="s">
        <v>1668</v>
      </c>
      <c r="BW1857">
        <v>7510</v>
      </c>
      <c r="BX1857" t="s">
        <v>1712</v>
      </c>
      <c r="BY1857">
        <v>306726</v>
      </c>
      <c r="BZ1857" t="s">
        <v>2437</v>
      </c>
      <c r="CA1857">
        <v>1</v>
      </c>
      <c r="CB1857" t="b">
        <v>1</v>
      </c>
      <c r="CC1857">
        <v>0</v>
      </c>
      <c r="CD1857" t="b">
        <v>0</v>
      </c>
      <c r="CE1857" t="b">
        <v>0</v>
      </c>
      <c r="CF1857" t="b">
        <v>0</v>
      </c>
      <c r="CG1857">
        <v>2509863</v>
      </c>
      <c r="CH1857" t="s">
        <v>1681</v>
      </c>
      <c r="CI1857" s="10">
        <v>1220000</v>
      </c>
      <c r="CJ1857" s="7">
        <v>33688</v>
      </c>
    </row>
    <row r="1858" spans="1:90">
      <c r="A1858">
        <v>28033112</v>
      </c>
      <c r="B1858" s="2" t="str">
        <f>HYPERLINK("http://www.redfin.com/stingray/do/printable-listing?listing-id=1507321","Active")</f>
        <v>Active</v>
      </c>
      <c r="D1858" t="s">
        <v>1129</v>
      </c>
      <c r="E1858" t="s">
        <v>3183</v>
      </c>
      <c r="F1858" s="19">
        <v>575000</v>
      </c>
      <c r="G1858">
        <v>2005</v>
      </c>
      <c r="H1858">
        <v>1620</v>
      </c>
      <c r="I1858">
        <v>0</v>
      </c>
      <c r="J1858">
        <v>3</v>
      </c>
      <c r="K1858">
        <v>2.25</v>
      </c>
      <c r="M1858" s="2" t="str">
        <f>HYPERLINK("http://maps.live.com/default.aspx?v=2&amp;lvl=15&amp;sp=Point.47.670599_-122.269003_5817 55th Ave NE nA&amp;cp=47.670599~-122.269003","Map")</f>
        <v>Map</v>
      </c>
      <c r="N1858" s="2" t="str">
        <f>HYPERLINK("http://i-0.rfimg.us/photo/1/bigphoto/112/28033112_2.jpg","Photo")</f>
        <v>Photo</v>
      </c>
      <c r="AG1858">
        <v>47.670599000000003</v>
      </c>
      <c r="AH1858">
        <v>-122.269003</v>
      </c>
      <c r="AI1858" t="s">
        <v>66</v>
      </c>
      <c r="AJ1858">
        <v>98105</v>
      </c>
      <c r="AM1858" t="s">
        <v>1722</v>
      </c>
      <c r="AN1858">
        <v>574990</v>
      </c>
      <c r="BC1858" s="22">
        <v>39503.68340277778</v>
      </c>
      <c r="BI1858" s="22">
        <v>39549.294907407406</v>
      </c>
      <c r="BL1858">
        <v>12000</v>
      </c>
      <c r="BM1858">
        <v>1507321</v>
      </c>
      <c r="BN1858" t="s">
        <v>1674</v>
      </c>
      <c r="BO1858" s="17">
        <f t="shared" ref="BO1858:BO1921" ca="1" si="29">NOW()-BC1858</f>
        <v>45.626003124998533</v>
      </c>
      <c r="BP1858" t="b">
        <v>0</v>
      </c>
      <c r="BQ1858">
        <v>1</v>
      </c>
      <c r="BR1858" t="s">
        <v>1667</v>
      </c>
      <c r="BS1858" t="s">
        <v>2514</v>
      </c>
      <c r="BT1858" t="b">
        <v>0</v>
      </c>
      <c r="BV1858" t="s">
        <v>1668</v>
      </c>
      <c r="BW1858">
        <v>5817</v>
      </c>
      <c r="BX1858" t="s">
        <v>1738</v>
      </c>
      <c r="BY1858">
        <v>8189605</v>
      </c>
      <c r="BZ1858" t="s">
        <v>2577</v>
      </c>
      <c r="CA1858">
        <v>1</v>
      </c>
      <c r="CB1858" t="b">
        <v>1</v>
      </c>
      <c r="CC1858">
        <v>0</v>
      </c>
      <c r="CD1858" t="b">
        <v>0</v>
      </c>
      <c r="CE1858" t="b">
        <v>0</v>
      </c>
      <c r="CF1858" t="b">
        <v>0</v>
      </c>
      <c r="CG1858">
        <v>3027248</v>
      </c>
      <c r="CH1858" t="s">
        <v>1681</v>
      </c>
      <c r="CI1858" s="10">
        <v>600000</v>
      </c>
      <c r="CJ1858" s="7">
        <v>39036</v>
      </c>
    </row>
    <row r="1859" spans="1:90">
      <c r="A1859">
        <v>28033120</v>
      </c>
      <c r="B1859" s="2" t="str">
        <f>HYPERLINK("http://www.redfin.com/stingray/do/printable-listing?listing-id=1510128","Active")</f>
        <v>Active</v>
      </c>
      <c r="D1859" t="s">
        <v>3064</v>
      </c>
      <c r="E1859" t="s">
        <v>6192</v>
      </c>
      <c r="F1859">
        <v>517000</v>
      </c>
      <c r="G1859">
        <v>2006</v>
      </c>
      <c r="H1859">
        <v>2162</v>
      </c>
      <c r="I1859">
        <v>5140</v>
      </c>
      <c r="J1859">
        <v>4</v>
      </c>
      <c r="K1859">
        <v>2.5</v>
      </c>
      <c r="M1859" s="2" t="str">
        <f>HYPERLINK("http://maps.live.com/default.aspx?v=2&amp;lvl=15&amp;sp=Point.47.4919_-122.1579_230 Chelan Ave NE&amp;cp=47.4919~-122.1579","Map")</f>
        <v>Map</v>
      </c>
      <c r="N1859" s="2" t="str">
        <f>HYPERLINK("http://i-0.rfimg.us/photo/1/bigphoto/120/28033120_1.jpg","Photo")</f>
        <v>Photo</v>
      </c>
      <c r="AG1859">
        <v>47.491900000000001</v>
      </c>
      <c r="AH1859">
        <v>-122.1579</v>
      </c>
      <c r="AI1859" t="s">
        <v>1077</v>
      </c>
      <c r="AJ1859">
        <v>98059</v>
      </c>
      <c r="BC1859" s="22">
        <v>39504.636111111111</v>
      </c>
      <c r="BI1859" s="22">
        <v>39549.294907407406</v>
      </c>
      <c r="BL1859">
        <v>10340</v>
      </c>
      <c r="BM1859">
        <v>1510128</v>
      </c>
      <c r="BN1859" t="s">
        <v>3171</v>
      </c>
      <c r="BO1859" s="17">
        <f t="shared" ca="1" si="29"/>
        <v>44.673294791668013</v>
      </c>
      <c r="BP1859" t="b">
        <v>0</v>
      </c>
      <c r="BQ1859">
        <v>1</v>
      </c>
      <c r="BR1859" t="s">
        <v>1667</v>
      </c>
      <c r="BS1859" t="s">
        <v>5339</v>
      </c>
      <c r="BT1859" t="b">
        <v>0</v>
      </c>
      <c r="BV1859" t="s">
        <v>1668</v>
      </c>
      <c r="BW1859">
        <v>230</v>
      </c>
      <c r="BX1859" t="s">
        <v>1738</v>
      </c>
      <c r="BY1859">
        <v>12299584</v>
      </c>
      <c r="BZ1859" t="s">
        <v>1704</v>
      </c>
      <c r="CA1859">
        <v>1</v>
      </c>
      <c r="CB1859" t="b">
        <v>1</v>
      </c>
      <c r="CC1859">
        <v>0</v>
      </c>
      <c r="CD1859" t="b">
        <v>0</v>
      </c>
      <c r="CE1859" t="b">
        <v>0</v>
      </c>
      <c r="CF1859" t="b">
        <v>0</v>
      </c>
      <c r="CG1859">
        <v>15507744</v>
      </c>
      <c r="CH1859" t="s">
        <v>1681</v>
      </c>
      <c r="CI1859" s="10">
        <v>517000</v>
      </c>
    </row>
    <row r="1860" spans="1:90">
      <c r="A1860">
        <v>28033159</v>
      </c>
      <c r="B1860" s="15" t="str">
        <f>HYPERLINK("http://www.redfin.com/stingray/do/printable-listing?listing-id=1507422","Active")</f>
        <v>Active</v>
      </c>
      <c r="D1860" t="s">
        <v>55</v>
      </c>
      <c r="E1860" t="s">
        <v>2797</v>
      </c>
      <c r="F1860">
        <v>359000</v>
      </c>
      <c r="G1860">
        <v>2007</v>
      </c>
      <c r="H1860">
        <v>0</v>
      </c>
      <c r="I1860">
        <v>0</v>
      </c>
      <c r="J1860">
        <v>3</v>
      </c>
      <c r="K1860">
        <v>2</v>
      </c>
      <c r="M1860" s="2" t="str">
        <f>HYPERLINK("http://maps.live.com/default.aspx?v=2&amp;lvl=15&amp;sp=Point.47.70331_-122.358103_10205 1st Ave NW nB&amp;cp=47.70331~-122.358103","Map")</f>
        <v>Map</v>
      </c>
      <c r="N1860" s="2" t="str">
        <f>HYPERLINK("http://i-0.rfimg.us/photo/1/bigphoto/159/28033159_1.jpg","Photo")</f>
        <v>Photo</v>
      </c>
      <c r="AG1860">
        <v>47.703310000000002</v>
      </c>
      <c r="AH1860">
        <v>-122.358103</v>
      </c>
      <c r="AI1860" t="s">
        <v>66</v>
      </c>
      <c r="AJ1860">
        <v>98177</v>
      </c>
      <c r="AM1860" t="s">
        <v>1699</v>
      </c>
      <c r="BC1860" s="22">
        <v>39503.704027777778</v>
      </c>
      <c r="BI1860" s="22">
        <v>39549.294907407406</v>
      </c>
      <c r="BL1860">
        <v>7180</v>
      </c>
      <c r="BM1860">
        <v>1507422</v>
      </c>
      <c r="BN1860" t="s">
        <v>1693</v>
      </c>
      <c r="BO1860" s="17">
        <f t="shared" ca="1" si="29"/>
        <v>45.605378125001153</v>
      </c>
      <c r="BP1860" t="b">
        <v>0</v>
      </c>
      <c r="BQ1860">
        <v>1</v>
      </c>
      <c r="BR1860" t="s">
        <v>1667</v>
      </c>
      <c r="BS1860" t="s">
        <v>1822</v>
      </c>
      <c r="BT1860" t="b">
        <v>0</v>
      </c>
      <c r="BV1860" t="s">
        <v>1668</v>
      </c>
      <c r="BW1860">
        <v>10205</v>
      </c>
      <c r="BX1860" t="s">
        <v>1669</v>
      </c>
      <c r="BY1860">
        <v>12418460</v>
      </c>
      <c r="BZ1860" t="s">
        <v>1679</v>
      </c>
      <c r="CA1860">
        <v>1</v>
      </c>
      <c r="CB1860" t="b">
        <v>1</v>
      </c>
      <c r="CC1860">
        <v>0</v>
      </c>
      <c r="CD1860" t="b">
        <v>0</v>
      </c>
      <c r="CE1860" t="b">
        <v>0</v>
      </c>
      <c r="CF1860" t="b">
        <v>0</v>
      </c>
      <c r="CG1860">
        <v>15622208</v>
      </c>
      <c r="CH1860" t="s">
        <v>1681</v>
      </c>
      <c r="CI1860" s="10">
        <v>359000</v>
      </c>
    </row>
    <row r="1861" spans="1:90">
      <c r="A1861">
        <v>28033185</v>
      </c>
      <c r="B1861" s="2" t="str">
        <f>HYPERLINK("http://www.redfin.com/stingray/do/printable-listing?listing-id=1520122","Active")</f>
        <v>Active</v>
      </c>
      <c r="D1861" t="s">
        <v>4310</v>
      </c>
      <c r="E1861" t="s">
        <v>4308</v>
      </c>
      <c r="F1861">
        <v>295000</v>
      </c>
      <c r="G1861">
        <v>2007</v>
      </c>
      <c r="H1861">
        <v>1537</v>
      </c>
      <c r="I1861">
        <v>0</v>
      </c>
      <c r="J1861">
        <v>3</v>
      </c>
      <c r="K1861">
        <v>2.5</v>
      </c>
      <c r="M1861" s="2" t="str">
        <f>HYPERLINK("http://maps.live.com/default.aspx?v=2&amp;lvl=15&amp;sp=adr.9216 17th Ave SW nUnit B (Unable to map),98106","Map")</f>
        <v>Map</v>
      </c>
      <c r="N1861" s="2" t="str">
        <f>HYPERLINK("http://i-0.rfimg.us/photo/1/bigphoto/185/28033185_0.jpg","Photo")</f>
        <v>Photo</v>
      </c>
      <c r="AI1861" t="s">
        <v>66</v>
      </c>
      <c r="AJ1861">
        <v>98106</v>
      </c>
      <c r="AM1861" t="s">
        <v>4309</v>
      </c>
      <c r="BC1861" s="22">
        <v>39507.674120370371</v>
      </c>
      <c r="BI1861" s="22">
        <v>39549.294907407406</v>
      </c>
      <c r="BL1861">
        <v>5850</v>
      </c>
      <c r="BM1861">
        <v>1520122</v>
      </c>
      <c r="BN1861" t="s">
        <v>1673</v>
      </c>
      <c r="BO1861" s="17">
        <f t="shared" ca="1" si="29"/>
        <v>41.635285532407579</v>
      </c>
      <c r="BP1861" t="b">
        <v>0</v>
      </c>
      <c r="BQ1861">
        <v>1</v>
      </c>
      <c r="BR1861" t="s">
        <v>1667</v>
      </c>
      <c r="BS1861" t="s">
        <v>1683</v>
      </c>
      <c r="BT1861" t="b">
        <v>0</v>
      </c>
      <c r="BV1861" t="s">
        <v>1668</v>
      </c>
      <c r="BW1861">
        <v>9216</v>
      </c>
      <c r="BX1861" t="s">
        <v>1869</v>
      </c>
      <c r="BY1861">
        <v>0</v>
      </c>
      <c r="BZ1861" t="s">
        <v>1672</v>
      </c>
      <c r="CA1861">
        <v>1</v>
      </c>
      <c r="CB1861" t="b">
        <v>1</v>
      </c>
      <c r="CC1861">
        <v>0</v>
      </c>
      <c r="CD1861" t="b">
        <v>0</v>
      </c>
      <c r="CE1861" t="b">
        <v>0</v>
      </c>
      <c r="CF1861" t="b">
        <v>0</v>
      </c>
      <c r="CG1861" t="s">
        <v>1870</v>
      </c>
      <c r="CH1861" t="s">
        <v>1681</v>
      </c>
      <c r="CI1861" s="10">
        <v>295000</v>
      </c>
    </row>
    <row r="1862" spans="1:90">
      <c r="A1862">
        <v>28033192</v>
      </c>
      <c r="B1862" s="2" t="str">
        <f>HYPERLINK("http://www.redfin.com/stingray/do/printable-listing?listing-id=1515220","Active")</f>
        <v>Active</v>
      </c>
      <c r="D1862" t="s">
        <v>3691</v>
      </c>
      <c r="E1862" t="s">
        <v>3688</v>
      </c>
      <c r="F1862">
        <v>609950</v>
      </c>
      <c r="G1862">
        <v>2006</v>
      </c>
      <c r="H1862">
        <v>0</v>
      </c>
      <c r="I1862">
        <v>1093</v>
      </c>
      <c r="J1862">
        <v>3</v>
      </c>
      <c r="K1862">
        <v>2.5</v>
      </c>
      <c r="M1862" s="2" t="str">
        <f>HYPERLINK("http://maps.live.com/default.aspx?v=2&amp;lvl=15&amp;sp=Point.47.641817_-122.314394_2502 Boyer Ave E&amp;cp=47.641817~-122.314394","Map")</f>
        <v>Map</v>
      </c>
      <c r="N1862" s="2" t="str">
        <f>HYPERLINK("http://i-0.rfimg.us/photo/1/bigphoto/192/28033192_4.jpg","Photo")</f>
        <v>Photo</v>
      </c>
      <c r="AG1862">
        <v>47.641817000000003</v>
      </c>
      <c r="AH1862">
        <v>-122.31439399999999</v>
      </c>
      <c r="AI1862" t="s">
        <v>66</v>
      </c>
      <c r="AJ1862">
        <v>98102</v>
      </c>
      <c r="BC1862" s="22">
        <v>39506.422754629632</v>
      </c>
      <c r="BI1862" s="22">
        <v>39549.294907407406</v>
      </c>
      <c r="BL1862">
        <v>12199</v>
      </c>
      <c r="BM1862">
        <v>1515220</v>
      </c>
      <c r="BN1862" t="s">
        <v>1715</v>
      </c>
      <c r="BO1862" s="17">
        <f t="shared" ca="1" si="29"/>
        <v>42.886651273147436</v>
      </c>
      <c r="BP1862" t="b">
        <v>0</v>
      </c>
      <c r="BQ1862">
        <v>1</v>
      </c>
      <c r="BR1862" t="s">
        <v>1667</v>
      </c>
      <c r="BS1862" t="s">
        <v>3689</v>
      </c>
      <c r="BT1862" t="b">
        <v>0</v>
      </c>
      <c r="BV1862" t="s">
        <v>1668</v>
      </c>
      <c r="BW1862">
        <v>2502</v>
      </c>
      <c r="BX1862" t="s">
        <v>2436</v>
      </c>
      <c r="BY1862">
        <v>12385129</v>
      </c>
      <c r="BZ1862" t="s">
        <v>3690</v>
      </c>
      <c r="CA1862">
        <v>1</v>
      </c>
      <c r="CB1862" t="b">
        <v>1</v>
      </c>
      <c r="CC1862">
        <v>0</v>
      </c>
      <c r="CD1862" t="b">
        <v>0</v>
      </c>
      <c r="CE1862" t="b">
        <v>0</v>
      </c>
      <c r="CF1862" t="b">
        <v>0</v>
      </c>
      <c r="CG1862">
        <v>15588877</v>
      </c>
      <c r="CH1862" t="s">
        <v>1681</v>
      </c>
      <c r="CI1862" s="10">
        <v>609950</v>
      </c>
    </row>
    <row r="1863" spans="1:90">
      <c r="A1863">
        <v>28033224</v>
      </c>
      <c r="B1863" s="2" t="str">
        <f>HYPERLINK("http://www.redfin.com/stingray/do/printable-listing?listing-id=1509187","Active")</f>
        <v>Active</v>
      </c>
      <c r="D1863" t="s">
        <v>3064</v>
      </c>
      <c r="E1863" t="s">
        <v>6066</v>
      </c>
      <c r="F1863">
        <v>365000</v>
      </c>
      <c r="G1863">
        <v>2001</v>
      </c>
      <c r="H1863">
        <v>2035</v>
      </c>
      <c r="I1863">
        <v>4988</v>
      </c>
      <c r="J1863">
        <v>4</v>
      </c>
      <c r="K1863">
        <v>2.5</v>
      </c>
      <c r="M1863" s="2" t="str">
        <f>HYPERLINK("http://maps.live.com/default.aspx?v=2&amp;lvl=15&amp;sp=Point.47.508733_-122.168821_1923 Redmond Ave NE&amp;cp=47.508733~-122.168821","Map")</f>
        <v>Map</v>
      </c>
      <c r="N1863" s="2" t="str">
        <f>HYPERLINK("http://i-0.rfimg.us/photo/1/bigphoto/224/28033224_.jpg","Photo")</f>
        <v>Photo</v>
      </c>
      <c r="AG1863">
        <v>47.508732999999999</v>
      </c>
      <c r="AH1863">
        <v>-122.16882099999999</v>
      </c>
      <c r="AI1863" t="s">
        <v>1077</v>
      </c>
      <c r="AJ1863">
        <v>98056</v>
      </c>
      <c r="AN1863">
        <v>414900</v>
      </c>
      <c r="BC1863" s="22">
        <v>39504.410694444443</v>
      </c>
      <c r="BI1863" s="22">
        <v>39549.294907407406</v>
      </c>
      <c r="BL1863">
        <v>7300</v>
      </c>
      <c r="BM1863">
        <v>1509187</v>
      </c>
      <c r="BN1863" t="s">
        <v>6065</v>
      </c>
      <c r="BO1863" s="17">
        <f t="shared" ca="1" si="29"/>
        <v>44.898711458336038</v>
      </c>
      <c r="BP1863" t="b">
        <v>0</v>
      </c>
      <c r="BQ1863">
        <v>1</v>
      </c>
      <c r="BR1863" t="s">
        <v>1667</v>
      </c>
      <c r="BS1863" t="s">
        <v>4363</v>
      </c>
      <c r="BT1863" t="b">
        <v>0</v>
      </c>
      <c r="BV1863" t="s">
        <v>1668</v>
      </c>
      <c r="BW1863">
        <v>1923</v>
      </c>
      <c r="BX1863" t="s">
        <v>1738</v>
      </c>
      <c r="BY1863">
        <v>412458</v>
      </c>
      <c r="CA1863">
        <v>1</v>
      </c>
      <c r="CB1863" t="b">
        <v>1</v>
      </c>
      <c r="CC1863">
        <v>0</v>
      </c>
      <c r="CD1863" t="b">
        <v>0</v>
      </c>
      <c r="CE1863" t="b">
        <v>0</v>
      </c>
      <c r="CF1863" t="b">
        <v>0</v>
      </c>
      <c r="CG1863">
        <v>2730152</v>
      </c>
      <c r="CH1863" t="s">
        <v>1681</v>
      </c>
      <c r="CI1863" s="10">
        <v>365000</v>
      </c>
      <c r="CJ1863" s="7">
        <v>38852</v>
      </c>
    </row>
    <row r="1864" spans="1:90">
      <c r="A1864">
        <v>28033259</v>
      </c>
      <c r="B1864" s="2" t="str">
        <f>HYPERLINK("http://www.redfin.com/stingray/do/printable-listing?listing-id=1510005","Active")</f>
        <v>Active</v>
      </c>
      <c r="D1864" t="s">
        <v>109</v>
      </c>
      <c r="E1864" t="s">
        <v>3645</v>
      </c>
      <c r="F1864">
        <v>895000</v>
      </c>
      <c r="G1864">
        <v>1991</v>
      </c>
      <c r="H1864">
        <v>2820</v>
      </c>
      <c r="I1864">
        <v>6627</v>
      </c>
      <c r="J1864">
        <v>3</v>
      </c>
      <c r="K1864">
        <v>3.25</v>
      </c>
      <c r="M1864" s="2" t="str">
        <f>HYPERLINK("http://maps.live.com/default.aspx?v=2&amp;lvl=15&amp;sp=Point.47.657418_-122.341447_1310 N 41st St nC&amp;cp=47.657418~-122.341447","Map")</f>
        <v>Map</v>
      </c>
      <c r="N1864" s="2" t="str">
        <f>HYPERLINK("http://i-0.rfimg.us/photo/1/bigphoto/259/28033259_1.jpg","Photo")</f>
        <v>Photo</v>
      </c>
      <c r="AG1864">
        <v>47.657418</v>
      </c>
      <c r="AH1864">
        <v>-122.341447</v>
      </c>
      <c r="AI1864" t="s">
        <v>66</v>
      </c>
      <c r="AJ1864">
        <v>98103</v>
      </c>
      <c r="AM1864" t="s">
        <v>2341</v>
      </c>
      <c r="BC1864" s="22">
        <v>39504.61209490741</v>
      </c>
      <c r="BI1864" s="22">
        <v>39549.294907407406</v>
      </c>
      <c r="BL1864">
        <v>17900</v>
      </c>
      <c r="BM1864">
        <v>1510005</v>
      </c>
      <c r="BN1864" t="s">
        <v>1702</v>
      </c>
      <c r="BO1864" s="17">
        <f t="shared" ca="1" si="29"/>
        <v>44.697310995368753</v>
      </c>
      <c r="BP1864" t="b">
        <v>0</v>
      </c>
      <c r="BQ1864">
        <v>1</v>
      </c>
      <c r="BR1864" t="s">
        <v>1686</v>
      </c>
      <c r="BS1864" t="s">
        <v>3222</v>
      </c>
      <c r="BT1864" t="b">
        <v>0</v>
      </c>
      <c r="BU1864" t="s">
        <v>1712</v>
      </c>
      <c r="BV1864" t="s">
        <v>1668</v>
      </c>
      <c r="BW1864">
        <v>1310</v>
      </c>
      <c r="BY1864">
        <v>12419011</v>
      </c>
      <c r="BZ1864" t="s">
        <v>3646</v>
      </c>
      <c r="CA1864">
        <v>1</v>
      </c>
      <c r="CB1864" t="b">
        <v>1</v>
      </c>
      <c r="CC1864">
        <v>0</v>
      </c>
      <c r="CD1864" t="b">
        <v>0</v>
      </c>
      <c r="CE1864" t="b">
        <v>0</v>
      </c>
      <c r="CF1864" t="b">
        <v>0</v>
      </c>
      <c r="CG1864">
        <v>15622759</v>
      </c>
      <c r="CH1864" t="s">
        <v>1681</v>
      </c>
      <c r="CI1864" s="10">
        <v>895000</v>
      </c>
    </row>
    <row r="1865" spans="1:90">
      <c r="A1865">
        <v>28033265</v>
      </c>
      <c r="B1865" s="2" t="str">
        <f>HYPERLINK("http://www.redfin.com/stingray/do/printable-listing?listing-id=1507999","Active")</f>
        <v>Active</v>
      </c>
      <c r="D1865" t="s">
        <v>369</v>
      </c>
      <c r="E1865" t="s">
        <v>5496</v>
      </c>
      <c r="F1865" s="19">
        <v>699950</v>
      </c>
      <c r="G1865">
        <v>1978</v>
      </c>
      <c r="H1865">
        <v>3000</v>
      </c>
      <c r="I1865">
        <v>8916</v>
      </c>
      <c r="J1865">
        <v>4</v>
      </c>
      <c r="K1865">
        <v>3</v>
      </c>
      <c r="M1865" s="2" t="str">
        <f>HYPERLINK("http://maps.live.com/default.aspx?v=2&amp;lvl=15&amp;sp=Point.47.573344_-122.115264_4041 169th Ave SE&amp;cp=47.573344~-122.115264","Map")</f>
        <v>Map</v>
      </c>
      <c r="N1865" s="2" t="str">
        <f>HYPERLINK("http://i-0.rfimg.us/photo/1/bigphoto/265/28033265_1.jpg","Photo")</f>
        <v>Photo</v>
      </c>
      <c r="AG1865">
        <v>47.573343999999999</v>
      </c>
      <c r="AH1865">
        <v>-122.115264</v>
      </c>
      <c r="AI1865" t="s">
        <v>369</v>
      </c>
      <c r="AJ1865">
        <v>98008</v>
      </c>
      <c r="AN1865">
        <v>258000</v>
      </c>
      <c r="BC1865" s="22">
        <v>39503.859652777777</v>
      </c>
      <c r="BI1865" s="22">
        <v>39549.294907407406</v>
      </c>
      <c r="BL1865">
        <v>14799</v>
      </c>
      <c r="BM1865">
        <v>1507999</v>
      </c>
      <c r="BN1865" t="s">
        <v>1674</v>
      </c>
      <c r="BO1865" s="17">
        <f t="shared" ca="1" si="29"/>
        <v>45.449753125001735</v>
      </c>
      <c r="BP1865" t="b">
        <v>0</v>
      </c>
      <c r="BQ1865">
        <v>1</v>
      </c>
      <c r="BR1865" t="s">
        <v>1667</v>
      </c>
      <c r="BS1865" t="s">
        <v>5110</v>
      </c>
      <c r="BT1865" t="b">
        <v>0</v>
      </c>
      <c r="BV1865" t="s">
        <v>1668</v>
      </c>
      <c r="BW1865">
        <v>4041</v>
      </c>
      <c r="BX1865" t="s">
        <v>3856</v>
      </c>
      <c r="BY1865">
        <v>429138</v>
      </c>
      <c r="BZ1865" t="s">
        <v>3309</v>
      </c>
      <c r="CA1865">
        <v>1</v>
      </c>
      <c r="CB1865" t="b">
        <v>1</v>
      </c>
      <c r="CC1865">
        <v>0</v>
      </c>
      <c r="CD1865" t="b">
        <v>0</v>
      </c>
      <c r="CE1865" t="b">
        <v>0</v>
      </c>
      <c r="CF1865" t="b">
        <v>0</v>
      </c>
      <c r="CG1865">
        <v>2842166</v>
      </c>
      <c r="CH1865" t="s">
        <v>1681</v>
      </c>
      <c r="CI1865" s="10">
        <v>739950</v>
      </c>
      <c r="CJ1865" s="7">
        <v>35704</v>
      </c>
    </row>
    <row r="1866" spans="1:90">
      <c r="A1866">
        <v>28033272</v>
      </c>
      <c r="B1866" s="2" t="str">
        <f>HYPERLINK("http://www.redfin.com/stingray/do/printable-listing?listing-id=1512187","Subject To Inspection")</f>
        <v>Subject To Inspection</v>
      </c>
      <c r="D1866" t="s">
        <v>3704</v>
      </c>
      <c r="E1866" t="s">
        <v>4074</v>
      </c>
      <c r="F1866">
        <v>335000</v>
      </c>
      <c r="G1866">
        <v>1918</v>
      </c>
      <c r="H1866">
        <v>1310</v>
      </c>
      <c r="I1866">
        <v>1770</v>
      </c>
      <c r="J1866">
        <v>2</v>
      </c>
      <c r="K1866">
        <v>1</v>
      </c>
      <c r="M1866" s="2" t="str">
        <f>HYPERLINK("http://maps.live.com/default.aspx?v=2&amp;lvl=15&amp;sp=Point.47.613219_-122.29815_2614 E Union St nA&amp;cp=47.613219~-122.29815","Map")</f>
        <v>Map</v>
      </c>
      <c r="N1866" s="2" t="str">
        <f>HYPERLINK("http://i-0.rfimg.us/photo/1/bigphoto/272/28033272_0.jpg","Photo")</f>
        <v>Photo</v>
      </c>
      <c r="AG1866">
        <v>47.613219000000001</v>
      </c>
      <c r="AH1866">
        <v>-122.29815000000001</v>
      </c>
      <c r="AI1866" t="s">
        <v>66</v>
      </c>
      <c r="AJ1866">
        <v>98122</v>
      </c>
      <c r="AM1866" t="s">
        <v>1722</v>
      </c>
      <c r="BC1866" s="22">
        <v>39505.463541666664</v>
      </c>
      <c r="BI1866" s="7">
        <v>39539</v>
      </c>
      <c r="BL1866">
        <v>6700</v>
      </c>
      <c r="BM1866">
        <v>1512187</v>
      </c>
      <c r="BN1866" t="s">
        <v>3253</v>
      </c>
      <c r="BO1866" s="17">
        <f t="shared" ca="1" si="29"/>
        <v>43.845864236114721</v>
      </c>
      <c r="BP1866" t="b">
        <v>0</v>
      </c>
      <c r="BQ1866">
        <v>2</v>
      </c>
      <c r="BR1866" t="s">
        <v>1686</v>
      </c>
      <c r="BS1866" t="s">
        <v>4075</v>
      </c>
      <c r="BT1866" t="b">
        <v>0</v>
      </c>
      <c r="BU1866" t="s">
        <v>2436</v>
      </c>
      <c r="BV1866" t="s">
        <v>1668</v>
      </c>
      <c r="BW1866">
        <v>2614</v>
      </c>
      <c r="BY1866">
        <v>12419740</v>
      </c>
      <c r="BZ1866" t="s">
        <v>1762</v>
      </c>
      <c r="CA1866">
        <v>1</v>
      </c>
      <c r="CB1866" t="b">
        <v>1</v>
      </c>
      <c r="CC1866">
        <v>0</v>
      </c>
      <c r="CD1866" t="b">
        <v>0</v>
      </c>
      <c r="CE1866" t="b">
        <v>0</v>
      </c>
      <c r="CF1866" t="b">
        <v>0</v>
      </c>
      <c r="CG1866">
        <v>15623488</v>
      </c>
      <c r="CH1866" t="s">
        <v>1681</v>
      </c>
      <c r="CI1866" s="10">
        <v>335000</v>
      </c>
    </row>
    <row r="1867" spans="1:90">
      <c r="A1867">
        <v>28033278</v>
      </c>
      <c r="B1867" s="2" t="str">
        <f>HYPERLINK("http://www.redfin.com/stingray/do/printable-listing?listing-id=1510855","Active")</f>
        <v>Active</v>
      </c>
      <c r="D1867" t="s">
        <v>100</v>
      </c>
      <c r="E1867" t="s">
        <v>2647</v>
      </c>
      <c r="F1867">
        <v>498750</v>
      </c>
      <c r="G1867">
        <v>2002</v>
      </c>
      <c r="H1867">
        <v>1690</v>
      </c>
      <c r="I1867">
        <v>0</v>
      </c>
      <c r="J1867">
        <v>3</v>
      </c>
      <c r="K1867">
        <v>3.5</v>
      </c>
      <c r="M1867" s="2" t="str">
        <f>HYPERLINK("http://maps.live.com/default.aspx?v=2&amp;lvl=15&amp;sp=Point.47.660572_-122.353163_4426 Francis Ave N nA&amp;cp=47.660572~-122.353163","Map")</f>
        <v>Map</v>
      </c>
      <c r="N1867" s="2" t="str">
        <f>HYPERLINK("http://i-0.rfimg.us/photo/1/bigphoto/278/28033278_6.jpg","Photo")</f>
        <v>Photo</v>
      </c>
      <c r="AG1867">
        <v>47.660572000000002</v>
      </c>
      <c r="AH1867">
        <v>-122.353163</v>
      </c>
      <c r="AI1867" t="s">
        <v>66</v>
      </c>
      <c r="AJ1867">
        <v>98103</v>
      </c>
      <c r="AM1867" t="s">
        <v>1722</v>
      </c>
      <c r="BC1867" s="22">
        <v>39504.86990740741</v>
      </c>
      <c r="BI1867" s="22">
        <v>39549.294907407406</v>
      </c>
      <c r="BL1867">
        <v>9975</v>
      </c>
      <c r="BM1867">
        <v>1510855</v>
      </c>
      <c r="BN1867" t="s">
        <v>1702</v>
      </c>
      <c r="BO1867" s="17">
        <f t="shared" ca="1" si="29"/>
        <v>44.43949861110741</v>
      </c>
      <c r="BP1867" t="b">
        <v>0</v>
      </c>
      <c r="BQ1867">
        <v>1</v>
      </c>
      <c r="BR1867" t="s">
        <v>1667</v>
      </c>
      <c r="BS1867" t="s">
        <v>2648</v>
      </c>
      <c r="BT1867" t="b">
        <v>0</v>
      </c>
      <c r="BV1867" t="s">
        <v>1668</v>
      </c>
      <c r="BW1867">
        <v>4426</v>
      </c>
      <c r="BX1867" t="s">
        <v>1712</v>
      </c>
      <c r="BY1867">
        <v>12419617</v>
      </c>
      <c r="BZ1867" t="s">
        <v>2649</v>
      </c>
      <c r="CA1867">
        <v>1</v>
      </c>
      <c r="CB1867" t="b">
        <v>1</v>
      </c>
      <c r="CC1867">
        <v>0</v>
      </c>
      <c r="CD1867" t="b">
        <v>0</v>
      </c>
      <c r="CE1867" t="b">
        <v>0</v>
      </c>
      <c r="CF1867" t="b">
        <v>0</v>
      </c>
      <c r="CG1867">
        <v>15623365</v>
      </c>
      <c r="CH1867" t="s">
        <v>1681</v>
      </c>
      <c r="CI1867" s="10">
        <v>498750</v>
      </c>
    </row>
    <row r="1868" spans="1:90">
      <c r="A1868">
        <v>28033381</v>
      </c>
      <c r="B1868" s="2" t="str">
        <f>HYPERLINK("http://www.redfin.com/stingray/do/printable-listing?listing-id=1513032","Active")</f>
        <v>Active</v>
      </c>
      <c r="D1868" t="s">
        <v>5121</v>
      </c>
      <c r="E1868" t="s">
        <v>5526</v>
      </c>
      <c r="F1868">
        <v>949950</v>
      </c>
      <c r="G1868">
        <v>1999</v>
      </c>
      <c r="H1868">
        <v>2070</v>
      </c>
      <c r="I1868">
        <v>9416</v>
      </c>
      <c r="J1868">
        <v>3</v>
      </c>
      <c r="K1868">
        <v>2.5</v>
      </c>
      <c r="M1868" s="2" t="str">
        <f>HYPERLINK("http://maps.live.com/default.aspx?v=2&amp;lvl=15&amp;sp=Point.47.589806_-122.19701_10665 SE 23rd St&amp;cp=47.589806~-122.19701","Map")</f>
        <v>Map</v>
      </c>
      <c r="N1868" s="2" t="str">
        <f>HYPERLINK("http://i-0.rfimg.us/photo/1/bigphoto/381/28033381_0.jpg","Photo")</f>
        <v>Photo</v>
      </c>
      <c r="AG1868">
        <v>47.589806000000003</v>
      </c>
      <c r="AH1868">
        <v>-122.19701000000001</v>
      </c>
      <c r="AI1868" t="s">
        <v>369</v>
      </c>
      <c r="AJ1868">
        <v>98004</v>
      </c>
      <c r="AN1868">
        <v>485000</v>
      </c>
      <c r="BC1868" s="22">
        <v>39505.631192129629</v>
      </c>
      <c r="BI1868" s="22">
        <v>39549.294907407406</v>
      </c>
      <c r="BL1868">
        <v>18999</v>
      </c>
      <c r="BM1868">
        <v>1513032</v>
      </c>
      <c r="BN1868" t="s">
        <v>1768</v>
      </c>
      <c r="BO1868" s="17">
        <f t="shared" ca="1" si="29"/>
        <v>43.678213773149764</v>
      </c>
      <c r="BP1868" t="b">
        <v>0</v>
      </c>
      <c r="BQ1868">
        <v>1</v>
      </c>
      <c r="BR1868" t="s">
        <v>1686</v>
      </c>
      <c r="BS1868" t="s">
        <v>1839</v>
      </c>
      <c r="BT1868" t="b">
        <v>0</v>
      </c>
      <c r="BU1868" t="s">
        <v>3856</v>
      </c>
      <c r="BV1868" t="s">
        <v>1668</v>
      </c>
      <c r="BW1868">
        <v>10665</v>
      </c>
      <c r="BY1868">
        <v>510585</v>
      </c>
      <c r="BZ1868" t="s">
        <v>1676</v>
      </c>
      <c r="CA1868">
        <v>1</v>
      </c>
      <c r="CB1868" t="b">
        <v>1</v>
      </c>
      <c r="CC1868">
        <v>0</v>
      </c>
      <c r="CD1868" t="b">
        <v>0</v>
      </c>
      <c r="CE1868" t="b">
        <v>0</v>
      </c>
      <c r="CF1868" t="b">
        <v>0</v>
      </c>
      <c r="CG1868">
        <v>2870788</v>
      </c>
      <c r="CH1868" t="s">
        <v>1681</v>
      </c>
      <c r="CI1868" s="10">
        <v>949950</v>
      </c>
      <c r="CJ1868" s="7">
        <v>37733</v>
      </c>
    </row>
    <row r="1869" spans="1:90">
      <c r="A1869">
        <v>28033385</v>
      </c>
      <c r="B1869" s="2" t="str">
        <f>HYPERLINK("http://www.redfin.com/stingray/do/printable-listing?listing-id=1509182","Subject To Inspection")</f>
        <v>Subject To Inspection</v>
      </c>
      <c r="D1869" t="s">
        <v>101</v>
      </c>
      <c r="E1869" t="s">
        <v>1290</v>
      </c>
      <c r="F1869">
        <v>949000</v>
      </c>
      <c r="G1869">
        <v>1965</v>
      </c>
      <c r="H1869">
        <v>3900</v>
      </c>
      <c r="I1869">
        <v>12635</v>
      </c>
      <c r="J1869">
        <v>4</v>
      </c>
      <c r="K1869">
        <v>3</v>
      </c>
      <c r="M1869" s="2" t="str">
        <f>HYPERLINK("http://maps.live.com/default.aspx?v=2&amp;lvl=15&amp;sp=Point.47.694166_-122.40037_8812 Golden Gardens Dr NW&amp;cp=47.694166~-122.40037","Map")</f>
        <v>Map</v>
      </c>
      <c r="N1869" s="2" t="str">
        <f>HYPERLINK("http://i-0.rfimg.us/photo/1/bigphoto/385/28033385_4.jpg","Photo")</f>
        <v>Photo</v>
      </c>
      <c r="AG1869">
        <v>47.694166000000003</v>
      </c>
      <c r="AH1869">
        <v>-122.40037</v>
      </c>
      <c r="AI1869" t="s">
        <v>66</v>
      </c>
      <c r="AJ1869">
        <v>98117</v>
      </c>
      <c r="AN1869">
        <v>475000</v>
      </c>
      <c r="BC1869" s="22">
        <v>39504.410636574074</v>
      </c>
      <c r="BI1869" s="22">
        <v>39549.294907407406</v>
      </c>
      <c r="BL1869">
        <v>18980</v>
      </c>
      <c r="BM1869">
        <v>1509182</v>
      </c>
      <c r="BN1869" t="s">
        <v>1798</v>
      </c>
      <c r="BO1869" s="17">
        <f t="shared" ca="1" si="29"/>
        <v>44.898769444444042</v>
      </c>
      <c r="BP1869" t="b">
        <v>0</v>
      </c>
      <c r="BQ1869">
        <v>2</v>
      </c>
      <c r="BR1869" t="s">
        <v>1816</v>
      </c>
      <c r="BS1869" t="s">
        <v>1919</v>
      </c>
      <c r="BT1869" t="b">
        <v>0</v>
      </c>
      <c r="BV1869" t="s">
        <v>1668</v>
      </c>
      <c r="BW1869">
        <v>8812</v>
      </c>
      <c r="BX1869" t="s">
        <v>1669</v>
      </c>
      <c r="BY1869">
        <v>289330</v>
      </c>
      <c r="BZ1869" t="s">
        <v>1920</v>
      </c>
      <c r="CA1869">
        <v>1</v>
      </c>
      <c r="CB1869" t="b">
        <v>1</v>
      </c>
      <c r="CC1869">
        <v>0</v>
      </c>
      <c r="CD1869" t="b">
        <v>0</v>
      </c>
      <c r="CE1869" t="b">
        <v>0</v>
      </c>
      <c r="CF1869" t="b">
        <v>0</v>
      </c>
      <c r="CG1869">
        <v>2823748</v>
      </c>
      <c r="CH1869" t="s">
        <v>1681</v>
      </c>
      <c r="CI1869" s="10">
        <v>949000</v>
      </c>
      <c r="CJ1869" s="7">
        <v>38040</v>
      </c>
      <c r="CK1869" t="s">
        <v>2277</v>
      </c>
    </row>
    <row r="1870" spans="1:90">
      <c r="A1870">
        <v>28033420</v>
      </c>
      <c r="B1870" s="2" t="str">
        <f>HYPERLINK("http://www.redfin.com/stingray/do/printable-listing?listing-id=1520418","Active")</f>
        <v>Active</v>
      </c>
      <c r="D1870" t="s">
        <v>3089</v>
      </c>
      <c r="E1870" t="s">
        <v>3217</v>
      </c>
      <c r="F1870">
        <v>1400000</v>
      </c>
      <c r="G1870">
        <v>1939</v>
      </c>
      <c r="H1870">
        <v>3380</v>
      </c>
      <c r="I1870">
        <v>4582</v>
      </c>
      <c r="J1870">
        <v>4</v>
      </c>
      <c r="K1870">
        <v>3.5</v>
      </c>
      <c r="M1870" s="2" t="str">
        <f>HYPERLINK("http://maps.live.com/default.aspx?v=2&amp;lvl=15&amp;sp=Point.47.661798_-122.271192_4518 52nd Ave NE&amp;cp=47.661798~-122.271192","Map")</f>
        <v>Map</v>
      </c>
      <c r="N1870" s="2" t="str">
        <f>HYPERLINK("http://i-0.rfimg.us/photo/1/bigphoto/420/28033420_1.jpg","Photo")</f>
        <v>Photo</v>
      </c>
      <c r="AG1870">
        <v>47.661797999999997</v>
      </c>
      <c r="AH1870">
        <v>-122.271192</v>
      </c>
      <c r="AI1870" t="s">
        <v>66</v>
      </c>
      <c r="AJ1870">
        <v>98105</v>
      </c>
      <c r="AN1870">
        <v>485000</v>
      </c>
      <c r="BC1870" s="22">
        <v>39507.726157407407</v>
      </c>
      <c r="BI1870" s="22">
        <v>39549.294907407406</v>
      </c>
      <c r="BL1870">
        <v>28000</v>
      </c>
      <c r="BM1870">
        <v>1520418</v>
      </c>
      <c r="BN1870" t="s">
        <v>1710</v>
      </c>
      <c r="BO1870" s="17">
        <f t="shared" ca="1" si="29"/>
        <v>41.583248495371663</v>
      </c>
      <c r="BP1870" t="b">
        <v>0</v>
      </c>
      <c r="BQ1870">
        <v>1</v>
      </c>
      <c r="BR1870" t="s">
        <v>1667</v>
      </c>
      <c r="BS1870" t="s">
        <v>2455</v>
      </c>
      <c r="BT1870" t="b">
        <v>0</v>
      </c>
      <c r="BV1870" t="s">
        <v>1668</v>
      </c>
      <c r="BW1870">
        <v>4518</v>
      </c>
      <c r="BX1870" t="s">
        <v>1738</v>
      </c>
      <c r="BY1870">
        <v>121396</v>
      </c>
      <c r="BZ1870" t="s">
        <v>1820</v>
      </c>
      <c r="CA1870">
        <v>1</v>
      </c>
      <c r="CB1870" t="b">
        <v>1</v>
      </c>
      <c r="CC1870">
        <v>0</v>
      </c>
      <c r="CD1870" t="b">
        <v>0</v>
      </c>
      <c r="CE1870" t="b">
        <v>0</v>
      </c>
      <c r="CF1870" t="b">
        <v>0</v>
      </c>
      <c r="CG1870">
        <v>2493052</v>
      </c>
      <c r="CH1870" t="s">
        <v>1681</v>
      </c>
      <c r="CI1870" s="10">
        <v>1400000</v>
      </c>
      <c r="CJ1870" s="7">
        <v>33508</v>
      </c>
    </row>
    <row r="1871" spans="1:90">
      <c r="A1871">
        <v>28033433</v>
      </c>
      <c r="B1871" s="2" t="str">
        <f>HYPERLINK("http://www.redfin.com/stingray/do/printable-listing?listing-id=1510470","Active")</f>
        <v>Active</v>
      </c>
      <c r="D1871" t="s">
        <v>192</v>
      </c>
      <c r="E1871" t="s">
        <v>1526</v>
      </c>
      <c r="F1871">
        <v>445000</v>
      </c>
      <c r="G1871">
        <v>1941</v>
      </c>
      <c r="H1871">
        <v>2240</v>
      </c>
      <c r="I1871">
        <v>5400</v>
      </c>
      <c r="J1871">
        <v>3</v>
      </c>
      <c r="K1871">
        <v>1</v>
      </c>
      <c r="M1871" s="2" t="str">
        <f>HYPERLINK("http://maps.live.com/default.aspx?v=2&amp;lvl=15&amp;sp=Point.47.689094_-122.31188_8216 15th Ave NE&amp;cp=47.689094~-122.31188","Map")</f>
        <v>Map</v>
      </c>
      <c r="N1871" s="2" t="str">
        <f>HYPERLINK("http://i-0.rfimg.us/photo/1/bigphoto/433/28033433_1.jpg","Photo")</f>
        <v>Photo</v>
      </c>
      <c r="AG1871">
        <v>47.689093999999997</v>
      </c>
      <c r="AH1871">
        <v>-122.31188</v>
      </c>
      <c r="AI1871" t="s">
        <v>66</v>
      </c>
      <c r="AJ1871">
        <v>98115</v>
      </c>
      <c r="AN1871">
        <v>172000</v>
      </c>
      <c r="BC1871" s="22">
        <v>39504.710497685184</v>
      </c>
      <c r="BI1871" s="22">
        <v>39549.294907407406</v>
      </c>
      <c r="BL1871">
        <v>8900</v>
      </c>
      <c r="BM1871">
        <v>1510470</v>
      </c>
      <c r="BN1871" t="s">
        <v>1678</v>
      </c>
      <c r="BO1871" s="17">
        <f t="shared" ca="1" si="29"/>
        <v>44.598908217594726</v>
      </c>
      <c r="BP1871" t="b">
        <v>0</v>
      </c>
      <c r="BQ1871">
        <v>1</v>
      </c>
      <c r="BR1871" t="s">
        <v>1667</v>
      </c>
      <c r="BS1871" t="s">
        <v>1838</v>
      </c>
      <c r="BT1871" t="b">
        <v>0</v>
      </c>
      <c r="BV1871" t="s">
        <v>1668</v>
      </c>
      <c r="BW1871">
        <v>8216</v>
      </c>
      <c r="BX1871" t="s">
        <v>1738</v>
      </c>
      <c r="BY1871">
        <v>106866</v>
      </c>
      <c r="BZ1871" t="s">
        <v>1704</v>
      </c>
      <c r="CA1871">
        <v>1</v>
      </c>
      <c r="CB1871" t="b">
        <v>1</v>
      </c>
      <c r="CC1871">
        <v>0</v>
      </c>
      <c r="CD1871" t="b">
        <v>0</v>
      </c>
      <c r="CE1871" t="b">
        <v>0</v>
      </c>
      <c r="CF1871" t="b">
        <v>0</v>
      </c>
      <c r="CG1871">
        <v>2726263</v>
      </c>
      <c r="CH1871" t="s">
        <v>1681</v>
      </c>
      <c r="CI1871" s="10">
        <v>445000</v>
      </c>
      <c r="CJ1871" s="7">
        <v>35881</v>
      </c>
    </row>
    <row r="1872" spans="1:90">
      <c r="A1872">
        <v>28033448</v>
      </c>
      <c r="B1872" s="2" t="str">
        <f>HYPERLINK("http://www.redfin.com/stingray/do/printable-listing?listing-id=1509889","Active")</f>
        <v>Active</v>
      </c>
      <c r="D1872" t="s">
        <v>2850</v>
      </c>
      <c r="E1872" t="s">
        <v>4386</v>
      </c>
      <c r="F1872">
        <v>899900</v>
      </c>
      <c r="G1872">
        <v>2003</v>
      </c>
      <c r="H1872">
        <v>0</v>
      </c>
      <c r="I1872">
        <v>0</v>
      </c>
      <c r="J1872">
        <v>4</v>
      </c>
      <c r="K1872">
        <v>2.5</v>
      </c>
      <c r="M1872" s="2" t="str">
        <f>HYPERLINK("http://maps.live.com/default.aspx?v=2&amp;lvl=15&amp;sp=Point.47.700941_-122.236942_7815 NE 112th St&amp;cp=47.700941~-122.236942","Map")</f>
        <v>Map</v>
      </c>
      <c r="N1872" s="2" t="str">
        <f>HYPERLINK("http://i-0.rfimg.us/photo/1/bigphoto/448/28033448_6.jpg","Photo")</f>
        <v>Photo</v>
      </c>
      <c r="AG1872">
        <v>47.700941</v>
      </c>
      <c r="AH1872">
        <v>-122.236942</v>
      </c>
      <c r="AI1872" t="s">
        <v>1058</v>
      </c>
      <c r="AJ1872">
        <v>98034</v>
      </c>
      <c r="AN1872">
        <v>529950</v>
      </c>
      <c r="BC1872" s="22">
        <v>39504.583784722221</v>
      </c>
      <c r="BI1872" s="22">
        <v>39549.294907407406</v>
      </c>
      <c r="BL1872">
        <v>17998</v>
      </c>
      <c r="BM1872">
        <v>1509889</v>
      </c>
      <c r="BN1872" t="s">
        <v>2419</v>
      </c>
      <c r="BO1872" s="17">
        <f t="shared" ca="1" si="29"/>
        <v>44.725621180557937</v>
      </c>
      <c r="BP1872" t="b">
        <v>0</v>
      </c>
      <c r="BQ1872">
        <v>1</v>
      </c>
      <c r="BR1872" t="s">
        <v>1686</v>
      </c>
      <c r="BS1872" t="s">
        <v>4382</v>
      </c>
      <c r="BT1872" t="b">
        <v>0</v>
      </c>
      <c r="BU1872" t="s">
        <v>1738</v>
      </c>
      <c r="BV1872" t="s">
        <v>1668</v>
      </c>
      <c r="BW1872">
        <v>7815</v>
      </c>
      <c r="BY1872">
        <v>280667</v>
      </c>
      <c r="BZ1872" t="s">
        <v>3984</v>
      </c>
      <c r="CA1872">
        <v>1</v>
      </c>
      <c r="CB1872" t="b">
        <v>1</v>
      </c>
      <c r="CC1872">
        <v>0</v>
      </c>
      <c r="CD1872" t="b">
        <v>0</v>
      </c>
      <c r="CE1872" t="b">
        <v>0</v>
      </c>
      <c r="CF1872" t="b">
        <v>0</v>
      </c>
      <c r="CG1872">
        <v>2826844</v>
      </c>
      <c r="CH1872" t="s">
        <v>1681</v>
      </c>
      <c r="CI1872" s="10">
        <v>899900</v>
      </c>
      <c r="CJ1872" s="7">
        <v>37949</v>
      </c>
      <c r="CL1872" t="s">
        <v>2204</v>
      </c>
    </row>
    <row r="1873" spans="1:90">
      <c r="A1873">
        <v>28033504</v>
      </c>
      <c r="B1873" s="2" t="str">
        <f>HYPERLINK("http://www.redfin.com/stingray/do/printable-listing?listing-id=1509565","Active")</f>
        <v>Active</v>
      </c>
      <c r="D1873" t="s">
        <v>4941</v>
      </c>
      <c r="E1873" t="s">
        <v>4950</v>
      </c>
      <c r="F1873">
        <v>1095000</v>
      </c>
      <c r="G1873">
        <v>1986</v>
      </c>
      <c r="H1873">
        <v>4126</v>
      </c>
      <c r="I1873">
        <v>10441</v>
      </c>
      <c r="J1873">
        <v>5</v>
      </c>
      <c r="K1873">
        <v>4.75</v>
      </c>
      <c r="M1873" s="2" t="str">
        <f>HYPERLINK("http://maps.live.com/default.aspx?v=2&amp;lvl=15&amp;sp=Point.47.645799_-122.193074_10905 NE 39th Pl&amp;cp=47.645799~-122.193074","Map")</f>
        <v>Map</v>
      </c>
      <c r="N1873" s="2" t="str">
        <f>HYPERLINK("http://i-0.rfimg.us/photo/1/bigphoto/504/28033504_0.jpg","Photo")</f>
        <v>Photo</v>
      </c>
      <c r="AG1873">
        <v>47.645798999999997</v>
      </c>
      <c r="AH1873">
        <v>-122.193074</v>
      </c>
      <c r="AI1873" t="s">
        <v>369</v>
      </c>
      <c r="AJ1873">
        <v>98004</v>
      </c>
      <c r="AN1873">
        <v>795000</v>
      </c>
      <c r="BC1873" s="22">
        <v>39504.516250000001</v>
      </c>
      <c r="BI1873" s="22">
        <v>39549.294907407406</v>
      </c>
      <c r="BL1873">
        <v>21900</v>
      </c>
      <c r="BM1873">
        <v>1509565</v>
      </c>
      <c r="BN1873" t="s">
        <v>1798</v>
      </c>
      <c r="BO1873" s="17">
        <f t="shared" ca="1" si="29"/>
        <v>44.793155902778381</v>
      </c>
      <c r="BP1873" t="b">
        <v>0</v>
      </c>
      <c r="BQ1873">
        <v>1</v>
      </c>
      <c r="BR1873" t="s">
        <v>1842</v>
      </c>
      <c r="BS1873" t="s">
        <v>3124</v>
      </c>
      <c r="BT1873" t="b">
        <v>0</v>
      </c>
      <c r="BU1873" t="s">
        <v>1738</v>
      </c>
      <c r="BV1873" t="s">
        <v>1668</v>
      </c>
      <c r="BW1873">
        <v>10905</v>
      </c>
      <c r="BY1873">
        <v>460716</v>
      </c>
      <c r="BZ1873" t="s">
        <v>1745</v>
      </c>
      <c r="CA1873">
        <v>1</v>
      </c>
      <c r="CB1873" t="b">
        <v>1</v>
      </c>
      <c r="CC1873">
        <v>0</v>
      </c>
      <c r="CD1873" t="b">
        <v>0</v>
      </c>
      <c r="CE1873" t="b">
        <v>0</v>
      </c>
      <c r="CF1873" t="b">
        <v>0</v>
      </c>
      <c r="CG1873">
        <v>2500160</v>
      </c>
      <c r="CH1873" t="s">
        <v>1681</v>
      </c>
      <c r="CI1873" s="10">
        <v>1095000</v>
      </c>
      <c r="CJ1873" s="7">
        <v>37811</v>
      </c>
    </row>
    <row r="1874" spans="1:90">
      <c r="A1874">
        <v>28033505</v>
      </c>
      <c r="B1874" s="2" t="str">
        <f>HYPERLINK("http://www.redfin.com/stingray/do/printable-listing?listing-id=1511994","Active")</f>
        <v>Active</v>
      </c>
      <c r="D1874" t="s">
        <v>2848</v>
      </c>
      <c r="E1874" t="s">
        <v>2847</v>
      </c>
      <c r="F1874">
        <v>1100000</v>
      </c>
      <c r="G1874">
        <v>1978</v>
      </c>
      <c r="H1874">
        <v>3281</v>
      </c>
      <c r="I1874">
        <v>11400</v>
      </c>
      <c r="J1874">
        <v>3</v>
      </c>
      <c r="K1874">
        <v>3</v>
      </c>
      <c r="M1874" s="2" t="str">
        <f>HYPERLINK("http://maps.live.com/default.aspx?v=2&amp;lvl=15&amp;sp=Point.47.720934_-122.257731_13467 64th Pl NE&amp;cp=47.720934~-122.257731","Map")</f>
        <v>Map</v>
      </c>
      <c r="N1874" s="2" t="str">
        <f>HYPERLINK("http://i-0.rfimg.us/photo/1/bigphoto/505/28033505_1.jpg","Photo")</f>
        <v>Photo</v>
      </c>
      <c r="AG1874">
        <v>47.720934</v>
      </c>
      <c r="AH1874">
        <v>-122.25773100000001</v>
      </c>
      <c r="AI1874" t="s">
        <v>1058</v>
      </c>
      <c r="AJ1874">
        <v>98034</v>
      </c>
      <c r="BC1874" s="22">
        <v>39505.400520833333</v>
      </c>
      <c r="BI1874" s="22">
        <v>39549.294907407406</v>
      </c>
      <c r="BL1874">
        <v>22000</v>
      </c>
      <c r="BM1874">
        <v>1511994</v>
      </c>
      <c r="BN1874" t="s">
        <v>2136</v>
      </c>
      <c r="BO1874" s="17">
        <f t="shared" ca="1" si="29"/>
        <v>43.908885069446114</v>
      </c>
      <c r="BP1874" t="b">
        <v>0</v>
      </c>
      <c r="BQ1874">
        <v>1</v>
      </c>
      <c r="BR1874" t="s">
        <v>1842</v>
      </c>
      <c r="BS1874" t="s">
        <v>2405</v>
      </c>
      <c r="BT1874" t="b">
        <v>0</v>
      </c>
      <c r="BV1874" t="s">
        <v>1668</v>
      </c>
      <c r="BW1874">
        <v>13467</v>
      </c>
      <c r="BX1874" t="s">
        <v>1738</v>
      </c>
      <c r="BY1874">
        <v>280247</v>
      </c>
      <c r="BZ1874" t="s">
        <v>1679</v>
      </c>
      <c r="CA1874">
        <v>1</v>
      </c>
      <c r="CB1874" t="b">
        <v>1</v>
      </c>
      <c r="CC1874">
        <v>0</v>
      </c>
      <c r="CD1874" t="b">
        <v>0</v>
      </c>
      <c r="CE1874" t="b">
        <v>0</v>
      </c>
      <c r="CF1874" t="b">
        <v>0</v>
      </c>
      <c r="CG1874">
        <v>2382616</v>
      </c>
      <c r="CH1874" t="s">
        <v>1681</v>
      </c>
      <c r="CI1874" s="10">
        <v>1100000</v>
      </c>
    </row>
    <row r="1875" spans="1:90">
      <c r="A1875">
        <v>28033540</v>
      </c>
      <c r="B1875" s="2" t="str">
        <f>HYPERLINK("http://www.redfin.com/stingray/do/printable-listing?listing-id=1512277","Active")</f>
        <v>Active</v>
      </c>
      <c r="D1875" t="s">
        <v>4004</v>
      </c>
      <c r="E1875" t="s">
        <v>4211</v>
      </c>
      <c r="F1875">
        <v>2685000</v>
      </c>
      <c r="G1875">
        <v>1909</v>
      </c>
      <c r="H1875">
        <v>4940</v>
      </c>
      <c r="I1875">
        <v>8000</v>
      </c>
      <c r="J1875">
        <v>5</v>
      </c>
      <c r="K1875">
        <v>2.5</v>
      </c>
      <c r="M1875" s="2" t="str">
        <f>HYPERLINK("http://maps.live.com/default.aspx?v=2&amp;lvl=15&amp;sp=Point.47.620665_-122.286155_219 37th Ave E&amp;cp=47.620665~-122.286155","Map")</f>
        <v>Map</v>
      </c>
      <c r="N1875" s="2" t="str">
        <f>HYPERLINK("http://i-0.rfimg.us/photo/1/bigphoto/540/28033540_1.jpg","Photo")</f>
        <v>Photo</v>
      </c>
      <c r="AG1875">
        <v>47.620665000000002</v>
      </c>
      <c r="AH1875">
        <v>-122.28615499999999</v>
      </c>
      <c r="AI1875" t="s">
        <v>66</v>
      </c>
      <c r="AJ1875">
        <v>98112</v>
      </c>
      <c r="AN1875">
        <v>265000</v>
      </c>
      <c r="BC1875" s="22">
        <v>39505.484363425923</v>
      </c>
      <c r="BI1875" s="22">
        <v>39549.294907407406</v>
      </c>
      <c r="BL1875">
        <v>53700</v>
      </c>
      <c r="BM1875">
        <v>1512277</v>
      </c>
      <c r="BN1875" t="s">
        <v>3253</v>
      </c>
      <c r="BO1875" s="17">
        <f t="shared" ca="1" si="29"/>
        <v>43.825042476855742</v>
      </c>
      <c r="BP1875" t="b">
        <v>0</v>
      </c>
      <c r="BQ1875">
        <v>1</v>
      </c>
      <c r="BR1875" t="s">
        <v>1667</v>
      </c>
      <c r="BS1875" t="s">
        <v>2192</v>
      </c>
      <c r="BT1875" t="b">
        <v>0</v>
      </c>
      <c r="BV1875" t="s">
        <v>1668</v>
      </c>
      <c r="BW1875">
        <v>219</v>
      </c>
      <c r="BX1875" t="s">
        <v>2436</v>
      </c>
      <c r="BY1875">
        <v>140385</v>
      </c>
      <c r="BZ1875" t="s">
        <v>4212</v>
      </c>
      <c r="CA1875">
        <v>1</v>
      </c>
      <c r="CB1875" t="b">
        <v>1</v>
      </c>
      <c r="CC1875">
        <v>0</v>
      </c>
      <c r="CD1875" t="b">
        <v>0</v>
      </c>
      <c r="CE1875" t="b">
        <v>0</v>
      </c>
      <c r="CF1875" t="b">
        <v>0</v>
      </c>
      <c r="CG1875">
        <v>2918353</v>
      </c>
      <c r="CH1875" t="s">
        <v>1681</v>
      </c>
      <c r="CI1875" s="10">
        <v>2685000</v>
      </c>
      <c r="CJ1875" s="7">
        <v>31418</v>
      </c>
    </row>
    <row r="1876" spans="1:90">
      <c r="A1876">
        <v>28033544</v>
      </c>
      <c r="B1876" s="2" t="str">
        <f>HYPERLINK("http://www.redfin.com/stingray/do/printable-listing?listing-id=1516657","Active")</f>
        <v>Active</v>
      </c>
      <c r="D1876" t="s">
        <v>3885</v>
      </c>
      <c r="E1876" t="s">
        <v>5969</v>
      </c>
      <c r="F1876">
        <v>819000</v>
      </c>
      <c r="G1876">
        <v>2001</v>
      </c>
      <c r="H1876">
        <v>3170</v>
      </c>
      <c r="I1876">
        <v>7177</v>
      </c>
      <c r="J1876">
        <v>4</v>
      </c>
      <c r="K1876">
        <v>2.5</v>
      </c>
      <c r="M1876" s="2" t="str">
        <f>HYPERLINK("http://maps.live.com/default.aspx?v=2&amp;lvl=15&amp;sp=Point.47.535856_-122.155854_13717 SE 75th St&amp;cp=47.535856~-122.155854","Map")</f>
        <v>Map</v>
      </c>
      <c r="N1876" s="2" t="str">
        <f>HYPERLINK("http://i-0.rfimg.us/photo/1/bigphoto/544/28033544_2.jpg","Photo")</f>
        <v>Photo</v>
      </c>
      <c r="AG1876">
        <v>47.535856000000003</v>
      </c>
      <c r="AH1876">
        <v>-122.15585400000001</v>
      </c>
      <c r="AI1876" t="s">
        <v>3885</v>
      </c>
      <c r="AJ1876">
        <v>98059</v>
      </c>
      <c r="AN1876">
        <v>544000</v>
      </c>
      <c r="BC1876" s="22">
        <v>39506.726041666669</v>
      </c>
      <c r="BI1876" s="22">
        <v>39549.294907407406</v>
      </c>
      <c r="BL1876">
        <v>16380</v>
      </c>
      <c r="BM1876">
        <v>1516657</v>
      </c>
      <c r="BN1876" t="s">
        <v>1674</v>
      </c>
      <c r="BO1876" s="17">
        <f t="shared" ca="1" si="29"/>
        <v>42.583364236110356</v>
      </c>
      <c r="BP1876" t="b">
        <v>0</v>
      </c>
      <c r="BQ1876">
        <v>1</v>
      </c>
      <c r="BR1876" t="s">
        <v>1686</v>
      </c>
      <c r="BS1876" t="s">
        <v>1837</v>
      </c>
      <c r="BT1876" t="b">
        <v>0</v>
      </c>
      <c r="BU1876" t="s">
        <v>3856</v>
      </c>
      <c r="BV1876" t="s">
        <v>1668</v>
      </c>
      <c r="BW1876">
        <v>13717</v>
      </c>
      <c r="BY1876">
        <v>414480</v>
      </c>
      <c r="BZ1876" t="s">
        <v>5970</v>
      </c>
      <c r="CA1876">
        <v>1</v>
      </c>
      <c r="CB1876" t="b">
        <v>1</v>
      </c>
      <c r="CC1876">
        <v>0</v>
      </c>
      <c r="CD1876" t="b">
        <v>0</v>
      </c>
      <c r="CE1876" t="b">
        <v>0</v>
      </c>
      <c r="CF1876" t="b">
        <v>0</v>
      </c>
      <c r="CG1876">
        <v>2683308</v>
      </c>
      <c r="CH1876" t="s">
        <v>1681</v>
      </c>
      <c r="CI1876" s="10">
        <v>819000</v>
      </c>
      <c r="CJ1876" s="7">
        <v>37620</v>
      </c>
    </row>
    <row r="1877" spans="1:90">
      <c r="A1877">
        <v>28033550</v>
      </c>
      <c r="B1877" s="2" t="str">
        <f>HYPERLINK("http://www.redfin.com/stingray/do/printable-listing?listing-id=1537276","Subject To Inspection")</f>
        <v>Subject To Inspection</v>
      </c>
      <c r="D1877" t="s">
        <v>919</v>
      </c>
      <c r="E1877" t="s">
        <v>2181</v>
      </c>
      <c r="F1877">
        <v>430000</v>
      </c>
      <c r="G1877">
        <v>1942</v>
      </c>
      <c r="H1877">
        <v>1400</v>
      </c>
      <c r="I1877">
        <v>6832</v>
      </c>
      <c r="J1877">
        <v>3</v>
      </c>
      <c r="K1877">
        <v>1</v>
      </c>
      <c r="M1877" s="2" t="str">
        <f>HYPERLINK("http://maps.live.com/default.aspx?v=2&amp;lvl=15&amp;sp=Point.47.707881_-122.314447_10828 12th Ave NE&amp;cp=47.707881~-122.314447","Map")</f>
        <v>Map</v>
      </c>
      <c r="N1877" s="2" t="str">
        <f>HYPERLINK("http://i-0.rfimg.us/photo/1/bigphoto/550/28033550_1.jpg","Photo")</f>
        <v>Photo</v>
      </c>
      <c r="AG1877">
        <v>47.707881</v>
      </c>
      <c r="AH1877">
        <v>-122.314447</v>
      </c>
      <c r="AI1877" t="s">
        <v>66</v>
      </c>
      <c r="AJ1877">
        <v>98125</v>
      </c>
      <c r="AN1877">
        <v>287400</v>
      </c>
      <c r="BC1877" s="22">
        <v>39513.709421296298</v>
      </c>
      <c r="BI1877" s="7">
        <v>39533</v>
      </c>
      <c r="BL1877">
        <v>8600</v>
      </c>
      <c r="BM1877">
        <v>1537276</v>
      </c>
      <c r="BN1877" t="s">
        <v>1702</v>
      </c>
      <c r="BO1877" s="17">
        <f t="shared" ca="1" si="29"/>
        <v>35.599984606480575</v>
      </c>
      <c r="BP1877" t="b">
        <v>0</v>
      </c>
      <c r="BQ1877">
        <v>2</v>
      </c>
      <c r="BR1877" t="s">
        <v>1667</v>
      </c>
      <c r="BS1877" t="s">
        <v>1803</v>
      </c>
      <c r="BT1877" t="b">
        <v>0</v>
      </c>
      <c r="BV1877" t="s">
        <v>1668</v>
      </c>
      <c r="BW1877">
        <v>10828</v>
      </c>
      <c r="BX1877" t="s">
        <v>1738</v>
      </c>
      <c r="BY1877">
        <v>108139</v>
      </c>
      <c r="BZ1877" t="s">
        <v>1689</v>
      </c>
      <c r="CA1877">
        <v>1</v>
      </c>
      <c r="CB1877" t="b">
        <v>1</v>
      </c>
      <c r="CC1877">
        <v>0</v>
      </c>
      <c r="CD1877" t="b">
        <v>0</v>
      </c>
      <c r="CE1877" t="b">
        <v>0</v>
      </c>
      <c r="CF1877" t="b">
        <v>0</v>
      </c>
      <c r="CG1877">
        <v>2353177</v>
      </c>
      <c r="CH1877" t="s">
        <v>1681</v>
      </c>
      <c r="CI1877" s="10">
        <v>430000</v>
      </c>
      <c r="CJ1877" s="7">
        <v>38212</v>
      </c>
    </row>
    <row r="1878" spans="1:90">
      <c r="A1878">
        <v>28033558</v>
      </c>
      <c r="B1878" s="2" t="str">
        <f>HYPERLINK("http://www.redfin.com/stingray/do/printable-listing?listing-id=1509832","Active")</f>
        <v>Active</v>
      </c>
      <c r="D1878" t="s">
        <v>3685</v>
      </c>
      <c r="E1878" t="s">
        <v>3796</v>
      </c>
      <c r="F1878">
        <v>2400000</v>
      </c>
      <c r="G1878">
        <v>1947</v>
      </c>
      <c r="H1878">
        <v>2610</v>
      </c>
      <c r="I1878">
        <v>5717</v>
      </c>
      <c r="J1878">
        <v>4</v>
      </c>
      <c r="K1878">
        <v>2.75</v>
      </c>
      <c r="M1878" s="2" t="str">
        <f>HYPERLINK("http://maps.live.com/default.aspx?v=2&amp;lvl=15&amp;sp=Point.47.640437_-122.276057_2346 43rd Ave E&amp;cp=47.640437~-122.276057","Map")</f>
        <v>Map</v>
      </c>
      <c r="N1878" s="2" t="str">
        <f>HYPERLINK("http://i-0.rfimg.us/photo/1/bigphoto/558/28033558_0.jpg","Photo")</f>
        <v>Photo</v>
      </c>
      <c r="AG1878">
        <v>47.640436999999999</v>
      </c>
      <c r="AH1878">
        <v>-122.27605699999999</v>
      </c>
      <c r="AI1878" t="s">
        <v>66</v>
      </c>
      <c r="AJ1878">
        <v>98112</v>
      </c>
      <c r="AN1878">
        <v>415000</v>
      </c>
      <c r="BC1878" s="22">
        <v>39504.568472222221</v>
      </c>
      <c r="BI1878" s="22">
        <v>39549.294907407406</v>
      </c>
      <c r="BL1878">
        <v>48000</v>
      </c>
      <c r="BM1878">
        <v>1509832</v>
      </c>
      <c r="BN1878" t="s">
        <v>3701</v>
      </c>
      <c r="BO1878" s="17">
        <f t="shared" ca="1" si="29"/>
        <v>44.740933680557646</v>
      </c>
      <c r="BP1878" t="b">
        <v>0</v>
      </c>
      <c r="BQ1878">
        <v>1</v>
      </c>
      <c r="BR1878" t="s">
        <v>1667</v>
      </c>
      <c r="BS1878" t="s">
        <v>3134</v>
      </c>
      <c r="BT1878" t="b">
        <v>0</v>
      </c>
      <c r="BV1878" t="s">
        <v>1668</v>
      </c>
      <c r="BW1878">
        <v>2346</v>
      </c>
      <c r="BX1878" t="s">
        <v>2436</v>
      </c>
      <c r="BY1878">
        <v>140085</v>
      </c>
      <c r="BZ1878" t="s">
        <v>1672</v>
      </c>
      <c r="CA1878">
        <v>1</v>
      </c>
      <c r="CB1878" t="b">
        <v>1</v>
      </c>
      <c r="CC1878">
        <v>0</v>
      </c>
      <c r="CD1878" t="b">
        <v>0</v>
      </c>
      <c r="CE1878" t="b">
        <v>0</v>
      </c>
      <c r="CF1878" t="b">
        <v>0</v>
      </c>
      <c r="CG1878">
        <v>2649324</v>
      </c>
      <c r="CH1878" t="s">
        <v>1681</v>
      </c>
      <c r="CI1878" s="10">
        <v>2400000</v>
      </c>
      <c r="CJ1878" s="7">
        <v>30652</v>
      </c>
    </row>
    <row r="1879" spans="1:90">
      <c r="A1879">
        <v>28033560</v>
      </c>
      <c r="B1879" s="2" t="str">
        <f>HYPERLINK("http://www.redfin.com/stingray/do/printable-listing?listing-id=1510006","Active")</f>
        <v>Active</v>
      </c>
      <c r="D1879" t="s">
        <v>218</v>
      </c>
      <c r="E1879" t="s">
        <v>3105</v>
      </c>
      <c r="F1879" s="19">
        <v>599000</v>
      </c>
      <c r="G1879">
        <v>1930</v>
      </c>
      <c r="H1879">
        <v>2000</v>
      </c>
      <c r="I1879">
        <v>0</v>
      </c>
      <c r="J1879">
        <v>3</v>
      </c>
      <c r="K1879">
        <v>2</v>
      </c>
      <c r="M1879" s="2" t="str">
        <f>HYPERLINK("http://maps.live.com/default.aspx?v=2&amp;lvl=15&amp;sp=Point.47.686383_-122.308157_7753 19th Ave NE&amp;cp=47.686383~-122.308157","Map")</f>
        <v>Map</v>
      </c>
      <c r="N1879" s="2" t="str">
        <f>HYPERLINK("http://i-0.rfimg.us/photo/1/bigphoto/560/28033560_1.jpg","Photo")</f>
        <v>Photo</v>
      </c>
      <c r="AG1879">
        <v>47.686382999999999</v>
      </c>
      <c r="AH1879">
        <v>-122.30815699999999</v>
      </c>
      <c r="AI1879" t="s">
        <v>66</v>
      </c>
      <c r="AJ1879">
        <v>98115</v>
      </c>
      <c r="AN1879">
        <v>96500</v>
      </c>
      <c r="BC1879" s="22">
        <v>39504.61209490741</v>
      </c>
      <c r="BI1879" s="22">
        <v>39549.294907407406</v>
      </c>
      <c r="BL1879">
        <v>12500</v>
      </c>
      <c r="BM1879">
        <v>1510006</v>
      </c>
      <c r="BN1879" t="s">
        <v>1702</v>
      </c>
      <c r="BO1879" s="17">
        <f t="shared" ca="1" si="29"/>
        <v>44.697310995368753</v>
      </c>
      <c r="BP1879" t="b">
        <v>0</v>
      </c>
      <c r="BQ1879">
        <v>1</v>
      </c>
      <c r="BR1879" t="s">
        <v>1667</v>
      </c>
      <c r="BS1879" t="s">
        <v>1906</v>
      </c>
      <c r="BT1879" t="b">
        <v>0</v>
      </c>
      <c r="BV1879" t="s">
        <v>1668</v>
      </c>
      <c r="BW1879">
        <v>7753</v>
      </c>
      <c r="BX1879" t="s">
        <v>1738</v>
      </c>
      <c r="BY1879">
        <v>309649</v>
      </c>
      <c r="BZ1879" t="s">
        <v>1836</v>
      </c>
      <c r="CA1879">
        <v>1</v>
      </c>
      <c r="CB1879" t="b">
        <v>1</v>
      </c>
      <c r="CC1879">
        <v>0</v>
      </c>
      <c r="CD1879" t="b">
        <v>0</v>
      </c>
      <c r="CE1879" t="b">
        <v>0</v>
      </c>
      <c r="CF1879" t="b">
        <v>0</v>
      </c>
      <c r="CG1879">
        <v>2627968</v>
      </c>
      <c r="CH1879" t="s">
        <v>1681</v>
      </c>
      <c r="CI1879" s="10">
        <v>625000</v>
      </c>
      <c r="CJ1879" s="7">
        <v>31786</v>
      </c>
      <c r="CL1879" t="s">
        <v>2325</v>
      </c>
    </row>
    <row r="1880" spans="1:90">
      <c r="A1880">
        <v>28033565</v>
      </c>
      <c r="B1880" s="2" t="str">
        <f>HYPERLINK("http://www.redfin.com/stingray/do/printable-listing?listing-id=1509840","Active")</f>
        <v>Active</v>
      </c>
      <c r="D1880" t="s">
        <v>5926</v>
      </c>
      <c r="E1880" t="s">
        <v>6181</v>
      </c>
      <c r="F1880">
        <v>790000</v>
      </c>
      <c r="G1880">
        <v>2005</v>
      </c>
      <c r="H1880">
        <v>2923</v>
      </c>
      <c r="I1880">
        <v>5600</v>
      </c>
      <c r="J1880">
        <v>5</v>
      </c>
      <c r="K1880">
        <v>3.5</v>
      </c>
      <c r="M1880" s="2" t="str">
        <f>HYPERLINK("http://maps.live.com/default.aspx?v=2&amp;lvl=15&amp;sp=Point.47.515104610983_-122.19184617375_2013 NE 26 Pl&amp;cp=47.515104610983~-122.19184617375","Map")</f>
        <v>Map</v>
      </c>
      <c r="N1880" s="2" t="str">
        <f>HYPERLINK("http://i-0.rfimg.us/photo/1/bigphoto/565/28033565_0.jpg","Photo")</f>
        <v>Photo</v>
      </c>
      <c r="AG1880">
        <v>47.515104610983002</v>
      </c>
      <c r="AH1880">
        <v>-122.19184617374999</v>
      </c>
      <c r="AI1880" t="s">
        <v>1077</v>
      </c>
      <c r="AJ1880">
        <v>98056</v>
      </c>
      <c r="AN1880">
        <v>699950</v>
      </c>
      <c r="BC1880" s="22">
        <v>39504.56858796296</v>
      </c>
      <c r="BI1880" s="22">
        <v>39549.294907407406</v>
      </c>
      <c r="BL1880">
        <v>15800</v>
      </c>
      <c r="BM1880">
        <v>1509840</v>
      </c>
      <c r="BN1880" t="s">
        <v>6180</v>
      </c>
      <c r="BO1880" s="17">
        <f t="shared" ca="1" si="29"/>
        <v>44.740817939818953</v>
      </c>
      <c r="BP1880" t="b">
        <v>0</v>
      </c>
      <c r="BQ1880">
        <v>1</v>
      </c>
      <c r="BR1880" t="s">
        <v>1842</v>
      </c>
      <c r="BS1880">
        <v>26</v>
      </c>
      <c r="BT1880" t="b">
        <v>0</v>
      </c>
      <c r="BU1880" t="s">
        <v>1738</v>
      </c>
      <c r="BV1880" t="s">
        <v>1668</v>
      </c>
      <c r="BW1880">
        <v>2013</v>
      </c>
      <c r="BY1880">
        <v>2068418</v>
      </c>
      <c r="BZ1880" t="s">
        <v>1672</v>
      </c>
      <c r="CA1880">
        <v>1</v>
      </c>
      <c r="CB1880" t="b">
        <v>1</v>
      </c>
      <c r="CC1880">
        <v>0</v>
      </c>
      <c r="CD1880" t="b">
        <v>0</v>
      </c>
      <c r="CE1880" t="b">
        <v>0</v>
      </c>
      <c r="CF1880" t="b">
        <v>0</v>
      </c>
      <c r="CG1880">
        <v>2497178</v>
      </c>
      <c r="CH1880" t="s">
        <v>1681</v>
      </c>
      <c r="CI1880" s="10">
        <v>790000</v>
      </c>
      <c r="CJ1880" s="7">
        <v>39153</v>
      </c>
    </row>
    <row r="1881" spans="1:90">
      <c r="A1881">
        <v>28033583</v>
      </c>
      <c r="B1881" s="2" t="str">
        <f>HYPERLINK("http://www.redfin.com/stingray/do/printable-listing?listing-id=1510909","Active")</f>
        <v>Active</v>
      </c>
      <c r="D1881" t="s">
        <v>3249</v>
      </c>
      <c r="E1881" t="s">
        <v>4342</v>
      </c>
      <c r="F1881">
        <v>2200000</v>
      </c>
      <c r="G1881">
        <v>1985</v>
      </c>
      <c r="H1881">
        <v>7670</v>
      </c>
      <c r="I1881">
        <v>7710</v>
      </c>
      <c r="J1881">
        <v>6</v>
      </c>
      <c r="K1881">
        <v>7</v>
      </c>
      <c r="M1881" s="2" t="str">
        <f>HYPERLINK("http://maps.live.com/default.aspx?v=2&amp;lvl=15&amp;sp=Point.47.629921_-122.353551_160 Highland Dr&amp;cp=47.629921~-122.353551","Map")</f>
        <v>Map</v>
      </c>
      <c r="N1881" s="2" t="str">
        <f>HYPERLINK("http://i-0.rfimg.us/photo/1/bigphoto/583/28033583_2.jpg","Photo")</f>
        <v>Photo</v>
      </c>
      <c r="AG1881">
        <v>47.629921000000003</v>
      </c>
      <c r="AH1881">
        <v>-122.353551</v>
      </c>
      <c r="AI1881" t="s">
        <v>66</v>
      </c>
      <c r="AJ1881">
        <v>98109</v>
      </c>
      <c r="AN1881">
        <v>2140000</v>
      </c>
      <c r="BC1881" s="22">
        <v>39504.922395833331</v>
      </c>
      <c r="BI1881" s="22">
        <v>39549.294907407406</v>
      </c>
      <c r="BL1881">
        <v>44000</v>
      </c>
      <c r="BM1881">
        <v>1510909</v>
      </c>
      <c r="BN1881" t="s">
        <v>2556</v>
      </c>
      <c r="BO1881" s="17">
        <f t="shared" ca="1" si="29"/>
        <v>44.38701006944757</v>
      </c>
      <c r="BP1881" t="b">
        <v>0</v>
      </c>
      <c r="BQ1881">
        <v>1</v>
      </c>
      <c r="BR1881" t="s">
        <v>1816</v>
      </c>
      <c r="BS1881" t="s">
        <v>3651</v>
      </c>
      <c r="BT1881" t="b">
        <v>0</v>
      </c>
      <c r="BV1881" t="s">
        <v>1668</v>
      </c>
      <c r="BW1881">
        <v>160</v>
      </c>
      <c r="BY1881">
        <v>133848</v>
      </c>
      <c r="BZ1881" t="s">
        <v>4343</v>
      </c>
      <c r="CA1881">
        <v>1</v>
      </c>
      <c r="CB1881" t="b">
        <v>1</v>
      </c>
      <c r="CC1881">
        <v>0</v>
      </c>
      <c r="CD1881" t="b">
        <v>0</v>
      </c>
      <c r="CE1881" t="b">
        <v>0</v>
      </c>
      <c r="CF1881" t="b">
        <v>0</v>
      </c>
      <c r="CG1881">
        <v>2530578</v>
      </c>
      <c r="CH1881" t="s">
        <v>1681</v>
      </c>
      <c r="CI1881" s="10">
        <v>2200000</v>
      </c>
      <c r="CJ1881" s="7">
        <v>37568</v>
      </c>
    </row>
    <row r="1882" spans="1:90">
      <c r="A1882">
        <v>28033674</v>
      </c>
      <c r="B1882" s="2" t="str">
        <f>HYPERLINK("http://www.redfin.com/stingray/do/printable-listing?listing-id=1520076","Active")</f>
        <v>Active</v>
      </c>
      <c r="D1882" t="s">
        <v>63</v>
      </c>
      <c r="E1882" t="s">
        <v>2104</v>
      </c>
      <c r="F1882">
        <v>2150000</v>
      </c>
      <c r="G1882">
        <v>1987</v>
      </c>
      <c r="H1882">
        <v>2770</v>
      </c>
      <c r="I1882">
        <v>0</v>
      </c>
      <c r="J1882">
        <v>3</v>
      </c>
      <c r="K1882">
        <v>2.5</v>
      </c>
      <c r="M1882" s="2" t="str">
        <f>HYPERLINK("http://maps.live.com/default.aspx?v=2&amp;lvl=15&amp;sp=Point.47.670642_-122.405429_5723 Seaview Ave NW nE&amp;cp=47.670642~-122.405429","Map")</f>
        <v>Map</v>
      </c>
      <c r="N1882" s="2" t="str">
        <f>HYPERLINK("http://i-0.rfimg.us/photo/1/bigphoto/674/28033674_0.jpg","Photo")</f>
        <v>Photo</v>
      </c>
      <c r="AG1882">
        <v>47.670642000000001</v>
      </c>
      <c r="AH1882">
        <v>-122.405429</v>
      </c>
      <c r="AI1882" t="s">
        <v>66</v>
      </c>
      <c r="AJ1882">
        <v>98107</v>
      </c>
      <c r="AM1882" t="s">
        <v>1729</v>
      </c>
      <c r="AN1882">
        <v>545000</v>
      </c>
      <c r="BC1882" s="22">
        <v>39507.658402777779</v>
      </c>
      <c r="BI1882" s="7">
        <v>39513</v>
      </c>
      <c r="BL1882">
        <v>43000</v>
      </c>
      <c r="BM1882">
        <v>1520076</v>
      </c>
      <c r="BN1882" t="s">
        <v>1829</v>
      </c>
      <c r="BO1882" s="17">
        <f t="shared" ca="1" si="29"/>
        <v>41.651003240738646</v>
      </c>
      <c r="BP1882" t="b">
        <v>0</v>
      </c>
      <c r="BQ1882">
        <v>1</v>
      </c>
      <c r="BR1882" t="s">
        <v>1667</v>
      </c>
      <c r="BS1882" t="s">
        <v>1727</v>
      </c>
      <c r="BT1882" t="b">
        <v>0</v>
      </c>
      <c r="BV1882" t="s">
        <v>1668</v>
      </c>
      <c r="BW1882">
        <v>5723</v>
      </c>
      <c r="BX1882" t="s">
        <v>1669</v>
      </c>
      <c r="BY1882">
        <v>12111</v>
      </c>
      <c r="BZ1882" t="s">
        <v>1713</v>
      </c>
      <c r="CA1882">
        <v>1</v>
      </c>
      <c r="CB1882" t="b">
        <v>1</v>
      </c>
      <c r="CC1882">
        <v>0</v>
      </c>
      <c r="CD1882" t="b">
        <v>0</v>
      </c>
      <c r="CE1882" t="b">
        <v>0</v>
      </c>
      <c r="CF1882" t="b">
        <v>0</v>
      </c>
      <c r="CG1882">
        <v>2412586</v>
      </c>
      <c r="CH1882" t="s">
        <v>1666</v>
      </c>
      <c r="CI1882" s="10">
        <v>2150000</v>
      </c>
      <c r="CJ1882" s="7">
        <v>32825</v>
      </c>
    </row>
    <row r="1883" spans="1:90">
      <c r="A1883">
        <v>28033718</v>
      </c>
      <c r="B1883" s="2" t="str">
        <f>HYPERLINK("http://www.redfin.com/stingray/do/printable-listing?listing-id=1511901","Active")</f>
        <v>Active</v>
      </c>
      <c r="D1883" t="s">
        <v>3885</v>
      </c>
      <c r="E1883" t="s">
        <v>5632</v>
      </c>
      <c r="F1883" s="19">
        <v>674500</v>
      </c>
      <c r="G1883">
        <v>1998</v>
      </c>
      <c r="H1883">
        <v>2580</v>
      </c>
      <c r="I1883">
        <v>7319</v>
      </c>
      <c r="J1883">
        <v>4</v>
      </c>
      <c r="K1883">
        <v>2.75</v>
      </c>
      <c r="M1883" s="2" t="str">
        <f>HYPERLINK("http://maps.live.com/default.aspx?v=2&amp;lvl=15&amp;sp=Point.47.529821_-122.181922_8104 118th Ct SE&amp;cp=47.529821~-122.181922","Map")</f>
        <v>Map</v>
      </c>
      <c r="N1883" s="2" t="str">
        <f>HYPERLINK("http://i-0.rfimg.us/photo/1/bigphoto/718/28033718_8.jpg","Photo")</f>
        <v>Photo</v>
      </c>
      <c r="AG1883">
        <v>47.529820999999998</v>
      </c>
      <c r="AH1883">
        <v>-122.181922</v>
      </c>
      <c r="AI1883" t="s">
        <v>3885</v>
      </c>
      <c r="AJ1883">
        <v>98056</v>
      </c>
      <c r="AN1883">
        <v>430000</v>
      </c>
      <c r="BC1883" s="22">
        <v>39505.368854166663</v>
      </c>
      <c r="BI1883" s="22">
        <v>39549.294907407406</v>
      </c>
      <c r="BL1883">
        <v>13780</v>
      </c>
      <c r="BM1883">
        <v>1511901</v>
      </c>
      <c r="BN1883" t="s">
        <v>3329</v>
      </c>
      <c r="BO1883" s="17">
        <f t="shared" ca="1" si="29"/>
        <v>43.940551736115594</v>
      </c>
      <c r="BP1883" t="b">
        <v>0</v>
      </c>
      <c r="BQ1883">
        <v>1</v>
      </c>
      <c r="BR1883" t="s">
        <v>3768</v>
      </c>
      <c r="BS1883" t="s">
        <v>4419</v>
      </c>
      <c r="BT1883" t="b">
        <v>0</v>
      </c>
      <c r="BV1883" t="s">
        <v>1668</v>
      </c>
      <c r="BW1883">
        <v>8104</v>
      </c>
      <c r="BX1883" t="s">
        <v>3856</v>
      </c>
      <c r="BY1883">
        <v>416605</v>
      </c>
      <c r="BZ1883" t="s">
        <v>5633</v>
      </c>
      <c r="CA1883">
        <v>1</v>
      </c>
      <c r="CB1883" t="b">
        <v>1</v>
      </c>
      <c r="CC1883">
        <v>0</v>
      </c>
      <c r="CD1883" t="b">
        <v>0</v>
      </c>
      <c r="CE1883" t="b">
        <v>0</v>
      </c>
      <c r="CF1883" t="b">
        <v>0</v>
      </c>
      <c r="CG1883">
        <v>2797010</v>
      </c>
      <c r="CH1883" t="s">
        <v>1681</v>
      </c>
      <c r="CI1883" s="10">
        <v>689000</v>
      </c>
      <c r="CJ1883" s="7">
        <v>38006</v>
      </c>
    </row>
    <row r="1884" spans="1:90">
      <c r="A1884">
        <v>28033739</v>
      </c>
      <c r="B1884" s="2" t="str">
        <f>HYPERLINK("http://www.redfin.com/stingray/do/printable-listing?listing-id=1510341","Active")</f>
        <v>Active</v>
      </c>
      <c r="D1884" t="s">
        <v>109</v>
      </c>
      <c r="E1884" t="s">
        <v>3330</v>
      </c>
      <c r="F1884">
        <v>649950</v>
      </c>
      <c r="G1884">
        <v>1912</v>
      </c>
      <c r="H1884">
        <v>2510</v>
      </c>
      <c r="I1884">
        <v>0</v>
      </c>
      <c r="J1884">
        <v>5</v>
      </c>
      <c r="K1884">
        <v>2.25</v>
      </c>
      <c r="M1884" s="2" t="str">
        <f>HYPERLINK("http://maps.live.com/default.aspx?v=2&amp;lvl=15&amp;sp=Point.47.657371_-122.343228_4122 Midvale Ave N&amp;cp=47.657371~-122.343228","Map")</f>
        <v>Map</v>
      </c>
      <c r="N1884" s="2" t="str">
        <f>HYPERLINK("http://i-0.rfimg.us/photo/1/bigphoto/739/28033739_0.jpg","Photo")</f>
        <v>Photo</v>
      </c>
      <c r="AG1884">
        <v>47.657370999999998</v>
      </c>
      <c r="AH1884">
        <v>-122.343228</v>
      </c>
      <c r="AI1884" t="s">
        <v>66</v>
      </c>
      <c r="AJ1884">
        <v>98103</v>
      </c>
      <c r="AN1884">
        <v>425000</v>
      </c>
      <c r="BC1884" s="22">
        <v>39504.686724537038</v>
      </c>
      <c r="BI1884" s="22">
        <v>39549.294907407406</v>
      </c>
      <c r="BL1884">
        <v>12999</v>
      </c>
      <c r="BM1884">
        <v>1510341</v>
      </c>
      <c r="BN1884" t="s">
        <v>3329</v>
      </c>
      <c r="BO1884" s="17">
        <f t="shared" ca="1" si="29"/>
        <v>44.6226813657413</v>
      </c>
      <c r="BP1884" t="b">
        <v>0</v>
      </c>
      <c r="BQ1884">
        <v>1</v>
      </c>
      <c r="BR1884" t="s">
        <v>1667</v>
      </c>
      <c r="BS1884" t="s">
        <v>2608</v>
      </c>
      <c r="BT1884" t="b">
        <v>0</v>
      </c>
      <c r="BV1884" t="s">
        <v>1668</v>
      </c>
      <c r="BW1884">
        <v>4122</v>
      </c>
      <c r="BX1884" t="s">
        <v>1712</v>
      </c>
      <c r="BY1884">
        <v>119152</v>
      </c>
      <c r="BZ1884" t="s">
        <v>1676</v>
      </c>
      <c r="CA1884">
        <v>1</v>
      </c>
      <c r="CB1884" t="b">
        <v>1</v>
      </c>
      <c r="CC1884">
        <v>0</v>
      </c>
      <c r="CD1884" t="b">
        <v>0</v>
      </c>
      <c r="CE1884" t="b">
        <v>0</v>
      </c>
      <c r="CF1884" t="b">
        <v>0</v>
      </c>
      <c r="CG1884">
        <v>2379111</v>
      </c>
      <c r="CH1884" t="s">
        <v>1681</v>
      </c>
      <c r="CI1884" s="10">
        <v>649950</v>
      </c>
      <c r="CJ1884" s="7">
        <v>37775</v>
      </c>
    </row>
    <row r="1885" spans="1:90">
      <c r="A1885">
        <v>28033748</v>
      </c>
      <c r="B1885" s="2" t="str">
        <f>HYPERLINK("http://www.redfin.com/stingray/do/printable-listing?listing-id=1510332","Active")</f>
        <v>Active</v>
      </c>
      <c r="D1885" t="s">
        <v>4359</v>
      </c>
      <c r="E1885" t="s">
        <v>4681</v>
      </c>
      <c r="F1885">
        <v>449500</v>
      </c>
      <c r="G1885">
        <v>1999</v>
      </c>
      <c r="H1885">
        <v>1420</v>
      </c>
      <c r="I1885">
        <v>0</v>
      </c>
      <c r="J1885">
        <v>3</v>
      </c>
      <c r="K1885">
        <v>2.5</v>
      </c>
      <c r="M1885" s="2" t="str">
        <f>HYPERLINK("http://maps.live.com/default.aspx?v=2&amp;lvl=15&amp;sp=Point.47.684474_-122.176276_9221 124th Ave NE&amp;cp=47.684474~-122.176276","Map")</f>
        <v>Map</v>
      </c>
      <c r="N1885" s="2" t="str">
        <f>HYPERLINK("http://i-0.rfimg.us/photo/1/bigphoto/748/28033748_0.jpg","Photo")</f>
        <v>Photo</v>
      </c>
      <c r="AG1885">
        <v>47.684474000000002</v>
      </c>
      <c r="AH1885">
        <v>-122.176276</v>
      </c>
      <c r="AI1885" t="s">
        <v>1058</v>
      </c>
      <c r="AJ1885">
        <v>98033</v>
      </c>
      <c r="BC1885" s="22">
        <v>39504.686550925922</v>
      </c>
      <c r="BI1885" s="22">
        <v>39549.294907407406</v>
      </c>
      <c r="BL1885">
        <v>8990</v>
      </c>
      <c r="BM1885">
        <v>1510332</v>
      </c>
      <c r="BN1885" t="s">
        <v>1674</v>
      </c>
      <c r="BO1885" s="17">
        <f t="shared" ca="1" si="29"/>
        <v>44.622854976856615</v>
      </c>
      <c r="BP1885" t="b">
        <v>0</v>
      </c>
      <c r="BQ1885">
        <v>1</v>
      </c>
      <c r="BR1885" t="s">
        <v>1667</v>
      </c>
      <c r="BS1885" t="s">
        <v>4507</v>
      </c>
      <c r="BT1885" t="b">
        <v>0</v>
      </c>
      <c r="BV1885" t="s">
        <v>1668</v>
      </c>
      <c r="BW1885">
        <v>9221</v>
      </c>
      <c r="BX1885" t="s">
        <v>1738</v>
      </c>
      <c r="BY1885">
        <v>2094807</v>
      </c>
      <c r="BZ1885" t="s">
        <v>1672</v>
      </c>
      <c r="CA1885">
        <v>1</v>
      </c>
      <c r="CB1885" t="b">
        <v>1</v>
      </c>
      <c r="CC1885">
        <v>0</v>
      </c>
      <c r="CD1885" t="b">
        <v>0</v>
      </c>
      <c r="CE1885" t="b">
        <v>0</v>
      </c>
      <c r="CF1885" t="b">
        <v>0</v>
      </c>
      <c r="CG1885">
        <v>2952239</v>
      </c>
      <c r="CH1885" t="s">
        <v>1681</v>
      </c>
      <c r="CI1885" s="10">
        <v>449500</v>
      </c>
    </row>
    <row r="1886" spans="1:90">
      <c r="A1886">
        <v>28033762</v>
      </c>
      <c r="B1886" s="2" t="str">
        <f>HYPERLINK("http://www.redfin.com/stingray/do/printable-listing?listing-id=1510336","Active")</f>
        <v>Active</v>
      </c>
      <c r="D1886" t="s">
        <v>99</v>
      </c>
      <c r="E1886" t="s">
        <v>268</v>
      </c>
      <c r="F1886">
        <v>489500</v>
      </c>
      <c r="G1886">
        <v>1981</v>
      </c>
      <c r="H1886">
        <v>1980</v>
      </c>
      <c r="I1886">
        <v>8538</v>
      </c>
      <c r="J1886">
        <v>3</v>
      </c>
      <c r="K1886">
        <v>2</v>
      </c>
      <c r="M1886" s="2" t="str">
        <f>HYPERLINK("http://maps.live.com/default.aspx?v=2&amp;lvl=15&amp;sp=Point.47.698895_-122.36908_9527 9th Ave NW&amp;cp=47.698895~-122.36908","Map")</f>
        <v>Map</v>
      </c>
      <c r="N1886" s="2" t="str">
        <f>HYPERLINK("http://i-0.rfimg.us/photo/1/bigphoto/762/28033762_0.jpg","Photo")</f>
        <v>Photo</v>
      </c>
      <c r="AG1886">
        <v>47.698895</v>
      </c>
      <c r="AH1886">
        <v>-122.36908</v>
      </c>
      <c r="AI1886" t="s">
        <v>66</v>
      </c>
      <c r="AJ1886">
        <v>98117</v>
      </c>
      <c r="AN1886">
        <v>330000</v>
      </c>
      <c r="BC1886" s="22">
        <v>39504.686631944445</v>
      </c>
      <c r="BI1886" s="7">
        <v>39512</v>
      </c>
      <c r="BL1886">
        <v>9790</v>
      </c>
      <c r="BM1886">
        <v>1510336</v>
      </c>
      <c r="BN1886" t="s">
        <v>1862</v>
      </c>
      <c r="BO1886" s="17">
        <f t="shared" ca="1" si="29"/>
        <v>44.622774074072368</v>
      </c>
      <c r="BP1886" t="b">
        <v>0</v>
      </c>
      <c r="BQ1886">
        <v>1</v>
      </c>
      <c r="BR1886" t="s">
        <v>1667</v>
      </c>
      <c r="BS1886" t="s">
        <v>1785</v>
      </c>
      <c r="BT1886" t="b">
        <v>0</v>
      </c>
      <c r="BV1886" t="s">
        <v>1668</v>
      </c>
      <c r="BW1886">
        <v>9527</v>
      </c>
      <c r="BX1886" t="s">
        <v>1669</v>
      </c>
      <c r="BY1886">
        <v>96499</v>
      </c>
      <c r="BZ1886" t="s">
        <v>1676</v>
      </c>
      <c r="CA1886">
        <v>1</v>
      </c>
      <c r="CB1886" t="b">
        <v>1</v>
      </c>
      <c r="CC1886">
        <v>0</v>
      </c>
      <c r="CD1886" t="b">
        <v>0</v>
      </c>
      <c r="CE1886" t="b">
        <v>0</v>
      </c>
      <c r="CF1886" t="b">
        <v>0</v>
      </c>
      <c r="CG1886">
        <v>2581232</v>
      </c>
      <c r="CH1886" t="s">
        <v>1681</v>
      </c>
      <c r="CI1886" s="10">
        <v>489500</v>
      </c>
      <c r="CJ1886" s="7">
        <v>38974</v>
      </c>
    </row>
    <row r="1887" spans="1:90">
      <c r="A1887">
        <v>28033764</v>
      </c>
      <c r="B1887" s="2" t="str">
        <f>HYPERLINK("http://www.redfin.com/stingray/do/printable-listing?listing-id=1517891","Active")</f>
        <v>Active</v>
      </c>
      <c r="D1887" t="s">
        <v>983</v>
      </c>
      <c r="E1887" t="s">
        <v>2846</v>
      </c>
      <c r="F1887">
        <v>749500</v>
      </c>
      <c r="G1887">
        <v>1974</v>
      </c>
      <c r="H1887">
        <v>3890</v>
      </c>
      <c r="I1887">
        <v>7200</v>
      </c>
      <c r="J1887">
        <v>4</v>
      </c>
      <c r="K1887">
        <v>2.5</v>
      </c>
      <c r="M1887" s="2" t="str">
        <f>HYPERLINK("http://maps.live.com/default.aspx?v=2&amp;lvl=15&amp;sp=Point.47.702462_-122.27804_10043 46th Pl NE&amp;cp=47.702462~-122.27804","Map")</f>
        <v>Map</v>
      </c>
      <c r="N1887" s="2" t="str">
        <f>HYPERLINK("http://i-0.rfimg.us/photo/1/bigphoto/764/28033764_1.jpg","Photo")</f>
        <v>Photo</v>
      </c>
      <c r="AG1887">
        <v>47.702461999999997</v>
      </c>
      <c r="AH1887">
        <v>-122.27804</v>
      </c>
      <c r="AI1887" t="s">
        <v>66</v>
      </c>
      <c r="AJ1887">
        <v>98125</v>
      </c>
      <c r="BC1887" s="22">
        <v>39507.360219907408</v>
      </c>
      <c r="BI1887" s="22">
        <v>39549.294907407406</v>
      </c>
      <c r="BL1887">
        <v>14990</v>
      </c>
      <c r="BM1887">
        <v>1517891</v>
      </c>
      <c r="BN1887" t="s">
        <v>1700</v>
      </c>
      <c r="BO1887" s="17">
        <f t="shared" ca="1" si="29"/>
        <v>41.949185995370499</v>
      </c>
      <c r="BP1887" t="b">
        <v>0</v>
      </c>
      <c r="BQ1887">
        <v>1</v>
      </c>
      <c r="BR1887" t="s">
        <v>1842</v>
      </c>
      <c r="BS1887" t="s">
        <v>2471</v>
      </c>
      <c r="BT1887" t="b">
        <v>0</v>
      </c>
      <c r="BV1887" t="s">
        <v>1668</v>
      </c>
      <c r="BW1887">
        <v>10043</v>
      </c>
      <c r="BX1887" t="s">
        <v>1738</v>
      </c>
      <c r="BY1887">
        <v>11901257</v>
      </c>
      <c r="BZ1887" t="s">
        <v>2769</v>
      </c>
      <c r="CA1887">
        <v>1</v>
      </c>
      <c r="CB1887" t="b">
        <v>1</v>
      </c>
      <c r="CC1887">
        <v>0</v>
      </c>
      <c r="CD1887" t="b">
        <v>0</v>
      </c>
      <c r="CE1887" t="b">
        <v>0</v>
      </c>
      <c r="CF1887" t="b">
        <v>0</v>
      </c>
      <c r="CG1887">
        <v>15155482</v>
      </c>
      <c r="CH1887" t="s">
        <v>1681</v>
      </c>
      <c r="CI1887" s="10">
        <v>749500</v>
      </c>
    </row>
    <row r="1888" spans="1:90">
      <c r="A1888">
        <v>28033800</v>
      </c>
      <c r="B1888" s="2" t="str">
        <f>HYPERLINK("http://www.redfin.com/stingray/do/printable-listing?listing-id=1510477","Active")</f>
        <v>Active</v>
      </c>
      <c r="D1888" t="s">
        <v>63</v>
      </c>
      <c r="E1888" t="s">
        <v>365</v>
      </c>
      <c r="F1888" s="19">
        <v>350000</v>
      </c>
      <c r="G1888">
        <v>1928</v>
      </c>
      <c r="H1888">
        <v>980</v>
      </c>
      <c r="I1888">
        <v>3200</v>
      </c>
      <c r="J1888">
        <v>2</v>
      </c>
      <c r="K1888">
        <v>1</v>
      </c>
      <c r="M1888" s="2" t="str">
        <f>HYPERLINK("http://maps.live.com/default.aspx?v=2&amp;lvl=15&amp;sp=Point.47.687094_-122.3722_1214 NW 80th St&amp;cp=47.687094~-122.3722","Map")</f>
        <v>Map</v>
      </c>
      <c r="N1888" s="2" t="str">
        <f>HYPERLINK("http://i-0.rfimg.us/photo/1/bigphoto/800/28033800_0.jpg","Photo")</f>
        <v>Photo</v>
      </c>
      <c r="AG1888">
        <v>47.687094000000002</v>
      </c>
      <c r="AH1888">
        <v>-122.37220000000001</v>
      </c>
      <c r="AI1888" t="s">
        <v>66</v>
      </c>
      <c r="AJ1888">
        <v>98117</v>
      </c>
      <c r="BC1888" s="22">
        <v>39504.710601851853</v>
      </c>
      <c r="BI1888" s="22">
        <v>39549.294907407406</v>
      </c>
      <c r="BL1888">
        <v>7200</v>
      </c>
      <c r="BM1888">
        <v>1510477</v>
      </c>
      <c r="BN1888" t="s">
        <v>1810</v>
      </c>
      <c r="BO1888" s="17">
        <f t="shared" ca="1" si="29"/>
        <v>44.598804166664195</v>
      </c>
      <c r="BP1888" t="b">
        <v>0</v>
      </c>
      <c r="BQ1888">
        <v>1</v>
      </c>
      <c r="BR1888" t="s">
        <v>1686</v>
      </c>
      <c r="BS1888" t="s">
        <v>1711</v>
      </c>
      <c r="BT1888" t="b">
        <v>0</v>
      </c>
      <c r="BU1888" t="s">
        <v>1669</v>
      </c>
      <c r="BV1888" t="s">
        <v>1668</v>
      </c>
      <c r="BW1888">
        <v>1214</v>
      </c>
      <c r="BY1888">
        <v>497406</v>
      </c>
      <c r="BZ1888" t="s">
        <v>1696</v>
      </c>
      <c r="CA1888">
        <v>1</v>
      </c>
      <c r="CB1888" t="b">
        <v>1</v>
      </c>
      <c r="CC1888">
        <v>0</v>
      </c>
      <c r="CD1888" t="b">
        <v>0</v>
      </c>
      <c r="CE1888" t="b">
        <v>0</v>
      </c>
      <c r="CF1888" t="b">
        <v>0</v>
      </c>
      <c r="CG1888">
        <v>2956726</v>
      </c>
      <c r="CH1888" t="s">
        <v>1681</v>
      </c>
      <c r="CI1888" s="10">
        <v>360000</v>
      </c>
    </row>
    <row r="1889" spans="1:89">
      <c r="A1889">
        <v>28033814</v>
      </c>
      <c r="B1889" s="2" t="str">
        <f>HYPERLINK("http://www.redfin.com/stingray/do/printable-listing?listing-id=1510544","Active")</f>
        <v>Active</v>
      </c>
      <c r="D1889" t="s">
        <v>2552</v>
      </c>
      <c r="E1889" t="s">
        <v>3499</v>
      </c>
      <c r="F1889" s="19">
        <v>409500</v>
      </c>
      <c r="G1889">
        <v>1941</v>
      </c>
      <c r="H1889">
        <v>1200</v>
      </c>
      <c r="I1889">
        <v>6000</v>
      </c>
      <c r="J1889">
        <v>2</v>
      </c>
      <c r="K1889">
        <v>1</v>
      </c>
      <c r="M1889" s="2" t="str">
        <f>HYPERLINK("http://maps.live.com/default.aspx?v=2&amp;lvl=15&amp;sp=Point.47.654998_-122.402651_3831 35th Avenue W&amp;cp=47.654998~-122.402651","Map")</f>
        <v>Map</v>
      </c>
      <c r="N1889" s="2" t="str">
        <f>HYPERLINK("http://i-0.rfimg.us/photo/1/bigphoto/814/28033814_0.jpg","Photo")</f>
        <v>Photo</v>
      </c>
      <c r="AG1889">
        <v>47.654997999999999</v>
      </c>
      <c r="AH1889">
        <v>-122.40265100000001</v>
      </c>
      <c r="AI1889" t="s">
        <v>66</v>
      </c>
      <c r="AJ1889">
        <v>98199</v>
      </c>
      <c r="AN1889">
        <v>325000</v>
      </c>
      <c r="BC1889" s="22">
        <v>39504.725856481484</v>
      </c>
      <c r="BI1889" s="22">
        <v>39549.294907407406</v>
      </c>
      <c r="BL1889">
        <v>8390</v>
      </c>
      <c r="BM1889">
        <v>1510544</v>
      </c>
      <c r="BN1889" t="s">
        <v>1737</v>
      </c>
      <c r="BO1889" s="17">
        <f t="shared" ca="1" si="29"/>
        <v>44.583549421295174</v>
      </c>
      <c r="BP1889" t="b">
        <v>0</v>
      </c>
      <c r="BQ1889">
        <v>1</v>
      </c>
      <c r="BR1889" t="s">
        <v>3500</v>
      </c>
      <c r="BS1889" t="s">
        <v>2920</v>
      </c>
      <c r="BT1889" t="b">
        <v>0</v>
      </c>
      <c r="BV1889" t="s">
        <v>1668</v>
      </c>
      <c r="BW1889">
        <v>3831</v>
      </c>
      <c r="BX1889" t="s">
        <v>2423</v>
      </c>
      <c r="BY1889">
        <v>128953</v>
      </c>
      <c r="BZ1889" t="s">
        <v>1701</v>
      </c>
      <c r="CA1889">
        <v>1</v>
      </c>
      <c r="CB1889" t="b">
        <v>1</v>
      </c>
      <c r="CC1889">
        <v>0</v>
      </c>
      <c r="CD1889" t="b">
        <v>0</v>
      </c>
      <c r="CE1889" t="b">
        <v>0</v>
      </c>
      <c r="CF1889" t="b">
        <v>0</v>
      </c>
      <c r="CG1889">
        <v>2483345</v>
      </c>
      <c r="CH1889" t="s">
        <v>1681</v>
      </c>
      <c r="CI1889" s="10">
        <v>419500</v>
      </c>
      <c r="CJ1889" s="7">
        <v>39043</v>
      </c>
      <c r="CK1889" t="s">
        <v>3498</v>
      </c>
    </row>
    <row r="1890" spans="1:89">
      <c r="A1890">
        <v>28033835</v>
      </c>
      <c r="B1890" s="2" t="str">
        <f>HYPERLINK("http://www.redfin.com/stingray/do/printable-listing?listing-id=1510604","Active")</f>
        <v>Active</v>
      </c>
      <c r="D1890" t="s">
        <v>1058</v>
      </c>
      <c r="E1890" t="s">
        <v>4380</v>
      </c>
      <c r="F1890">
        <v>549000</v>
      </c>
      <c r="G1890">
        <v>1980</v>
      </c>
      <c r="H1890">
        <v>2180</v>
      </c>
      <c r="I1890">
        <v>9249</v>
      </c>
      <c r="J1890">
        <v>3</v>
      </c>
      <c r="K1890">
        <v>2.5</v>
      </c>
      <c r="M1890" s="2" t="str">
        <f>HYPERLINK("http://maps.live.com/default.aspx?v=2&amp;lvl=15&amp;sp=Point.47.700724_-122.186103_11221 116 Pl NE&amp;cp=47.700724~-122.186103","Map")</f>
        <v>Map</v>
      </c>
      <c r="N1890" s="2" t="str">
        <f>HYPERLINK("http://i-0.rfimg.us/photo/1/bigphoto/835/28033835_1.jpg","Photo")</f>
        <v>Photo</v>
      </c>
      <c r="AG1890">
        <v>47.700724000000001</v>
      </c>
      <c r="AH1890">
        <v>-122.186103</v>
      </c>
      <c r="AI1890" t="s">
        <v>1058</v>
      </c>
      <c r="AJ1890">
        <v>98033</v>
      </c>
      <c r="BC1890" s="22">
        <v>39504.745613425926</v>
      </c>
      <c r="BI1890" s="22">
        <v>39549.294907407406</v>
      </c>
      <c r="BL1890">
        <v>10980</v>
      </c>
      <c r="BM1890">
        <v>1510604</v>
      </c>
      <c r="BN1890" t="s">
        <v>1770</v>
      </c>
      <c r="BO1890" s="17">
        <f t="shared" ca="1" si="29"/>
        <v>44.563792476852541</v>
      </c>
      <c r="BP1890" t="b">
        <v>0</v>
      </c>
      <c r="BQ1890">
        <v>1</v>
      </c>
      <c r="BR1890" t="s">
        <v>1842</v>
      </c>
      <c r="BS1890">
        <v>116</v>
      </c>
      <c r="BT1890" t="b">
        <v>0</v>
      </c>
      <c r="BV1890" t="s">
        <v>1668</v>
      </c>
      <c r="BW1890">
        <v>11221</v>
      </c>
      <c r="BX1890" t="s">
        <v>1738</v>
      </c>
      <c r="BY1890">
        <v>12419322</v>
      </c>
      <c r="BZ1890" t="s">
        <v>1689</v>
      </c>
      <c r="CA1890">
        <v>1</v>
      </c>
      <c r="CB1890" t="b">
        <v>1</v>
      </c>
      <c r="CC1890">
        <v>0</v>
      </c>
      <c r="CD1890" t="b">
        <v>0</v>
      </c>
      <c r="CE1890" t="b">
        <v>0</v>
      </c>
      <c r="CF1890" t="b">
        <v>0</v>
      </c>
      <c r="CG1890">
        <v>15623070</v>
      </c>
      <c r="CH1890" t="s">
        <v>1681</v>
      </c>
      <c r="CI1890" s="10">
        <v>549000</v>
      </c>
    </row>
    <row r="1891" spans="1:89">
      <c r="A1891">
        <v>28033857</v>
      </c>
      <c r="B1891" s="2" t="str">
        <f>HYPERLINK("http://www.redfin.com/stingray/do/printable-listing?listing-id=1510668","Active")</f>
        <v>Active</v>
      </c>
      <c r="D1891" t="s">
        <v>3959</v>
      </c>
      <c r="E1891" t="s">
        <v>4163</v>
      </c>
      <c r="F1891">
        <v>599000</v>
      </c>
      <c r="G1891">
        <v>2008</v>
      </c>
      <c r="H1891">
        <v>1894</v>
      </c>
      <c r="I1891">
        <v>635</v>
      </c>
      <c r="J1891">
        <v>3</v>
      </c>
      <c r="K1891">
        <v>2</v>
      </c>
      <c r="M1891" s="2" t="str">
        <f>HYPERLINK("http://maps.live.com/default.aspx?v=2&amp;lvl=15&amp;sp=Point.47.612763_-122.300984_2423 E UNION St&amp;cp=47.612763~-122.300984","Map")</f>
        <v>Map</v>
      </c>
      <c r="N1891" s="2" t="str">
        <f>HYPERLINK("http://i-0.rfimg.us/photo/1/bigphoto/857/28033857_0.jpg","Photo")</f>
        <v>Photo</v>
      </c>
      <c r="AG1891">
        <v>47.612763000000001</v>
      </c>
      <c r="AH1891">
        <v>-122.300984</v>
      </c>
      <c r="AI1891" t="s">
        <v>66</v>
      </c>
      <c r="AJ1891">
        <v>98122</v>
      </c>
      <c r="BC1891" s="22">
        <v>39504.781400462962</v>
      </c>
      <c r="BI1891" s="22">
        <v>39549.294907407406</v>
      </c>
      <c r="BL1891">
        <v>11980</v>
      </c>
      <c r="BM1891">
        <v>1510668</v>
      </c>
      <c r="BN1891" t="s">
        <v>1710</v>
      </c>
      <c r="BO1891" s="17">
        <f t="shared" ca="1" si="29"/>
        <v>44.528005439817207</v>
      </c>
      <c r="BP1891" t="b">
        <v>0</v>
      </c>
      <c r="BQ1891">
        <v>1</v>
      </c>
      <c r="BR1891" t="s">
        <v>1686</v>
      </c>
      <c r="BS1891" t="s">
        <v>4162</v>
      </c>
      <c r="BT1891" t="b">
        <v>0</v>
      </c>
      <c r="BU1891" t="s">
        <v>2436</v>
      </c>
      <c r="BV1891" t="s">
        <v>1668</v>
      </c>
      <c r="BW1891">
        <v>2423</v>
      </c>
      <c r="BY1891">
        <v>12419523</v>
      </c>
      <c r="BZ1891" t="s">
        <v>1713</v>
      </c>
      <c r="CA1891">
        <v>1</v>
      </c>
      <c r="CB1891" t="b">
        <v>1</v>
      </c>
      <c r="CC1891">
        <v>0</v>
      </c>
      <c r="CD1891" t="b">
        <v>0</v>
      </c>
      <c r="CE1891" t="b">
        <v>0</v>
      </c>
      <c r="CF1891" t="b">
        <v>0</v>
      </c>
      <c r="CG1891">
        <v>15623271</v>
      </c>
      <c r="CH1891" t="s">
        <v>1681</v>
      </c>
      <c r="CI1891" s="10">
        <v>599000</v>
      </c>
    </row>
    <row r="1892" spans="1:89">
      <c r="A1892">
        <v>28033858</v>
      </c>
      <c r="B1892" s="2" t="str">
        <f>HYPERLINK("http://www.redfin.com/stingray/do/printable-listing?listing-id=1510670","Active")</f>
        <v>Active</v>
      </c>
      <c r="D1892" t="s">
        <v>3959</v>
      </c>
      <c r="E1892" t="s">
        <v>4164</v>
      </c>
      <c r="F1892">
        <v>639000</v>
      </c>
      <c r="G1892">
        <v>2008</v>
      </c>
      <c r="H1892">
        <v>2097</v>
      </c>
      <c r="I1892">
        <v>671</v>
      </c>
      <c r="J1892">
        <v>3</v>
      </c>
      <c r="K1892">
        <v>2</v>
      </c>
      <c r="M1892" s="2" t="str">
        <f>HYPERLINK("http://maps.live.com/default.aspx?v=2&amp;lvl=15&amp;sp=Point.47.612763_-122.300966_2425 E UNION St&amp;cp=47.612763~-122.300966","Map")</f>
        <v>Map</v>
      </c>
      <c r="N1892" s="2" t="str">
        <f>HYPERLINK("http://i-0.rfimg.us/photo/1/bigphoto/858/28033858_0.jpg","Photo")</f>
        <v>Photo</v>
      </c>
      <c r="AG1892">
        <v>47.612763000000001</v>
      </c>
      <c r="AH1892">
        <v>-122.300966</v>
      </c>
      <c r="AI1892" t="s">
        <v>66</v>
      </c>
      <c r="AJ1892">
        <v>98122</v>
      </c>
      <c r="BC1892" s="22">
        <v>39504.781400462962</v>
      </c>
      <c r="BI1892" s="22">
        <v>39549.294907407406</v>
      </c>
      <c r="BL1892">
        <v>12780</v>
      </c>
      <c r="BM1892">
        <v>1510670</v>
      </c>
      <c r="BN1892" t="s">
        <v>1710</v>
      </c>
      <c r="BO1892" s="17">
        <f t="shared" ca="1" si="29"/>
        <v>44.528005439817207</v>
      </c>
      <c r="BP1892" t="b">
        <v>0</v>
      </c>
      <c r="BQ1892">
        <v>1</v>
      </c>
      <c r="BR1892" t="s">
        <v>1686</v>
      </c>
      <c r="BS1892" t="s">
        <v>4162</v>
      </c>
      <c r="BT1892" t="b">
        <v>0</v>
      </c>
      <c r="BU1892" t="s">
        <v>2436</v>
      </c>
      <c r="BV1892" t="s">
        <v>1668</v>
      </c>
      <c r="BW1892">
        <v>2425</v>
      </c>
      <c r="BY1892">
        <v>12419524</v>
      </c>
      <c r="BZ1892" t="s">
        <v>1713</v>
      </c>
      <c r="CA1892">
        <v>1</v>
      </c>
      <c r="CB1892" t="b">
        <v>1</v>
      </c>
      <c r="CC1892">
        <v>0</v>
      </c>
      <c r="CD1892" t="b">
        <v>0</v>
      </c>
      <c r="CE1892" t="b">
        <v>0</v>
      </c>
      <c r="CF1892" t="b">
        <v>0</v>
      </c>
      <c r="CG1892">
        <v>15623272</v>
      </c>
      <c r="CH1892" t="s">
        <v>1681</v>
      </c>
      <c r="CI1892" s="10">
        <v>639000</v>
      </c>
    </row>
    <row r="1893" spans="1:89">
      <c r="A1893">
        <v>28033859</v>
      </c>
      <c r="B1893" s="2" t="str">
        <f>HYPERLINK("http://www.redfin.com/stingray/do/printable-listing?listing-id=1510680","Active")</f>
        <v>Active</v>
      </c>
      <c r="D1893" t="s">
        <v>3959</v>
      </c>
      <c r="E1893" t="s">
        <v>4165</v>
      </c>
      <c r="F1893" s="19">
        <v>619000</v>
      </c>
      <c r="G1893">
        <v>2008</v>
      </c>
      <c r="H1893">
        <v>1935</v>
      </c>
      <c r="I1893">
        <v>1065</v>
      </c>
      <c r="J1893">
        <v>3</v>
      </c>
      <c r="K1893">
        <v>2</v>
      </c>
      <c r="M1893" s="2" t="str">
        <f>HYPERLINK("http://maps.live.com/default.aspx?v=2&amp;lvl=15&amp;sp=Point.47.612434_-122.300303_1135 25th Ave&amp;cp=47.612434~-122.300303","Map")</f>
        <v>Map</v>
      </c>
      <c r="N1893" s="2" t="str">
        <f>HYPERLINK("http://i-0.rfimg.us/photo/1/bigphoto/859/28033859_0.jpg","Photo")</f>
        <v>Photo</v>
      </c>
      <c r="AG1893">
        <v>47.612434</v>
      </c>
      <c r="AH1893">
        <v>-122.300303</v>
      </c>
      <c r="AI1893" t="s">
        <v>66</v>
      </c>
      <c r="AJ1893">
        <v>98122</v>
      </c>
      <c r="BC1893" s="22">
        <v>39504.79146990741</v>
      </c>
      <c r="BI1893" s="22">
        <v>39549.294907407406</v>
      </c>
      <c r="BL1893">
        <v>12480</v>
      </c>
      <c r="BM1893">
        <v>1510680</v>
      </c>
      <c r="BN1893" t="s">
        <v>1710</v>
      </c>
      <c r="BO1893" s="17">
        <f t="shared" ca="1" si="29"/>
        <v>44.517935995369044</v>
      </c>
      <c r="BP1893" t="b">
        <v>0</v>
      </c>
      <c r="BQ1893">
        <v>1</v>
      </c>
      <c r="BR1893" t="s">
        <v>1667</v>
      </c>
      <c r="BS1893" t="s">
        <v>1819</v>
      </c>
      <c r="BT1893" t="b">
        <v>0</v>
      </c>
      <c r="BV1893" t="s">
        <v>1668</v>
      </c>
      <c r="BW1893">
        <v>1135</v>
      </c>
      <c r="BY1893">
        <v>12419530</v>
      </c>
      <c r="BZ1893" t="s">
        <v>1713</v>
      </c>
      <c r="CA1893">
        <v>1</v>
      </c>
      <c r="CB1893" t="b">
        <v>1</v>
      </c>
      <c r="CC1893">
        <v>0</v>
      </c>
      <c r="CD1893" t="b">
        <v>0</v>
      </c>
      <c r="CE1893" t="b">
        <v>0</v>
      </c>
      <c r="CF1893" t="b">
        <v>0</v>
      </c>
      <c r="CG1893">
        <v>15623278</v>
      </c>
      <c r="CH1893" t="s">
        <v>1681</v>
      </c>
      <c r="CI1893" s="10">
        <v>624000</v>
      </c>
    </row>
    <row r="1894" spans="1:89">
      <c r="A1894">
        <v>28033861</v>
      </c>
      <c r="B1894" s="15" t="str">
        <f>HYPERLINK("http://www.redfin.com/stingray/do/printable-listing?listing-id=1510681","Active")</f>
        <v>Active</v>
      </c>
      <c r="D1894" t="s">
        <v>3959</v>
      </c>
      <c r="E1894" t="s">
        <v>4011</v>
      </c>
      <c r="F1894">
        <v>669000</v>
      </c>
      <c r="G1894">
        <v>2008</v>
      </c>
      <c r="H1894">
        <v>2280</v>
      </c>
      <c r="I1894">
        <v>1069</v>
      </c>
      <c r="J1894">
        <v>3</v>
      </c>
      <c r="K1894">
        <v>1.5</v>
      </c>
      <c r="M1894" s="2" t="str">
        <f>HYPERLINK("http://maps.live.com/default.aspx?v=2&amp;lvl=15&amp;sp=Point.47.612444_-122.300303_1137 25th Ave&amp;cp=47.612444~-122.300303","Map")</f>
        <v>Map</v>
      </c>
      <c r="N1894" s="2" t="str">
        <f>HYPERLINK("http://i-0.rfimg.us/photo/1/bigphoto/861/28033861_0.jpg","Photo")</f>
        <v>Photo</v>
      </c>
      <c r="AG1894">
        <v>47.612444000000004</v>
      </c>
      <c r="AH1894">
        <v>-122.300303</v>
      </c>
      <c r="AI1894" t="s">
        <v>66</v>
      </c>
      <c r="AJ1894">
        <v>98122</v>
      </c>
      <c r="BC1894" s="22">
        <v>39504.79146990741</v>
      </c>
      <c r="BI1894" s="22">
        <v>39549.294907407406</v>
      </c>
      <c r="BL1894">
        <v>13380</v>
      </c>
      <c r="BM1894">
        <v>1510681</v>
      </c>
      <c r="BN1894" t="s">
        <v>1710</v>
      </c>
      <c r="BO1894" s="17">
        <f t="shared" ca="1" si="29"/>
        <v>44.517935995369044</v>
      </c>
      <c r="BP1894" t="b">
        <v>0</v>
      </c>
      <c r="BQ1894">
        <v>2</v>
      </c>
      <c r="BR1894" t="s">
        <v>1667</v>
      </c>
      <c r="BS1894" t="s">
        <v>1819</v>
      </c>
      <c r="BT1894" t="b">
        <v>0</v>
      </c>
      <c r="BV1894" t="s">
        <v>1668</v>
      </c>
      <c r="BW1894">
        <v>1137</v>
      </c>
      <c r="BY1894">
        <v>12419531</v>
      </c>
      <c r="BZ1894" t="s">
        <v>1713</v>
      </c>
      <c r="CA1894">
        <v>1</v>
      </c>
      <c r="CB1894" t="b">
        <v>1</v>
      </c>
      <c r="CC1894">
        <v>0</v>
      </c>
      <c r="CD1894" t="b">
        <v>0</v>
      </c>
      <c r="CE1894" t="b">
        <v>0</v>
      </c>
      <c r="CF1894" t="b">
        <v>0</v>
      </c>
      <c r="CG1894">
        <v>15623279</v>
      </c>
      <c r="CH1894" t="s">
        <v>1681</v>
      </c>
      <c r="CI1894" s="10">
        <v>669000</v>
      </c>
    </row>
    <row r="1895" spans="1:89">
      <c r="A1895">
        <v>28033887</v>
      </c>
      <c r="B1895" s="2" t="str">
        <f>HYPERLINK("http://www.redfin.com/stingray/do/printable-listing?listing-id=1510923","Active")</f>
        <v>Active</v>
      </c>
      <c r="D1895" t="s">
        <v>3379</v>
      </c>
      <c r="E1895" t="s">
        <v>3418</v>
      </c>
      <c r="F1895">
        <v>595950</v>
      </c>
      <c r="G1895">
        <v>1943</v>
      </c>
      <c r="H1895">
        <v>1100</v>
      </c>
      <c r="I1895">
        <v>5227</v>
      </c>
      <c r="J1895">
        <v>2</v>
      </c>
      <c r="K1895">
        <v>1.75</v>
      </c>
      <c r="M1895" s="2" t="str">
        <f>HYPERLINK("http://maps.live.com/default.aspx?v=2&amp;lvl=15&amp;sp=Point.47.651082_-122.405005_3419 37th Ave W&amp;cp=47.651082~-122.405005","Map")</f>
        <v>Map</v>
      </c>
      <c r="N1895" s="2" t="str">
        <f>HYPERLINK("http://i-0.rfimg.us/photo/1/bigphoto/887/28033887_0.jpg","Photo")</f>
        <v>Photo</v>
      </c>
      <c r="AG1895">
        <v>47.651082000000002</v>
      </c>
      <c r="AH1895">
        <v>-122.405005</v>
      </c>
      <c r="AI1895" t="s">
        <v>66</v>
      </c>
      <c r="AJ1895">
        <v>98199</v>
      </c>
      <c r="BC1895" s="22">
        <v>39504.931921296295</v>
      </c>
      <c r="BI1895" s="22">
        <v>39549.294907407406</v>
      </c>
      <c r="BL1895">
        <v>11919</v>
      </c>
      <c r="BM1895">
        <v>1510923</v>
      </c>
      <c r="BN1895" t="s">
        <v>3417</v>
      </c>
      <c r="BO1895" s="17">
        <f t="shared" ca="1" si="29"/>
        <v>44.377484606484359</v>
      </c>
      <c r="BP1895" t="b">
        <v>0</v>
      </c>
      <c r="BQ1895">
        <v>1</v>
      </c>
      <c r="BR1895" t="s">
        <v>1667</v>
      </c>
      <c r="BS1895" t="s">
        <v>2192</v>
      </c>
      <c r="BT1895" t="b">
        <v>0</v>
      </c>
      <c r="BV1895" t="s">
        <v>1668</v>
      </c>
      <c r="BW1895">
        <v>3419</v>
      </c>
      <c r="BX1895" t="s">
        <v>2423</v>
      </c>
      <c r="BY1895">
        <v>127718</v>
      </c>
      <c r="BZ1895" t="s">
        <v>1701</v>
      </c>
      <c r="CA1895">
        <v>1</v>
      </c>
      <c r="CB1895" t="b">
        <v>1</v>
      </c>
      <c r="CC1895">
        <v>0</v>
      </c>
      <c r="CD1895" t="b">
        <v>0</v>
      </c>
      <c r="CE1895" t="b">
        <v>0</v>
      </c>
      <c r="CF1895" t="b">
        <v>0</v>
      </c>
      <c r="CG1895">
        <v>2350546</v>
      </c>
      <c r="CH1895" t="s">
        <v>1681</v>
      </c>
      <c r="CI1895" s="10">
        <v>595950</v>
      </c>
    </row>
    <row r="1896" spans="1:89">
      <c r="A1896">
        <v>28033915</v>
      </c>
      <c r="B1896" s="2" t="str">
        <f>HYPERLINK("http://www.redfin.com/stingray/do/printable-listing?listing-id=1510899","Subject To Inspection")</f>
        <v>Subject To Inspection</v>
      </c>
      <c r="D1896" t="s">
        <v>4542</v>
      </c>
      <c r="E1896" t="s">
        <v>4672</v>
      </c>
      <c r="F1896">
        <v>869000</v>
      </c>
      <c r="G1896">
        <v>2001</v>
      </c>
      <c r="H1896">
        <v>3210</v>
      </c>
      <c r="I1896">
        <v>8503</v>
      </c>
      <c r="J1896">
        <v>4</v>
      </c>
      <c r="K1896">
        <v>2.5</v>
      </c>
      <c r="M1896" s="2" t="str">
        <f>HYPERLINK("http://maps.live.com/default.aspx?v=2&amp;lvl=15&amp;sp=Point.47.689637_-122.184584_11638 NE 100 St&amp;cp=47.689637~-122.184584","Map")</f>
        <v>Map</v>
      </c>
      <c r="N1896" s="2" t="str">
        <f>HYPERLINK("http://i-0.rfimg.us/photo/1/bigphoto/915/28033915_0.jpg","Photo")</f>
        <v>Photo</v>
      </c>
      <c r="AG1896">
        <v>47.689636999999998</v>
      </c>
      <c r="AH1896">
        <v>-122.184584</v>
      </c>
      <c r="AI1896" t="s">
        <v>1058</v>
      </c>
      <c r="AJ1896">
        <v>98033</v>
      </c>
      <c r="AN1896">
        <v>779950</v>
      </c>
      <c r="BC1896" s="22">
        <v>39504.911168981482</v>
      </c>
      <c r="BI1896" s="7">
        <v>39540</v>
      </c>
      <c r="BL1896">
        <v>17380</v>
      </c>
      <c r="BM1896">
        <v>1510899</v>
      </c>
      <c r="BN1896" t="s">
        <v>1674</v>
      </c>
      <c r="BO1896" s="17">
        <f t="shared" ca="1" si="29"/>
        <v>44.398236921297212</v>
      </c>
      <c r="BP1896" t="b">
        <v>0</v>
      </c>
      <c r="BQ1896">
        <v>2</v>
      </c>
      <c r="BR1896" t="s">
        <v>1686</v>
      </c>
      <c r="BS1896">
        <v>100</v>
      </c>
      <c r="BT1896" t="b">
        <v>0</v>
      </c>
      <c r="BU1896" t="s">
        <v>1738</v>
      </c>
      <c r="BV1896" t="s">
        <v>1668</v>
      </c>
      <c r="BW1896">
        <v>11638</v>
      </c>
      <c r="BY1896">
        <v>462293</v>
      </c>
      <c r="BZ1896" t="s">
        <v>1747</v>
      </c>
      <c r="CA1896">
        <v>1</v>
      </c>
      <c r="CB1896" t="b">
        <v>1</v>
      </c>
      <c r="CC1896">
        <v>0</v>
      </c>
      <c r="CD1896" t="b">
        <v>0</v>
      </c>
      <c r="CE1896" t="b">
        <v>0</v>
      </c>
      <c r="CF1896" t="b">
        <v>0</v>
      </c>
      <c r="CG1896">
        <v>2953339</v>
      </c>
      <c r="CH1896" t="s">
        <v>1681</v>
      </c>
      <c r="CI1896" s="10">
        <v>869000</v>
      </c>
      <c r="CJ1896" s="7">
        <v>38482</v>
      </c>
    </row>
    <row r="1897" spans="1:89">
      <c r="A1897">
        <v>28033936</v>
      </c>
      <c r="B1897" s="2" t="str">
        <f>HYPERLINK("http://www.redfin.com/stingray/do/printable-listing?listing-id=1511956","Active")</f>
        <v>Active</v>
      </c>
      <c r="D1897" t="s">
        <v>88</v>
      </c>
      <c r="E1897" t="s">
        <v>2639</v>
      </c>
      <c r="F1897">
        <v>574250</v>
      </c>
      <c r="G1897">
        <v>1931</v>
      </c>
      <c r="H1897">
        <v>1800</v>
      </c>
      <c r="I1897">
        <v>0</v>
      </c>
      <c r="J1897">
        <v>3</v>
      </c>
      <c r="K1897">
        <v>1</v>
      </c>
      <c r="M1897" s="2" t="str">
        <f>HYPERLINK("http://maps.live.com/default.aspx?v=2&amp;lvl=15&amp;sp=Point.47.688819_-122.352325_8212 Dayton Ave N&amp;cp=47.688819~-122.352325","Map")</f>
        <v>Map</v>
      </c>
      <c r="N1897" s="2" t="str">
        <f>HYPERLINK("http://i-0.rfimg.us/photo/1/bigphoto/936/28033936_2.jpg","Photo")</f>
        <v>Photo</v>
      </c>
      <c r="AG1897">
        <v>47.688819000000002</v>
      </c>
      <c r="AH1897">
        <v>-122.35232499999999</v>
      </c>
      <c r="AI1897" t="s">
        <v>66</v>
      </c>
      <c r="AJ1897">
        <v>98103</v>
      </c>
      <c r="AN1897">
        <v>392000</v>
      </c>
      <c r="BC1897" s="22">
        <v>39505.389641203707</v>
      </c>
      <c r="BI1897" s="7">
        <v>39534</v>
      </c>
      <c r="BL1897">
        <v>11485</v>
      </c>
      <c r="BM1897">
        <v>1511956</v>
      </c>
      <c r="BN1897" t="s">
        <v>1688</v>
      </c>
      <c r="BO1897" s="17">
        <f t="shared" ca="1" si="29"/>
        <v>43.91976481481106</v>
      </c>
      <c r="BP1897" t="b">
        <v>0</v>
      </c>
      <c r="BQ1897">
        <v>1</v>
      </c>
      <c r="BR1897" t="s">
        <v>1667</v>
      </c>
      <c r="BS1897" t="s">
        <v>2640</v>
      </c>
      <c r="BT1897" t="b">
        <v>0</v>
      </c>
      <c r="BV1897" t="s">
        <v>1668</v>
      </c>
      <c r="BW1897">
        <v>8212</v>
      </c>
      <c r="BX1897" t="s">
        <v>1712</v>
      </c>
      <c r="BY1897">
        <v>301578</v>
      </c>
      <c r="BZ1897" t="s">
        <v>2641</v>
      </c>
      <c r="CA1897">
        <v>1</v>
      </c>
      <c r="CB1897" t="b">
        <v>1</v>
      </c>
      <c r="CC1897">
        <v>0</v>
      </c>
      <c r="CD1897" t="b">
        <v>0</v>
      </c>
      <c r="CE1897" t="b">
        <v>0</v>
      </c>
      <c r="CF1897" t="b">
        <v>0</v>
      </c>
      <c r="CG1897">
        <v>2557489</v>
      </c>
      <c r="CH1897" t="s">
        <v>1681</v>
      </c>
      <c r="CI1897" s="10">
        <v>574250</v>
      </c>
      <c r="CJ1897" s="7">
        <v>38224</v>
      </c>
    </row>
    <row r="1898" spans="1:89">
      <c r="A1898">
        <v>28033954</v>
      </c>
      <c r="B1898" s="2" t="str">
        <f>HYPERLINK("http://www.redfin.com/stingray/do/printable-listing?listing-id=1511834","Active")</f>
        <v>Active</v>
      </c>
      <c r="D1898" t="s">
        <v>63</v>
      </c>
      <c r="E1898" t="s">
        <v>1539</v>
      </c>
      <c r="F1898">
        <v>549950</v>
      </c>
      <c r="G1898">
        <v>1913</v>
      </c>
      <c r="H1898">
        <v>2260</v>
      </c>
      <c r="I1898">
        <v>3638</v>
      </c>
      <c r="J1898">
        <v>3</v>
      </c>
      <c r="K1898">
        <v>1.75</v>
      </c>
      <c r="M1898" s="2" t="str">
        <f>HYPERLINK("http://maps.live.com/default.aspx?v=2&amp;lvl=15&amp;sp=Point.47.679053_-122.370571_6744 11th Ave NW&amp;cp=47.679053~-122.370571","Map")</f>
        <v>Map</v>
      </c>
      <c r="N1898" s="2" t="str">
        <f>HYPERLINK("http://i-0.rfimg.us/photo/1/bigphoto/954/28033954_.jpg","Photo")</f>
        <v>Photo</v>
      </c>
      <c r="AG1898">
        <v>47.679053000000003</v>
      </c>
      <c r="AH1898">
        <v>-122.370571</v>
      </c>
      <c r="AI1898" t="s">
        <v>66</v>
      </c>
      <c r="AJ1898">
        <v>98117</v>
      </c>
      <c r="BC1898" s="22">
        <v>39505.358634259261</v>
      </c>
      <c r="BI1898" s="22">
        <v>39549.294907407406</v>
      </c>
      <c r="BL1898">
        <v>10999</v>
      </c>
      <c r="BM1898">
        <v>1511834</v>
      </c>
      <c r="BN1898" t="s">
        <v>1805</v>
      </c>
      <c r="BO1898" s="17">
        <f t="shared" ca="1" si="29"/>
        <v>43.950771759256895</v>
      </c>
      <c r="BP1898" t="b">
        <v>0</v>
      </c>
      <c r="BQ1898">
        <v>1</v>
      </c>
      <c r="BR1898" t="s">
        <v>1667</v>
      </c>
      <c r="BS1898" t="s">
        <v>1792</v>
      </c>
      <c r="BT1898" t="b">
        <v>0</v>
      </c>
      <c r="BV1898" t="s">
        <v>1668</v>
      </c>
      <c r="BW1898">
        <v>6744</v>
      </c>
      <c r="BX1898" t="s">
        <v>1669</v>
      </c>
      <c r="BY1898">
        <v>497790</v>
      </c>
      <c r="CA1898">
        <v>1</v>
      </c>
      <c r="CB1898" t="b">
        <v>1</v>
      </c>
      <c r="CC1898">
        <v>0</v>
      </c>
      <c r="CD1898" t="b">
        <v>0</v>
      </c>
      <c r="CE1898" t="b">
        <v>0</v>
      </c>
      <c r="CF1898" t="b">
        <v>0</v>
      </c>
      <c r="CG1898">
        <v>2777170</v>
      </c>
      <c r="CH1898" t="s">
        <v>1681</v>
      </c>
      <c r="CI1898" s="10">
        <v>549950</v>
      </c>
    </row>
    <row r="1899" spans="1:89">
      <c r="A1899">
        <v>28033971</v>
      </c>
      <c r="B1899" s="2" t="str">
        <f>HYPERLINK("http://www.redfin.com/stingray/do/printable-listing?listing-id=1512158","Active")</f>
        <v>Active</v>
      </c>
      <c r="D1899" t="s">
        <v>88</v>
      </c>
      <c r="E1899" t="s">
        <v>1260</v>
      </c>
      <c r="F1899">
        <v>698500</v>
      </c>
      <c r="G1899">
        <v>1929</v>
      </c>
      <c r="H1899">
        <v>2760</v>
      </c>
      <c r="I1899">
        <v>4500</v>
      </c>
      <c r="J1899">
        <v>2</v>
      </c>
      <c r="K1899">
        <v>1.75</v>
      </c>
      <c r="M1899" s="2" t="str">
        <f>HYPERLINK("http://maps.live.com/default.aspx?v=2&amp;lvl=15&amp;sp=Point.47.67802_-122.358141_6706 Sycamore Ave NW&amp;cp=47.67802~-122.358141","Map")</f>
        <v>Map</v>
      </c>
      <c r="N1899" s="2" t="str">
        <f>HYPERLINK("http://i-0.rfimg.us/photo/1/bigphoto/971/28033971_0.jpg","Photo")</f>
        <v>Photo</v>
      </c>
      <c r="AG1899">
        <v>47.678019999999997</v>
      </c>
      <c r="AH1899">
        <v>-122.358141</v>
      </c>
      <c r="AI1899" t="s">
        <v>66</v>
      </c>
      <c r="AJ1899">
        <v>98117</v>
      </c>
      <c r="AN1899">
        <v>114750</v>
      </c>
      <c r="BC1899" s="22">
        <v>39505.453726851854</v>
      </c>
      <c r="BI1899" s="7">
        <v>39539</v>
      </c>
      <c r="BL1899">
        <v>13970</v>
      </c>
      <c r="BM1899">
        <v>1512158</v>
      </c>
      <c r="BN1899" t="s">
        <v>1685</v>
      </c>
      <c r="BO1899" s="17">
        <f t="shared" ca="1" si="29"/>
        <v>43.855679166663322</v>
      </c>
      <c r="BP1899" t="b">
        <v>0</v>
      </c>
      <c r="BQ1899">
        <v>1</v>
      </c>
      <c r="BR1899" t="s">
        <v>1667</v>
      </c>
      <c r="BS1899" t="s">
        <v>1966</v>
      </c>
      <c r="BT1899" t="b">
        <v>0</v>
      </c>
      <c r="BV1899" t="s">
        <v>1668</v>
      </c>
      <c r="BW1899">
        <v>6706</v>
      </c>
      <c r="BX1899" t="s">
        <v>1669</v>
      </c>
      <c r="BY1899">
        <v>497473</v>
      </c>
      <c r="BZ1899" t="s">
        <v>1672</v>
      </c>
      <c r="CA1899">
        <v>1</v>
      </c>
      <c r="CB1899" t="b">
        <v>1</v>
      </c>
      <c r="CC1899">
        <v>0</v>
      </c>
      <c r="CD1899" t="b">
        <v>0</v>
      </c>
      <c r="CE1899" t="b">
        <v>0</v>
      </c>
      <c r="CF1899" t="b">
        <v>0</v>
      </c>
      <c r="CG1899">
        <v>2449498</v>
      </c>
      <c r="CH1899" t="s">
        <v>1681</v>
      </c>
      <c r="CI1899" s="10">
        <v>698500</v>
      </c>
      <c r="CJ1899" s="7">
        <v>30420</v>
      </c>
    </row>
    <row r="1900" spans="1:89">
      <c r="A1900">
        <v>28033980</v>
      </c>
      <c r="B1900" s="15" t="str">
        <f>HYPERLINK("http://www.redfin.com/stingray/do/printable-listing?listing-id=1512020","Subject To Inspection")</f>
        <v>Subject To Inspection</v>
      </c>
      <c r="D1900" t="s">
        <v>3249</v>
      </c>
      <c r="E1900" t="s">
        <v>3587</v>
      </c>
      <c r="F1900" s="19">
        <v>624000</v>
      </c>
      <c r="G1900">
        <v>1926</v>
      </c>
      <c r="H1900">
        <v>1910</v>
      </c>
      <c r="I1900">
        <v>3000</v>
      </c>
      <c r="J1900">
        <v>3</v>
      </c>
      <c r="K1900">
        <v>2</v>
      </c>
      <c r="M1900" s="2" t="str">
        <f>HYPERLINK("http://maps.live.com/default.aspx?v=2&amp;lvl=15&amp;sp=Point.47.64425_-122.361706_316 W Newell St&amp;cp=47.64425~-122.361706","Map")</f>
        <v>Map</v>
      </c>
      <c r="N1900" s="2" t="str">
        <f>HYPERLINK("http://i-0.rfimg.us/photo/1/bigphoto/980/28033980_0.jpg","Photo")</f>
        <v>Photo</v>
      </c>
      <c r="AG1900">
        <v>47.64425</v>
      </c>
      <c r="AH1900">
        <v>-122.361706</v>
      </c>
      <c r="AI1900" t="s">
        <v>66</v>
      </c>
      <c r="AJ1900">
        <v>98119</v>
      </c>
      <c r="AN1900">
        <v>351500</v>
      </c>
      <c r="BC1900" s="22">
        <v>39505.410636574074</v>
      </c>
      <c r="BI1900" s="22">
        <v>39549.294907407406</v>
      </c>
      <c r="BL1900">
        <v>12980</v>
      </c>
      <c r="BM1900">
        <v>1512020</v>
      </c>
      <c r="BN1900" t="s">
        <v>1678</v>
      </c>
      <c r="BO1900" s="17">
        <f t="shared" ca="1" si="29"/>
        <v>43.898769328705384</v>
      </c>
      <c r="BP1900" t="b">
        <v>0</v>
      </c>
      <c r="BQ1900">
        <v>1</v>
      </c>
      <c r="BR1900" t="s">
        <v>1686</v>
      </c>
      <c r="BS1900" t="s">
        <v>3576</v>
      </c>
      <c r="BT1900" t="b">
        <v>0</v>
      </c>
      <c r="BU1900" t="s">
        <v>2423</v>
      </c>
      <c r="BV1900" t="s">
        <v>1668</v>
      </c>
      <c r="BW1900">
        <v>316</v>
      </c>
      <c r="BY1900">
        <v>130920</v>
      </c>
      <c r="BZ1900" t="s">
        <v>1672</v>
      </c>
      <c r="CA1900">
        <v>1</v>
      </c>
      <c r="CB1900" t="b">
        <v>1</v>
      </c>
      <c r="CC1900">
        <v>0</v>
      </c>
      <c r="CD1900" t="b">
        <v>0</v>
      </c>
      <c r="CE1900" t="b">
        <v>0</v>
      </c>
      <c r="CF1900" t="b">
        <v>0</v>
      </c>
      <c r="CG1900">
        <v>2571865</v>
      </c>
      <c r="CH1900" t="s">
        <v>1681</v>
      </c>
      <c r="CI1900" s="10">
        <v>649000</v>
      </c>
      <c r="CJ1900" s="7">
        <v>37153</v>
      </c>
    </row>
    <row r="1901" spans="1:89">
      <c r="A1901">
        <v>28033981</v>
      </c>
      <c r="B1901" s="2" t="str">
        <f>HYPERLINK("http://www.redfin.com/stingray/do/printable-listing?listing-id=1511995","Active")</f>
        <v>Active</v>
      </c>
      <c r="D1901" t="s">
        <v>3249</v>
      </c>
      <c r="E1901" t="s">
        <v>3568</v>
      </c>
      <c r="F1901" s="19">
        <v>449950</v>
      </c>
      <c r="G1901">
        <v>1953</v>
      </c>
      <c r="H1901">
        <v>0</v>
      </c>
      <c r="I1901">
        <v>5675</v>
      </c>
      <c r="J1901">
        <v>2</v>
      </c>
      <c r="K1901">
        <v>1</v>
      </c>
      <c r="M1901" s="2" t="str">
        <f>HYPERLINK("http://maps.live.com/default.aspx?v=2&amp;lvl=15&amp;sp=Point.47.649169_-122.366597_3223 7th Ave W&amp;cp=47.649169~-122.366597","Map")</f>
        <v>Map</v>
      </c>
      <c r="N1901" s="2" t="str">
        <f>HYPERLINK("http://i-0.rfimg.us/photo/1/bigphoto/981/28033981_0.jpg","Photo")</f>
        <v>Photo</v>
      </c>
      <c r="AG1901">
        <v>47.649169000000001</v>
      </c>
      <c r="AH1901">
        <v>-122.366597</v>
      </c>
      <c r="AI1901" t="s">
        <v>66</v>
      </c>
      <c r="AJ1901">
        <v>98119</v>
      </c>
      <c r="AN1901">
        <v>76000</v>
      </c>
      <c r="BC1901" s="22">
        <v>39505.40053240741</v>
      </c>
      <c r="BI1901" s="22">
        <v>39549.294907407406</v>
      </c>
      <c r="BL1901">
        <v>9399</v>
      </c>
      <c r="BM1901">
        <v>1511995</v>
      </c>
      <c r="BN1901" t="s">
        <v>1688</v>
      </c>
      <c r="BO1901" s="17">
        <f t="shared" ca="1" si="29"/>
        <v>43.908873495369335</v>
      </c>
      <c r="BP1901" t="b">
        <v>0</v>
      </c>
      <c r="BQ1901">
        <v>1</v>
      </c>
      <c r="BR1901" t="s">
        <v>1667</v>
      </c>
      <c r="BS1901" t="s">
        <v>1859</v>
      </c>
      <c r="BT1901" t="b">
        <v>0</v>
      </c>
      <c r="BV1901" t="s">
        <v>1668</v>
      </c>
      <c r="BW1901">
        <v>3223</v>
      </c>
      <c r="BX1901" t="s">
        <v>2423</v>
      </c>
      <c r="BY1901">
        <v>131019</v>
      </c>
      <c r="BZ1901" t="s">
        <v>1743</v>
      </c>
      <c r="CA1901">
        <v>1</v>
      </c>
      <c r="CB1901" t="b">
        <v>1</v>
      </c>
      <c r="CC1901">
        <v>0</v>
      </c>
      <c r="CD1901" t="b">
        <v>0</v>
      </c>
      <c r="CE1901" t="b">
        <v>0</v>
      </c>
      <c r="CF1901" t="b">
        <v>0</v>
      </c>
      <c r="CG1901">
        <v>2640577</v>
      </c>
      <c r="CH1901" t="s">
        <v>1681</v>
      </c>
      <c r="CI1901" s="10">
        <v>469950</v>
      </c>
      <c r="CJ1901" s="7">
        <v>31764</v>
      </c>
    </row>
    <row r="1902" spans="1:89">
      <c r="A1902">
        <v>28033985</v>
      </c>
      <c r="B1902" s="2" t="str">
        <f>HYPERLINK("http://www.redfin.com/stingray/do/printable-listing?listing-id=1511996","Active")</f>
        <v>Active</v>
      </c>
      <c r="D1902" t="s">
        <v>63</v>
      </c>
      <c r="E1902" t="s">
        <v>234</v>
      </c>
      <c r="F1902">
        <v>375000</v>
      </c>
      <c r="G1902">
        <v>1950</v>
      </c>
      <c r="H1902">
        <v>0</v>
      </c>
      <c r="I1902">
        <v>3000</v>
      </c>
      <c r="J1902">
        <v>2</v>
      </c>
      <c r="K1902">
        <v>1</v>
      </c>
      <c r="M1902" s="2" t="str">
        <f>HYPERLINK("http://maps.live.com/default.aspx?v=2&amp;lvl=15&amp;sp=Point.47.680506_-122.366908_7030 Dibble Ave NW&amp;cp=47.680506~-122.366908","Map")</f>
        <v>Map</v>
      </c>
      <c r="N1902" s="2" t="str">
        <f>HYPERLINK("http://i-0.rfimg.us/photo/1/bigphoto/985/28033985_0.jpg","Photo")</f>
        <v>Photo</v>
      </c>
      <c r="AG1902">
        <v>47.680506000000001</v>
      </c>
      <c r="AH1902">
        <v>-122.366908</v>
      </c>
      <c r="AI1902" t="s">
        <v>66</v>
      </c>
      <c r="AJ1902">
        <v>98117</v>
      </c>
      <c r="AN1902">
        <v>104950</v>
      </c>
      <c r="BC1902" s="22">
        <v>39505.400567129633</v>
      </c>
      <c r="BI1902" s="22">
        <v>39549.294907407406</v>
      </c>
      <c r="BL1902">
        <v>7500</v>
      </c>
      <c r="BM1902">
        <v>1511996</v>
      </c>
      <c r="BN1902" t="s">
        <v>1702</v>
      </c>
      <c r="BO1902" s="17">
        <f t="shared" ca="1" si="29"/>
        <v>43.908838888884929</v>
      </c>
      <c r="BP1902" t="b">
        <v>0</v>
      </c>
      <c r="BQ1902">
        <v>1</v>
      </c>
      <c r="BR1902" t="s">
        <v>1667</v>
      </c>
      <c r="BS1902" t="s">
        <v>1717</v>
      </c>
      <c r="BT1902" t="b">
        <v>0</v>
      </c>
      <c r="BV1902" t="s">
        <v>1668</v>
      </c>
      <c r="BW1902">
        <v>7030</v>
      </c>
      <c r="BX1902" t="s">
        <v>1669</v>
      </c>
      <c r="BY1902">
        <v>497172</v>
      </c>
      <c r="BZ1902" t="s">
        <v>1741</v>
      </c>
      <c r="CA1902">
        <v>1</v>
      </c>
      <c r="CB1902" t="b">
        <v>1</v>
      </c>
      <c r="CC1902">
        <v>0</v>
      </c>
      <c r="CD1902" t="b">
        <v>0</v>
      </c>
      <c r="CE1902" t="b">
        <v>0</v>
      </c>
      <c r="CF1902" t="b">
        <v>0</v>
      </c>
      <c r="CG1902">
        <v>2356076</v>
      </c>
      <c r="CH1902" t="s">
        <v>1681</v>
      </c>
      <c r="CI1902" s="10">
        <v>375000</v>
      </c>
      <c r="CJ1902" s="7">
        <v>33737</v>
      </c>
      <c r="CK1902" t="s">
        <v>1993</v>
      </c>
    </row>
    <row r="1903" spans="1:89">
      <c r="A1903">
        <v>28034040</v>
      </c>
      <c r="B1903" s="2" t="str">
        <f>HYPERLINK("http://www.redfin.com/stingray/do/printable-listing?listing-id=1522373","Active")</f>
        <v>Active</v>
      </c>
      <c r="D1903" t="s">
        <v>4401</v>
      </c>
      <c r="E1903" t="s">
        <v>4559</v>
      </c>
      <c r="F1903" s="19">
        <v>499950</v>
      </c>
      <c r="G1903">
        <v>1986</v>
      </c>
      <c r="H1903">
        <v>3200</v>
      </c>
      <c r="I1903">
        <v>9150</v>
      </c>
      <c r="J1903">
        <v>5</v>
      </c>
      <c r="K1903">
        <v>3</v>
      </c>
      <c r="M1903" s="2" t="str">
        <f>HYPERLINK("http://maps.live.com/default.aspx?v=2&amp;lvl=15&amp;sp=Point.47.719448_-122.186026_13234 116th Ave NE&amp;cp=47.719448~-122.186026","Map")</f>
        <v>Map</v>
      </c>
      <c r="N1903" s="2" t="str">
        <f>HYPERLINK("http://i-0.rfimg.us/photo/1/bigphoto/040/28034040_0.jpg","Photo")</f>
        <v>Photo</v>
      </c>
      <c r="AG1903">
        <v>47.719448</v>
      </c>
      <c r="AH1903">
        <v>-122.186026</v>
      </c>
      <c r="AI1903" t="s">
        <v>1058</v>
      </c>
      <c r="AJ1903">
        <v>98034</v>
      </c>
      <c r="AN1903">
        <v>255000</v>
      </c>
      <c r="BC1903" s="22">
        <v>39508.452615740738</v>
      </c>
      <c r="BI1903" s="22">
        <v>39549.294907407406</v>
      </c>
      <c r="BL1903">
        <v>10299</v>
      </c>
      <c r="BM1903">
        <v>1522373</v>
      </c>
      <c r="BN1903" t="s">
        <v>1688</v>
      </c>
      <c r="BO1903" s="17">
        <f t="shared" ca="1" si="29"/>
        <v>40.856790162040852</v>
      </c>
      <c r="BP1903" t="b">
        <v>0</v>
      </c>
      <c r="BQ1903">
        <v>1</v>
      </c>
      <c r="BR1903" t="s">
        <v>1667</v>
      </c>
      <c r="BS1903" t="s">
        <v>4441</v>
      </c>
      <c r="BT1903" t="b">
        <v>0</v>
      </c>
      <c r="BV1903" t="s">
        <v>1668</v>
      </c>
      <c r="BW1903">
        <v>13234</v>
      </c>
      <c r="BX1903" t="s">
        <v>1738</v>
      </c>
      <c r="BY1903">
        <v>455657</v>
      </c>
      <c r="BZ1903" t="s">
        <v>1672</v>
      </c>
      <c r="CA1903">
        <v>1</v>
      </c>
      <c r="CB1903" t="b">
        <v>1</v>
      </c>
      <c r="CC1903">
        <v>0</v>
      </c>
      <c r="CD1903" t="b">
        <v>0</v>
      </c>
      <c r="CE1903" t="b">
        <v>0</v>
      </c>
      <c r="CF1903" t="b">
        <v>0</v>
      </c>
      <c r="CG1903">
        <v>2737048</v>
      </c>
      <c r="CH1903" t="s">
        <v>1681</v>
      </c>
      <c r="CI1903" s="10">
        <v>514950</v>
      </c>
      <c r="CJ1903" s="7">
        <v>35907</v>
      </c>
    </row>
    <row r="1904" spans="1:89">
      <c r="A1904">
        <v>28034048</v>
      </c>
      <c r="B1904" s="2" t="str">
        <f>HYPERLINK("http://www.redfin.com/stingray/do/printable-listing?listing-id=1512157","Active")</f>
        <v>Active</v>
      </c>
      <c r="D1904" t="s">
        <v>2552</v>
      </c>
      <c r="E1904" t="s">
        <v>3546</v>
      </c>
      <c r="F1904" s="19">
        <v>959950</v>
      </c>
      <c r="G1904">
        <v>1927</v>
      </c>
      <c r="H1904">
        <v>2720</v>
      </c>
      <c r="I1904">
        <v>5000</v>
      </c>
      <c r="J1904">
        <v>4</v>
      </c>
      <c r="K1904">
        <v>2.5</v>
      </c>
      <c r="M1904" s="2" t="str">
        <f>HYPERLINK("http://maps.live.com/default.aspx?v=2&amp;lvl=15&amp;sp=Point.47.635399_-122.396335_3012 W Blaine St&amp;cp=47.635399~-122.396335","Map")</f>
        <v>Map</v>
      </c>
      <c r="N1904" s="2" t="str">
        <f>HYPERLINK("http://i-0.rfimg.us/photo/1/bigphoto/048/28034048_4.jpg","Photo")</f>
        <v>Photo</v>
      </c>
      <c r="AG1904">
        <v>47.635399</v>
      </c>
      <c r="AH1904">
        <v>-122.39633499999999</v>
      </c>
      <c r="AI1904" t="s">
        <v>66</v>
      </c>
      <c r="AJ1904">
        <v>98199</v>
      </c>
      <c r="AN1904">
        <v>511000</v>
      </c>
      <c r="BC1904" s="22">
        <v>39505.453715277778</v>
      </c>
      <c r="BI1904" s="7">
        <v>39539</v>
      </c>
      <c r="BL1904">
        <v>19580</v>
      </c>
      <c r="BM1904">
        <v>1512157</v>
      </c>
      <c r="BN1904" t="s">
        <v>1929</v>
      </c>
      <c r="BO1904" s="17">
        <f t="shared" ca="1" si="29"/>
        <v>43.855690625001444</v>
      </c>
      <c r="BP1904" t="b">
        <v>0</v>
      </c>
      <c r="BQ1904">
        <v>1</v>
      </c>
      <c r="BR1904" t="s">
        <v>1686</v>
      </c>
      <c r="BS1904" t="s">
        <v>3542</v>
      </c>
      <c r="BT1904" t="b">
        <v>0</v>
      </c>
      <c r="BU1904" t="s">
        <v>2423</v>
      </c>
      <c r="BV1904" t="s">
        <v>1668</v>
      </c>
      <c r="BW1904">
        <v>3012</v>
      </c>
      <c r="BY1904">
        <v>125976</v>
      </c>
      <c r="BZ1904" t="s">
        <v>3291</v>
      </c>
      <c r="CA1904">
        <v>1</v>
      </c>
      <c r="CB1904" t="b">
        <v>1</v>
      </c>
      <c r="CC1904">
        <v>0</v>
      </c>
      <c r="CD1904" t="b">
        <v>0</v>
      </c>
      <c r="CE1904" t="b">
        <v>0</v>
      </c>
      <c r="CF1904" t="b">
        <v>0</v>
      </c>
      <c r="CG1904">
        <v>2347417</v>
      </c>
      <c r="CH1904" t="s">
        <v>1681</v>
      </c>
      <c r="CI1904" s="10">
        <v>979000</v>
      </c>
      <c r="CJ1904" s="7">
        <v>37673</v>
      </c>
    </row>
    <row r="1905" spans="1:88">
      <c r="A1905">
        <v>28034057</v>
      </c>
      <c r="B1905" s="2" t="str">
        <f>HYPERLINK("http://www.redfin.com/stingray/do/printable-listing?listing-id=1517876","Active")</f>
        <v>Active</v>
      </c>
      <c r="D1905" t="s">
        <v>1058</v>
      </c>
      <c r="E1905" t="s">
        <v>4851</v>
      </c>
      <c r="F1905" s="19">
        <v>599990</v>
      </c>
      <c r="G1905">
        <v>1995</v>
      </c>
      <c r="H1905">
        <v>1920</v>
      </c>
      <c r="I1905">
        <v>7231</v>
      </c>
      <c r="J1905">
        <v>3</v>
      </c>
      <c r="K1905">
        <v>2.5</v>
      </c>
      <c r="M1905" s="2" t="str">
        <f>HYPERLINK("http://maps.live.com/default.aspx?v=2&amp;lvl=15&amp;sp=Point.47.685384_-122.173639_12516 NE 94th St&amp;cp=47.685384~-122.173639","Map")</f>
        <v>Map</v>
      </c>
      <c r="N1905" s="2" t="str">
        <f>HYPERLINK("http://i-0.rfimg.us/photo/1/bigphoto/057/28034057_0.jpg","Photo")</f>
        <v>Photo</v>
      </c>
      <c r="AG1905">
        <v>47.685383999999999</v>
      </c>
      <c r="AH1905">
        <v>-122.17363899999999</v>
      </c>
      <c r="AI1905" t="s">
        <v>1058</v>
      </c>
      <c r="AJ1905">
        <v>98033</v>
      </c>
      <c r="AN1905">
        <v>224950</v>
      </c>
      <c r="BC1905" s="22">
        <v>39507.360115740739</v>
      </c>
      <c r="BI1905" s="22">
        <v>39549.294907407406</v>
      </c>
      <c r="BL1905">
        <v>13000</v>
      </c>
      <c r="BM1905">
        <v>1517876</v>
      </c>
      <c r="BN1905" t="s">
        <v>3092</v>
      </c>
      <c r="BO1905" s="17">
        <f t="shared" ca="1" si="29"/>
        <v>41.949290162039688</v>
      </c>
      <c r="BP1905" t="b">
        <v>0</v>
      </c>
      <c r="BQ1905">
        <v>1</v>
      </c>
      <c r="BR1905" t="s">
        <v>1686</v>
      </c>
      <c r="BS1905" t="s">
        <v>2716</v>
      </c>
      <c r="BT1905" t="b">
        <v>0</v>
      </c>
      <c r="BU1905" t="s">
        <v>1738</v>
      </c>
      <c r="BV1905" t="s">
        <v>1668</v>
      </c>
      <c r="BW1905">
        <v>12516</v>
      </c>
      <c r="BY1905">
        <v>513454</v>
      </c>
      <c r="BZ1905" t="s">
        <v>1713</v>
      </c>
      <c r="CA1905">
        <v>1</v>
      </c>
      <c r="CB1905" t="b">
        <v>1</v>
      </c>
      <c r="CC1905">
        <v>0</v>
      </c>
      <c r="CD1905" t="b">
        <v>0</v>
      </c>
      <c r="CE1905" t="b">
        <v>0</v>
      </c>
      <c r="CF1905" t="b">
        <v>0</v>
      </c>
      <c r="CG1905">
        <v>2689559</v>
      </c>
      <c r="CH1905" t="s">
        <v>1681</v>
      </c>
      <c r="CI1905" s="10">
        <v>649990</v>
      </c>
      <c r="CJ1905" s="7">
        <v>34845</v>
      </c>
    </row>
    <row r="1906" spans="1:88">
      <c r="A1906">
        <v>28034068</v>
      </c>
      <c r="B1906" s="2" t="str">
        <f>HYPERLINK("http://www.redfin.com/stingray/do/printable-listing?listing-id=1512189","Active")</f>
        <v>Active</v>
      </c>
      <c r="D1906" t="s">
        <v>3064</v>
      </c>
      <c r="E1906" t="s">
        <v>6129</v>
      </c>
      <c r="F1906">
        <v>390000</v>
      </c>
      <c r="G1906">
        <v>1997</v>
      </c>
      <c r="H1906">
        <v>1838</v>
      </c>
      <c r="I1906">
        <v>4586</v>
      </c>
      <c r="J1906">
        <v>3</v>
      </c>
      <c r="K1906">
        <v>2.5</v>
      </c>
      <c r="M1906" s="2" t="str">
        <f>HYPERLINK("http://maps.live.com/default.aspx?v=2&amp;lvl=15&amp;sp=Point.47.508528_-122.165562_4004 NE 19th St&amp;cp=47.508528~-122.165562","Map")</f>
        <v>Map</v>
      </c>
      <c r="N1906" s="2" t="str">
        <f>HYPERLINK("http://i-0.rfimg.us/photo/1/bigphoto/068/28034068_0.jpg","Photo")</f>
        <v>Photo</v>
      </c>
      <c r="AG1906">
        <v>47.508527999999998</v>
      </c>
      <c r="AH1906">
        <v>-122.16556199999999</v>
      </c>
      <c r="AI1906" t="s">
        <v>1077</v>
      </c>
      <c r="AJ1906">
        <v>98056</v>
      </c>
      <c r="AN1906">
        <v>360000</v>
      </c>
      <c r="BC1906" s="22">
        <v>39505.46361111111</v>
      </c>
      <c r="BI1906" s="7">
        <v>39541</v>
      </c>
      <c r="BL1906">
        <v>7800</v>
      </c>
      <c r="BM1906">
        <v>1512189</v>
      </c>
      <c r="BN1906" t="s">
        <v>6128</v>
      </c>
      <c r="BO1906" s="17">
        <f t="shared" ca="1" si="29"/>
        <v>43.845794791668595</v>
      </c>
      <c r="BP1906" t="b">
        <v>0</v>
      </c>
      <c r="BQ1906">
        <v>1</v>
      </c>
      <c r="BR1906" t="s">
        <v>1686</v>
      </c>
      <c r="BS1906" t="s">
        <v>1906</v>
      </c>
      <c r="BT1906" t="b">
        <v>0</v>
      </c>
      <c r="BU1906" t="s">
        <v>1738</v>
      </c>
      <c r="BV1906" t="s">
        <v>1668</v>
      </c>
      <c r="BW1906">
        <v>4004</v>
      </c>
      <c r="BY1906">
        <v>411463</v>
      </c>
      <c r="BZ1906" s="21">
        <v>0</v>
      </c>
      <c r="CA1906">
        <v>1</v>
      </c>
      <c r="CB1906" t="b">
        <v>1</v>
      </c>
      <c r="CC1906">
        <v>0</v>
      </c>
      <c r="CD1906" t="b">
        <v>0</v>
      </c>
      <c r="CE1906" t="b">
        <v>0</v>
      </c>
      <c r="CF1906" t="b">
        <v>0</v>
      </c>
      <c r="CG1906">
        <v>2757848</v>
      </c>
      <c r="CH1906" t="s">
        <v>1681</v>
      </c>
      <c r="CI1906" s="10">
        <v>390000</v>
      </c>
      <c r="CJ1906" s="7">
        <v>38653</v>
      </c>
    </row>
    <row r="1907" spans="1:88">
      <c r="A1907">
        <v>28034075</v>
      </c>
      <c r="B1907" s="2" t="str">
        <f>HYPERLINK("http://www.redfin.com/stingray/do/printable-listing?listing-id=1512191","Active")</f>
        <v>Active</v>
      </c>
      <c r="D1907" t="s">
        <v>3885</v>
      </c>
      <c r="E1907" t="s">
        <v>6039</v>
      </c>
      <c r="F1907">
        <v>599900</v>
      </c>
      <c r="G1907">
        <v>1998</v>
      </c>
      <c r="H1907">
        <v>2658</v>
      </c>
      <c r="I1907">
        <v>6470</v>
      </c>
      <c r="J1907">
        <v>4</v>
      </c>
      <c r="K1907">
        <v>2.5</v>
      </c>
      <c r="M1907" s="2" t="str">
        <f>HYPERLINK("http://maps.live.com/default.aspx?v=2&amp;lvl=15&amp;sp=Point.47.51222_-122.175225_3420 NE 23rd Pl&amp;cp=47.51222~-122.175225","Map")</f>
        <v>Map</v>
      </c>
      <c r="N1907" s="2" t="str">
        <f>HYPERLINK("http://i-0.rfimg.us/photo/1/bigphoto/075/28034075_0.jpg","Photo")</f>
        <v>Photo</v>
      </c>
      <c r="AG1907">
        <v>47.512219999999999</v>
      </c>
      <c r="AH1907">
        <v>-122.175225</v>
      </c>
      <c r="AI1907" t="s">
        <v>1077</v>
      </c>
      <c r="AJ1907">
        <v>98056</v>
      </c>
      <c r="AN1907">
        <v>387000</v>
      </c>
      <c r="BC1907" s="22">
        <v>39505.463622685187</v>
      </c>
      <c r="BI1907" s="22">
        <v>39549.294907407406</v>
      </c>
      <c r="BL1907">
        <v>11998</v>
      </c>
      <c r="BM1907">
        <v>1512191</v>
      </c>
      <c r="BN1907" t="s">
        <v>6038</v>
      </c>
      <c r="BO1907" s="17">
        <f t="shared" ca="1" si="29"/>
        <v>43.845783217591816</v>
      </c>
      <c r="BP1907" t="b">
        <v>0</v>
      </c>
      <c r="BQ1907">
        <v>1</v>
      </c>
      <c r="BR1907" t="s">
        <v>1842</v>
      </c>
      <c r="BS1907" t="s">
        <v>1839</v>
      </c>
      <c r="BT1907" t="b">
        <v>0</v>
      </c>
      <c r="BU1907" t="s">
        <v>1738</v>
      </c>
      <c r="BV1907" t="s">
        <v>1668</v>
      </c>
      <c r="BW1907">
        <v>3420</v>
      </c>
      <c r="BY1907">
        <v>411397</v>
      </c>
      <c r="BZ1907" t="s">
        <v>1672</v>
      </c>
      <c r="CA1907">
        <v>1</v>
      </c>
      <c r="CB1907" t="b">
        <v>1</v>
      </c>
      <c r="CC1907">
        <v>0</v>
      </c>
      <c r="CD1907" t="b">
        <v>0</v>
      </c>
      <c r="CE1907" t="b">
        <v>0</v>
      </c>
      <c r="CF1907" t="b">
        <v>0</v>
      </c>
      <c r="CG1907">
        <v>2676691</v>
      </c>
      <c r="CH1907" t="s">
        <v>1681</v>
      </c>
      <c r="CI1907" s="10">
        <v>599900</v>
      </c>
      <c r="CJ1907" s="7">
        <v>36669</v>
      </c>
    </row>
    <row r="1908" spans="1:88">
      <c r="A1908">
        <v>28034096</v>
      </c>
      <c r="B1908" s="2" t="str">
        <f>HYPERLINK("http://www.redfin.com/stingray/do/printable-listing?listing-id=1513459","Active")</f>
        <v>Active</v>
      </c>
      <c r="D1908" t="s">
        <v>3064</v>
      </c>
      <c r="E1908" t="s">
        <v>4660</v>
      </c>
      <c r="F1908">
        <v>649950</v>
      </c>
      <c r="G1908">
        <v>1987</v>
      </c>
      <c r="H1908">
        <v>2640</v>
      </c>
      <c r="I1908">
        <v>8057</v>
      </c>
      <c r="J1908">
        <v>3</v>
      </c>
      <c r="K1908">
        <v>2.5</v>
      </c>
      <c r="M1908" s="2" t="str">
        <f>HYPERLINK("http://maps.live.com/default.aspx?v=2&amp;lvl=15&amp;sp=Point.47.694513_-122.185098_11631 NE 106th Ln&amp;cp=47.694513~-122.185098","Map")</f>
        <v>Map</v>
      </c>
      <c r="N1908" s="2" t="str">
        <f>HYPERLINK("http://i-0.rfimg.us/photo/1/bigphoto/096/28034096_2.jpg","Photo")</f>
        <v>Photo</v>
      </c>
      <c r="AG1908">
        <v>47.694513000000001</v>
      </c>
      <c r="AH1908">
        <v>-122.185098</v>
      </c>
      <c r="AI1908" t="s">
        <v>1058</v>
      </c>
      <c r="AJ1908">
        <v>98033</v>
      </c>
      <c r="AN1908">
        <v>114815</v>
      </c>
      <c r="BC1908" s="22">
        <v>39505.714502314811</v>
      </c>
      <c r="BI1908" s="22">
        <v>39549.294907407406</v>
      </c>
      <c r="BL1908">
        <v>12999</v>
      </c>
      <c r="BM1908">
        <v>1513459</v>
      </c>
      <c r="BN1908" t="s">
        <v>4659</v>
      </c>
      <c r="BO1908" s="17">
        <f t="shared" ca="1" si="29"/>
        <v>43.594903587967565</v>
      </c>
      <c r="BP1908" t="b">
        <v>0</v>
      </c>
      <c r="BQ1908">
        <v>1</v>
      </c>
      <c r="BR1908" t="s">
        <v>2963</v>
      </c>
      <c r="BS1908" t="s">
        <v>2936</v>
      </c>
      <c r="BT1908" t="b">
        <v>0</v>
      </c>
      <c r="BU1908" t="s">
        <v>1738</v>
      </c>
      <c r="BV1908" t="s">
        <v>1668</v>
      </c>
      <c r="BW1908">
        <v>11631</v>
      </c>
      <c r="BY1908">
        <v>464597</v>
      </c>
      <c r="BZ1908" t="s">
        <v>4661</v>
      </c>
      <c r="CA1908">
        <v>1</v>
      </c>
      <c r="CB1908" t="b">
        <v>1</v>
      </c>
      <c r="CC1908">
        <v>0</v>
      </c>
      <c r="CD1908" t="b">
        <v>0</v>
      </c>
      <c r="CE1908" t="b">
        <v>0</v>
      </c>
      <c r="CF1908" t="b">
        <v>0</v>
      </c>
      <c r="CG1908">
        <v>2963332</v>
      </c>
      <c r="CH1908" t="s">
        <v>1681</v>
      </c>
      <c r="CI1908" s="10">
        <v>649950</v>
      </c>
      <c r="CJ1908" s="7">
        <v>31828</v>
      </c>
    </row>
    <row r="1909" spans="1:88">
      <c r="A1909">
        <v>28034109</v>
      </c>
      <c r="B1909" s="2" t="str">
        <f>HYPERLINK("http://www.redfin.com/stingray/do/printable-listing?listing-id=1521271","Active")</f>
        <v>Active</v>
      </c>
      <c r="D1909" t="s">
        <v>3079</v>
      </c>
      <c r="E1909" t="s">
        <v>1657</v>
      </c>
      <c r="F1909">
        <v>2349000</v>
      </c>
      <c r="G1909">
        <v>2008</v>
      </c>
      <c r="H1909">
        <v>5000</v>
      </c>
      <c r="I1909">
        <v>17728</v>
      </c>
      <c r="J1909">
        <v>4</v>
      </c>
      <c r="K1909">
        <v>3.5</v>
      </c>
      <c r="M1909" s="2" t="str">
        <f>HYPERLINK("http://maps.live.com/default.aspx?v=2&amp;lvl=15&amp;sp=adr.Undisclosed,98033","Map")</f>
        <v>Map</v>
      </c>
      <c r="N1909" s="2" t="str">
        <f>HYPERLINK("http://i-0.rfimg.us/photo/1/bigphoto/109/28034109_0.jpg","Photo")</f>
        <v>Photo</v>
      </c>
      <c r="AI1909" t="s">
        <v>1058</v>
      </c>
      <c r="AJ1909">
        <v>98033</v>
      </c>
      <c r="BC1909" s="22">
        <v>39507.984247685185</v>
      </c>
      <c r="BI1909" s="22">
        <v>39549.294907407406</v>
      </c>
      <c r="BL1909">
        <v>46980</v>
      </c>
      <c r="BM1909">
        <v>1521271</v>
      </c>
      <c r="BN1909" t="s">
        <v>1725</v>
      </c>
      <c r="BO1909" s="17">
        <f t="shared" ca="1" si="29"/>
        <v>41.325158217594435</v>
      </c>
      <c r="BP1909" t="b">
        <v>0</v>
      </c>
      <c r="BQ1909">
        <v>1</v>
      </c>
      <c r="BT1909" t="b">
        <v>1</v>
      </c>
      <c r="BV1909" t="s">
        <v>1668</v>
      </c>
      <c r="BY1909">
        <v>0</v>
      </c>
      <c r="BZ1909" t="s">
        <v>1801</v>
      </c>
      <c r="CA1909">
        <v>1</v>
      </c>
      <c r="CB1909" t="b">
        <v>1</v>
      </c>
      <c r="CC1909">
        <v>0</v>
      </c>
      <c r="CD1909" t="b">
        <v>0</v>
      </c>
      <c r="CE1909" t="b">
        <v>0</v>
      </c>
      <c r="CF1909" t="b">
        <v>0</v>
      </c>
      <c r="CG1909" t="s">
        <v>1870</v>
      </c>
      <c r="CH1909" t="s">
        <v>1681</v>
      </c>
      <c r="CI1909" s="10">
        <v>2349000</v>
      </c>
    </row>
    <row r="1910" spans="1:88">
      <c r="A1910">
        <v>28034112</v>
      </c>
      <c r="B1910" s="2" t="str">
        <f>HYPERLINK("http://www.redfin.com/stingray/do/printable-listing?listing-id=1512751","Active")</f>
        <v>Active</v>
      </c>
      <c r="D1910" t="s">
        <v>4974</v>
      </c>
      <c r="E1910" t="s">
        <v>5527</v>
      </c>
      <c r="F1910">
        <v>825000</v>
      </c>
      <c r="G1910">
        <v>1949</v>
      </c>
      <c r="H1910">
        <v>2970</v>
      </c>
      <c r="I1910">
        <v>16110</v>
      </c>
      <c r="J1910">
        <v>4</v>
      </c>
      <c r="K1910">
        <v>2.25</v>
      </c>
      <c r="M1910" s="2" t="str">
        <f>HYPERLINK("http://maps.live.com/default.aspx?v=2&amp;lvl=15&amp;sp=Point.47.597565_-122.202302_1419 104th Ave SE&amp;cp=47.597565~-122.202302","Map")</f>
        <v>Map</v>
      </c>
      <c r="N1910" s="2" t="str">
        <f>HYPERLINK("http://i-0.rfimg.us/photo/1/bigphoto/112/28034112_2.jpg","Photo")</f>
        <v>Photo</v>
      </c>
      <c r="AG1910">
        <v>47.597565000000003</v>
      </c>
      <c r="AH1910">
        <v>-122.202302</v>
      </c>
      <c r="AI1910" t="s">
        <v>369</v>
      </c>
      <c r="AJ1910">
        <v>98004</v>
      </c>
      <c r="AN1910">
        <v>740000</v>
      </c>
      <c r="BC1910" s="22">
        <v>39505.567696759259</v>
      </c>
      <c r="BI1910" s="7">
        <v>39535</v>
      </c>
      <c r="BL1910">
        <v>16500</v>
      </c>
      <c r="BM1910">
        <v>1512751</v>
      </c>
      <c r="BN1910" t="s">
        <v>1768</v>
      </c>
      <c r="BO1910" s="17">
        <f t="shared" ca="1" si="29"/>
        <v>43.741709143519984</v>
      </c>
      <c r="BP1910" t="b">
        <v>0</v>
      </c>
      <c r="BQ1910">
        <v>1</v>
      </c>
      <c r="BR1910" t="s">
        <v>1667</v>
      </c>
      <c r="BS1910" t="s">
        <v>2910</v>
      </c>
      <c r="BT1910" t="b">
        <v>0</v>
      </c>
      <c r="BV1910" t="s">
        <v>1668</v>
      </c>
      <c r="BW1910">
        <v>1419</v>
      </c>
      <c r="BX1910" t="s">
        <v>3856</v>
      </c>
      <c r="BY1910">
        <v>253502</v>
      </c>
      <c r="BZ1910" t="s">
        <v>4343</v>
      </c>
      <c r="CA1910">
        <v>1</v>
      </c>
      <c r="CB1910" t="b">
        <v>1</v>
      </c>
      <c r="CC1910">
        <v>0</v>
      </c>
      <c r="CD1910" t="b">
        <v>0</v>
      </c>
      <c r="CE1910" t="b">
        <v>0</v>
      </c>
      <c r="CF1910" t="b">
        <v>0</v>
      </c>
      <c r="CG1910">
        <v>2866957</v>
      </c>
      <c r="CH1910" t="s">
        <v>1681</v>
      </c>
      <c r="CI1910" s="10">
        <v>825000</v>
      </c>
      <c r="CJ1910" s="7">
        <v>39370</v>
      </c>
    </row>
    <row r="1911" spans="1:88">
      <c r="A1911">
        <v>28034120</v>
      </c>
      <c r="B1911" s="2" t="str">
        <f>HYPERLINK("http://www.redfin.com/stingray/do/printable-listing?listing-id=1525653","Active")</f>
        <v>Active</v>
      </c>
      <c r="D1911" t="s">
        <v>3704</v>
      </c>
      <c r="E1911" t="s">
        <v>3703</v>
      </c>
      <c r="F1911">
        <v>945000</v>
      </c>
      <c r="G1911">
        <v>1925</v>
      </c>
      <c r="H1911">
        <v>3270</v>
      </c>
      <c r="I1911">
        <v>3055</v>
      </c>
      <c r="J1911">
        <v>4</v>
      </c>
      <c r="K1911">
        <v>2</v>
      </c>
      <c r="M1911" s="2" t="str">
        <f>HYPERLINK("http://maps.live.com/default.aspx?v=2&amp;lvl=15&amp;sp=Point.47.634739_-122.304022_1651 22nd Ave E&amp;cp=47.634739~-122.304022","Map")</f>
        <v>Map</v>
      </c>
      <c r="N1911" s="2" t="str">
        <f>HYPERLINK("http://i-0.rfimg.us/photo/1/bigphoto/120/28034120_2.jpg","Photo")</f>
        <v>Photo</v>
      </c>
      <c r="AG1911">
        <v>47.634739000000003</v>
      </c>
      <c r="AH1911">
        <v>-122.304022</v>
      </c>
      <c r="AI1911" t="s">
        <v>66</v>
      </c>
      <c r="AJ1911">
        <v>98112</v>
      </c>
      <c r="AN1911">
        <v>205000</v>
      </c>
      <c r="BC1911" s="22">
        <v>39510.516145833331</v>
      </c>
      <c r="BI1911" s="22">
        <v>39549.294907407406</v>
      </c>
      <c r="BL1911">
        <v>18900</v>
      </c>
      <c r="BM1911">
        <v>1525653</v>
      </c>
      <c r="BN1911" t="s">
        <v>1710</v>
      </c>
      <c r="BO1911" s="17">
        <f t="shared" ca="1" si="29"/>
        <v>38.79326006944757</v>
      </c>
      <c r="BP1911" t="b">
        <v>0</v>
      </c>
      <c r="BQ1911">
        <v>1</v>
      </c>
      <c r="BR1911" t="s">
        <v>1667</v>
      </c>
      <c r="BS1911" t="s">
        <v>1692</v>
      </c>
      <c r="BT1911" t="b">
        <v>0</v>
      </c>
      <c r="BV1911" t="s">
        <v>1668</v>
      </c>
      <c r="BW1911">
        <v>1651</v>
      </c>
      <c r="BX1911" t="s">
        <v>2436</v>
      </c>
      <c r="BY1911">
        <v>135953</v>
      </c>
      <c r="BZ1911" t="s">
        <v>2641</v>
      </c>
      <c r="CA1911">
        <v>1</v>
      </c>
      <c r="CB1911" t="b">
        <v>1</v>
      </c>
      <c r="CC1911">
        <v>0</v>
      </c>
      <c r="CD1911" t="b">
        <v>0</v>
      </c>
      <c r="CE1911" t="b">
        <v>0</v>
      </c>
      <c r="CF1911" t="b">
        <v>0</v>
      </c>
      <c r="CG1911">
        <v>2383198</v>
      </c>
      <c r="CH1911" t="s">
        <v>1681</v>
      </c>
      <c r="CI1911" s="10">
        <v>945000</v>
      </c>
      <c r="CJ1911" s="7">
        <v>31411</v>
      </c>
    </row>
    <row r="1912" spans="1:88">
      <c r="A1912">
        <v>28034171</v>
      </c>
      <c r="B1912" s="2" t="str">
        <f>HYPERLINK("http://www.redfin.com/stingray/do/printable-listing?listing-id=1531371","Active")</f>
        <v>Active</v>
      </c>
      <c r="D1912" t="s">
        <v>63</v>
      </c>
      <c r="E1912" t="s">
        <v>1962</v>
      </c>
      <c r="F1912">
        <v>785000</v>
      </c>
      <c r="G1912">
        <v>1908</v>
      </c>
      <c r="H1912">
        <v>3294</v>
      </c>
      <c r="I1912">
        <v>0</v>
      </c>
      <c r="J1912">
        <v>5</v>
      </c>
      <c r="K1912">
        <v>4.5</v>
      </c>
      <c r="M1912" s="2" t="str">
        <f>HYPERLINK("http://maps.live.com/default.aspx?v=2&amp;lvl=15&amp;sp=Point.47.675776_-122.372805_1131 NW 65th St&amp;cp=47.675776~-122.372805","Map")</f>
        <v>Map</v>
      </c>
      <c r="N1912" s="2" t="str">
        <f>HYPERLINK("http://i-0.rfimg.us/photo/1/bigphoto/171/28034171_1.jpg","Photo")</f>
        <v>Photo</v>
      </c>
      <c r="AG1912">
        <v>47.675775999999999</v>
      </c>
      <c r="AH1912">
        <v>-122.372805</v>
      </c>
      <c r="AI1912" t="s">
        <v>66</v>
      </c>
      <c r="AJ1912">
        <v>98117</v>
      </c>
      <c r="AN1912">
        <v>125000</v>
      </c>
      <c r="BC1912" s="22">
        <v>39512.389687499999</v>
      </c>
      <c r="BI1912" s="22">
        <v>39549.294907407406</v>
      </c>
      <c r="BL1912">
        <v>15700</v>
      </c>
      <c r="BM1912">
        <v>1531371</v>
      </c>
      <c r="BN1912" t="s">
        <v>1773</v>
      </c>
      <c r="BO1912" s="17">
        <f t="shared" ca="1" si="29"/>
        <v>36.919718518518494</v>
      </c>
      <c r="BP1912" t="b">
        <v>0</v>
      </c>
      <c r="BQ1912">
        <v>1</v>
      </c>
      <c r="BR1912" t="s">
        <v>1686</v>
      </c>
      <c r="BS1912" t="s">
        <v>1708</v>
      </c>
      <c r="BT1912" t="b">
        <v>0</v>
      </c>
      <c r="BU1912" t="s">
        <v>1669</v>
      </c>
      <c r="BV1912" t="s">
        <v>1668</v>
      </c>
      <c r="BW1912">
        <v>1131</v>
      </c>
      <c r="BY1912">
        <v>494609</v>
      </c>
      <c r="BZ1912" t="s">
        <v>1963</v>
      </c>
      <c r="CA1912">
        <v>1</v>
      </c>
      <c r="CB1912" t="b">
        <v>1</v>
      </c>
      <c r="CC1912">
        <v>0</v>
      </c>
      <c r="CD1912" t="b">
        <v>0</v>
      </c>
      <c r="CE1912" t="b">
        <v>1</v>
      </c>
      <c r="CF1912" t="b">
        <v>0</v>
      </c>
      <c r="CG1912">
        <v>2602242</v>
      </c>
      <c r="CH1912" t="s">
        <v>1681</v>
      </c>
      <c r="CI1912" s="10">
        <v>785000</v>
      </c>
      <c r="CJ1912" s="7">
        <v>35636</v>
      </c>
    </row>
    <row r="1913" spans="1:88">
      <c r="A1913">
        <v>28034187</v>
      </c>
      <c r="B1913" s="2" t="str">
        <f>HYPERLINK("http://www.redfin.com/stingray/do/printable-listing?listing-id=1512882","Active")</f>
        <v>Active</v>
      </c>
      <c r="D1913" t="s">
        <v>3704</v>
      </c>
      <c r="E1913" t="s">
        <v>4166</v>
      </c>
      <c r="F1913" s="19">
        <v>349950</v>
      </c>
      <c r="G1913">
        <v>2006</v>
      </c>
      <c r="H1913">
        <v>0</v>
      </c>
      <c r="I1913">
        <v>0</v>
      </c>
      <c r="J1913">
        <v>3</v>
      </c>
      <c r="K1913">
        <v>2.25</v>
      </c>
      <c r="M1913" s="2" t="str">
        <f>HYPERLINK("http://maps.live.com/default.aspx?v=2&amp;lvl=15&amp;sp=Point.47.618939_-122.305895_116 20th Ave E nB&amp;cp=47.618939~-122.305895","Map")</f>
        <v>Map</v>
      </c>
      <c r="N1913" s="2" t="str">
        <f>HYPERLINK("http://i-0.rfimg.us/photo/1/bigphoto/187/28034187_2.jpg","Photo")</f>
        <v>Photo</v>
      </c>
      <c r="AG1913">
        <v>47.618938999999997</v>
      </c>
      <c r="AH1913">
        <v>-122.30589500000001</v>
      </c>
      <c r="AI1913" t="s">
        <v>66</v>
      </c>
      <c r="AJ1913">
        <v>98112</v>
      </c>
      <c r="AM1913" t="s">
        <v>1699</v>
      </c>
      <c r="BC1913" s="22">
        <v>39505.598912037036</v>
      </c>
      <c r="BI1913" s="22">
        <v>39549.294907407406</v>
      </c>
      <c r="BL1913">
        <v>7299</v>
      </c>
      <c r="BM1913">
        <v>1512882</v>
      </c>
      <c r="BN1913" t="s">
        <v>1746</v>
      </c>
      <c r="BO1913" s="17">
        <f t="shared" ca="1" si="29"/>
        <v>43.710493865743047</v>
      </c>
      <c r="BP1913" t="b">
        <v>0</v>
      </c>
      <c r="BQ1913">
        <v>1</v>
      </c>
      <c r="BR1913" t="s">
        <v>1667</v>
      </c>
      <c r="BS1913" t="s">
        <v>1844</v>
      </c>
      <c r="BT1913" t="b">
        <v>0</v>
      </c>
      <c r="BV1913" t="s">
        <v>1668</v>
      </c>
      <c r="BW1913">
        <v>116</v>
      </c>
      <c r="BX1913" t="s">
        <v>2436</v>
      </c>
      <c r="BY1913">
        <v>12419867</v>
      </c>
      <c r="BZ1913" t="s">
        <v>4167</v>
      </c>
      <c r="CA1913">
        <v>1</v>
      </c>
      <c r="CB1913" t="b">
        <v>1</v>
      </c>
      <c r="CC1913">
        <v>0</v>
      </c>
      <c r="CD1913" t="b">
        <v>0</v>
      </c>
      <c r="CE1913" t="b">
        <v>0</v>
      </c>
      <c r="CF1913" t="b">
        <v>0</v>
      </c>
      <c r="CG1913">
        <v>15623615</v>
      </c>
      <c r="CH1913" t="s">
        <v>1681</v>
      </c>
      <c r="CI1913" s="10">
        <v>364950</v>
      </c>
    </row>
    <row r="1914" spans="1:88">
      <c r="A1914">
        <v>28034201</v>
      </c>
      <c r="B1914" s="2" t="str">
        <f>HYPERLINK("http://www.redfin.com/stingray/do/printable-listing?listing-id=1515619","Active")</f>
        <v>Active</v>
      </c>
      <c r="D1914" t="s">
        <v>5191</v>
      </c>
      <c r="E1914" t="s">
        <v>5327</v>
      </c>
      <c r="F1914">
        <v>689900</v>
      </c>
      <c r="G1914">
        <v>1978</v>
      </c>
      <c r="H1914">
        <v>3080</v>
      </c>
      <c r="I1914">
        <v>12719</v>
      </c>
      <c r="J1914">
        <v>4</v>
      </c>
      <c r="K1914">
        <v>3</v>
      </c>
      <c r="M1914" s="2" t="str">
        <f>HYPERLINK("http://maps.live.com/default.aspx?v=2&amp;lvl=15&amp;sp=Point.47.57048_-122.160459_13500 SE 42nd Pl&amp;cp=47.57048~-122.160459","Map")</f>
        <v>Map</v>
      </c>
      <c r="N1914" s="2" t="str">
        <f>HYPERLINK("http://i-0.rfimg.us/photo/1/bigphoto/201/28034201_0.jpg","Photo")</f>
        <v>Photo</v>
      </c>
      <c r="AG1914">
        <v>47.570480000000003</v>
      </c>
      <c r="AH1914">
        <v>-122.160459</v>
      </c>
      <c r="AI1914" t="s">
        <v>369</v>
      </c>
      <c r="AJ1914">
        <v>98006</v>
      </c>
      <c r="AN1914">
        <v>2530</v>
      </c>
      <c r="BC1914" s="22">
        <v>39506.537870370368</v>
      </c>
      <c r="BI1914" s="22">
        <v>39549.294907407406</v>
      </c>
      <c r="BL1914">
        <v>13798</v>
      </c>
      <c r="BM1914">
        <v>1515619</v>
      </c>
      <c r="BN1914" t="s">
        <v>1673</v>
      </c>
      <c r="BO1914" s="17">
        <f t="shared" ca="1" si="29"/>
        <v>42.77153553241078</v>
      </c>
      <c r="BP1914" t="b">
        <v>0</v>
      </c>
      <c r="BQ1914">
        <v>1</v>
      </c>
      <c r="BR1914" t="s">
        <v>1842</v>
      </c>
      <c r="BS1914" t="s">
        <v>3371</v>
      </c>
      <c r="BT1914" t="b">
        <v>0</v>
      </c>
      <c r="BU1914" t="s">
        <v>3856</v>
      </c>
      <c r="BV1914" t="s">
        <v>1668</v>
      </c>
      <c r="BW1914">
        <v>13500</v>
      </c>
      <c r="BY1914">
        <v>236854</v>
      </c>
      <c r="BZ1914" t="s">
        <v>1747</v>
      </c>
      <c r="CA1914">
        <v>1</v>
      </c>
      <c r="CB1914" t="b">
        <v>1</v>
      </c>
      <c r="CC1914">
        <v>0</v>
      </c>
      <c r="CD1914" t="b">
        <v>0</v>
      </c>
      <c r="CE1914" t="b">
        <v>0</v>
      </c>
      <c r="CF1914" t="b">
        <v>0</v>
      </c>
      <c r="CG1914">
        <v>2763123</v>
      </c>
      <c r="CH1914" t="s">
        <v>1681</v>
      </c>
      <c r="CI1914" s="10">
        <v>689900</v>
      </c>
      <c r="CJ1914" s="7">
        <v>36320</v>
      </c>
    </row>
    <row r="1915" spans="1:88">
      <c r="A1915">
        <v>28034226</v>
      </c>
      <c r="B1915" s="2" t="str">
        <f>HYPERLINK("http://www.redfin.com/stingray/do/printable-listing?listing-id=1512558","Active")</f>
        <v>Active</v>
      </c>
      <c r="D1915" t="s">
        <v>192</v>
      </c>
      <c r="E1915" t="s">
        <v>3017</v>
      </c>
      <c r="F1915">
        <v>650000</v>
      </c>
      <c r="G1915">
        <v>1946</v>
      </c>
      <c r="H1915">
        <v>2000</v>
      </c>
      <c r="I1915">
        <v>4896</v>
      </c>
      <c r="J1915">
        <v>5</v>
      </c>
      <c r="K1915">
        <v>2</v>
      </c>
      <c r="M1915" s="2" t="str">
        <f>HYPERLINK("http://maps.live.com/default.aspx?v=2&amp;lvl=15&amp;sp=Point.47.692407_-122.322798_8804 5th Ave NE&amp;cp=47.692407~-122.322798","Map")</f>
        <v>Map</v>
      </c>
      <c r="N1915" s="2" t="str">
        <f>HYPERLINK("http://i-0.rfimg.us/photo/1/bigphoto/226/28034226_0.jpg","Photo")</f>
        <v>Photo</v>
      </c>
      <c r="AG1915">
        <v>47.692407000000003</v>
      </c>
      <c r="AH1915">
        <v>-122.32279800000001</v>
      </c>
      <c r="AI1915" t="s">
        <v>66</v>
      </c>
      <c r="AJ1915">
        <v>98115</v>
      </c>
      <c r="AN1915">
        <v>300000</v>
      </c>
      <c r="BC1915" s="22">
        <v>39505.547777777778</v>
      </c>
      <c r="BI1915" s="22">
        <v>39547.913935185185</v>
      </c>
      <c r="BL1915">
        <v>13000</v>
      </c>
      <c r="BM1915">
        <v>1512558</v>
      </c>
      <c r="BN1915" t="s">
        <v>2992</v>
      </c>
      <c r="BO1915" s="17">
        <f t="shared" ca="1" si="29"/>
        <v>43.761628125001153</v>
      </c>
      <c r="BP1915" t="b">
        <v>0</v>
      </c>
      <c r="BQ1915">
        <v>1</v>
      </c>
      <c r="BR1915" t="s">
        <v>1667</v>
      </c>
      <c r="BS1915" t="s">
        <v>1832</v>
      </c>
      <c r="BT1915" t="b">
        <v>0</v>
      </c>
      <c r="BV1915" t="s">
        <v>1668</v>
      </c>
      <c r="BW1915">
        <v>8804</v>
      </c>
      <c r="BX1915" t="s">
        <v>1738</v>
      </c>
      <c r="BY1915">
        <v>110255</v>
      </c>
      <c r="BZ1915" t="s">
        <v>1762</v>
      </c>
      <c r="CA1915">
        <v>1</v>
      </c>
      <c r="CB1915" t="b">
        <v>1</v>
      </c>
      <c r="CC1915">
        <v>0</v>
      </c>
      <c r="CD1915" t="b">
        <v>0</v>
      </c>
      <c r="CE1915" t="b">
        <v>0</v>
      </c>
      <c r="CF1915" t="b">
        <v>0</v>
      </c>
      <c r="CG1915">
        <v>2570739</v>
      </c>
      <c r="CH1915" t="s">
        <v>1681</v>
      </c>
      <c r="CI1915" s="10">
        <v>650000</v>
      </c>
      <c r="CJ1915" s="7">
        <v>38376</v>
      </c>
    </row>
    <row r="1916" spans="1:88">
      <c r="A1916">
        <v>28034231</v>
      </c>
      <c r="B1916" s="2" t="str">
        <f>HYPERLINK("http://www.redfin.com/stingray/do/printable-listing?listing-id=1512721","Active")</f>
        <v>Active</v>
      </c>
      <c r="D1916" t="s">
        <v>4777</v>
      </c>
      <c r="E1916" t="s">
        <v>5005</v>
      </c>
      <c r="F1916">
        <v>899990</v>
      </c>
      <c r="G1916">
        <v>1984</v>
      </c>
      <c r="H1916">
        <v>3720</v>
      </c>
      <c r="I1916">
        <v>8439</v>
      </c>
      <c r="J1916">
        <v>4</v>
      </c>
      <c r="K1916">
        <v>2.75</v>
      </c>
      <c r="M1916" s="2" t="str">
        <f>HYPERLINK("http://maps.live.com/default.aspx?v=2&amp;lvl=15&amp;sp=Point.47.662077_-122.187959_6104 114th Ave NE&amp;cp=47.662077~-122.187959","Map")</f>
        <v>Map</v>
      </c>
      <c r="N1916" s="2" t="str">
        <f>HYPERLINK("http://i-0.rfimg.us/photo/1/bigphoto/231/28034231_1.jpg","Photo")</f>
        <v>Photo</v>
      </c>
      <c r="AG1916">
        <v>47.662076999999996</v>
      </c>
      <c r="AH1916">
        <v>-122.18795900000001</v>
      </c>
      <c r="AI1916" t="s">
        <v>1058</v>
      </c>
      <c r="AJ1916">
        <v>98033</v>
      </c>
      <c r="AN1916">
        <v>849990</v>
      </c>
      <c r="BC1916" s="22">
        <v>39505.559421296297</v>
      </c>
      <c r="BI1916" s="7">
        <v>39533</v>
      </c>
      <c r="BL1916">
        <v>18000</v>
      </c>
      <c r="BM1916">
        <v>1512721</v>
      </c>
      <c r="BN1916" t="s">
        <v>4138</v>
      </c>
      <c r="BO1916" s="17">
        <f t="shared" ca="1" si="29"/>
        <v>43.74998460648203</v>
      </c>
      <c r="BP1916" t="b">
        <v>0</v>
      </c>
      <c r="BQ1916">
        <v>1</v>
      </c>
      <c r="BR1916" t="s">
        <v>1667</v>
      </c>
      <c r="BS1916" t="s">
        <v>4835</v>
      </c>
      <c r="BT1916" t="b">
        <v>0</v>
      </c>
      <c r="BV1916" t="s">
        <v>1668</v>
      </c>
      <c r="BW1916">
        <v>6104</v>
      </c>
      <c r="BX1916" t="s">
        <v>1738</v>
      </c>
      <c r="BY1916">
        <v>460195</v>
      </c>
      <c r="BZ1916" t="s">
        <v>1756</v>
      </c>
      <c r="CA1916">
        <v>1</v>
      </c>
      <c r="CB1916" t="b">
        <v>1</v>
      </c>
      <c r="CC1916">
        <v>0</v>
      </c>
      <c r="CD1916" t="b">
        <v>0</v>
      </c>
      <c r="CE1916" t="b">
        <v>0</v>
      </c>
      <c r="CF1916" t="b">
        <v>0</v>
      </c>
      <c r="CG1916">
        <v>2421721</v>
      </c>
      <c r="CH1916" t="s">
        <v>1681</v>
      </c>
      <c r="CI1916" s="10">
        <v>899990</v>
      </c>
      <c r="CJ1916" s="7">
        <v>38876</v>
      </c>
    </row>
    <row r="1917" spans="1:88">
      <c r="A1917">
        <v>28034232</v>
      </c>
      <c r="B1917" s="2" t="str">
        <f>HYPERLINK("http://www.redfin.com/stingray/do/printable-listing?listing-id=1527489","Active")</f>
        <v>Active</v>
      </c>
      <c r="D1917" t="s">
        <v>63</v>
      </c>
      <c r="E1917" t="s">
        <v>2491</v>
      </c>
      <c r="F1917">
        <v>359000</v>
      </c>
      <c r="G1917">
        <v>2006</v>
      </c>
      <c r="H1917">
        <v>807</v>
      </c>
      <c r="I1917">
        <v>0</v>
      </c>
      <c r="J1917">
        <v>1</v>
      </c>
      <c r="K1917">
        <v>1.5</v>
      </c>
      <c r="M1917" s="2" t="str">
        <f>HYPERLINK("http://maps.live.com/default.aspx?v=2&amp;lvl=15&amp;sp=Point.47.671463_-122.38392_2007 NW 59th St&amp;cp=47.671463~-122.38392","Map")</f>
        <v>Map</v>
      </c>
      <c r="N1917" s="2" t="str">
        <f>HYPERLINK("http://i-0.rfimg.us/photo/1/bigphoto/232/28034232_0.jpg","Photo")</f>
        <v>Photo</v>
      </c>
      <c r="AG1917">
        <v>47.671463000000003</v>
      </c>
      <c r="AH1917">
        <v>-122.38392</v>
      </c>
      <c r="AI1917" t="s">
        <v>66</v>
      </c>
      <c r="AJ1917">
        <v>98107</v>
      </c>
      <c r="BC1917" s="22">
        <v>39510.818229166667</v>
      </c>
      <c r="BI1917" s="22">
        <v>39549.294907407406</v>
      </c>
      <c r="BL1917">
        <v>7180</v>
      </c>
      <c r="BM1917">
        <v>1527489</v>
      </c>
      <c r="BN1917" t="s">
        <v>1688</v>
      </c>
      <c r="BO1917" s="17">
        <f t="shared" ca="1" si="29"/>
        <v>38.491176851850469</v>
      </c>
      <c r="BP1917" t="b">
        <v>0</v>
      </c>
      <c r="BQ1917">
        <v>1</v>
      </c>
      <c r="BR1917" t="s">
        <v>1686</v>
      </c>
      <c r="BS1917" t="s">
        <v>2492</v>
      </c>
      <c r="BT1917" t="b">
        <v>0</v>
      </c>
      <c r="BU1917" t="s">
        <v>1669</v>
      </c>
      <c r="BV1917" t="s">
        <v>1668</v>
      </c>
      <c r="BW1917">
        <v>2007</v>
      </c>
      <c r="BY1917">
        <v>8190313</v>
      </c>
      <c r="BZ1917" t="s">
        <v>1672</v>
      </c>
      <c r="CA1917">
        <v>1</v>
      </c>
      <c r="CB1917" t="b">
        <v>1</v>
      </c>
      <c r="CC1917">
        <v>0</v>
      </c>
      <c r="CD1917" t="b">
        <v>0</v>
      </c>
      <c r="CE1917" t="b">
        <v>0</v>
      </c>
      <c r="CF1917" t="b">
        <v>0</v>
      </c>
      <c r="CG1917">
        <v>10533360</v>
      </c>
      <c r="CH1917" t="s">
        <v>1681</v>
      </c>
      <c r="CI1917" s="10">
        <v>359000</v>
      </c>
    </row>
    <row r="1918" spans="1:88">
      <c r="A1918">
        <v>28034241</v>
      </c>
      <c r="B1918" s="2" t="str">
        <f>HYPERLINK("http://www.redfin.com/stingray/do/printable-listing?listing-id=1515221","Active")</f>
        <v>Active</v>
      </c>
      <c r="D1918" t="s">
        <v>60</v>
      </c>
      <c r="E1918" t="s">
        <v>1550</v>
      </c>
      <c r="F1918">
        <v>449000</v>
      </c>
      <c r="G1918">
        <v>1927</v>
      </c>
      <c r="H1918">
        <v>1420</v>
      </c>
      <c r="I1918">
        <v>3000</v>
      </c>
      <c r="J1918">
        <v>2</v>
      </c>
      <c r="K1918">
        <v>1</v>
      </c>
      <c r="M1918" s="2" t="str">
        <f>HYPERLINK("http://maps.live.com/default.aspx?v=2&amp;lvl=15&amp;sp=Point.47.686737_-122.348628_729 N 80th St&amp;cp=47.686737~-122.348628","Map")</f>
        <v>Map</v>
      </c>
      <c r="N1918" s="2" t="str">
        <f>HYPERLINK("http://i-0.rfimg.us/photo/1/bigphoto/241/28034241_0.jpg","Photo")</f>
        <v>Photo</v>
      </c>
      <c r="AG1918">
        <v>47.686737000000001</v>
      </c>
      <c r="AH1918">
        <v>-122.34862800000001</v>
      </c>
      <c r="AI1918" t="s">
        <v>66</v>
      </c>
      <c r="AJ1918">
        <v>98103</v>
      </c>
      <c r="AN1918">
        <v>445000</v>
      </c>
      <c r="BC1918" s="22">
        <v>39506.422766203701</v>
      </c>
      <c r="BI1918" s="22">
        <v>39549.294907407406</v>
      </c>
      <c r="BL1918">
        <v>8980</v>
      </c>
      <c r="BM1918">
        <v>1515221</v>
      </c>
      <c r="BN1918" t="s">
        <v>1688</v>
      </c>
      <c r="BO1918" s="17">
        <f t="shared" ca="1" si="29"/>
        <v>42.88663981481659</v>
      </c>
      <c r="BP1918" t="b">
        <v>0</v>
      </c>
      <c r="BQ1918">
        <v>1</v>
      </c>
      <c r="BR1918" t="s">
        <v>1686</v>
      </c>
      <c r="BS1918" t="s">
        <v>1711</v>
      </c>
      <c r="BT1918" t="b">
        <v>0</v>
      </c>
      <c r="BU1918" t="s">
        <v>1712</v>
      </c>
      <c r="BV1918" t="s">
        <v>1668</v>
      </c>
      <c r="BW1918">
        <v>729</v>
      </c>
      <c r="BY1918">
        <v>301345</v>
      </c>
      <c r="BZ1918" t="s">
        <v>1745</v>
      </c>
      <c r="CA1918">
        <v>1</v>
      </c>
      <c r="CB1918" t="b">
        <v>1</v>
      </c>
      <c r="CC1918">
        <v>0</v>
      </c>
      <c r="CD1918" t="b">
        <v>0</v>
      </c>
      <c r="CE1918" t="b">
        <v>0</v>
      </c>
      <c r="CF1918" t="b">
        <v>0</v>
      </c>
      <c r="CG1918">
        <v>2485446</v>
      </c>
      <c r="CH1918" t="s">
        <v>1681</v>
      </c>
      <c r="CI1918" s="10">
        <v>449000</v>
      </c>
      <c r="CJ1918" s="7">
        <v>39153</v>
      </c>
    </row>
    <row r="1919" spans="1:88">
      <c r="A1919">
        <v>28034256</v>
      </c>
      <c r="B1919" s="2" t="str">
        <f>HYPERLINK("http://www.redfin.com/stingray/do/printable-listing?listing-id=1516143","Active")</f>
        <v>Active</v>
      </c>
      <c r="D1919" t="s">
        <v>369</v>
      </c>
      <c r="E1919" t="s">
        <v>5842</v>
      </c>
      <c r="F1919">
        <v>1249000</v>
      </c>
      <c r="G1919">
        <v>1957</v>
      </c>
      <c r="H1919">
        <v>3236</v>
      </c>
      <c r="I1919">
        <v>21361</v>
      </c>
      <c r="J1919">
        <v>4</v>
      </c>
      <c r="K1919">
        <v>3</v>
      </c>
      <c r="M1919" s="2" t="str">
        <f>HYPERLINK("http://maps.live.com/default.aspx?v=2&amp;lvl=15&amp;sp=Point.47.557421_-122.141047_14845 SE 50th St&amp;cp=47.557421~-122.141047","Map")</f>
        <v>Map</v>
      </c>
      <c r="N1919" s="2" t="str">
        <f>HYPERLINK("http://i-0.rfimg.us/photo/1/bigphoto/256/28034256_0.jpg","Photo")</f>
        <v>Photo</v>
      </c>
      <c r="AG1919">
        <v>47.557420999999998</v>
      </c>
      <c r="AH1919">
        <v>-122.141047</v>
      </c>
      <c r="AI1919" t="s">
        <v>369</v>
      </c>
      <c r="AJ1919">
        <v>98006</v>
      </c>
      <c r="AN1919">
        <v>210880</v>
      </c>
      <c r="BC1919" s="22">
        <v>39506.652384259258</v>
      </c>
      <c r="BI1919" s="7">
        <v>39541</v>
      </c>
      <c r="BL1919">
        <v>24980</v>
      </c>
      <c r="BM1919">
        <v>1516143</v>
      </c>
      <c r="BN1919" t="s">
        <v>1768</v>
      </c>
      <c r="BO1919" s="17">
        <f t="shared" ca="1" si="29"/>
        <v>42.657021643521148</v>
      </c>
      <c r="BP1919" t="b">
        <v>0</v>
      </c>
      <c r="BQ1919">
        <v>1</v>
      </c>
      <c r="BR1919" t="s">
        <v>1686</v>
      </c>
      <c r="BS1919" t="s">
        <v>2638</v>
      </c>
      <c r="BT1919" t="b">
        <v>0</v>
      </c>
      <c r="BU1919" t="s">
        <v>3856</v>
      </c>
      <c r="BV1919" t="s">
        <v>1668</v>
      </c>
      <c r="BW1919">
        <v>14845</v>
      </c>
      <c r="BY1919">
        <v>237926</v>
      </c>
      <c r="BZ1919" t="s">
        <v>1670</v>
      </c>
      <c r="CA1919">
        <v>1</v>
      </c>
      <c r="CB1919" t="b">
        <v>1</v>
      </c>
      <c r="CC1919">
        <v>0</v>
      </c>
      <c r="CD1919" t="b">
        <v>0</v>
      </c>
      <c r="CE1919" t="b">
        <v>0</v>
      </c>
      <c r="CF1919" t="b">
        <v>0</v>
      </c>
      <c r="CG1919">
        <v>2395493</v>
      </c>
      <c r="CH1919" t="s">
        <v>1681</v>
      </c>
      <c r="CI1919" s="10">
        <v>1249000</v>
      </c>
      <c r="CJ1919" s="7">
        <v>31950</v>
      </c>
    </row>
    <row r="1920" spans="1:88">
      <c r="A1920">
        <v>28034257</v>
      </c>
      <c r="B1920" s="15" t="str">
        <f>HYPERLINK("http://www.redfin.com/stingray/do/printable-listing?listing-id=1512753","Subject To Inspection")</f>
        <v>Subject To Inspection</v>
      </c>
      <c r="D1920" t="s">
        <v>60</v>
      </c>
      <c r="E1920" t="s">
        <v>2631</v>
      </c>
      <c r="F1920" s="19">
        <v>644900</v>
      </c>
      <c r="G1920">
        <v>1906</v>
      </c>
      <c r="H1920">
        <v>1760</v>
      </c>
      <c r="I1920">
        <v>3000</v>
      </c>
      <c r="J1920">
        <v>3</v>
      </c>
      <c r="K1920">
        <v>2.75</v>
      </c>
      <c r="M1920" s="2" t="str">
        <f>HYPERLINK("http://maps.live.com/default.aspx?v=2&amp;lvl=15&amp;sp=Point.47.680837_-122.348759_725 N 72nd St&amp;cp=47.680837~-122.348759","Map")</f>
        <v>Map</v>
      </c>
      <c r="N1920" s="2" t="str">
        <f>HYPERLINK("http://i-0.rfimg.us/photo/1/bigphoto/257/28034257_2.jpg","Photo")</f>
        <v>Photo</v>
      </c>
      <c r="AG1920">
        <v>47.680836999999997</v>
      </c>
      <c r="AH1920">
        <v>-122.348759</v>
      </c>
      <c r="AI1920" t="s">
        <v>66</v>
      </c>
      <c r="AJ1920">
        <v>98103</v>
      </c>
      <c r="AN1920">
        <v>459950</v>
      </c>
      <c r="BC1920" s="22">
        <v>39505.567708333336</v>
      </c>
      <c r="BI1920" s="22">
        <v>39549.294907407406</v>
      </c>
      <c r="BL1920">
        <v>13100</v>
      </c>
      <c r="BM1920">
        <v>1512753</v>
      </c>
      <c r="BN1920" t="s">
        <v>1682</v>
      </c>
      <c r="BO1920" s="17">
        <f t="shared" ca="1" si="29"/>
        <v>43.741697685181862</v>
      </c>
      <c r="BP1920" t="b">
        <v>0</v>
      </c>
      <c r="BQ1920">
        <v>1</v>
      </c>
      <c r="BR1920" t="s">
        <v>1686</v>
      </c>
      <c r="BS1920" t="s">
        <v>2632</v>
      </c>
      <c r="BT1920" t="b">
        <v>0</v>
      </c>
      <c r="BU1920" t="s">
        <v>1712</v>
      </c>
      <c r="BV1920" t="s">
        <v>1668</v>
      </c>
      <c r="BW1920">
        <v>725</v>
      </c>
      <c r="BY1920">
        <v>301038</v>
      </c>
      <c r="BZ1920" t="s">
        <v>2633</v>
      </c>
      <c r="CA1920">
        <v>1</v>
      </c>
      <c r="CB1920" t="b">
        <v>1</v>
      </c>
      <c r="CC1920">
        <v>0</v>
      </c>
      <c r="CD1920" t="b">
        <v>0</v>
      </c>
      <c r="CE1920" t="b">
        <v>0</v>
      </c>
      <c r="CF1920" t="b">
        <v>0</v>
      </c>
      <c r="CG1920">
        <v>2586567</v>
      </c>
      <c r="CH1920" t="s">
        <v>1681</v>
      </c>
      <c r="CI1920" s="10">
        <v>655000</v>
      </c>
      <c r="CJ1920" s="7">
        <v>38217</v>
      </c>
    </row>
    <row r="1921" spans="1:88">
      <c r="A1921">
        <v>28034263</v>
      </c>
      <c r="B1921" s="2" t="str">
        <f>HYPERLINK("http://www.redfin.com/stingray/do/printable-listing?listing-id=1513109","Active")</f>
        <v>Active</v>
      </c>
      <c r="D1921" t="s">
        <v>55</v>
      </c>
      <c r="E1921" t="s">
        <v>2781</v>
      </c>
      <c r="F1921">
        <v>339950</v>
      </c>
      <c r="G1921">
        <v>2008</v>
      </c>
      <c r="H1921">
        <v>1320</v>
      </c>
      <c r="I1921">
        <v>0</v>
      </c>
      <c r="J1921">
        <v>2</v>
      </c>
      <c r="K1921">
        <v>2.5</v>
      </c>
      <c r="M1921" s="2" t="str">
        <f>HYPERLINK("http://maps.live.com/default.aspx?v=2&amp;lvl=15&amp;sp=Point.47.7097_-122.355062_11030 Greenwood Ave N nA&amp;cp=47.7097~-122.355062","Map")</f>
        <v>Map</v>
      </c>
      <c r="N1921" s="2" t="str">
        <f>HYPERLINK("http://i-0.rfimg.us/photo/1/bigphoto/263/28034263_6.jpg","Photo")</f>
        <v>Photo</v>
      </c>
      <c r="AG1921">
        <v>47.709699999999998</v>
      </c>
      <c r="AH1921">
        <v>-122.355062</v>
      </c>
      <c r="AI1921" t="s">
        <v>66</v>
      </c>
      <c r="AJ1921">
        <v>98133</v>
      </c>
      <c r="AM1921" t="s">
        <v>1722</v>
      </c>
      <c r="BC1921" s="22">
        <v>39505.641539351855</v>
      </c>
      <c r="BI1921" s="22">
        <v>39549.294907407406</v>
      </c>
      <c r="BL1921">
        <v>6799</v>
      </c>
      <c r="BM1921">
        <v>1513109</v>
      </c>
      <c r="BN1921" t="s">
        <v>1710</v>
      </c>
      <c r="BO1921" s="17">
        <f t="shared" ca="1" si="29"/>
        <v>43.667866550924373</v>
      </c>
      <c r="BP1921" t="b">
        <v>0</v>
      </c>
      <c r="BQ1921">
        <v>1</v>
      </c>
      <c r="BR1921" t="s">
        <v>1667</v>
      </c>
      <c r="BS1921" t="s">
        <v>55</v>
      </c>
      <c r="BT1921" t="b">
        <v>0</v>
      </c>
      <c r="BV1921" t="s">
        <v>1668</v>
      </c>
      <c r="BW1921">
        <v>11030</v>
      </c>
      <c r="BX1921" t="s">
        <v>1712</v>
      </c>
      <c r="BY1921">
        <v>12419903</v>
      </c>
      <c r="BZ1921" s="21">
        <v>6.9444444444444447E-4</v>
      </c>
      <c r="CA1921">
        <v>1</v>
      </c>
      <c r="CB1921" t="b">
        <v>1</v>
      </c>
      <c r="CC1921">
        <v>0</v>
      </c>
      <c r="CD1921" t="b">
        <v>0</v>
      </c>
      <c r="CE1921" t="b">
        <v>0</v>
      </c>
      <c r="CF1921" t="b">
        <v>0</v>
      </c>
      <c r="CG1921">
        <v>15572933</v>
      </c>
      <c r="CH1921" t="s">
        <v>1681</v>
      </c>
      <c r="CI1921" s="10">
        <v>339950</v>
      </c>
    </row>
    <row r="1922" spans="1:88">
      <c r="A1922">
        <v>28034326</v>
      </c>
      <c r="B1922" s="2" t="str">
        <f>HYPERLINK("http://www.redfin.com/stingray/do/printable-listing?listing-id=1521184","Active")</f>
        <v>Active</v>
      </c>
      <c r="D1922" t="s">
        <v>3704</v>
      </c>
      <c r="E1922" t="s">
        <v>4229</v>
      </c>
      <c r="F1922" s="19">
        <v>1470000</v>
      </c>
      <c r="G1922">
        <v>1906</v>
      </c>
      <c r="H1922">
        <v>3390</v>
      </c>
      <c r="I1922">
        <v>5280</v>
      </c>
      <c r="J1922">
        <v>6</v>
      </c>
      <c r="K1922">
        <v>2.75</v>
      </c>
      <c r="M1922" s="2" t="str">
        <f>HYPERLINK("http://maps.live.com/default.aspx?v=2&amp;lvl=15&amp;sp=Point.47.626997_-122.308255_900 18th Ave E&amp;cp=47.626997~-122.308255","Map")</f>
        <v>Map</v>
      </c>
      <c r="N1922" s="2" t="str">
        <f>HYPERLINK("http://i-0.rfimg.us/photo/1/bigphoto/326/28034326_1.jpg","Photo")</f>
        <v>Photo</v>
      </c>
      <c r="AG1922">
        <v>47.626997000000003</v>
      </c>
      <c r="AH1922">
        <v>-122.308255</v>
      </c>
      <c r="AI1922" t="s">
        <v>66</v>
      </c>
      <c r="AJ1922">
        <v>98112</v>
      </c>
      <c r="AN1922">
        <v>840000</v>
      </c>
      <c r="BC1922" s="22">
        <v>39507.891030092593</v>
      </c>
      <c r="BI1922" s="22">
        <v>39549.294907407406</v>
      </c>
      <c r="BL1922">
        <v>31400</v>
      </c>
      <c r="BM1922">
        <v>1521184</v>
      </c>
      <c r="BN1922" t="s">
        <v>1674</v>
      </c>
      <c r="BO1922" s="17">
        <f t="shared" ref="BO1922:BO1985" ca="1" si="30">NOW()-BC1922</f>
        <v>41.418375810186262</v>
      </c>
      <c r="BP1922" t="b">
        <v>0</v>
      </c>
      <c r="BQ1922">
        <v>1</v>
      </c>
      <c r="BR1922" t="s">
        <v>1667</v>
      </c>
      <c r="BS1922" t="s">
        <v>1909</v>
      </c>
      <c r="BT1922" t="b">
        <v>0</v>
      </c>
      <c r="BV1922" t="s">
        <v>1668</v>
      </c>
      <c r="BW1922">
        <v>900</v>
      </c>
      <c r="BX1922" t="s">
        <v>2436</v>
      </c>
      <c r="BY1922">
        <v>135700</v>
      </c>
      <c r="BZ1922" t="s">
        <v>4230</v>
      </c>
      <c r="CA1922">
        <v>1</v>
      </c>
      <c r="CB1922" t="b">
        <v>1</v>
      </c>
      <c r="CC1922">
        <v>0</v>
      </c>
      <c r="CD1922" t="b">
        <v>0</v>
      </c>
      <c r="CE1922" t="b">
        <v>0</v>
      </c>
      <c r="CF1922" t="b">
        <v>0</v>
      </c>
      <c r="CG1922">
        <v>2479587</v>
      </c>
      <c r="CH1922" t="s">
        <v>1681</v>
      </c>
      <c r="CI1922" s="10">
        <v>1570000</v>
      </c>
      <c r="CJ1922" s="7">
        <v>39175</v>
      </c>
    </row>
    <row r="1923" spans="1:88">
      <c r="A1923">
        <v>28034358</v>
      </c>
      <c r="B1923" s="2" t="str">
        <f>HYPERLINK("http://www.redfin.com/stingray/do/printable-listing?listing-id=1515372","Active")</f>
        <v>Active</v>
      </c>
      <c r="D1923" t="s">
        <v>4542</v>
      </c>
      <c r="E1923" t="s">
        <v>4872</v>
      </c>
      <c r="F1923" s="19">
        <v>599900</v>
      </c>
      <c r="G1923">
        <v>1967</v>
      </c>
      <c r="H1923">
        <v>2090</v>
      </c>
      <c r="I1923">
        <v>7579</v>
      </c>
      <c r="J1923">
        <v>4</v>
      </c>
      <c r="K1923">
        <v>2.75</v>
      </c>
      <c r="M1923" s="2" t="str">
        <f>HYPERLINK("http://maps.live.com/default.aspx?v=2&amp;lvl=15&amp;sp=Point.47.682963_-122.196296_641 10 Ave&amp;cp=47.682963~-122.196296","Map")</f>
        <v>Map</v>
      </c>
      <c r="N1923" s="2" t="str">
        <f>HYPERLINK("http://i-0.rfimg.us/photo/1/bigphoto/358/28034358_0.jpg","Photo")</f>
        <v>Photo</v>
      </c>
      <c r="AG1923">
        <v>47.682963000000001</v>
      </c>
      <c r="AH1923">
        <v>-122.196296</v>
      </c>
      <c r="AI1923" t="s">
        <v>1058</v>
      </c>
      <c r="AJ1923">
        <v>98033</v>
      </c>
      <c r="AN1923">
        <v>310000</v>
      </c>
      <c r="BC1923" s="22">
        <v>39506.463622685187</v>
      </c>
      <c r="BI1923" s="22">
        <v>39549.294907407406</v>
      </c>
      <c r="BL1923">
        <v>12998</v>
      </c>
      <c r="BM1923">
        <v>1515372</v>
      </c>
      <c r="BN1923" t="s">
        <v>1725</v>
      </c>
      <c r="BO1923" s="17">
        <f t="shared" ca="1" si="30"/>
        <v>42.845783217591816</v>
      </c>
      <c r="BP1923" t="b">
        <v>0</v>
      </c>
      <c r="BQ1923">
        <v>1</v>
      </c>
      <c r="BR1923" t="s">
        <v>1667</v>
      </c>
      <c r="BS1923">
        <v>10</v>
      </c>
      <c r="BT1923" t="b">
        <v>0</v>
      </c>
      <c r="BV1923" t="s">
        <v>1668</v>
      </c>
      <c r="BW1923">
        <v>641</v>
      </c>
      <c r="BY1923">
        <v>464524</v>
      </c>
      <c r="BZ1923" t="s">
        <v>1701</v>
      </c>
      <c r="CA1923">
        <v>1</v>
      </c>
      <c r="CB1923" t="b">
        <v>1</v>
      </c>
      <c r="CC1923">
        <v>0</v>
      </c>
      <c r="CD1923" t="b">
        <v>0</v>
      </c>
      <c r="CE1923" t="b">
        <v>0</v>
      </c>
      <c r="CF1923" t="b">
        <v>0</v>
      </c>
      <c r="CG1923">
        <v>2750786</v>
      </c>
      <c r="CH1923" t="s">
        <v>1681</v>
      </c>
      <c r="CI1923" s="10">
        <v>649900</v>
      </c>
      <c r="CJ1923" s="7">
        <v>36419</v>
      </c>
    </row>
    <row r="1924" spans="1:88">
      <c r="A1924">
        <v>28034369</v>
      </c>
      <c r="B1924" s="2" t="str">
        <f>HYPERLINK("http://www.redfin.com/stingray/do/printable-listing?listing-id=1517878","Active")</f>
        <v>Active</v>
      </c>
      <c r="D1924" t="s">
        <v>5281</v>
      </c>
      <c r="E1924" t="s">
        <v>5278</v>
      </c>
      <c r="F1924">
        <v>599000</v>
      </c>
      <c r="G1924">
        <v>1977</v>
      </c>
      <c r="H1924">
        <v>2150</v>
      </c>
      <c r="I1924">
        <v>6300</v>
      </c>
      <c r="J1924">
        <v>4</v>
      </c>
      <c r="K1924">
        <v>2.25</v>
      </c>
      <c r="M1924" s="2" t="str">
        <f>HYPERLINK("http://maps.live.com/default.aspx?v=2&amp;lvl=15&amp;sp=Point.47.566815_-122.086577_4323 191st Ave SE&amp;cp=47.566815~-122.086577","Map")</f>
        <v>Map</v>
      </c>
      <c r="N1924" s="2" t="str">
        <f>HYPERLINK("http://i-0.rfimg.us/photo/1/bigphoto/369/28034369_0.jpg","Photo")</f>
        <v>Photo</v>
      </c>
      <c r="AG1924">
        <v>47.566814999999998</v>
      </c>
      <c r="AH1924">
        <v>-122.08657700000001</v>
      </c>
      <c r="AI1924" t="s">
        <v>5280</v>
      </c>
      <c r="AJ1924">
        <v>98027</v>
      </c>
      <c r="AN1924">
        <v>222500</v>
      </c>
      <c r="BC1924" s="22">
        <v>39507.360127314816</v>
      </c>
      <c r="BI1924" s="22">
        <v>39549.294907407406</v>
      </c>
      <c r="BL1924">
        <v>11980</v>
      </c>
      <c r="BM1924">
        <v>1517878</v>
      </c>
      <c r="BN1924" t="s">
        <v>1674</v>
      </c>
      <c r="BO1924" s="17">
        <f t="shared" ca="1" si="30"/>
        <v>41.949278587962908</v>
      </c>
      <c r="BP1924" t="b">
        <v>0</v>
      </c>
      <c r="BQ1924">
        <v>1</v>
      </c>
      <c r="BR1924" t="s">
        <v>1667</v>
      </c>
      <c r="BS1924" t="s">
        <v>5279</v>
      </c>
      <c r="BT1924" t="b">
        <v>0</v>
      </c>
      <c r="BV1924" t="s">
        <v>1668</v>
      </c>
      <c r="BW1924">
        <v>4323</v>
      </c>
      <c r="BX1924" t="s">
        <v>3856</v>
      </c>
      <c r="BY1924">
        <v>326962</v>
      </c>
      <c r="BZ1924" t="s">
        <v>1676</v>
      </c>
      <c r="CA1924">
        <v>1</v>
      </c>
      <c r="CB1924" t="b">
        <v>1</v>
      </c>
      <c r="CC1924">
        <v>0</v>
      </c>
      <c r="CD1924" t="b">
        <v>0</v>
      </c>
      <c r="CE1924" t="b">
        <v>0</v>
      </c>
      <c r="CF1924" t="b">
        <v>0</v>
      </c>
      <c r="CG1924">
        <v>2965803</v>
      </c>
      <c r="CH1924" t="s">
        <v>1681</v>
      </c>
      <c r="CI1924" s="10">
        <v>599000</v>
      </c>
      <c r="CJ1924" s="7">
        <v>34969</v>
      </c>
    </row>
    <row r="1925" spans="1:88">
      <c r="A1925">
        <v>28034396</v>
      </c>
      <c r="B1925" s="2" t="str">
        <f>HYPERLINK("http://www.redfin.com/stingray/do/printable-listing?listing-id=1520013","Subject To Inspection")</f>
        <v>Subject To Inspection</v>
      </c>
      <c r="D1925" t="s">
        <v>188</v>
      </c>
      <c r="E1925" t="s">
        <v>1575</v>
      </c>
      <c r="F1925">
        <v>399950</v>
      </c>
      <c r="G1925">
        <v>1950</v>
      </c>
      <c r="H1925">
        <v>1260</v>
      </c>
      <c r="I1925">
        <v>7733</v>
      </c>
      <c r="J1925">
        <v>3</v>
      </c>
      <c r="K1925">
        <v>1</v>
      </c>
      <c r="M1925" s="2" t="str">
        <f>HYPERLINK("http://maps.live.com/default.aspx?v=2&amp;lvl=15&amp;sp=Point.47.71468_-122.282883_11743 Sand Point Way NE&amp;cp=47.71468~-122.282883","Map")</f>
        <v>Map</v>
      </c>
      <c r="N1925" s="2" t="str">
        <f>HYPERLINK("http://i-0.rfimg.us/photo/1/bigphoto/396/28034396_0.jpg","Photo")</f>
        <v>Photo</v>
      </c>
      <c r="AG1925">
        <v>47.714680000000001</v>
      </c>
      <c r="AH1925">
        <v>-122.282883</v>
      </c>
      <c r="AI1925" t="s">
        <v>66</v>
      </c>
      <c r="AJ1925">
        <v>98125</v>
      </c>
      <c r="AN1925">
        <v>107500</v>
      </c>
      <c r="BC1925" s="22">
        <v>39507.657789351855</v>
      </c>
      <c r="BI1925" s="7">
        <v>39534</v>
      </c>
      <c r="BL1925">
        <v>7999</v>
      </c>
      <c r="BM1925">
        <v>1520013</v>
      </c>
      <c r="BN1925" t="s">
        <v>1725</v>
      </c>
      <c r="BO1925" s="17">
        <f t="shared" ca="1" si="30"/>
        <v>41.651616550923791</v>
      </c>
      <c r="BP1925" t="b">
        <v>0</v>
      </c>
      <c r="BQ1925">
        <v>2</v>
      </c>
      <c r="BR1925" t="s">
        <v>2463</v>
      </c>
      <c r="BS1925" t="s">
        <v>1129</v>
      </c>
      <c r="BT1925" t="b">
        <v>0</v>
      </c>
      <c r="BV1925" t="s">
        <v>1668</v>
      </c>
      <c r="BW1925">
        <v>11743</v>
      </c>
      <c r="BX1925" t="s">
        <v>1738</v>
      </c>
      <c r="BY1925">
        <v>112287</v>
      </c>
      <c r="BZ1925" t="s">
        <v>1747</v>
      </c>
      <c r="CA1925">
        <v>1</v>
      </c>
      <c r="CB1925" t="b">
        <v>1</v>
      </c>
      <c r="CC1925">
        <v>0</v>
      </c>
      <c r="CD1925" t="b">
        <v>0</v>
      </c>
      <c r="CE1925" t="b">
        <v>0</v>
      </c>
      <c r="CF1925" t="b">
        <v>0</v>
      </c>
      <c r="CG1925">
        <v>2674150</v>
      </c>
      <c r="CH1925" t="s">
        <v>1681</v>
      </c>
      <c r="CI1925" s="10">
        <v>399950</v>
      </c>
      <c r="CJ1925" s="7">
        <v>33977</v>
      </c>
    </row>
    <row r="1926" spans="1:88">
      <c r="A1926">
        <v>28034399</v>
      </c>
      <c r="B1926" s="2" t="str">
        <f>HYPERLINK("http://www.redfin.com/stingray/do/printable-listing?listing-id=1523322","Active")</f>
        <v>Active</v>
      </c>
      <c r="D1926" t="s">
        <v>4974</v>
      </c>
      <c r="E1926" t="s">
        <v>5100</v>
      </c>
      <c r="F1926">
        <v>975000</v>
      </c>
      <c r="G1926">
        <v>1957</v>
      </c>
      <c r="H1926">
        <v>1260</v>
      </c>
      <c r="I1926">
        <v>11273</v>
      </c>
      <c r="J1926">
        <v>3</v>
      </c>
      <c r="K1926">
        <v>1</v>
      </c>
      <c r="M1926" s="2" t="str">
        <f>HYPERLINK("http://maps.live.com/default.aspx?v=2&amp;lvl=15&amp;sp=Point.47.622428_-122.208657_9827 NE 14th St&amp;cp=47.622428~-122.208657","Map")</f>
        <v>Map</v>
      </c>
      <c r="N1926" s="2" t="str">
        <f>HYPERLINK("http://i-0.rfimg.us/photo/1/bigphoto/399/28034399_1.jpg","Photo")</f>
        <v>Photo</v>
      </c>
      <c r="AG1926">
        <v>47.622427999999999</v>
      </c>
      <c r="AH1926">
        <v>-122.208657</v>
      </c>
      <c r="AI1926" t="s">
        <v>369</v>
      </c>
      <c r="AJ1926">
        <v>98004</v>
      </c>
      <c r="AN1926">
        <v>1050000</v>
      </c>
      <c r="BC1926" s="22">
        <v>39508.817442129628</v>
      </c>
      <c r="BI1926" s="7">
        <v>39539</v>
      </c>
      <c r="BL1926">
        <v>19500</v>
      </c>
      <c r="BM1926">
        <v>1523322</v>
      </c>
      <c r="BN1926" t="s">
        <v>1768</v>
      </c>
      <c r="BO1926" s="17">
        <f t="shared" ca="1" si="30"/>
        <v>40.491963773150928</v>
      </c>
      <c r="BP1926" t="b">
        <v>0</v>
      </c>
      <c r="BQ1926">
        <v>1</v>
      </c>
      <c r="BR1926" t="s">
        <v>1686</v>
      </c>
      <c r="BS1926" t="s">
        <v>1900</v>
      </c>
      <c r="BT1926" t="b">
        <v>0</v>
      </c>
      <c r="BU1926" t="s">
        <v>1738</v>
      </c>
      <c r="BV1926" t="s">
        <v>1668</v>
      </c>
      <c r="BW1926">
        <v>9827</v>
      </c>
      <c r="BY1926">
        <v>251916</v>
      </c>
      <c r="BZ1926" t="s">
        <v>1748</v>
      </c>
      <c r="CA1926">
        <v>1</v>
      </c>
      <c r="CB1926" t="b">
        <v>1</v>
      </c>
      <c r="CC1926">
        <v>0</v>
      </c>
      <c r="CD1926" t="b">
        <v>0</v>
      </c>
      <c r="CE1926" t="b">
        <v>0</v>
      </c>
      <c r="CF1926" t="b">
        <v>0</v>
      </c>
      <c r="CG1926">
        <v>2832594</v>
      </c>
      <c r="CH1926" t="s">
        <v>1681</v>
      </c>
      <c r="CI1926" s="10">
        <v>975000</v>
      </c>
      <c r="CJ1926" s="7">
        <v>38943</v>
      </c>
    </row>
    <row r="1927" spans="1:88">
      <c r="A1927">
        <v>28034406</v>
      </c>
      <c r="B1927" s="2" t="str">
        <f>HYPERLINK("http://www.redfin.com/stingray/do/printable-listing?listing-id=1513200","Active")</f>
        <v>Active</v>
      </c>
      <c r="D1927" t="s">
        <v>63</v>
      </c>
      <c r="E1927" t="s">
        <v>2537</v>
      </c>
      <c r="F1927">
        <v>589950</v>
      </c>
      <c r="G1927">
        <v>2008</v>
      </c>
      <c r="H1927">
        <v>2031</v>
      </c>
      <c r="I1927">
        <v>0</v>
      </c>
      <c r="J1927">
        <v>3</v>
      </c>
      <c r="K1927">
        <v>3.25</v>
      </c>
      <c r="M1927" s="2" t="str">
        <f>HYPERLINK("http://maps.live.com/default.aspx?v=2&amp;lvl=15&amp;sp=Point.47.674785_-122.383897_2038 NW 63rd&amp;cp=47.674785~-122.383897","Map")</f>
        <v>Map</v>
      </c>
      <c r="N1927" s="2" t="str">
        <f>HYPERLINK("http://i-0.rfimg.us/photo/1/bigphoto/406/28034406_4.jpg","Photo")</f>
        <v>Photo</v>
      </c>
      <c r="AG1927">
        <v>47.674785</v>
      </c>
      <c r="AH1927">
        <v>-122.383897</v>
      </c>
      <c r="AI1927" t="s">
        <v>66</v>
      </c>
      <c r="AJ1927">
        <v>98107</v>
      </c>
      <c r="BC1927" s="22">
        <v>39505.662453703706</v>
      </c>
      <c r="BI1927" s="22">
        <v>39549.294907407406</v>
      </c>
      <c r="BL1927">
        <v>11799</v>
      </c>
      <c r="BM1927">
        <v>1513200</v>
      </c>
      <c r="BN1927" t="s">
        <v>1718</v>
      </c>
      <c r="BO1927" s="17">
        <f t="shared" ca="1" si="30"/>
        <v>43.646952314811642</v>
      </c>
      <c r="BP1927" t="b">
        <v>0</v>
      </c>
      <c r="BQ1927">
        <v>1</v>
      </c>
      <c r="BS1927" t="s">
        <v>2529</v>
      </c>
      <c r="BT1927" t="b">
        <v>0</v>
      </c>
      <c r="BU1927" t="s">
        <v>1669</v>
      </c>
      <c r="BV1927" t="s">
        <v>1668</v>
      </c>
      <c r="BW1927">
        <v>2038</v>
      </c>
      <c r="BY1927">
        <v>12419914</v>
      </c>
      <c r="BZ1927" t="s">
        <v>2538</v>
      </c>
      <c r="CA1927">
        <v>1</v>
      </c>
      <c r="CB1927" t="b">
        <v>1</v>
      </c>
      <c r="CC1927">
        <v>0</v>
      </c>
      <c r="CD1927" t="b">
        <v>0</v>
      </c>
      <c r="CE1927" t="b">
        <v>0</v>
      </c>
      <c r="CF1927" t="b">
        <v>0</v>
      </c>
      <c r="CG1927">
        <v>15623662</v>
      </c>
      <c r="CH1927" t="s">
        <v>1681</v>
      </c>
      <c r="CI1927" s="10">
        <v>589950</v>
      </c>
    </row>
    <row r="1928" spans="1:88">
      <c r="A1928">
        <v>28034454</v>
      </c>
      <c r="B1928" s="2" t="str">
        <f>HYPERLINK("http://www.redfin.com/stingray/do/printable-listing?listing-id=1513232","Active")</f>
        <v>Active</v>
      </c>
      <c r="D1928" t="s">
        <v>4304</v>
      </c>
      <c r="E1928" t="s">
        <v>1657</v>
      </c>
      <c r="F1928">
        <v>285000</v>
      </c>
      <c r="G1928">
        <v>1919</v>
      </c>
      <c r="H1928">
        <v>1550</v>
      </c>
      <c r="I1928">
        <v>8166</v>
      </c>
      <c r="J1928">
        <v>3</v>
      </c>
      <c r="K1928">
        <v>1</v>
      </c>
      <c r="M1928" s="2" t="str">
        <f>HYPERLINK("http://maps.live.com/default.aspx?v=2&amp;lvl=15&amp;sp=adr.Undisclosed,98106","Map")</f>
        <v>Map</v>
      </c>
      <c r="N1928" s="2" t="str">
        <f>HYPERLINK("http://i-0.rfimg.us/photo/1/bigphoto/454/28034454_0.jpg","Photo")</f>
        <v>Photo</v>
      </c>
      <c r="AI1928" t="s">
        <v>66</v>
      </c>
      <c r="AJ1928">
        <v>98106</v>
      </c>
      <c r="BC1928" s="22">
        <v>39505.672754629632</v>
      </c>
      <c r="BI1928" s="22">
        <v>39549.294907407406</v>
      </c>
      <c r="BL1928">
        <v>5550</v>
      </c>
      <c r="BM1928">
        <v>1513232</v>
      </c>
      <c r="BN1928" t="s">
        <v>1673</v>
      </c>
      <c r="BO1928" s="17">
        <f t="shared" ca="1" si="30"/>
        <v>43.636651273147436</v>
      </c>
      <c r="BP1928" t="b">
        <v>0</v>
      </c>
      <c r="BQ1928">
        <v>1</v>
      </c>
      <c r="BT1928" t="b">
        <v>1</v>
      </c>
      <c r="BV1928" t="s">
        <v>1668</v>
      </c>
      <c r="BY1928">
        <v>0</v>
      </c>
      <c r="BZ1928" t="s">
        <v>1747</v>
      </c>
      <c r="CA1928">
        <v>1</v>
      </c>
      <c r="CB1928" t="b">
        <v>1</v>
      </c>
      <c r="CC1928">
        <v>0</v>
      </c>
      <c r="CD1928" t="b">
        <v>0</v>
      </c>
      <c r="CE1928" t="b">
        <v>0</v>
      </c>
      <c r="CF1928" t="b">
        <v>0</v>
      </c>
      <c r="CG1928" t="s">
        <v>1870</v>
      </c>
      <c r="CH1928" t="s">
        <v>1681</v>
      </c>
      <c r="CI1928" s="10">
        <v>285000</v>
      </c>
    </row>
    <row r="1929" spans="1:88">
      <c r="A1929">
        <v>28034474</v>
      </c>
      <c r="B1929" s="2" t="str">
        <f>HYPERLINK("http://www.redfin.com/stingray/do/printable-listing?listing-id=1513314","Active")</f>
        <v>Active</v>
      </c>
      <c r="D1929" t="s">
        <v>2552</v>
      </c>
      <c r="E1929" t="s">
        <v>3398</v>
      </c>
      <c r="F1929">
        <v>409950</v>
      </c>
      <c r="G1929">
        <v>2008</v>
      </c>
      <c r="H1929">
        <v>1450</v>
      </c>
      <c r="I1929">
        <v>0</v>
      </c>
      <c r="J1929">
        <v>3</v>
      </c>
      <c r="K1929">
        <v>3.5</v>
      </c>
      <c r="M1929" s="2" t="str">
        <f>HYPERLINK("http://maps.live.com/default.aspx?v=2&amp;lvl=15&amp;sp=Point.47.651281_-122.383195_3410 21st Ave W nA&amp;cp=47.651281~-122.383195","Map")</f>
        <v>Map</v>
      </c>
      <c r="N1929" s="2" t="str">
        <f>HYPERLINK("http://i-0.rfimg.us/photo/1/bigphoto/474/28034474_0.jpg","Photo")</f>
        <v>Photo</v>
      </c>
      <c r="AG1929">
        <v>47.651280999999997</v>
      </c>
      <c r="AH1929">
        <v>-122.383195</v>
      </c>
      <c r="AI1929" t="s">
        <v>66</v>
      </c>
      <c r="AJ1929">
        <v>98199</v>
      </c>
      <c r="AM1929" t="s">
        <v>1722</v>
      </c>
      <c r="BC1929" s="22">
        <v>39505.693680555552</v>
      </c>
      <c r="BI1929" s="22">
        <v>39549.294907407406</v>
      </c>
      <c r="BL1929">
        <v>8199</v>
      </c>
      <c r="BM1929">
        <v>1513314</v>
      </c>
      <c r="BN1929" t="s">
        <v>1690</v>
      </c>
      <c r="BO1929" s="17">
        <f t="shared" ca="1" si="30"/>
        <v>43.615725347226544</v>
      </c>
      <c r="BP1929" t="b">
        <v>0</v>
      </c>
      <c r="BQ1929">
        <v>1</v>
      </c>
      <c r="BR1929" t="s">
        <v>1667</v>
      </c>
      <c r="BS1929" t="s">
        <v>1903</v>
      </c>
      <c r="BT1929" t="b">
        <v>0</v>
      </c>
      <c r="BV1929" t="s">
        <v>1668</v>
      </c>
      <c r="BW1929">
        <v>3410</v>
      </c>
      <c r="BX1929" t="s">
        <v>2423</v>
      </c>
      <c r="BY1929">
        <v>12419941</v>
      </c>
      <c r="BZ1929" t="s">
        <v>1670</v>
      </c>
      <c r="CA1929">
        <v>1</v>
      </c>
      <c r="CB1929" t="b">
        <v>1</v>
      </c>
      <c r="CC1929">
        <v>0</v>
      </c>
      <c r="CD1929" t="b">
        <v>0</v>
      </c>
      <c r="CE1929" t="b">
        <v>0</v>
      </c>
      <c r="CF1929" t="b">
        <v>0</v>
      </c>
      <c r="CG1929">
        <v>15508376</v>
      </c>
      <c r="CH1929" t="s">
        <v>1681</v>
      </c>
      <c r="CI1929" s="10">
        <v>409950</v>
      </c>
    </row>
    <row r="1930" spans="1:88">
      <c r="A1930">
        <v>28034506</v>
      </c>
      <c r="B1930" s="2" t="str">
        <f>HYPERLINK("http://www.redfin.com/stingray/do/printable-listing?listing-id=1513458","Active")</f>
        <v>Active</v>
      </c>
      <c r="D1930" t="s">
        <v>218</v>
      </c>
      <c r="E1930" t="s">
        <v>1518</v>
      </c>
      <c r="F1930">
        <v>400000</v>
      </c>
      <c r="G1930">
        <v>1952</v>
      </c>
      <c r="H1930">
        <v>0</v>
      </c>
      <c r="I1930">
        <v>4156</v>
      </c>
      <c r="J1930">
        <v>3</v>
      </c>
      <c r="K1930">
        <v>1</v>
      </c>
      <c r="M1930" s="2" t="str">
        <f>HYPERLINK("http://maps.live.com/default.aspx?v=2&amp;lvl=15&amp;sp=Point.47.683239_-122.301613_7502 24th Ave NE&amp;cp=47.683239~-122.301613","Map")</f>
        <v>Map</v>
      </c>
      <c r="N1930" s="2" t="str">
        <f>HYPERLINK("http://i-0.rfimg.us/photo/1/bigphoto/506/28034506_2.jpg","Photo")</f>
        <v>Photo</v>
      </c>
      <c r="AG1930">
        <v>47.683239</v>
      </c>
      <c r="AH1930">
        <v>-122.301613</v>
      </c>
      <c r="AI1930" t="s">
        <v>66</v>
      </c>
      <c r="AJ1930">
        <v>98115</v>
      </c>
      <c r="AN1930">
        <v>191500</v>
      </c>
      <c r="BC1930" s="22">
        <v>39505.714490740742</v>
      </c>
      <c r="BI1930" s="22">
        <v>39549.294907407406</v>
      </c>
      <c r="BL1930">
        <v>8000</v>
      </c>
      <c r="BM1930">
        <v>1513458</v>
      </c>
      <c r="BN1930" t="s">
        <v>1688</v>
      </c>
      <c r="BO1930" s="17">
        <f t="shared" ca="1" si="30"/>
        <v>43.594915162037069</v>
      </c>
      <c r="BP1930" t="b">
        <v>0</v>
      </c>
      <c r="BQ1930">
        <v>1</v>
      </c>
      <c r="BR1930" t="s">
        <v>1667</v>
      </c>
      <c r="BS1930" t="s">
        <v>1740</v>
      </c>
      <c r="BT1930" t="b">
        <v>0</v>
      </c>
      <c r="BV1930" t="s">
        <v>1668</v>
      </c>
      <c r="BW1930">
        <v>7502</v>
      </c>
      <c r="BX1930" t="s">
        <v>1738</v>
      </c>
      <c r="BY1930">
        <v>310476</v>
      </c>
      <c r="BZ1930" t="s">
        <v>3244</v>
      </c>
      <c r="CA1930">
        <v>1</v>
      </c>
      <c r="CB1930" t="b">
        <v>1</v>
      </c>
      <c r="CC1930">
        <v>0</v>
      </c>
      <c r="CD1930" t="b">
        <v>0</v>
      </c>
      <c r="CE1930" t="b">
        <v>0</v>
      </c>
      <c r="CF1930" t="b">
        <v>0</v>
      </c>
      <c r="CG1930">
        <v>2829920</v>
      </c>
      <c r="CH1930" t="s">
        <v>1681</v>
      </c>
      <c r="CI1930" s="10">
        <v>400000</v>
      </c>
      <c r="CJ1930" s="7">
        <v>36462</v>
      </c>
    </row>
    <row r="1931" spans="1:88">
      <c r="A1931">
        <v>28034517</v>
      </c>
      <c r="B1931" s="2" t="str">
        <f>HYPERLINK("http://www.redfin.com/stingray/do/printable-listing?listing-id=1513503","Active")</f>
        <v>Active</v>
      </c>
      <c r="D1931" t="s">
        <v>3704</v>
      </c>
      <c r="E1931" t="s">
        <v>4127</v>
      </c>
      <c r="F1931">
        <v>649950</v>
      </c>
      <c r="G1931">
        <v>1904</v>
      </c>
      <c r="H1931">
        <v>0</v>
      </c>
      <c r="I1931">
        <v>3950</v>
      </c>
      <c r="J1931">
        <v>4</v>
      </c>
      <c r="K1931">
        <v>1.5</v>
      </c>
      <c r="M1931" s="2" t="str">
        <f>HYPERLINK("http://maps.live.com/default.aspx?v=2&amp;lvl=15&amp;sp=Point.47.622934_-122.319283_1013 E Republican St&amp;cp=47.622934~-122.319283","Map")</f>
        <v>Map</v>
      </c>
      <c r="N1931" s="2" t="str">
        <f>HYPERLINK("http://i-0.rfimg.us/photo/1/bigphoto/517/28034517_2.jpg","Photo")</f>
        <v>Photo</v>
      </c>
      <c r="AG1931">
        <v>47.622934000000001</v>
      </c>
      <c r="AH1931">
        <v>-122.319283</v>
      </c>
      <c r="AI1931" t="s">
        <v>66</v>
      </c>
      <c r="AJ1931">
        <v>98102</v>
      </c>
      <c r="AN1931">
        <v>73098</v>
      </c>
      <c r="BC1931" s="22">
        <v>39505.723993055559</v>
      </c>
      <c r="BI1931" s="22">
        <v>39549.294907407406</v>
      </c>
      <c r="BL1931">
        <v>12999</v>
      </c>
      <c r="BM1931">
        <v>1513503</v>
      </c>
      <c r="BN1931" t="s">
        <v>1673</v>
      </c>
      <c r="BO1931" s="17">
        <f t="shared" ca="1" si="30"/>
        <v>43.585412847220141</v>
      </c>
      <c r="BP1931" t="b">
        <v>0</v>
      </c>
      <c r="BQ1931">
        <v>1</v>
      </c>
      <c r="BR1931" t="s">
        <v>1686</v>
      </c>
      <c r="BS1931" t="s">
        <v>4128</v>
      </c>
      <c r="BT1931" t="b">
        <v>0</v>
      </c>
      <c r="BU1931" t="s">
        <v>2436</v>
      </c>
      <c r="BV1931" t="s">
        <v>1668</v>
      </c>
      <c r="BW1931">
        <v>1013</v>
      </c>
      <c r="BY1931">
        <v>144762</v>
      </c>
      <c r="BZ1931" t="s">
        <v>3675</v>
      </c>
      <c r="CA1931">
        <v>1</v>
      </c>
      <c r="CB1931" t="b">
        <v>1</v>
      </c>
      <c r="CC1931">
        <v>0</v>
      </c>
      <c r="CD1931" t="b">
        <v>0</v>
      </c>
      <c r="CE1931" t="b">
        <v>0</v>
      </c>
      <c r="CF1931" t="b">
        <v>0</v>
      </c>
      <c r="CG1931">
        <v>2591009</v>
      </c>
      <c r="CH1931" t="s">
        <v>1681</v>
      </c>
      <c r="CI1931" s="10">
        <v>649950</v>
      </c>
      <c r="CJ1931" s="7">
        <v>35473</v>
      </c>
    </row>
    <row r="1932" spans="1:88">
      <c r="A1932">
        <v>28034530</v>
      </c>
      <c r="B1932" s="2" t="str">
        <f>HYPERLINK("http://www.redfin.com/stingray/do/printable-listing?listing-id=1513564","Active")</f>
        <v>Active</v>
      </c>
      <c r="D1932" t="s">
        <v>369</v>
      </c>
      <c r="E1932" t="s">
        <v>5395</v>
      </c>
      <c r="F1932">
        <v>415000</v>
      </c>
      <c r="G1932">
        <v>1994</v>
      </c>
      <c r="H1932">
        <v>1236</v>
      </c>
      <c r="I1932">
        <v>0</v>
      </c>
      <c r="J1932">
        <v>2</v>
      </c>
      <c r="K1932">
        <v>1.75</v>
      </c>
      <c r="M1932" s="2" t="str">
        <f>HYPERLINK("http://maps.live.com/default.aspx?v=2&amp;lvl=15&amp;sp=Point.47.582084_-122.150796_2956 142nd Pl SE&amp;cp=47.582084~-122.150796","Map")</f>
        <v>Map</v>
      </c>
      <c r="N1932" s="2" t="str">
        <f>HYPERLINK("http://i-0.rfimg.us/photo/1/bigphoto/530/28034530_1.jpg","Photo")</f>
        <v>Photo</v>
      </c>
      <c r="AG1932">
        <v>47.582084000000002</v>
      </c>
      <c r="AH1932">
        <v>-122.150796</v>
      </c>
      <c r="AI1932" t="s">
        <v>369</v>
      </c>
      <c r="AJ1932">
        <v>98007</v>
      </c>
      <c r="BC1932" s="22">
        <v>39505.746759259258</v>
      </c>
      <c r="BI1932" s="22">
        <v>39549.294907407406</v>
      </c>
      <c r="BL1932">
        <v>8300</v>
      </c>
      <c r="BM1932">
        <v>1513564</v>
      </c>
      <c r="BN1932" t="s">
        <v>1674</v>
      </c>
      <c r="BO1932" s="17">
        <f t="shared" ca="1" si="30"/>
        <v>43.562646643520566</v>
      </c>
      <c r="BP1932" t="b">
        <v>0</v>
      </c>
      <c r="BQ1932">
        <v>1</v>
      </c>
      <c r="BR1932" t="s">
        <v>1842</v>
      </c>
      <c r="BS1932" t="s">
        <v>4694</v>
      </c>
      <c r="BT1932" t="b">
        <v>0</v>
      </c>
      <c r="BV1932" t="s">
        <v>1668</v>
      </c>
      <c r="BW1932">
        <v>2956</v>
      </c>
      <c r="BX1932" t="s">
        <v>3856</v>
      </c>
      <c r="BY1932">
        <v>12419965</v>
      </c>
      <c r="BZ1932" t="s">
        <v>1709</v>
      </c>
      <c r="CA1932">
        <v>1</v>
      </c>
      <c r="CB1932" t="b">
        <v>1</v>
      </c>
      <c r="CC1932">
        <v>0</v>
      </c>
      <c r="CD1932" t="b">
        <v>0</v>
      </c>
      <c r="CE1932" t="b">
        <v>0</v>
      </c>
      <c r="CF1932" t="b">
        <v>0</v>
      </c>
      <c r="CG1932">
        <v>15623713</v>
      </c>
      <c r="CH1932" t="s">
        <v>1681</v>
      </c>
      <c r="CI1932" s="10">
        <v>415000</v>
      </c>
    </row>
    <row r="1933" spans="1:88">
      <c r="A1933">
        <v>28034567</v>
      </c>
      <c r="B1933" s="2" t="str">
        <f>HYPERLINK("http://www.redfin.com/stingray/do/printable-listing?listing-id=1517893","Active")</f>
        <v>Active</v>
      </c>
      <c r="D1933" t="s">
        <v>4542</v>
      </c>
      <c r="E1933" t="s">
        <v>4716</v>
      </c>
      <c r="F1933">
        <v>849950</v>
      </c>
      <c r="G1933">
        <v>1961</v>
      </c>
      <c r="H1933">
        <v>2160</v>
      </c>
      <c r="I1933">
        <v>6600</v>
      </c>
      <c r="J1933">
        <v>3</v>
      </c>
      <c r="K1933">
        <v>2</v>
      </c>
      <c r="M1933" s="2" t="str">
        <f>HYPERLINK("http://maps.live.com/default.aspx?v=2&amp;lvl=15&amp;sp=Point.47.682464_-122.196945_924 6th St&amp;cp=47.682464~-122.196945","Map")</f>
        <v>Map</v>
      </c>
      <c r="N1933" s="2" t="str">
        <f>HYPERLINK("http://i-0.rfimg.us/photo/1/bigphoto/567/28034567_0.jpg","Photo")</f>
        <v>Photo</v>
      </c>
      <c r="AG1933">
        <v>47.682464000000003</v>
      </c>
      <c r="AH1933">
        <v>-122.196945</v>
      </c>
      <c r="AI1933" t="s">
        <v>1058</v>
      </c>
      <c r="AJ1933">
        <v>98033</v>
      </c>
      <c r="AN1933">
        <v>710000</v>
      </c>
      <c r="BC1933" s="22">
        <v>39507.360243055555</v>
      </c>
      <c r="BI1933" s="22">
        <v>39549.294907407406</v>
      </c>
      <c r="BL1933">
        <v>16999</v>
      </c>
      <c r="BM1933">
        <v>1517893</v>
      </c>
      <c r="BN1933" t="s">
        <v>2202</v>
      </c>
      <c r="BO1933" s="17">
        <f t="shared" ca="1" si="30"/>
        <v>41.949162847224216</v>
      </c>
      <c r="BP1933" t="b">
        <v>0</v>
      </c>
      <c r="BQ1933">
        <v>1</v>
      </c>
      <c r="BR1933" t="s">
        <v>1686</v>
      </c>
      <c r="BS1933" t="s">
        <v>1739</v>
      </c>
      <c r="BT1933" t="b">
        <v>0</v>
      </c>
      <c r="BV1933" t="s">
        <v>1668</v>
      </c>
      <c r="BW1933">
        <v>924</v>
      </c>
      <c r="BY1933">
        <v>464238</v>
      </c>
      <c r="BZ1933" t="s">
        <v>1741</v>
      </c>
      <c r="CA1933">
        <v>1</v>
      </c>
      <c r="CB1933" t="b">
        <v>1</v>
      </c>
      <c r="CC1933">
        <v>0</v>
      </c>
      <c r="CD1933" t="b">
        <v>0</v>
      </c>
      <c r="CE1933" t="b">
        <v>0</v>
      </c>
      <c r="CF1933" t="b">
        <v>0</v>
      </c>
      <c r="CG1933">
        <v>2847546</v>
      </c>
      <c r="CH1933" t="s">
        <v>1681</v>
      </c>
      <c r="CI1933" s="10">
        <v>849950</v>
      </c>
      <c r="CJ1933" s="7">
        <v>38380</v>
      </c>
    </row>
    <row r="1934" spans="1:88">
      <c r="A1934">
        <v>28034585</v>
      </c>
      <c r="B1934" s="15" t="str">
        <f>HYPERLINK("http://www.redfin.com/stingray/do/printable-listing?listing-id=1515199","Subject To Inspection")</f>
        <v>Subject To Inspection</v>
      </c>
      <c r="D1934" t="s">
        <v>3966</v>
      </c>
      <c r="E1934" t="s">
        <v>4279</v>
      </c>
      <c r="F1934">
        <v>1295000</v>
      </c>
      <c r="G1934">
        <v>2008</v>
      </c>
      <c r="H1934">
        <v>4033</v>
      </c>
      <c r="I1934">
        <v>4806</v>
      </c>
      <c r="J1934">
        <v>5</v>
      </c>
      <c r="K1934">
        <v>3.5</v>
      </c>
      <c r="M1934" s="2" t="str">
        <f>HYPERLINK("http://maps.live.com/default.aspx?v=2&amp;lvl=15&amp;sp=Point.47.615543_-122.291503_1611 32nd Ave&amp;cp=47.615543~-122.291503","Map")</f>
        <v>Map</v>
      </c>
      <c r="N1934" s="2" t="str">
        <f>HYPERLINK("http://i-0.rfimg.us/photo/1/bigphoto/585/28034585_.jpg","Photo")</f>
        <v>Photo</v>
      </c>
      <c r="AG1934">
        <v>47.615543000000002</v>
      </c>
      <c r="AH1934">
        <v>-122.29150300000001</v>
      </c>
      <c r="AI1934" t="s">
        <v>66</v>
      </c>
      <c r="AJ1934">
        <v>98112</v>
      </c>
      <c r="BC1934" s="22">
        <v>39506.422256944446</v>
      </c>
      <c r="BI1934" s="22">
        <v>39547.913935185185</v>
      </c>
      <c r="BL1934">
        <v>25900</v>
      </c>
      <c r="BM1934">
        <v>1515199</v>
      </c>
      <c r="BN1934" t="s">
        <v>1710</v>
      </c>
      <c r="BO1934" s="17">
        <f t="shared" ca="1" si="30"/>
        <v>42.887148958332546</v>
      </c>
      <c r="BP1934" t="b">
        <v>0</v>
      </c>
      <c r="BQ1934">
        <v>1</v>
      </c>
      <c r="BR1934" t="s">
        <v>1667</v>
      </c>
      <c r="BS1934" t="s">
        <v>1733</v>
      </c>
      <c r="BT1934" t="b">
        <v>0</v>
      </c>
      <c r="BV1934" t="s">
        <v>1668</v>
      </c>
      <c r="BW1934">
        <v>1611</v>
      </c>
      <c r="BY1934">
        <v>12420661</v>
      </c>
      <c r="CA1934">
        <v>1</v>
      </c>
      <c r="CB1934" t="b">
        <v>1</v>
      </c>
      <c r="CC1934">
        <v>0</v>
      </c>
      <c r="CD1934" t="b">
        <v>0</v>
      </c>
      <c r="CE1934" t="b">
        <v>0</v>
      </c>
      <c r="CF1934" t="b">
        <v>0</v>
      </c>
      <c r="CG1934">
        <v>15624409</v>
      </c>
      <c r="CH1934" t="s">
        <v>1681</v>
      </c>
      <c r="CI1934" s="10">
        <v>1295000</v>
      </c>
    </row>
    <row r="1935" spans="1:88">
      <c r="A1935">
        <v>28034611</v>
      </c>
      <c r="B1935" s="2" t="str">
        <f>HYPERLINK("http://www.redfin.com/stingray/do/printable-listing?listing-id=1515217","Active")</f>
        <v>Active</v>
      </c>
      <c r="D1935" t="s">
        <v>4611</v>
      </c>
      <c r="E1935" t="s">
        <v>7081</v>
      </c>
      <c r="F1935">
        <v>625000</v>
      </c>
      <c r="G1935">
        <v>1982</v>
      </c>
      <c r="H1935">
        <v>2460</v>
      </c>
      <c r="I1935">
        <v>7002</v>
      </c>
      <c r="J1935">
        <v>4</v>
      </c>
      <c r="K1935">
        <v>2</v>
      </c>
      <c r="M1935" s="2" t="str">
        <f>HYPERLINK("http://maps.live.com/default.aspx?v=2&amp;lvl=15&amp;sp=Point.47.663215_-122.1528_14009 NE 63rd CT&amp;cp=47.663215~-122.1528","Map")</f>
        <v>Map</v>
      </c>
      <c r="N1935" s="2" t="str">
        <f>HYPERLINK("http://i-0.rfimg.us/photo/1/bigphoto/611/28034611_0.jpg","Photo")</f>
        <v>Photo</v>
      </c>
      <c r="AG1935">
        <v>47.663215000000001</v>
      </c>
      <c r="AH1935">
        <v>-122.1528</v>
      </c>
      <c r="AI1935" t="s">
        <v>4363</v>
      </c>
      <c r="AJ1935">
        <v>98052</v>
      </c>
      <c r="AN1935">
        <v>119950</v>
      </c>
      <c r="BC1935" s="22">
        <v>39506.422696759262</v>
      </c>
      <c r="BI1935" s="22">
        <v>39549.294907407406</v>
      </c>
      <c r="BL1935">
        <v>12500</v>
      </c>
      <c r="BM1935">
        <v>1515217</v>
      </c>
      <c r="BN1935" t="s">
        <v>1674</v>
      </c>
      <c r="BO1935" s="17">
        <f t="shared" ca="1" si="30"/>
        <v>42.886709143516782</v>
      </c>
      <c r="BP1935" t="b">
        <v>0</v>
      </c>
      <c r="BQ1935">
        <v>1</v>
      </c>
      <c r="BR1935" t="s">
        <v>6185</v>
      </c>
      <c r="BS1935" t="s">
        <v>2529</v>
      </c>
      <c r="BT1935" t="b">
        <v>0</v>
      </c>
      <c r="BU1935" t="s">
        <v>1738</v>
      </c>
      <c r="BV1935" t="s">
        <v>1668</v>
      </c>
      <c r="BW1935">
        <v>14009</v>
      </c>
      <c r="BY1935">
        <v>516814</v>
      </c>
      <c r="BZ1935" t="s">
        <v>1672</v>
      </c>
      <c r="CA1935">
        <v>1</v>
      </c>
      <c r="CB1935" t="b">
        <v>1</v>
      </c>
      <c r="CC1935">
        <v>0</v>
      </c>
      <c r="CD1935" t="b">
        <v>0</v>
      </c>
      <c r="CE1935" t="b">
        <v>0</v>
      </c>
      <c r="CF1935" t="b">
        <v>0</v>
      </c>
      <c r="CG1935">
        <v>2558062</v>
      </c>
      <c r="CH1935" t="s">
        <v>1681</v>
      </c>
      <c r="CI1935" s="10">
        <v>625000</v>
      </c>
      <c r="CJ1935" s="7">
        <v>30582</v>
      </c>
    </row>
    <row r="1936" spans="1:88">
      <c r="A1936">
        <v>28034623</v>
      </c>
      <c r="B1936" s="2" t="str">
        <f>HYPERLINK("http://www.redfin.com/stingray/do/printable-listing?listing-id=1522800","Active")</f>
        <v>Active</v>
      </c>
      <c r="D1936" t="s">
        <v>3064</v>
      </c>
      <c r="E1936" t="s">
        <v>4724</v>
      </c>
      <c r="F1936">
        <v>679000</v>
      </c>
      <c r="G1936">
        <v>1955</v>
      </c>
      <c r="H1936">
        <v>2350</v>
      </c>
      <c r="I1936">
        <v>7200</v>
      </c>
      <c r="J1936">
        <v>3</v>
      </c>
      <c r="K1936">
        <v>2</v>
      </c>
      <c r="M1936" s="2" t="str">
        <f>HYPERLINK("http://maps.live.com/default.aspx?v=2&amp;lvl=15&amp;sp=Point.47.683165_-122.188819_11239 NE 91st St&amp;cp=47.683165~-122.188819","Map")</f>
        <v>Map</v>
      </c>
      <c r="N1936" s="2" t="str">
        <f>HYPERLINK("http://i-0.rfimg.us/photo/1/bigphoto/623/28034623_0.jpg","Photo")</f>
        <v>Photo</v>
      </c>
      <c r="AG1936">
        <v>47.683165000000002</v>
      </c>
      <c r="AH1936">
        <v>-122.188819</v>
      </c>
      <c r="AI1936" t="s">
        <v>1058</v>
      </c>
      <c r="AJ1936">
        <v>98033</v>
      </c>
      <c r="AN1936">
        <v>69500</v>
      </c>
      <c r="BC1936" s="22">
        <v>39508.619768518518</v>
      </c>
      <c r="BI1936" s="22">
        <v>39549.294907407406</v>
      </c>
      <c r="BL1936">
        <v>13580</v>
      </c>
      <c r="BM1936">
        <v>1522800</v>
      </c>
      <c r="BN1936" t="s">
        <v>1768</v>
      </c>
      <c r="BO1936" s="17">
        <f t="shared" ca="1" si="30"/>
        <v>40.689637384261005</v>
      </c>
      <c r="BP1936" t="b">
        <v>0</v>
      </c>
      <c r="BQ1936">
        <v>1</v>
      </c>
      <c r="BR1936" t="s">
        <v>1686</v>
      </c>
      <c r="BS1936" t="s">
        <v>2818</v>
      </c>
      <c r="BT1936" t="b">
        <v>0</v>
      </c>
      <c r="BU1936" t="s">
        <v>1738</v>
      </c>
      <c r="BV1936" t="s">
        <v>1668</v>
      </c>
      <c r="BW1936">
        <v>11239</v>
      </c>
      <c r="BY1936">
        <v>463049</v>
      </c>
      <c r="BZ1936" t="s">
        <v>1672</v>
      </c>
      <c r="CA1936">
        <v>1</v>
      </c>
      <c r="CB1936" t="b">
        <v>1</v>
      </c>
      <c r="CC1936">
        <v>0</v>
      </c>
      <c r="CD1936" t="b">
        <v>0</v>
      </c>
      <c r="CE1936" t="b">
        <v>0</v>
      </c>
      <c r="CF1936" t="b">
        <v>0</v>
      </c>
      <c r="CG1936">
        <v>2682473</v>
      </c>
      <c r="CH1936" t="s">
        <v>1681</v>
      </c>
      <c r="CI1936" s="10">
        <v>679000</v>
      </c>
      <c r="CJ1936" s="7">
        <v>31393</v>
      </c>
    </row>
    <row r="1937" spans="1:88">
      <c r="A1937">
        <v>28034632</v>
      </c>
      <c r="B1937" s="2" t="str">
        <f>HYPERLINK("http://www.redfin.com/stingray/do/printable-listing?listing-id=1515226","Active")</f>
        <v>Active</v>
      </c>
      <c r="D1937" t="s">
        <v>5139</v>
      </c>
      <c r="E1937" t="s">
        <v>6694</v>
      </c>
      <c r="F1937" s="19">
        <v>1019000</v>
      </c>
      <c r="G1937">
        <v>1951</v>
      </c>
      <c r="H1937">
        <v>3000</v>
      </c>
      <c r="I1937">
        <v>10629</v>
      </c>
      <c r="J1937">
        <v>5</v>
      </c>
      <c r="K1937">
        <v>0.75</v>
      </c>
      <c r="M1937" s="2" t="str">
        <f>HYPERLINK("http://maps.live.com/default.aspx?v=2&amp;lvl=15&amp;sp=Point.47.574335_-122.237196_7615 SE 40th St&amp;cp=47.574335~-122.237196","Map")</f>
        <v>Map</v>
      </c>
      <c r="N1937" s="2" t="str">
        <f>HYPERLINK("http://i-0.rfimg.us/photo/1/bigphoto/632/28034632_2.jpg","Photo")</f>
        <v>Photo</v>
      </c>
      <c r="AG1937">
        <v>47.574334999999998</v>
      </c>
      <c r="AH1937">
        <v>-122.237196</v>
      </c>
      <c r="AI1937" t="s">
        <v>5139</v>
      </c>
      <c r="AJ1937">
        <v>98040</v>
      </c>
      <c r="AN1937">
        <v>569900</v>
      </c>
      <c r="BC1937" s="22">
        <v>39506.422812500001</v>
      </c>
      <c r="BI1937" s="22">
        <v>39549.294907407406</v>
      </c>
      <c r="BL1937">
        <v>18580</v>
      </c>
      <c r="BM1937">
        <v>1515226</v>
      </c>
      <c r="BN1937" t="s">
        <v>6693</v>
      </c>
      <c r="BO1937" s="17">
        <f t="shared" ca="1" si="30"/>
        <v>42.88659340277809</v>
      </c>
      <c r="BP1937" t="b">
        <v>0</v>
      </c>
      <c r="BQ1937">
        <v>1</v>
      </c>
      <c r="BR1937" t="s">
        <v>1686</v>
      </c>
      <c r="BS1937" t="s">
        <v>2832</v>
      </c>
      <c r="BT1937" t="b">
        <v>0</v>
      </c>
      <c r="BU1937" t="s">
        <v>3856</v>
      </c>
      <c r="BV1937" t="s">
        <v>1668</v>
      </c>
      <c r="BW1937">
        <v>7615</v>
      </c>
      <c r="BY1937">
        <v>260121</v>
      </c>
      <c r="BZ1937" t="s">
        <v>1730</v>
      </c>
      <c r="CA1937">
        <v>1</v>
      </c>
      <c r="CB1937" t="b">
        <v>1</v>
      </c>
      <c r="CC1937">
        <v>0</v>
      </c>
      <c r="CD1937" t="b">
        <v>0</v>
      </c>
      <c r="CE1937" t="b">
        <v>0</v>
      </c>
      <c r="CF1937" t="b">
        <v>0</v>
      </c>
      <c r="CG1937">
        <v>2874874</v>
      </c>
      <c r="CH1937" t="s">
        <v>1681</v>
      </c>
      <c r="CI1937" s="10">
        <v>929000</v>
      </c>
      <c r="CJ1937" s="7">
        <v>38321</v>
      </c>
    </row>
    <row r="1938" spans="1:88">
      <c r="A1938">
        <v>28034635</v>
      </c>
      <c r="B1938" s="2" t="str">
        <f>HYPERLINK("http://www.redfin.com/stingray/do/printable-listing?listing-id=1515209","Active")</f>
        <v>Active</v>
      </c>
      <c r="D1938" t="s">
        <v>60</v>
      </c>
      <c r="E1938" t="s">
        <v>2655</v>
      </c>
      <c r="F1938" s="19">
        <v>849900</v>
      </c>
      <c r="G1938">
        <v>1908</v>
      </c>
      <c r="H1938">
        <v>2010</v>
      </c>
      <c r="I1938">
        <v>0</v>
      </c>
      <c r="J1938">
        <v>4</v>
      </c>
      <c r="K1938">
        <v>3</v>
      </c>
      <c r="M1938" s="2" t="str">
        <f>HYPERLINK("http://maps.live.com/default.aspx?v=2&amp;lvl=15&amp;sp=Point.47.676843_-122.331497_6529 Woodlawn Ave N&amp;cp=47.676843~-122.331497","Map")</f>
        <v>Map</v>
      </c>
      <c r="N1938" s="2" t="str">
        <f>HYPERLINK("http://i-0.rfimg.us/photo/1/bigphoto/635/28034635_0.jpg","Photo")</f>
        <v>Photo</v>
      </c>
      <c r="AG1938">
        <v>47.676842999999998</v>
      </c>
      <c r="AH1938">
        <v>-122.331497</v>
      </c>
      <c r="AI1938" t="s">
        <v>66</v>
      </c>
      <c r="AJ1938">
        <v>98103</v>
      </c>
      <c r="AN1938">
        <v>759950</v>
      </c>
      <c r="BC1938" s="22">
        <v>39506.422442129631</v>
      </c>
      <c r="BI1938" s="22">
        <v>39549.294907407406</v>
      </c>
      <c r="BL1938">
        <v>17199</v>
      </c>
      <c r="BM1938">
        <v>1515209</v>
      </c>
      <c r="BN1938" t="s">
        <v>2654</v>
      </c>
      <c r="BO1938" s="17">
        <f t="shared" ca="1" si="30"/>
        <v>42.886963888886385</v>
      </c>
      <c r="BP1938" t="b">
        <v>0</v>
      </c>
      <c r="BQ1938">
        <v>1</v>
      </c>
      <c r="BR1938" t="s">
        <v>1667</v>
      </c>
      <c r="BS1938" t="s">
        <v>2656</v>
      </c>
      <c r="BT1938" t="b">
        <v>0</v>
      </c>
      <c r="BV1938" t="s">
        <v>1668</v>
      </c>
      <c r="BW1938">
        <v>6529</v>
      </c>
      <c r="BX1938" t="s">
        <v>1712</v>
      </c>
      <c r="BY1938">
        <v>307027</v>
      </c>
      <c r="BZ1938" t="s">
        <v>1670</v>
      </c>
      <c r="CA1938">
        <v>1</v>
      </c>
      <c r="CB1938" t="b">
        <v>1</v>
      </c>
      <c r="CC1938">
        <v>0</v>
      </c>
      <c r="CD1938" t="b">
        <v>0</v>
      </c>
      <c r="CE1938" t="b">
        <v>0</v>
      </c>
      <c r="CF1938" t="b">
        <v>0</v>
      </c>
      <c r="CG1938">
        <v>2988375</v>
      </c>
      <c r="CH1938" t="s">
        <v>1681</v>
      </c>
      <c r="CI1938" s="10">
        <v>859950</v>
      </c>
      <c r="CJ1938" s="7">
        <v>38730</v>
      </c>
    </row>
    <row r="1939" spans="1:88">
      <c r="A1939">
        <v>28034637</v>
      </c>
      <c r="B1939" s="2" t="str">
        <f>HYPERLINK("http://www.redfin.com/stingray/do/printable-listing?listing-id=1523115","Active")</f>
        <v>Active</v>
      </c>
      <c r="D1939" t="s">
        <v>967</v>
      </c>
      <c r="E1939" t="s">
        <v>2186</v>
      </c>
      <c r="F1939">
        <v>347500</v>
      </c>
      <c r="G1939">
        <v>2004</v>
      </c>
      <c r="H1939">
        <v>1390</v>
      </c>
      <c r="I1939">
        <v>0</v>
      </c>
      <c r="J1939">
        <v>3</v>
      </c>
      <c r="K1939">
        <v>2.25</v>
      </c>
      <c r="M1939" s="2" t="str">
        <f>HYPERLINK("http://maps.live.com/default.aspx?v=2&amp;lvl=15&amp;sp=Point.47.721528_-122.296095_12756 30th Ave NE&amp;cp=47.721528~-122.296095","Map")</f>
        <v>Map</v>
      </c>
      <c r="N1939" s="2" t="str">
        <f>HYPERLINK("http://i-0.rfimg.us/photo/1/bigphoto/637/28034637_1.jpg","Photo")</f>
        <v>Photo</v>
      </c>
      <c r="AG1939">
        <v>47.721527999999999</v>
      </c>
      <c r="AH1939">
        <v>-122.29609499999999</v>
      </c>
      <c r="AI1939" t="s">
        <v>66</v>
      </c>
      <c r="AJ1939">
        <v>98125</v>
      </c>
      <c r="AN1939">
        <v>269500</v>
      </c>
      <c r="BC1939" s="22">
        <v>39508.713576388887</v>
      </c>
      <c r="BI1939" s="22">
        <v>39549.294907407406</v>
      </c>
      <c r="BL1939">
        <v>6950</v>
      </c>
      <c r="BM1939">
        <v>1523115</v>
      </c>
      <c r="BN1939" t="s">
        <v>2444</v>
      </c>
      <c r="BO1939" s="17">
        <f t="shared" ca="1" si="30"/>
        <v>40.595829513891658</v>
      </c>
      <c r="BP1939" t="b">
        <v>0</v>
      </c>
      <c r="BQ1939">
        <v>1</v>
      </c>
      <c r="BR1939" t="s">
        <v>1667</v>
      </c>
      <c r="BS1939" t="s">
        <v>1818</v>
      </c>
      <c r="BT1939" t="b">
        <v>0</v>
      </c>
      <c r="BV1939" t="s">
        <v>1668</v>
      </c>
      <c r="BW1939">
        <v>12756</v>
      </c>
      <c r="BX1939" t="s">
        <v>1738</v>
      </c>
      <c r="BY1939">
        <v>2073405</v>
      </c>
      <c r="BZ1939" t="s">
        <v>3047</v>
      </c>
      <c r="CA1939">
        <v>1</v>
      </c>
      <c r="CB1939" t="b">
        <v>1</v>
      </c>
      <c r="CC1939">
        <v>0</v>
      </c>
      <c r="CD1939" t="b">
        <v>0</v>
      </c>
      <c r="CE1939" t="b">
        <v>0</v>
      </c>
      <c r="CF1939" t="b">
        <v>0</v>
      </c>
      <c r="CG1939">
        <v>2588008</v>
      </c>
      <c r="CH1939" t="s">
        <v>1681</v>
      </c>
      <c r="CI1939" s="10">
        <v>347500</v>
      </c>
      <c r="CJ1939" s="7">
        <v>38377</v>
      </c>
    </row>
    <row r="1940" spans="1:88">
      <c r="A1940">
        <v>28034655</v>
      </c>
      <c r="B1940" s="2" t="str">
        <f>HYPERLINK("http://www.redfin.com/stingray/do/printable-listing?listing-id=1526043","Active")</f>
        <v>Active</v>
      </c>
      <c r="D1940" t="s">
        <v>1152</v>
      </c>
      <c r="E1940" t="s">
        <v>3219</v>
      </c>
      <c r="F1940" s="19">
        <v>1325000</v>
      </c>
      <c r="G1940">
        <v>1948</v>
      </c>
      <c r="H1940">
        <v>3700</v>
      </c>
      <c r="I1940">
        <v>7150</v>
      </c>
      <c r="J1940">
        <v>4</v>
      </c>
      <c r="K1940">
        <v>3</v>
      </c>
      <c r="M1940" s="2" t="str">
        <f>HYPERLINK("http://maps.live.com/default.aspx?v=2&amp;lvl=15&amp;sp=Point.47.673219_-122.273097_6039 51st Ave NE&amp;cp=47.673219~-122.273097","Map")</f>
        <v>Map</v>
      </c>
      <c r="N1940" s="2" t="str">
        <f>HYPERLINK("http://i-0.rfimg.us/photo/1/bigphoto/655/28034655_1.jpg","Photo")</f>
        <v>Photo</v>
      </c>
      <c r="AG1940">
        <v>47.673219000000003</v>
      </c>
      <c r="AH1940">
        <v>-122.27309700000001</v>
      </c>
      <c r="AI1940" t="s">
        <v>66</v>
      </c>
      <c r="AJ1940">
        <v>98115</v>
      </c>
      <c r="AN1940">
        <v>298750</v>
      </c>
      <c r="BC1940" s="22">
        <v>39510.599363425928</v>
      </c>
      <c r="BI1940" s="22">
        <v>39549.294907407406</v>
      </c>
      <c r="BL1940">
        <v>27500</v>
      </c>
      <c r="BM1940">
        <v>1526043</v>
      </c>
      <c r="BN1940" t="s">
        <v>1710</v>
      </c>
      <c r="BO1940" s="17">
        <f t="shared" ca="1" si="30"/>
        <v>38.710042476850504</v>
      </c>
      <c r="BP1940" t="b">
        <v>0</v>
      </c>
      <c r="BQ1940">
        <v>1</v>
      </c>
      <c r="BR1940" t="s">
        <v>1667</v>
      </c>
      <c r="BS1940" t="s">
        <v>2469</v>
      </c>
      <c r="BT1940" t="b">
        <v>0</v>
      </c>
      <c r="BV1940" t="s">
        <v>1668</v>
      </c>
      <c r="BW1940">
        <v>6039</v>
      </c>
      <c r="BX1940" t="s">
        <v>1738</v>
      </c>
      <c r="BY1940">
        <v>320504</v>
      </c>
      <c r="BZ1940" t="s">
        <v>1836</v>
      </c>
      <c r="CA1940">
        <v>1</v>
      </c>
      <c r="CB1940" t="b">
        <v>1</v>
      </c>
      <c r="CC1940">
        <v>0</v>
      </c>
      <c r="CD1940" t="b">
        <v>0</v>
      </c>
      <c r="CE1940" t="b">
        <v>0</v>
      </c>
      <c r="CF1940" t="b">
        <v>0</v>
      </c>
      <c r="CG1940">
        <v>2802637</v>
      </c>
      <c r="CH1940" t="s">
        <v>1681</v>
      </c>
      <c r="CI1940" s="10">
        <v>1375000</v>
      </c>
      <c r="CJ1940" s="7">
        <v>34040</v>
      </c>
    </row>
    <row r="1941" spans="1:88">
      <c r="A1941">
        <v>28034656</v>
      </c>
      <c r="B1941" s="2" t="str">
        <f>HYPERLINK("http://www.redfin.com/stingray/do/printable-listing?listing-id=1515193","Active")</f>
        <v>Active</v>
      </c>
      <c r="D1941" t="s">
        <v>42</v>
      </c>
      <c r="E1941" t="s">
        <v>1545</v>
      </c>
      <c r="F1941">
        <v>360000</v>
      </c>
      <c r="G1941">
        <v>1949</v>
      </c>
      <c r="H1941">
        <v>1150</v>
      </c>
      <c r="I1941">
        <v>6000</v>
      </c>
      <c r="J1941">
        <v>3</v>
      </c>
      <c r="K1941">
        <v>1</v>
      </c>
      <c r="M1941" s="2" t="str">
        <f>HYPERLINK("http://maps.live.com/default.aspx?v=2&amp;lvl=15&amp;sp=Point.47.713872_-122.331661_2155 N 117th St&amp;cp=47.713872~-122.331661","Map")</f>
        <v>Map</v>
      </c>
      <c r="N1941" s="2" t="str">
        <f>HYPERLINK("http://i-0.rfimg.us/photo/1/bigphoto/656/28034656_0.jpg","Photo")</f>
        <v>Photo</v>
      </c>
      <c r="AG1941">
        <v>47.713872000000002</v>
      </c>
      <c r="AH1941">
        <v>-122.331661</v>
      </c>
      <c r="AI1941" t="s">
        <v>66</v>
      </c>
      <c r="AJ1941">
        <v>98133</v>
      </c>
      <c r="AN1941">
        <v>235000</v>
      </c>
      <c r="BC1941" s="22">
        <v>39506.422199074077</v>
      </c>
      <c r="BI1941" s="22">
        <v>39549.294907407406</v>
      </c>
      <c r="BL1941">
        <v>7200</v>
      </c>
      <c r="BM1941">
        <v>1515193</v>
      </c>
      <c r="BN1941" t="s">
        <v>1737</v>
      </c>
      <c r="BO1941" s="17">
        <f t="shared" ca="1" si="30"/>
        <v>42.887206828701892</v>
      </c>
      <c r="BP1941" t="b">
        <v>0</v>
      </c>
      <c r="BQ1941">
        <v>1</v>
      </c>
      <c r="BR1941" t="s">
        <v>1686</v>
      </c>
      <c r="BS1941" t="s">
        <v>2743</v>
      </c>
      <c r="BT1941" t="b">
        <v>0</v>
      </c>
      <c r="BU1941" t="s">
        <v>1712</v>
      </c>
      <c r="BV1941" t="s">
        <v>1668</v>
      </c>
      <c r="BW1941">
        <v>2155</v>
      </c>
      <c r="BY1941">
        <v>103358</v>
      </c>
      <c r="BZ1941" t="s">
        <v>1701</v>
      </c>
      <c r="CA1941">
        <v>1</v>
      </c>
      <c r="CB1941" t="b">
        <v>1</v>
      </c>
      <c r="CC1941">
        <v>0</v>
      </c>
      <c r="CD1941" t="b">
        <v>0</v>
      </c>
      <c r="CE1941" t="b">
        <v>0</v>
      </c>
      <c r="CF1941" t="b">
        <v>0</v>
      </c>
      <c r="CG1941">
        <v>2452400</v>
      </c>
      <c r="CH1941" t="s">
        <v>1681</v>
      </c>
      <c r="CI1941" s="10">
        <v>360000</v>
      </c>
      <c r="CJ1941" s="7">
        <v>37855</v>
      </c>
    </row>
    <row r="1942" spans="1:88">
      <c r="A1942">
        <v>28034660</v>
      </c>
      <c r="B1942" s="2" t="str">
        <f>HYPERLINK("http://www.redfin.com/stingray/do/printable-listing?listing-id=1522056","Active")</f>
        <v>Active</v>
      </c>
      <c r="D1942" t="s">
        <v>3924</v>
      </c>
      <c r="E1942" t="s">
        <v>4171</v>
      </c>
      <c r="F1942" s="19">
        <v>424950</v>
      </c>
      <c r="G1942">
        <v>2006</v>
      </c>
      <c r="H1942">
        <v>1372</v>
      </c>
      <c r="I1942">
        <v>0</v>
      </c>
      <c r="J1942">
        <v>2</v>
      </c>
      <c r="K1942">
        <v>2.25</v>
      </c>
      <c r="M1942" s="2" t="str">
        <f>HYPERLINK("http://maps.live.com/default.aspx?v=2&amp;lvl=15&amp;sp=Point.47.618169_-122.302351_1816 23rd Ave&amp;cp=47.618169~-122.302351","Map")</f>
        <v>Map</v>
      </c>
      <c r="N1942" s="2" t="str">
        <f>HYPERLINK("http://i-0.rfimg.us/photo/1/bigphoto/660/28034660_0.jpg","Photo")</f>
        <v>Photo</v>
      </c>
      <c r="AG1942">
        <v>47.618169000000002</v>
      </c>
      <c r="AH1942">
        <v>-122.302351</v>
      </c>
      <c r="AI1942" t="s">
        <v>66</v>
      </c>
      <c r="AJ1942">
        <v>98122</v>
      </c>
      <c r="BC1942" s="22">
        <v>39508.32712962963</v>
      </c>
      <c r="BI1942" s="22">
        <v>39549.294907407406</v>
      </c>
      <c r="BL1942">
        <v>8599</v>
      </c>
      <c r="BM1942">
        <v>1522056</v>
      </c>
      <c r="BN1942" t="s">
        <v>1746</v>
      </c>
      <c r="BO1942" s="17">
        <f t="shared" ca="1" si="30"/>
        <v>40.982276273149182</v>
      </c>
      <c r="BP1942" t="b">
        <v>0</v>
      </c>
      <c r="BQ1942">
        <v>1</v>
      </c>
      <c r="BR1942" t="s">
        <v>1667</v>
      </c>
      <c r="BS1942" t="s">
        <v>1839</v>
      </c>
      <c r="BT1942" t="b">
        <v>0</v>
      </c>
      <c r="BV1942" t="s">
        <v>1668</v>
      </c>
      <c r="BW1942">
        <v>1816</v>
      </c>
      <c r="BY1942">
        <v>12421596</v>
      </c>
      <c r="BZ1942" t="s">
        <v>1741</v>
      </c>
      <c r="CA1942">
        <v>1</v>
      </c>
      <c r="CB1942" t="b">
        <v>1</v>
      </c>
      <c r="CC1942">
        <v>0</v>
      </c>
      <c r="CD1942" t="b">
        <v>0</v>
      </c>
      <c r="CE1942" t="b">
        <v>0</v>
      </c>
      <c r="CF1942" t="b">
        <v>0</v>
      </c>
      <c r="CG1942">
        <v>15625344</v>
      </c>
      <c r="CH1942" t="s">
        <v>1681</v>
      </c>
      <c r="CI1942" s="10">
        <v>429950</v>
      </c>
    </row>
    <row r="1943" spans="1:88">
      <c r="A1943">
        <v>28034678</v>
      </c>
      <c r="B1943" s="2" t="str">
        <f>HYPERLINK("http://www.redfin.com/stingray/do/printable-listing?listing-id=1515197","Active")</f>
        <v>Active</v>
      </c>
      <c r="D1943" t="s">
        <v>66</v>
      </c>
      <c r="E1943" t="s">
        <v>3789</v>
      </c>
      <c r="F1943">
        <v>549950</v>
      </c>
      <c r="G1943">
        <v>1925</v>
      </c>
      <c r="H1943">
        <v>1860</v>
      </c>
      <c r="I1943">
        <v>2500</v>
      </c>
      <c r="J1943">
        <v>3</v>
      </c>
      <c r="K1943">
        <v>1.5</v>
      </c>
      <c r="M1943" s="2" t="str">
        <f>HYPERLINK("http://maps.live.com/default.aspx?v=2&amp;lvl=15&amp;sp=Point.47.659312_-122.320614_703 NE 43rd St&amp;cp=47.659312~-122.320614","Map")</f>
        <v>Map</v>
      </c>
      <c r="N1943" s="2" t="str">
        <f>HYPERLINK("http://i-0.rfimg.us/photo/1/bigphoto/678/28034678_0.jpg","Photo")</f>
        <v>Photo</v>
      </c>
      <c r="AG1943">
        <v>47.659312</v>
      </c>
      <c r="AH1943">
        <v>-122.32061400000001</v>
      </c>
      <c r="AI1943" t="s">
        <v>66</v>
      </c>
      <c r="AJ1943">
        <v>98105</v>
      </c>
      <c r="BC1943" s="22">
        <v>39506.422233796293</v>
      </c>
      <c r="BI1943" s="22">
        <v>39549.294907407406</v>
      </c>
      <c r="BL1943">
        <v>10999</v>
      </c>
      <c r="BM1943">
        <v>1515197</v>
      </c>
      <c r="BN1943" t="s">
        <v>1766</v>
      </c>
      <c r="BO1943" s="17">
        <f t="shared" ca="1" si="30"/>
        <v>42.887172106486105</v>
      </c>
      <c r="BP1943" t="b">
        <v>0</v>
      </c>
      <c r="BQ1943">
        <v>1</v>
      </c>
      <c r="BR1943" t="s">
        <v>1686</v>
      </c>
      <c r="BS1943" t="s">
        <v>3134</v>
      </c>
      <c r="BT1943" t="b">
        <v>0</v>
      </c>
      <c r="BU1943" t="s">
        <v>1738</v>
      </c>
      <c r="BV1943" t="s">
        <v>1668</v>
      </c>
      <c r="BW1943">
        <v>703</v>
      </c>
      <c r="BY1943">
        <v>312084</v>
      </c>
      <c r="BZ1943" t="s">
        <v>1745</v>
      </c>
      <c r="CA1943">
        <v>1</v>
      </c>
      <c r="CB1943" t="b">
        <v>1</v>
      </c>
      <c r="CC1943">
        <v>0</v>
      </c>
      <c r="CD1943" t="b">
        <v>0</v>
      </c>
      <c r="CE1943" t="b">
        <v>0</v>
      </c>
      <c r="CF1943" t="b">
        <v>0</v>
      </c>
      <c r="CG1943">
        <v>2477960</v>
      </c>
      <c r="CH1943" t="s">
        <v>1681</v>
      </c>
      <c r="CI1943" s="10">
        <v>549950</v>
      </c>
    </row>
    <row r="1944" spans="1:88">
      <c r="A1944">
        <v>28034689</v>
      </c>
      <c r="B1944" s="2" t="str">
        <f>HYPERLINK("http://www.redfin.com/stingray/do/printable-listing?listing-id=1515280","Active")</f>
        <v>Active</v>
      </c>
      <c r="D1944" t="s">
        <v>63</v>
      </c>
      <c r="E1944" t="s">
        <v>2546</v>
      </c>
      <c r="F1944">
        <v>479950</v>
      </c>
      <c r="G1944">
        <v>2007</v>
      </c>
      <c r="H1944">
        <v>2219</v>
      </c>
      <c r="I1944">
        <v>0</v>
      </c>
      <c r="J1944">
        <v>3</v>
      </c>
      <c r="K1944">
        <v>2.5</v>
      </c>
      <c r="M1944" s="2" t="str">
        <f>HYPERLINK("http://maps.live.com/default.aspx?v=2&amp;lvl=15&amp;sp=Point.47.666693_-122.381204_5233 Russell Ave NW&amp;cp=47.666693~-122.381204","Map")</f>
        <v>Map</v>
      </c>
      <c r="N1944" s="2" t="str">
        <f>HYPERLINK("http://i-0.rfimg.us/photo/1/bigphoto/689/28034689_0.jpg","Photo")</f>
        <v>Photo</v>
      </c>
      <c r="AG1944">
        <v>47.666693000000002</v>
      </c>
      <c r="AH1944">
        <v>-122.381204</v>
      </c>
      <c r="AI1944" t="s">
        <v>66</v>
      </c>
      <c r="AJ1944">
        <v>98107</v>
      </c>
      <c r="AN1944">
        <v>499950</v>
      </c>
      <c r="BC1944" s="22">
        <v>39506.432708333334</v>
      </c>
      <c r="BI1944" s="22">
        <v>39549.294907407406</v>
      </c>
      <c r="BL1944">
        <v>9599</v>
      </c>
      <c r="BM1944">
        <v>1515280</v>
      </c>
      <c r="BN1944" t="s">
        <v>1725</v>
      </c>
      <c r="BO1944" s="17">
        <f t="shared" ca="1" si="30"/>
        <v>42.876697569445241</v>
      </c>
      <c r="BP1944" t="b">
        <v>0</v>
      </c>
      <c r="BQ1944">
        <v>1</v>
      </c>
      <c r="BR1944" t="s">
        <v>1667</v>
      </c>
      <c r="BS1944" t="s">
        <v>2547</v>
      </c>
      <c r="BT1944" t="b">
        <v>0</v>
      </c>
      <c r="BV1944" t="s">
        <v>1668</v>
      </c>
      <c r="BW1944">
        <v>5233</v>
      </c>
      <c r="BX1944" t="s">
        <v>1669</v>
      </c>
      <c r="BY1944">
        <v>493397</v>
      </c>
      <c r="BZ1944" t="s">
        <v>1701</v>
      </c>
      <c r="CA1944">
        <v>1</v>
      </c>
      <c r="CB1944" t="b">
        <v>1</v>
      </c>
      <c r="CC1944">
        <v>0</v>
      </c>
      <c r="CD1944" t="b">
        <v>0</v>
      </c>
      <c r="CE1944" t="b">
        <v>0</v>
      </c>
      <c r="CF1944" t="b">
        <v>0</v>
      </c>
      <c r="CG1944">
        <v>2822454</v>
      </c>
      <c r="CH1944" t="s">
        <v>1681</v>
      </c>
      <c r="CI1944" s="10">
        <v>479950</v>
      </c>
      <c r="CJ1944" s="7">
        <v>38686</v>
      </c>
    </row>
    <row r="1945" spans="1:88">
      <c r="A1945">
        <v>28034715</v>
      </c>
      <c r="B1945" s="2" t="str">
        <f>HYPERLINK("http://www.redfin.com/stingray/do/printable-listing?listing-id=1525399","Active")</f>
        <v>Active</v>
      </c>
      <c r="D1945" t="s">
        <v>1058</v>
      </c>
      <c r="E1945" t="s">
        <v>4549</v>
      </c>
      <c r="F1945">
        <v>668888</v>
      </c>
      <c r="G1945">
        <v>1994</v>
      </c>
      <c r="H1945">
        <v>1800</v>
      </c>
      <c r="I1945">
        <v>4526</v>
      </c>
      <c r="J1945">
        <v>3</v>
      </c>
      <c r="K1945">
        <v>2</v>
      </c>
      <c r="M1945" s="2" t="str">
        <f>HYPERLINK("http://maps.live.com/default.aspx?v=2&amp;lvl=15&amp;sp=Point.47.694692_-122.189436_11229 NE 106th Pl&amp;cp=47.694692~-122.189436","Map")</f>
        <v>Map</v>
      </c>
      <c r="N1945" s="2" t="str">
        <f>HYPERLINK("http://i-0.rfimg.us/photo/1/bigphoto/715/28034715_0.jpg","Photo")</f>
        <v>Photo</v>
      </c>
      <c r="AG1945">
        <v>47.694692000000003</v>
      </c>
      <c r="AH1945">
        <v>-122.189436</v>
      </c>
      <c r="AI1945" t="s">
        <v>1058</v>
      </c>
      <c r="AJ1945">
        <v>98033</v>
      </c>
      <c r="AN1945">
        <v>224500</v>
      </c>
      <c r="BC1945" s="22">
        <v>39510.464328703703</v>
      </c>
      <c r="BI1945" s="22">
        <v>39549.294907407406</v>
      </c>
      <c r="BL1945">
        <v>13378</v>
      </c>
      <c r="BM1945">
        <v>1525399</v>
      </c>
      <c r="BN1945" t="s">
        <v>1768</v>
      </c>
      <c r="BO1945" s="17">
        <f t="shared" ca="1" si="30"/>
        <v>38.845077199075604</v>
      </c>
      <c r="BP1945" t="b">
        <v>0</v>
      </c>
      <c r="BQ1945">
        <v>1</v>
      </c>
      <c r="BR1945" t="s">
        <v>1842</v>
      </c>
      <c r="BS1945" t="s">
        <v>2936</v>
      </c>
      <c r="BT1945" t="b">
        <v>0</v>
      </c>
      <c r="BU1945" t="s">
        <v>1738</v>
      </c>
      <c r="BV1945" t="s">
        <v>1668</v>
      </c>
      <c r="BW1945">
        <v>11229</v>
      </c>
      <c r="BY1945">
        <v>464549</v>
      </c>
      <c r="BZ1945" t="s">
        <v>1745</v>
      </c>
      <c r="CA1945">
        <v>1</v>
      </c>
      <c r="CB1945" t="b">
        <v>1</v>
      </c>
      <c r="CC1945">
        <v>0</v>
      </c>
      <c r="CD1945" t="b">
        <v>0</v>
      </c>
      <c r="CE1945" t="b">
        <v>0</v>
      </c>
      <c r="CF1945" t="b">
        <v>0</v>
      </c>
      <c r="CG1945">
        <v>2755640</v>
      </c>
      <c r="CH1945" t="s">
        <v>1681</v>
      </c>
      <c r="CI1945" s="10">
        <v>668888</v>
      </c>
      <c r="CJ1945" s="7">
        <v>34492</v>
      </c>
    </row>
    <row r="1946" spans="1:88">
      <c r="A1946">
        <v>28034717</v>
      </c>
      <c r="B1946" s="2" t="str">
        <f>HYPERLINK("http://www.redfin.com/stingray/do/printable-listing?listing-id=1515311","Active")</f>
        <v>Active</v>
      </c>
      <c r="D1946" t="s">
        <v>3961</v>
      </c>
      <c r="E1946" t="s">
        <v>4284</v>
      </c>
      <c r="F1946" s="19">
        <v>650000</v>
      </c>
      <c r="G1946">
        <v>1907</v>
      </c>
      <c r="H1946">
        <v>2127</v>
      </c>
      <c r="I1946">
        <v>3049</v>
      </c>
      <c r="J1946">
        <v>3</v>
      </c>
      <c r="K1946">
        <v>3</v>
      </c>
      <c r="M1946" s="2" t="str">
        <f>HYPERLINK("http://maps.live.com/default.aspx?v=2&amp;lvl=15&amp;sp=Point.47.604206_-122.28885_277 Lake Dell Ave&amp;cp=47.604206~-122.28885","Map")</f>
        <v>Map</v>
      </c>
      <c r="N1946" s="2" t="str">
        <f>HYPERLINK("http://i-0.rfimg.us/photo/1/bigphoto/717/28034717_1.jpg","Photo")</f>
        <v>Photo</v>
      </c>
      <c r="AG1946">
        <v>47.604205999999998</v>
      </c>
      <c r="AH1946">
        <v>-122.28885</v>
      </c>
      <c r="AI1946" t="s">
        <v>66</v>
      </c>
      <c r="AJ1946">
        <v>98122</v>
      </c>
      <c r="AN1946">
        <v>545000</v>
      </c>
      <c r="BC1946" s="22">
        <v>39506.443530092591</v>
      </c>
      <c r="BI1946" s="22">
        <v>39549.294907407406</v>
      </c>
      <c r="BL1946">
        <v>13698</v>
      </c>
      <c r="BM1946">
        <v>1515311</v>
      </c>
      <c r="BN1946" t="s">
        <v>1768</v>
      </c>
      <c r="BO1946" s="17">
        <f t="shared" ca="1" si="30"/>
        <v>42.8658758101883</v>
      </c>
      <c r="BP1946" t="b">
        <v>0</v>
      </c>
      <c r="BQ1946">
        <v>1</v>
      </c>
      <c r="BR1946" t="s">
        <v>1667</v>
      </c>
      <c r="BS1946" t="s">
        <v>4285</v>
      </c>
      <c r="BT1946" t="b">
        <v>0</v>
      </c>
      <c r="BV1946" t="s">
        <v>1668</v>
      </c>
      <c r="BW1946">
        <v>277</v>
      </c>
      <c r="BY1946">
        <v>141144</v>
      </c>
      <c r="BZ1946" t="s">
        <v>4286</v>
      </c>
      <c r="CA1946">
        <v>1</v>
      </c>
      <c r="CB1946" t="b">
        <v>1</v>
      </c>
      <c r="CC1946">
        <v>0</v>
      </c>
      <c r="CD1946" t="b">
        <v>0</v>
      </c>
      <c r="CE1946" t="b">
        <v>0</v>
      </c>
      <c r="CF1946" t="b">
        <v>0</v>
      </c>
      <c r="CG1946">
        <v>2919823</v>
      </c>
      <c r="CH1946" t="s">
        <v>1681</v>
      </c>
      <c r="CI1946" s="10">
        <v>684900</v>
      </c>
      <c r="CJ1946" s="7">
        <v>39195</v>
      </c>
    </row>
    <row r="1947" spans="1:88">
      <c r="A1947">
        <v>28034721</v>
      </c>
      <c r="B1947" s="2" t="str">
        <f>HYPERLINK("http://www.redfin.com/stingray/do/printable-listing?listing-id=1516069","Active")</f>
        <v>Active</v>
      </c>
      <c r="D1947" t="s">
        <v>60</v>
      </c>
      <c r="E1947" t="s">
        <v>2619</v>
      </c>
      <c r="F1947" s="19">
        <v>669950</v>
      </c>
      <c r="G1947">
        <v>1927</v>
      </c>
      <c r="H1947">
        <v>0</v>
      </c>
      <c r="I1947">
        <v>3920</v>
      </c>
      <c r="J1947">
        <v>4</v>
      </c>
      <c r="K1947">
        <v>1.75</v>
      </c>
      <c r="M1947" s="2" t="str">
        <f>HYPERLINK("http://maps.live.com/default.aspx?v=2&amp;lvl=15&amp;sp=Point.47.683828_-122.342942_1131 N 76th St&amp;cp=47.683828~-122.342942","Map")</f>
        <v>Map</v>
      </c>
      <c r="N1947" s="2" t="str">
        <f>HYPERLINK("http://i-0.rfimg.us/photo/1/bigphoto/721/28034721_1.jpg","Photo")</f>
        <v>Photo</v>
      </c>
      <c r="AG1947">
        <v>47.683827999999998</v>
      </c>
      <c r="AH1947">
        <v>-122.34294199999999</v>
      </c>
      <c r="AI1947" t="s">
        <v>66</v>
      </c>
      <c r="AJ1947">
        <v>98103</v>
      </c>
      <c r="AN1947">
        <v>449950</v>
      </c>
      <c r="BC1947" s="22">
        <v>39506.631874999999</v>
      </c>
      <c r="BI1947" s="22">
        <v>39549.294907407406</v>
      </c>
      <c r="BL1947">
        <v>13700</v>
      </c>
      <c r="BM1947">
        <v>1516069</v>
      </c>
      <c r="BN1947" t="s">
        <v>1783</v>
      </c>
      <c r="BO1947" s="17">
        <f t="shared" ca="1" si="30"/>
        <v>42.677531018518494</v>
      </c>
      <c r="BP1947" t="b">
        <v>0</v>
      </c>
      <c r="BQ1947">
        <v>1</v>
      </c>
      <c r="BR1947" t="s">
        <v>1686</v>
      </c>
      <c r="BS1947" t="s">
        <v>2057</v>
      </c>
      <c r="BT1947" t="b">
        <v>0</v>
      </c>
      <c r="BU1947" t="s">
        <v>1712</v>
      </c>
      <c r="BV1947" t="s">
        <v>1668</v>
      </c>
      <c r="BW1947">
        <v>1131</v>
      </c>
      <c r="BY1947">
        <v>307295</v>
      </c>
      <c r="BZ1947" t="s">
        <v>2152</v>
      </c>
      <c r="CA1947">
        <v>1</v>
      </c>
      <c r="CB1947" t="b">
        <v>1</v>
      </c>
      <c r="CC1947">
        <v>0</v>
      </c>
      <c r="CD1947" t="b">
        <v>0</v>
      </c>
      <c r="CE1947" t="b">
        <v>0</v>
      </c>
      <c r="CF1947" t="b">
        <v>0</v>
      </c>
      <c r="CG1947">
        <v>2553116</v>
      </c>
      <c r="CH1947" t="s">
        <v>1681</v>
      </c>
      <c r="CI1947" s="10">
        <v>685000</v>
      </c>
      <c r="CJ1947" s="7">
        <v>38177</v>
      </c>
    </row>
    <row r="1948" spans="1:88">
      <c r="A1948">
        <v>28034805</v>
      </c>
      <c r="B1948" s="2" t="str">
        <f>HYPERLINK("http://www.redfin.com/stingray/do/printable-listing?listing-id=1515471","Active")</f>
        <v>Active</v>
      </c>
      <c r="D1948" t="s">
        <v>3966</v>
      </c>
      <c r="E1948" t="s">
        <v>4280</v>
      </c>
      <c r="F1948">
        <v>629000</v>
      </c>
      <c r="G1948">
        <v>1956</v>
      </c>
      <c r="H1948">
        <v>2080</v>
      </c>
      <c r="I1948">
        <v>6600</v>
      </c>
      <c r="J1948">
        <v>3</v>
      </c>
      <c r="K1948">
        <v>2.75</v>
      </c>
      <c r="M1948" s="2" t="str">
        <f>HYPERLINK("http://maps.live.com/default.aspx?v=2&amp;lvl=15&amp;sp=Point.47.616831_-122.294469_1710 29th Ave&amp;cp=47.616831~-122.294469","Map")</f>
        <v>Map</v>
      </c>
      <c r="N1948" s="2" t="str">
        <f>HYPERLINK("http://i-0.rfimg.us/photo/1/bigphoto/805/28034805_0.jpg","Photo")</f>
        <v>Photo</v>
      </c>
      <c r="AG1948">
        <v>47.616830999999998</v>
      </c>
      <c r="AH1948">
        <v>-122.29446900000001</v>
      </c>
      <c r="AI1948" t="s">
        <v>66</v>
      </c>
      <c r="AJ1948">
        <v>98122</v>
      </c>
      <c r="BC1948" s="22">
        <v>39506.495451388888</v>
      </c>
      <c r="BI1948" s="22">
        <v>39549.294907407406</v>
      </c>
      <c r="BL1948">
        <v>12580</v>
      </c>
      <c r="BM1948">
        <v>1515471</v>
      </c>
      <c r="BN1948" t="s">
        <v>2556</v>
      </c>
      <c r="BO1948" s="17">
        <f t="shared" ca="1" si="30"/>
        <v>42.813954513891076</v>
      </c>
      <c r="BP1948" t="b">
        <v>0</v>
      </c>
      <c r="BQ1948">
        <v>1</v>
      </c>
      <c r="BR1948" t="s">
        <v>1667</v>
      </c>
      <c r="BS1948" t="s">
        <v>1772</v>
      </c>
      <c r="BT1948" t="b">
        <v>0</v>
      </c>
      <c r="BV1948" t="s">
        <v>1668</v>
      </c>
      <c r="BW1948">
        <v>1710</v>
      </c>
      <c r="BY1948">
        <v>147321</v>
      </c>
      <c r="BZ1948" t="s">
        <v>1701</v>
      </c>
      <c r="CA1948">
        <v>1</v>
      </c>
      <c r="CB1948" t="b">
        <v>1</v>
      </c>
      <c r="CC1948">
        <v>0</v>
      </c>
      <c r="CD1948" t="b">
        <v>0</v>
      </c>
      <c r="CE1948" t="b">
        <v>0</v>
      </c>
      <c r="CF1948" t="b">
        <v>0</v>
      </c>
      <c r="CG1948">
        <v>2485282</v>
      </c>
      <c r="CH1948" t="s">
        <v>1681</v>
      </c>
      <c r="CI1948" s="10">
        <v>629000</v>
      </c>
    </row>
    <row r="1949" spans="1:88">
      <c r="A1949">
        <v>28034823</v>
      </c>
      <c r="B1949" s="2" t="str">
        <f>HYPERLINK("http://www.redfin.com/stingray/do/printable-listing?listing-id=1515838","Active")</f>
        <v>Active</v>
      </c>
      <c r="D1949" t="s">
        <v>5291</v>
      </c>
      <c r="E1949" t="s">
        <v>5959</v>
      </c>
      <c r="F1949" s="19">
        <v>875000</v>
      </c>
      <c r="G1949">
        <v>1978</v>
      </c>
      <c r="H1949">
        <v>3130</v>
      </c>
      <c r="I1949">
        <v>65776</v>
      </c>
      <c r="J1949">
        <v>3</v>
      </c>
      <c r="K1949">
        <v>3.75</v>
      </c>
      <c r="M1949" s="2" t="str">
        <f>HYPERLINK("http://maps.live.com/default.aspx?v=2&amp;lvl=15&amp;sp=Point.47.546267_-122.084989_19119 SE 62nd Pl&amp;cp=47.546267~-122.084989","Map")</f>
        <v>Map</v>
      </c>
      <c r="N1949" s="2" t="str">
        <f>HYPERLINK("http://i-0.rfimg.us/photo/1/bigphoto/823/28034823_1.jpg","Photo")</f>
        <v>Photo</v>
      </c>
      <c r="AG1949">
        <v>47.546267</v>
      </c>
      <c r="AH1949">
        <v>-122.08498899999999</v>
      </c>
      <c r="AI1949" t="s">
        <v>5280</v>
      </c>
      <c r="AJ1949">
        <v>98027</v>
      </c>
      <c r="AN1949">
        <v>527000</v>
      </c>
      <c r="BC1949" s="22">
        <v>39506.568738425929</v>
      </c>
      <c r="BI1949" s="22">
        <v>39549.294907407406</v>
      </c>
      <c r="BL1949">
        <v>18500</v>
      </c>
      <c r="BM1949">
        <v>1515838</v>
      </c>
      <c r="BN1949" t="s">
        <v>1768</v>
      </c>
      <c r="BO1949" s="17">
        <f t="shared" ca="1" si="30"/>
        <v>42.740667476849922</v>
      </c>
      <c r="BP1949" t="b">
        <v>0</v>
      </c>
      <c r="BQ1949">
        <v>1</v>
      </c>
      <c r="BR1949" t="s">
        <v>1842</v>
      </c>
      <c r="BS1949" t="s">
        <v>2565</v>
      </c>
      <c r="BT1949" t="b">
        <v>0</v>
      </c>
      <c r="BU1949" t="s">
        <v>3856</v>
      </c>
      <c r="BV1949" t="s">
        <v>1668</v>
      </c>
      <c r="BW1949">
        <v>19119</v>
      </c>
      <c r="BY1949">
        <v>419241</v>
      </c>
      <c r="BZ1949" t="s">
        <v>5960</v>
      </c>
      <c r="CA1949">
        <v>1</v>
      </c>
      <c r="CB1949" t="b">
        <v>1</v>
      </c>
      <c r="CC1949">
        <v>0</v>
      </c>
      <c r="CD1949" t="b">
        <v>0</v>
      </c>
      <c r="CE1949" t="b">
        <v>0</v>
      </c>
      <c r="CF1949" t="b">
        <v>0</v>
      </c>
      <c r="CG1949">
        <v>2366766</v>
      </c>
      <c r="CH1949" t="s">
        <v>1681</v>
      </c>
      <c r="CI1949" s="10">
        <v>925000</v>
      </c>
      <c r="CJ1949" s="7">
        <v>37435</v>
      </c>
    </row>
    <row r="1950" spans="1:88">
      <c r="A1950">
        <v>28034824</v>
      </c>
      <c r="B1950" s="2" t="str">
        <f>HYPERLINK("http://www.redfin.com/stingray/do/printable-listing?listing-id=1515468","Active")</f>
        <v>Active</v>
      </c>
      <c r="D1950" t="s">
        <v>5280</v>
      </c>
      <c r="E1950" t="s">
        <v>5861</v>
      </c>
      <c r="F1950">
        <v>649950</v>
      </c>
      <c r="G1950">
        <v>2007</v>
      </c>
      <c r="H1950">
        <v>1943</v>
      </c>
      <c r="I1950">
        <v>0</v>
      </c>
      <c r="J1950">
        <v>3</v>
      </c>
      <c r="K1950">
        <v>2.5</v>
      </c>
      <c r="M1950" s="2" t="str">
        <f>HYPERLINK("http://maps.live.com/default.aspx?v=2&amp;lvl=15&amp;sp=Point.47.564244_-122.093372_4546 W Lake Sammamish Pkwy&amp;cp=47.564244~-122.093372","Map")</f>
        <v>Map</v>
      </c>
      <c r="N1950" s="2" t="str">
        <f>HYPERLINK("http://i-0.rfimg.us/photo/1/bigphoto/824/28034824_0.jpg","Photo")</f>
        <v>Photo</v>
      </c>
      <c r="AG1950">
        <v>47.564244000000002</v>
      </c>
      <c r="AH1950">
        <v>-122.093372</v>
      </c>
      <c r="AI1950" t="s">
        <v>5280</v>
      </c>
      <c r="AJ1950">
        <v>98027</v>
      </c>
      <c r="AN1950">
        <v>1095000</v>
      </c>
      <c r="BC1950" s="22">
        <v>39506.495416666665</v>
      </c>
      <c r="BI1950" s="22">
        <v>39549.294907407406</v>
      </c>
      <c r="BL1950">
        <v>12999</v>
      </c>
      <c r="BM1950">
        <v>1515468</v>
      </c>
      <c r="BN1950" t="s">
        <v>1674</v>
      </c>
      <c r="BO1950" s="17">
        <f t="shared" ca="1" si="30"/>
        <v>42.813989236114139</v>
      </c>
      <c r="BP1950" t="b">
        <v>0</v>
      </c>
      <c r="BQ1950">
        <v>1</v>
      </c>
      <c r="BR1950" t="s">
        <v>5197</v>
      </c>
      <c r="BS1950" t="s">
        <v>5261</v>
      </c>
      <c r="BT1950" t="b">
        <v>0</v>
      </c>
      <c r="BU1950" t="s">
        <v>2423</v>
      </c>
      <c r="BV1950" t="s">
        <v>1668</v>
      </c>
      <c r="BW1950">
        <v>4546</v>
      </c>
      <c r="BY1950">
        <v>327059</v>
      </c>
      <c r="BZ1950" t="s">
        <v>1672</v>
      </c>
      <c r="CA1950">
        <v>1</v>
      </c>
      <c r="CB1950" t="b">
        <v>1</v>
      </c>
      <c r="CC1950">
        <v>0</v>
      </c>
      <c r="CD1950" t="b">
        <v>0</v>
      </c>
      <c r="CE1950" t="b">
        <v>0</v>
      </c>
      <c r="CF1950" t="b">
        <v>0</v>
      </c>
      <c r="CG1950">
        <v>2942204</v>
      </c>
      <c r="CH1950" t="s">
        <v>1681</v>
      </c>
      <c r="CI1950" s="10">
        <v>649950</v>
      </c>
      <c r="CJ1950" s="7">
        <v>38384</v>
      </c>
    </row>
    <row r="1951" spans="1:88">
      <c r="A1951">
        <v>28034853</v>
      </c>
      <c r="B1951" s="2" t="str">
        <f>HYPERLINK("http://www.redfin.com/stingray/do/printable-listing?listing-id=1515512","Active")</f>
        <v>Active</v>
      </c>
      <c r="D1951" t="s">
        <v>5280</v>
      </c>
      <c r="E1951" t="s">
        <v>5572</v>
      </c>
      <c r="F1951">
        <v>579950</v>
      </c>
      <c r="G1951">
        <v>2008</v>
      </c>
      <c r="H1951">
        <v>1936</v>
      </c>
      <c r="I1951">
        <v>0</v>
      </c>
      <c r="J1951">
        <v>3</v>
      </c>
      <c r="K1951">
        <v>2.5</v>
      </c>
      <c r="M1951" s="2" t="str">
        <f>HYPERLINK("http://maps.live.com/default.aspx?v=2&amp;lvl=15&amp;sp=adr.4540 185th St SE (Unable to map),98027","Map")</f>
        <v>Map</v>
      </c>
      <c r="N1951" s="2" t="str">
        <f>HYPERLINK("http://i-0.rfimg.us/photo/1/bigphoto/853/28034853_0.jpg","Photo")</f>
        <v>Photo</v>
      </c>
      <c r="AI1951" t="s">
        <v>5280</v>
      </c>
      <c r="AJ1951">
        <v>98027</v>
      </c>
      <c r="BC1951" s="22">
        <v>39506.505486111113</v>
      </c>
      <c r="BI1951" s="22">
        <v>39549.294907407406</v>
      </c>
      <c r="BL1951">
        <v>11599</v>
      </c>
      <c r="BM1951">
        <v>1515512</v>
      </c>
      <c r="BN1951" t="s">
        <v>1674</v>
      </c>
      <c r="BO1951" s="17">
        <f t="shared" ca="1" si="30"/>
        <v>42.803919791665976</v>
      </c>
      <c r="BP1951" t="b">
        <v>0</v>
      </c>
      <c r="BQ1951">
        <v>1</v>
      </c>
      <c r="BR1951" t="s">
        <v>1686</v>
      </c>
      <c r="BS1951" t="s">
        <v>5479</v>
      </c>
      <c r="BT1951" t="b">
        <v>0</v>
      </c>
      <c r="BV1951" t="s">
        <v>1668</v>
      </c>
      <c r="BW1951">
        <v>4540</v>
      </c>
      <c r="BX1951" t="s">
        <v>3856</v>
      </c>
      <c r="BY1951">
        <v>0</v>
      </c>
      <c r="BZ1951" t="s">
        <v>1672</v>
      </c>
      <c r="CA1951">
        <v>1</v>
      </c>
      <c r="CB1951" t="b">
        <v>1</v>
      </c>
      <c r="CC1951">
        <v>0</v>
      </c>
      <c r="CD1951" t="b">
        <v>0</v>
      </c>
      <c r="CE1951" t="b">
        <v>0</v>
      </c>
      <c r="CF1951" t="b">
        <v>0</v>
      </c>
      <c r="CG1951" t="s">
        <v>1870</v>
      </c>
      <c r="CH1951" t="s">
        <v>1681</v>
      </c>
      <c r="CI1951" s="10">
        <v>579950</v>
      </c>
    </row>
    <row r="1952" spans="1:88">
      <c r="A1952">
        <v>28034902</v>
      </c>
      <c r="B1952" s="2" t="str">
        <f>HYPERLINK("http://www.redfin.com/stingray/do/printable-listing?listing-id=1515618","Active")</f>
        <v>Active</v>
      </c>
      <c r="D1952" t="s">
        <v>5280</v>
      </c>
      <c r="E1952" t="s">
        <v>5553</v>
      </c>
      <c r="F1952">
        <v>576950</v>
      </c>
      <c r="G1952">
        <v>2008</v>
      </c>
      <c r="H1952">
        <v>2029</v>
      </c>
      <c r="I1952">
        <v>0</v>
      </c>
      <c r="J1952">
        <v>3</v>
      </c>
      <c r="K1952">
        <v>2.5</v>
      </c>
      <c r="M1952" s="2" t="str">
        <f>HYPERLINK("http://maps.live.com/default.aspx?v=2&amp;lvl=15&amp;sp=adr.4537 185th St SE (Unable to map),98027","Map")</f>
        <v>Map</v>
      </c>
      <c r="N1952" s="2" t="str">
        <f>HYPERLINK("http://i-0.rfimg.us/photo/1/bigphoto/902/28034902_0.jpg","Photo")</f>
        <v>Photo</v>
      </c>
      <c r="AI1952" t="s">
        <v>5280</v>
      </c>
      <c r="AJ1952">
        <v>98027</v>
      </c>
      <c r="BC1952" s="22">
        <v>39506.537870370368</v>
      </c>
      <c r="BI1952" s="22">
        <v>39549.294907407406</v>
      </c>
      <c r="BL1952">
        <v>11539</v>
      </c>
      <c r="BM1952">
        <v>1515618</v>
      </c>
      <c r="BN1952" t="s">
        <v>1674</v>
      </c>
      <c r="BO1952" s="17">
        <f t="shared" ca="1" si="30"/>
        <v>42.77153553241078</v>
      </c>
      <c r="BP1952" t="b">
        <v>0</v>
      </c>
      <c r="BQ1952">
        <v>1</v>
      </c>
      <c r="BR1952" t="s">
        <v>1686</v>
      </c>
      <c r="BS1952" t="s">
        <v>5479</v>
      </c>
      <c r="BT1952" t="b">
        <v>0</v>
      </c>
      <c r="BV1952" t="s">
        <v>1668</v>
      </c>
      <c r="BW1952">
        <v>4537</v>
      </c>
      <c r="BX1952" t="s">
        <v>3856</v>
      </c>
      <c r="BY1952">
        <v>0</v>
      </c>
      <c r="BZ1952" t="s">
        <v>1672</v>
      </c>
      <c r="CA1952">
        <v>1</v>
      </c>
      <c r="CB1952" t="b">
        <v>1</v>
      </c>
      <c r="CC1952">
        <v>0</v>
      </c>
      <c r="CD1952" t="b">
        <v>0</v>
      </c>
      <c r="CE1952" t="b">
        <v>0</v>
      </c>
      <c r="CF1952" t="b">
        <v>0</v>
      </c>
      <c r="CG1952" t="s">
        <v>1870</v>
      </c>
      <c r="CH1952" t="s">
        <v>1681</v>
      </c>
      <c r="CI1952" s="10">
        <v>576950</v>
      </c>
    </row>
    <row r="1953" spans="1:90">
      <c r="A1953">
        <v>28034907</v>
      </c>
      <c r="B1953" s="2" t="str">
        <f>HYPERLINK("http://www.redfin.com/stingray/do/printable-listing?listing-id=1520185","Active")</f>
        <v>Active</v>
      </c>
      <c r="D1953" t="s">
        <v>194</v>
      </c>
      <c r="E1953" t="s">
        <v>2823</v>
      </c>
      <c r="F1953">
        <v>869000</v>
      </c>
      <c r="G1953">
        <v>2008</v>
      </c>
      <c r="H1953">
        <v>0</v>
      </c>
      <c r="I1953">
        <v>6506</v>
      </c>
      <c r="J1953">
        <v>4</v>
      </c>
      <c r="K1953">
        <v>2.5</v>
      </c>
      <c r="M1953" s="2" t="str">
        <f>HYPERLINK("http://maps.live.com/default.aspx?v=2&amp;lvl=15&amp;sp=Point.47.695143_-122.295622_9112 30th Ave NE&amp;cp=47.695143~-122.295622","Map")</f>
        <v>Map</v>
      </c>
      <c r="N1953" s="2" t="str">
        <f>HYPERLINK("http://i-0.rfimg.us/photo/1/bigphoto/907/28034907_0.jpg","Photo")</f>
        <v>Photo</v>
      </c>
      <c r="AG1953">
        <v>47.695143000000002</v>
      </c>
      <c r="AH1953">
        <v>-122.29562199999999</v>
      </c>
      <c r="AI1953" t="s">
        <v>66</v>
      </c>
      <c r="AJ1953">
        <v>98115</v>
      </c>
      <c r="AN1953">
        <v>355000</v>
      </c>
      <c r="BC1953" s="22">
        <v>39507.68409722222</v>
      </c>
      <c r="BI1953" s="22">
        <v>39549.294907407406</v>
      </c>
      <c r="BL1953">
        <v>17380</v>
      </c>
      <c r="BM1953">
        <v>1520185</v>
      </c>
      <c r="BN1953" t="s">
        <v>1710</v>
      </c>
      <c r="BO1953" s="17">
        <f t="shared" ca="1" si="30"/>
        <v>41.625308680559101</v>
      </c>
      <c r="BP1953" t="b">
        <v>0</v>
      </c>
      <c r="BQ1953">
        <v>1</v>
      </c>
      <c r="BR1953" t="s">
        <v>1667</v>
      </c>
      <c r="BS1953" t="s">
        <v>1818</v>
      </c>
      <c r="BT1953" t="b">
        <v>0</v>
      </c>
      <c r="BV1953" t="s">
        <v>1668</v>
      </c>
      <c r="BW1953">
        <v>9112</v>
      </c>
      <c r="BX1953" t="s">
        <v>1738</v>
      </c>
      <c r="BY1953">
        <v>318157</v>
      </c>
      <c r="BZ1953" t="s">
        <v>1684</v>
      </c>
      <c r="CA1953">
        <v>1</v>
      </c>
      <c r="CB1953" t="b">
        <v>1</v>
      </c>
      <c r="CC1953">
        <v>0</v>
      </c>
      <c r="CD1953" t="b">
        <v>0</v>
      </c>
      <c r="CE1953" t="b">
        <v>0</v>
      </c>
      <c r="CF1953" t="b">
        <v>0</v>
      </c>
      <c r="CG1953">
        <v>2392203</v>
      </c>
      <c r="CH1953" t="s">
        <v>1681</v>
      </c>
      <c r="CI1953" s="10">
        <v>869000</v>
      </c>
      <c r="CJ1953" s="7">
        <v>39143</v>
      </c>
    </row>
    <row r="1954" spans="1:90">
      <c r="A1954">
        <v>28034915</v>
      </c>
      <c r="B1954" s="2" t="str">
        <f>HYPERLINK("http://www.redfin.com/stingray/do/printable-listing?listing-id=1515806","Active")</f>
        <v>Active</v>
      </c>
      <c r="D1954" t="s">
        <v>5734</v>
      </c>
      <c r="E1954" t="s">
        <v>5733</v>
      </c>
      <c r="F1954">
        <v>659900</v>
      </c>
      <c r="G1954">
        <v>1991</v>
      </c>
      <c r="H1954">
        <v>2460</v>
      </c>
      <c r="I1954">
        <v>7405</v>
      </c>
      <c r="J1954">
        <v>4</v>
      </c>
      <c r="K1954">
        <v>2.5</v>
      </c>
      <c r="M1954" s="2" t="str">
        <f>HYPERLINK("http://maps.live.com/default.aspx?v=2&amp;lvl=15&amp;sp=Point.47.535733_-122.179197_7437 121 Ave SE&amp;cp=47.535733~-122.179197","Map")</f>
        <v>Map</v>
      </c>
      <c r="N1954" s="2" t="str">
        <f>HYPERLINK("http://i-0.rfimg.us/photo/1/bigphoto/915/28034915_1.jpg","Photo")</f>
        <v>Photo</v>
      </c>
      <c r="AG1954">
        <v>47.535733</v>
      </c>
      <c r="AH1954">
        <v>-122.179197</v>
      </c>
      <c r="AI1954" t="s">
        <v>3885</v>
      </c>
      <c r="AJ1954">
        <v>98056</v>
      </c>
      <c r="AN1954">
        <v>442500</v>
      </c>
      <c r="BC1954" s="22">
        <v>39506.558645833335</v>
      </c>
      <c r="BI1954" s="22">
        <v>39549.294907407406</v>
      </c>
      <c r="BL1954">
        <v>13198</v>
      </c>
      <c r="BM1954">
        <v>1515806</v>
      </c>
      <c r="BN1954" t="s">
        <v>5732</v>
      </c>
      <c r="BO1954" s="17">
        <f t="shared" ca="1" si="30"/>
        <v>42.750760069444368</v>
      </c>
      <c r="BP1954" t="b">
        <v>0</v>
      </c>
      <c r="BQ1954">
        <v>1</v>
      </c>
      <c r="BR1954" t="s">
        <v>1667</v>
      </c>
      <c r="BS1954">
        <v>121</v>
      </c>
      <c r="BT1954" t="b">
        <v>0</v>
      </c>
      <c r="BV1954" t="s">
        <v>1668</v>
      </c>
      <c r="BW1954">
        <v>7437</v>
      </c>
      <c r="BX1954" t="s">
        <v>3856</v>
      </c>
      <c r="BY1954">
        <v>413815</v>
      </c>
      <c r="BZ1954" t="s">
        <v>1756</v>
      </c>
      <c r="CA1954">
        <v>1</v>
      </c>
      <c r="CB1954" t="b">
        <v>1</v>
      </c>
      <c r="CC1954">
        <v>0</v>
      </c>
      <c r="CD1954" t="b">
        <v>0</v>
      </c>
      <c r="CE1954" t="b">
        <v>0</v>
      </c>
      <c r="CF1954" t="b">
        <v>0</v>
      </c>
      <c r="CG1954">
        <v>2389911</v>
      </c>
      <c r="CH1954" t="s">
        <v>1681</v>
      </c>
      <c r="CI1954" s="10">
        <v>659900</v>
      </c>
      <c r="CJ1954" s="7">
        <v>37879</v>
      </c>
    </row>
    <row r="1955" spans="1:90">
      <c r="A1955">
        <v>28034921</v>
      </c>
      <c r="B1955" s="2" t="str">
        <f>HYPERLINK("http://www.redfin.com/stingray/do/printable-listing?listing-id=1515654","Active")</f>
        <v>Active</v>
      </c>
      <c r="D1955" t="s">
        <v>3249</v>
      </c>
      <c r="E1955" t="s">
        <v>3588</v>
      </c>
      <c r="F1955">
        <v>1089000</v>
      </c>
      <c r="G1955">
        <v>1919</v>
      </c>
      <c r="H1955">
        <v>3830</v>
      </c>
      <c r="I1955">
        <v>4800</v>
      </c>
      <c r="J1955">
        <v>5</v>
      </c>
      <c r="K1955">
        <v>4.5</v>
      </c>
      <c r="M1955" s="2" t="str">
        <f>HYPERLINK("http://maps.live.com/default.aspx?v=2&amp;lvl=15&amp;sp=Point.47.640409_-122.361319_2425 3rd Ave W&amp;cp=47.640409~-122.361319","Map")</f>
        <v>Map</v>
      </c>
      <c r="N1955" s="2" t="str">
        <f>HYPERLINK("http://i-0.rfimg.us/photo/1/bigphoto/921/28034921_0.jpg","Photo")</f>
        <v>Photo</v>
      </c>
      <c r="AG1955">
        <v>47.640408999999998</v>
      </c>
      <c r="AH1955">
        <v>-122.36131899999999</v>
      </c>
      <c r="AI1955" t="s">
        <v>66</v>
      </c>
      <c r="AJ1955">
        <v>98119</v>
      </c>
      <c r="AN1955">
        <v>923000</v>
      </c>
      <c r="BC1955" s="22">
        <v>39506.547430555554</v>
      </c>
      <c r="BI1955" s="22">
        <v>39549.294907407406</v>
      </c>
      <c r="BL1955">
        <v>21780</v>
      </c>
      <c r="BM1955">
        <v>1515654</v>
      </c>
      <c r="BN1955" t="s">
        <v>1685</v>
      </c>
      <c r="BO1955" s="17">
        <f t="shared" ca="1" si="30"/>
        <v>42.761975347224507</v>
      </c>
      <c r="BP1955" t="b">
        <v>0</v>
      </c>
      <c r="BQ1955">
        <v>1</v>
      </c>
      <c r="BR1955" t="s">
        <v>1667</v>
      </c>
      <c r="BS1955" t="s">
        <v>1796</v>
      </c>
      <c r="BT1955" t="b">
        <v>0</v>
      </c>
      <c r="BV1955" t="s">
        <v>1668</v>
      </c>
      <c r="BW1955">
        <v>2425</v>
      </c>
      <c r="BX1955" t="s">
        <v>2423</v>
      </c>
      <c r="BY1955">
        <v>131553</v>
      </c>
      <c r="BZ1955" t="s">
        <v>1672</v>
      </c>
      <c r="CA1955">
        <v>1</v>
      </c>
      <c r="CB1955" t="b">
        <v>1</v>
      </c>
      <c r="CC1955">
        <v>0</v>
      </c>
      <c r="CD1955" t="b">
        <v>0</v>
      </c>
      <c r="CE1955" t="b">
        <v>0</v>
      </c>
      <c r="CF1955" t="b">
        <v>0</v>
      </c>
      <c r="CG1955">
        <v>2820679</v>
      </c>
      <c r="CH1955" t="s">
        <v>1681</v>
      </c>
      <c r="CI1955" s="10">
        <v>1089000</v>
      </c>
      <c r="CJ1955" s="7">
        <v>39028</v>
      </c>
    </row>
    <row r="1956" spans="1:90">
      <c r="A1956">
        <v>28034933</v>
      </c>
      <c r="B1956" s="2" t="str">
        <f>HYPERLINK("http://www.redfin.com/stingray/do/printable-listing?listing-id=1515811","Active")</f>
        <v>Active</v>
      </c>
      <c r="D1956" t="s">
        <v>369</v>
      </c>
      <c r="E1956" t="s">
        <v>5134</v>
      </c>
      <c r="F1956">
        <v>929950</v>
      </c>
      <c r="G1956">
        <v>2007</v>
      </c>
      <c r="H1956">
        <v>3162</v>
      </c>
      <c r="I1956">
        <v>5400</v>
      </c>
      <c r="J1956">
        <v>5</v>
      </c>
      <c r="K1956">
        <v>4</v>
      </c>
      <c r="M1956" s="2" t="str">
        <f>HYPERLINK("http://maps.live.com/default.aspx?v=2&amp;lvl=15&amp;sp=Point.47.625318_-122.124853_16105 Northup Way&amp;cp=47.625318~-122.124853","Map")</f>
        <v>Map</v>
      </c>
      <c r="N1956" s="2" t="str">
        <f>HYPERLINK("http://i-0.rfimg.us/photo/1/bigphoto/933/28034933_1.jpg","Photo")</f>
        <v>Photo</v>
      </c>
      <c r="AG1956">
        <v>47.625318</v>
      </c>
      <c r="AH1956">
        <v>-122.124853</v>
      </c>
      <c r="AI1956" t="s">
        <v>369</v>
      </c>
      <c r="AJ1956">
        <v>98008</v>
      </c>
      <c r="BC1956" s="22">
        <v>39506.559039351851</v>
      </c>
      <c r="BI1956" s="22">
        <v>39549.294907407406</v>
      </c>
      <c r="BL1956">
        <v>18599</v>
      </c>
      <c r="BM1956">
        <v>1515811</v>
      </c>
      <c r="BN1956" t="s">
        <v>1968</v>
      </c>
      <c r="BO1956" s="17">
        <f t="shared" ca="1" si="30"/>
        <v>42.750366550928447</v>
      </c>
      <c r="BP1956" t="b">
        <v>0</v>
      </c>
      <c r="BQ1956">
        <v>1</v>
      </c>
      <c r="BR1956" t="s">
        <v>2463</v>
      </c>
      <c r="BS1956" t="s">
        <v>5135</v>
      </c>
      <c r="BT1956" t="b">
        <v>0</v>
      </c>
      <c r="BV1956" t="s">
        <v>1668</v>
      </c>
      <c r="BW1956">
        <v>16105</v>
      </c>
      <c r="BY1956">
        <v>12110375</v>
      </c>
      <c r="BZ1956" t="s">
        <v>2522</v>
      </c>
      <c r="CA1956">
        <v>1</v>
      </c>
      <c r="CB1956" t="b">
        <v>1</v>
      </c>
      <c r="CC1956">
        <v>0</v>
      </c>
      <c r="CD1956" t="b">
        <v>0</v>
      </c>
      <c r="CE1956" t="b">
        <v>0</v>
      </c>
      <c r="CF1956" t="b">
        <v>0</v>
      </c>
      <c r="CG1956">
        <v>15363591</v>
      </c>
      <c r="CH1956" t="s">
        <v>1681</v>
      </c>
      <c r="CI1956" s="10">
        <v>929950</v>
      </c>
    </row>
    <row r="1957" spans="1:90">
      <c r="A1957">
        <v>28034954</v>
      </c>
      <c r="B1957" s="2" t="str">
        <f>HYPERLINK("http://www.redfin.com/stingray/do/printable-listing?listing-id=1515840","Contingent")</f>
        <v>Contingent</v>
      </c>
      <c r="D1957" t="s">
        <v>6653</v>
      </c>
      <c r="E1957" t="s">
        <v>6652</v>
      </c>
      <c r="F1957">
        <v>524500</v>
      </c>
      <c r="G1957">
        <v>1978</v>
      </c>
      <c r="H1957">
        <v>1880</v>
      </c>
      <c r="I1957">
        <v>74923</v>
      </c>
      <c r="J1957">
        <v>3</v>
      </c>
      <c r="K1957">
        <v>3</v>
      </c>
      <c r="M1957" s="2" t="str">
        <f>HYPERLINK("http://maps.live.com/default.aspx?v=2&amp;lvl=15&amp;sp=adr.14503 25 Ave SE (Unable to map),98027","Map")</f>
        <v>Map</v>
      </c>
      <c r="N1957" s="2" t="str">
        <f>HYPERLINK("http://i-0.rfimg.us/photo/1/bigphoto/954/28034954_0.jpg","Photo")</f>
        <v>Photo</v>
      </c>
      <c r="AI1957" t="s">
        <v>5280</v>
      </c>
      <c r="AJ1957">
        <v>98027</v>
      </c>
      <c r="BC1957" s="22">
        <v>39506.568749999999</v>
      </c>
      <c r="BI1957" s="7">
        <v>39541</v>
      </c>
      <c r="BL1957">
        <v>10490</v>
      </c>
      <c r="BM1957">
        <v>1515840</v>
      </c>
      <c r="BN1957" t="s">
        <v>6651</v>
      </c>
      <c r="BO1957" s="17">
        <f t="shared" ca="1" si="30"/>
        <v>42.740655902780418</v>
      </c>
      <c r="BP1957" t="b">
        <v>0</v>
      </c>
      <c r="BQ1957">
        <v>2</v>
      </c>
      <c r="BR1957" t="s">
        <v>1667</v>
      </c>
      <c r="BS1957">
        <v>25</v>
      </c>
      <c r="BT1957" t="b">
        <v>0</v>
      </c>
      <c r="BV1957" t="s">
        <v>1668</v>
      </c>
      <c r="BW1957">
        <v>14503</v>
      </c>
      <c r="BX1957" t="s">
        <v>3856</v>
      </c>
      <c r="BY1957">
        <v>0</v>
      </c>
      <c r="BZ1957" t="s">
        <v>1672</v>
      </c>
      <c r="CA1957">
        <v>1</v>
      </c>
      <c r="CB1957" t="b">
        <v>1</v>
      </c>
      <c r="CC1957">
        <v>0</v>
      </c>
      <c r="CD1957" t="b">
        <v>0</v>
      </c>
      <c r="CE1957" t="b">
        <v>0</v>
      </c>
      <c r="CF1957" t="b">
        <v>0</v>
      </c>
      <c r="CG1957" t="s">
        <v>1870</v>
      </c>
      <c r="CH1957" t="s">
        <v>1681</v>
      </c>
      <c r="CI1957" s="10">
        <v>524500</v>
      </c>
    </row>
    <row r="1958" spans="1:90">
      <c r="A1958">
        <v>28034965</v>
      </c>
      <c r="B1958" s="2" t="str">
        <f>HYPERLINK("http://www.redfin.com/stingray/do/printable-listing?listing-id=1520026","Active")</f>
        <v>Active</v>
      </c>
      <c r="D1958" t="s">
        <v>5490</v>
      </c>
      <c r="E1958" t="s">
        <v>5903</v>
      </c>
      <c r="F1958">
        <v>669990</v>
      </c>
      <c r="G1958">
        <v>1967</v>
      </c>
      <c r="H1958">
        <v>2600</v>
      </c>
      <c r="I1958">
        <v>17011</v>
      </c>
      <c r="J1958">
        <v>4</v>
      </c>
      <c r="K1958">
        <v>2.25</v>
      </c>
      <c r="M1958" s="2" t="str">
        <f>HYPERLINK("http://maps.live.com/default.aspx?v=2&amp;lvl=15&amp;sp=Point.47.564858_-122.114872_4508 168th Ave SE&amp;cp=47.564858~-122.114872","Map")</f>
        <v>Map</v>
      </c>
      <c r="N1958" s="2" t="str">
        <f>HYPERLINK("http://i-0.rfimg.us/photo/1/bigphoto/965/28034965_0.jpg","Photo")</f>
        <v>Photo</v>
      </c>
      <c r="AG1958">
        <v>47.564858000000001</v>
      </c>
      <c r="AH1958">
        <v>-122.11487200000001</v>
      </c>
      <c r="AI1958" t="s">
        <v>5280</v>
      </c>
      <c r="AJ1958">
        <v>98027</v>
      </c>
      <c r="AN1958">
        <v>130000</v>
      </c>
      <c r="BC1958" s="22">
        <v>39507.657870370371</v>
      </c>
      <c r="BI1958" s="22">
        <v>39549.294907407406</v>
      </c>
      <c r="BL1958">
        <v>13400</v>
      </c>
      <c r="BM1958">
        <v>1520026</v>
      </c>
      <c r="BN1958" t="s">
        <v>1768</v>
      </c>
      <c r="BO1958" s="17">
        <f t="shared" ca="1" si="30"/>
        <v>41.651535532408161</v>
      </c>
      <c r="BP1958" t="b">
        <v>0</v>
      </c>
      <c r="BQ1958">
        <v>1</v>
      </c>
      <c r="BR1958" t="s">
        <v>1667</v>
      </c>
      <c r="BS1958" t="s">
        <v>5213</v>
      </c>
      <c r="BT1958" t="b">
        <v>0</v>
      </c>
      <c r="BV1958" t="s">
        <v>1668</v>
      </c>
      <c r="BW1958">
        <v>4508</v>
      </c>
      <c r="BX1958" t="s">
        <v>3856</v>
      </c>
      <c r="BY1958">
        <v>237151</v>
      </c>
      <c r="BZ1958" t="s">
        <v>1672</v>
      </c>
      <c r="CA1958">
        <v>1</v>
      </c>
      <c r="CB1958" t="b">
        <v>1</v>
      </c>
      <c r="CC1958">
        <v>0</v>
      </c>
      <c r="CD1958" t="b">
        <v>0</v>
      </c>
      <c r="CE1958" t="b">
        <v>0</v>
      </c>
      <c r="CF1958" t="b">
        <v>0</v>
      </c>
      <c r="CG1958">
        <v>2906515</v>
      </c>
      <c r="CH1958" t="s">
        <v>1681</v>
      </c>
      <c r="CI1958" s="10">
        <v>669990</v>
      </c>
      <c r="CJ1958" s="7">
        <v>32694</v>
      </c>
    </row>
    <row r="1959" spans="1:90">
      <c r="A1959">
        <v>28034982</v>
      </c>
      <c r="B1959" s="2" t="str">
        <f>HYPERLINK("http://www.redfin.com/stingray/do/printable-listing?listing-id=1515858","Active")</f>
        <v>Active</v>
      </c>
      <c r="D1959" t="s">
        <v>2552</v>
      </c>
      <c r="E1959" t="s">
        <v>3446</v>
      </c>
      <c r="F1959" s="19">
        <v>619000</v>
      </c>
      <c r="G1959">
        <v>2008</v>
      </c>
      <c r="H1959">
        <v>1880</v>
      </c>
      <c r="I1959">
        <v>0</v>
      </c>
      <c r="J1959">
        <v>3</v>
      </c>
      <c r="K1959">
        <v>2.5</v>
      </c>
      <c r="M1959" s="2" t="str">
        <f>HYPERLINK("http://maps.live.com/default.aspx?v=2&amp;lvl=15&amp;sp=Point.47.643769_-122.385695_2644 23rd Ave W nA&amp;cp=47.643769~-122.385695","Map")</f>
        <v>Map</v>
      </c>
      <c r="N1959" s="2" t="str">
        <f>HYPERLINK("http://i-0.rfimg.us/photo/1/bigphoto/982/28034982_1.jpg","Photo")</f>
        <v>Photo</v>
      </c>
      <c r="AG1959">
        <v>47.643768999999999</v>
      </c>
      <c r="AH1959">
        <v>-122.385695</v>
      </c>
      <c r="AI1959" t="s">
        <v>66</v>
      </c>
      <c r="AJ1959">
        <v>98199</v>
      </c>
      <c r="AM1959" t="s">
        <v>1722</v>
      </c>
      <c r="BC1959" s="22">
        <v>39506.5783912037</v>
      </c>
      <c r="BI1959" s="22">
        <v>39549.294907407406</v>
      </c>
      <c r="BL1959">
        <v>12580</v>
      </c>
      <c r="BM1959">
        <v>1515858</v>
      </c>
      <c r="BN1959" t="s">
        <v>1718</v>
      </c>
      <c r="BO1959" s="17">
        <f t="shared" ca="1" si="30"/>
        <v>42.731014699078514</v>
      </c>
      <c r="BP1959" t="b">
        <v>0</v>
      </c>
      <c r="BQ1959">
        <v>1</v>
      </c>
      <c r="BR1959" t="s">
        <v>1667</v>
      </c>
      <c r="BS1959" t="s">
        <v>1839</v>
      </c>
      <c r="BT1959" t="b">
        <v>0</v>
      </c>
      <c r="BV1959" t="s">
        <v>1668</v>
      </c>
      <c r="BW1959">
        <v>2644</v>
      </c>
      <c r="BX1959" t="s">
        <v>2423</v>
      </c>
      <c r="BY1959">
        <v>12421344</v>
      </c>
      <c r="BZ1959" t="s">
        <v>1704</v>
      </c>
      <c r="CA1959">
        <v>1</v>
      </c>
      <c r="CB1959" t="b">
        <v>1</v>
      </c>
      <c r="CC1959">
        <v>0</v>
      </c>
      <c r="CD1959" t="b">
        <v>0</v>
      </c>
      <c r="CE1959" t="b">
        <v>0</v>
      </c>
      <c r="CF1959" t="b">
        <v>0</v>
      </c>
      <c r="CG1959">
        <v>15625092</v>
      </c>
      <c r="CH1959" t="s">
        <v>1681</v>
      </c>
      <c r="CI1959" s="10">
        <v>629000</v>
      </c>
    </row>
    <row r="1960" spans="1:90">
      <c r="A1960">
        <v>28034988</v>
      </c>
      <c r="B1960" s="2" t="str">
        <f>HYPERLINK("http://www.redfin.com/stingray/do/printable-listing?listing-id=1519811","Active")</f>
        <v>Active</v>
      </c>
      <c r="D1960" t="s">
        <v>5119</v>
      </c>
      <c r="E1960" t="s">
        <v>5375</v>
      </c>
      <c r="F1960">
        <v>649000</v>
      </c>
      <c r="G1960">
        <v>1952</v>
      </c>
      <c r="H1960">
        <v>2560</v>
      </c>
      <c r="I1960">
        <v>14208</v>
      </c>
      <c r="J1960">
        <v>4</v>
      </c>
      <c r="K1960">
        <v>2.5</v>
      </c>
      <c r="M1960" s="2" t="str">
        <f>HYPERLINK("http://maps.live.com/default.aspx?v=2&amp;lvl=15&amp;sp=Point.47.585817_-122.17521_2709 123rd Ave SE&amp;cp=47.585817~-122.17521","Map")</f>
        <v>Map</v>
      </c>
      <c r="N1960" s="2" t="str">
        <f>HYPERLINK("http://i-0.rfimg.us/photo/1/bigphoto/988/28034988_0.jpg","Photo")</f>
        <v>Photo</v>
      </c>
      <c r="AG1960">
        <v>47.585816999999999</v>
      </c>
      <c r="AH1960">
        <v>-122.17521000000001</v>
      </c>
      <c r="AI1960" t="s">
        <v>369</v>
      </c>
      <c r="AJ1960">
        <v>98005</v>
      </c>
      <c r="AN1960">
        <v>260000</v>
      </c>
      <c r="BC1960" s="22">
        <v>39507.635578703703</v>
      </c>
      <c r="BI1960" s="22">
        <v>39549.294907407406</v>
      </c>
      <c r="BL1960">
        <v>12980</v>
      </c>
      <c r="BM1960">
        <v>1519811</v>
      </c>
      <c r="BN1960" t="s">
        <v>1775</v>
      </c>
      <c r="BO1960" s="17">
        <f t="shared" ca="1" si="30"/>
        <v>41.673827199076186</v>
      </c>
      <c r="BP1960" t="b">
        <v>0</v>
      </c>
      <c r="BQ1960">
        <v>1</v>
      </c>
      <c r="BR1960" t="s">
        <v>1667</v>
      </c>
      <c r="BS1960" t="s">
        <v>2882</v>
      </c>
      <c r="BT1960" t="b">
        <v>0</v>
      </c>
      <c r="BV1960" t="s">
        <v>1668</v>
      </c>
      <c r="BW1960">
        <v>2709</v>
      </c>
      <c r="BX1960" t="s">
        <v>3856</v>
      </c>
      <c r="BY1960">
        <v>508964</v>
      </c>
      <c r="BZ1960" s="21">
        <v>0</v>
      </c>
      <c r="CA1960">
        <v>1</v>
      </c>
      <c r="CB1960" t="b">
        <v>1</v>
      </c>
      <c r="CC1960">
        <v>0</v>
      </c>
      <c r="CD1960" t="b">
        <v>0</v>
      </c>
      <c r="CE1960" t="b">
        <v>0</v>
      </c>
      <c r="CF1960" t="b">
        <v>0</v>
      </c>
      <c r="CG1960">
        <v>2982960</v>
      </c>
      <c r="CH1960" t="s">
        <v>1681</v>
      </c>
      <c r="CI1960" s="10">
        <v>649000</v>
      </c>
      <c r="CJ1960" s="7">
        <v>37939</v>
      </c>
    </row>
    <row r="1961" spans="1:90">
      <c r="A1961">
        <v>28035009</v>
      </c>
      <c r="B1961" s="2" t="str">
        <f>HYPERLINK("http://www.redfin.com/stingray/do/printable-listing?listing-id=1517451","Active")</f>
        <v>Active</v>
      </c>
      <c r="D1961" t="s">
        <v>3064</v>
      </c>
      <c r="E1961" t="s">
        <v>6024</v>
      </c>
      <c r="F1961">
        <v>399950</v>
      </c>
      <c r="G1961">
        <v>1958</v>
      </c>
      <c r="H1961">
        <v>2600</v>
      </c>
      <c r="I1961">
        <v>8123</v>
      </c>
      <c r="J1961">
        <v>4</v>
      </c>
      <c r="K1961">
        <v>1.75</v>
      </c>
      <c r="M1961" s="2" t="str">
        <f>HYPERLINK("http://maps.live.com/default.aspx?v=2&amp;lvl=15&amp;sp=Point.47.496481_-122.176823_827 Lynnwood Ave NE&amp;cp=47.496481~-122.176823","Map")</f>
        <v>Map</v>
      </c>
      <c r="N1961" s="2" t="str">
        <f>HYPERLINK("http://i-0.rfimg.us/photo/1/bigphoto/009/28035009_0.jpg","Photo")</f>
        <v>Photo</v>
      </c>
      <c r="AG1961">
        <v>47.496481000000003</v>
      </c>
      <c r="AH1961">
        <v>-122.176823</v>
      </c>
      <c r="AI1961" t="s">
        <v>1077</v>
      </c>
      <c r="AJ1961">
        <v>98056</v>
      </c>
      <c r="AN1961">
        <v>193818</v>
      </c>
      <c r="BC1961" s="22">
        <v>39506.943564814814</v>
      </c>
      <c r="BI1961" s="22">
        <v>39549.294907407406</v>
      </c>
      <c r="BL1961">
        <v>7999</v>
      </c>
      <c r="BM1961">
        <v>1517451</v>
      </c>
      <c r="BN1961" t="s">
        <v>1688</v>
      </c>
      <c r="BO1961" s="17">
        <f t="shared" ca="1" si="30"/>
        <v>42.365841087965237</v>
      </c>
      <c r="BP1961" t="b">
        <v>0</v>
      </c>
      <c r="BQ1961">
        <v>1</v>
      </c>
      <c r="BR1961" t="s">
        <v>1667</v>
      </c>
      <c r="BS1961" t="s">
        <v>4638</v>
      </c>
      <c r="BT1961" t="b">
        <v>0</v>
      </c>
      <c r="BV1961" t="s">
        <v>1668</v>
      </c>
      <c r="BW1961">
        <v>827</v>
      </c>
      <c r="BX1961" t="s">
        <v>1738</v>
      </c>
      <c r="BY1961">
        <v>242351</v>
      </c>
      <c r="BZ1961" t="s">
        <v>1745</v>
      </c>
      <c r="CA1961">
        <v>1</v>
      </c>
      <c r="CB1961" t="b">
        <v>1</v>
      </c>
      <c r="CC1961">
        <v>0</v>
      </c>
      <c r="CD1961" t="b">
        <v>0</v>
      </c>
      <c r="CE1961" t="b">
        <v>0</v>
      </c>
      <c r="CF1961" t="b">
        <v>0</v>
      </c>
      <c r="CG1961">
        <v>2417321</v>
      </c>
      <c r="CH1961" t="s">
        <v>1681</v>
      </c>
      <c r="CI1961" s="10">
        <v>399950</v>
      </c>
      <c r="CJ1961" s="7">
        <v>37446</v>
      </c>
    </row>
    <row r="1962" spans="1:90">
      <c r="A1962">
        <v>28035027</v>
      </c>
      <c r="B1962" s="2" t="str">
        <f>HYPERLINK("http://www.redfin.com/stingray/do/printable-listing?listing-id=1544577","Active")</f>
        <v>Active</v>
      </c>
      <c r="D1962" t="s">
        <v>3721</v>
      </c>
      <c r="E1962" t="s">
        <v>4102</v>
      </c>
      <c r="F1962">
        <v>819000</v>
      </c>
      <c r="G1962">
        <v>1920</v>
      </c>
      <c r="H1962">
        <v>1450</v>
      </c>
      <c r="I1962">
        <v>4080</v>
      </c>
      <c r="J1962">
        <v>3</v>
      </c>
      <c r="K1962">
        <v>2</v>
      </c>
      <c r="M1962" s="2" t="str">
        <f>HYPERLINK("http://maps.live.com/default.aspx?v=2&amp;lvl=15&amp;sp=Point.47.627146_-122.289845_831 33rd Ave E&amp;cp=47.627146~-122.289845","Map")</f>
        <v>Map</v>
      </c>
      <c r="N1962" s="2" t="str">
        <f>HYPERLINK("http://i-0.rfimg.us/photo/1/bigphoto/027/28035027_0.jpg","Photo")</f>
        <v>Photo</v>
      </c>
      <c r="AG1962">
        <v>47.627146000000003</v>
      </c>
      <c r="AH1962">
        <v>-122.289845</v>
      </c>
      <c r="AI1962" t="s">
        <v>66</v>
      </c>
      <c r="AJ1962">
        <v>98112</v>
      </c>
      <c r="AN1962">
        <v>580000</v>
      </c>
      <c r="BC1962" s="22">
        <v>39516.848240740743</v>
      </c>
      <c r="BI1962" s="22">
        <v>39549.294907407406</v>
      </c>
      <c r="BL1962">
        <v>16380</v>
      </c>
      <c r="BM1962">
        <v>1544577</v>
      </c>
      <c r="BN1962" t="s">
        <v>2014</v>
      </c>
      <c r="BO1962" s="17">
        <f t="shared" ca="1" si="30"/>
        <v>32.461165162036195</v>
      </c>
      <c r="BP1962" t="b">
        <v>0</v>
      </c>
      <c r="BQ1962">
        <v>1</v>
      </c>
      <c r="BR1962" t="s">
        <v>1667</v>
      </c>
      <c r="BS1962" t="s">
        <v>3460</v>
      </c>
      <c r="BT1962" t="b">
        <v>0</v>
      </c>
      <c r="BV1962" t="s">
        <v>1668</v>
      </c>
      <c r="BW1962">
        <v>831</v>
      </c>
      <c r="BX1962" t="s">
        <v>2436</v>
      </c>
      <c r="BY1962">
        <v>140012</v>
      </c>
      <c r="BZ1962" t="s">
        <v>1676</v>
      </c>
      <c r="CA1962">
        <v>1</v>
      </c>
      <c r="CB1962" t="b">
        <v>1</v>
      </c>
      <c r="CC1962">
        <v>0</v>
      </c>
      <c r="CD1962" t="b">
        <v>0</v>
      </c>
      <c r="CE1962" t="b">
        <v>0</v>
      </c>
      <c r="CF1962" t="b">
        <v>0</v>
      </c>
      <c r="CG1962">
        <v>2883071</v>
      </c>
      <c r="CH1962" t="s">
        <v>1681</v>
      </c>
      <c r="CI1962" s="10">
        <v>819000</v>
      </c>
      <c r="CJ1962" s="7">
        <v>38128</v>
      </c>
    </row>
    <row r="1963" spans="1:90">
      <c r="A1963">
        <v>28035072</v>
      </c>
      <c r="B1963" s="2" t="str">
        <f>HYPERLINK("http://www.redfin.com/stingray/do/printable-listing?listing-id=1520238","Active")</f>
        <v>Active</v>
      </c>
      <c r="D1963" t="s">
        <v>2552</v>
      </c>
      <c r="E1963" t="s">
        <v>3457</v>
      </c>
      <c r="F1963" s="19">
        <v>639000</v>
      </c>
      <c r="G1963">
        <v>1951</v>
      </c>
      <c r="H1963">
        <v>1750</v>
      </c>
      <c r="I1963">
        <v>5160</v>
      </c>
      <c r="J1963">
        <v>3</v>
      </c>
      <c r="K1963">
        <v>1.75</v>
      </c>
      <c r="M1963" s="2" t="str">
        <f>HYPERLINK("http://maps.live.com/default.aspx?v=2&amp;lvl=15&amp;sp=Point.47.650535_-122.396516_3400 31 Ave W&amp;cp=47.650535~-122.396516","Map")</f>
        <v>Map</v>
      </c>
      <c r="N1963" s="2" t="str">
        <f>HYPERLINK("http://i-0.rfimg.us/photo/1/bigphoto/072/28035072_0.jpg","Photo")</f>
        <v>Photo</v>
      </c>
      <c r="AG1963">
        <v>47.650534999999998</v>
      </c>
      <c r="AH1963">
        <v>-122.39651600000001</v>
      </c>
      <c r="AI1963" t="s">
        <v>66</v>
      </c>
      <c r="AJ1963">
        <v>98199</v>
      </c>
      <c r="AN1963">
        <v>430000</v>
      </c>
      <c r="BC1963" s="22">
        <v>39507.69703703704</v>
      </c>
      <c r="BI1963" s="22">
        <v>39549.294907407406</v>
      </c>
      <c r="BL1963">
        <v>13180</v>
      </c>
      <c r="BM1963">
        <v>1520238</v>
      </c>
      <c r="BN1963" t="s">
        <v>3456</v>
      </c>
      <c r="BO1963" s="17">
        <f t="shared" ca="1" si="30"/>
        <v>41.612368865738972</v>
      </c>
      <c r="BP1963" t="b">
        <v>0</v>
      </c>
      <c r="BQ1963">
        <v>1</v>
      </c>
      <c r="BR1963" t="s">
        <v>1667</v>
      </c>
      <c r="BS1963">
        <v>31</v>
      </c>
      <c r="BT1963" t="b">
        <v>0</v>
      </c>
      <c r="BV1963" t="s">
        <v>1668</v>
      </c>
      <c r="BW1963">
        <v>3400</v>
      </c>
      <c r="BX1963" t="s">
        <v>2423</v>
      </c>
      <c r="BY1963">
        <v>129049</v>
      </c>
      <c r="BZ1963" t="s">
        <v>3458</v>
      </c>
      <c r="CA1963">
        <v>1</v>
      </c>
      <c r="CB1963" t="b">
        <v>1</v>
      </c>
      <c r="CC1963">
        <v>0</v>
      </c>
      <c r="CD1963" t="b">
        <v>0</v>
      </c>
      <c r="CE1963" t="b">
        <v>0</v>
      </c>
      <c r="CF1963" t="b">
        <v>0</v>
      </c>
      <c r="CG1963">
        <v>2591908</v>
      </c>
      <c r="CH1963" t="s">
        <v>1681</v>
      </c>
      <c r="CI1963" s="10">
        <v>659000</v>
      </c>
      <c r="CJ1963" s="7">
        <v>38282</v>
      </c>
    </row>
    <row r="1964" spans="1:90">
      <c r="A1964">
        <v>28035122</v>
      </c>
      <c r="B1964" s="2" t="str">
        <f>HYPERLINK("http://www.redfin.com/stingray/do/printable-listing?listing-id=1516183","Active")</f>
        <v>Active</v>
      </c>
      <c r="D1964" t="s">
        <v>2850</v>
      </c>
      <c r="E1964" t="s">
        <v>4565</v>
      </c>
      <c r="F1964" s="19">
        <v>435000</v>
      </c>
      <c r="G1964">
        <v>1983</v>
      </c>
      <c r="H1964">
        <v>0</v>
      </c>
      <c r="I1964">
        <v>0</v>
      </c>
      <c r="J1964">
        <v>3</v>
      </c>
      <c r="K1964">
        <v>2.5</v>
      </c>
      <c r="M1964" s="2" t="str">
        <f>HYPERLINK("http://maps.live.com/default.aspx?v=2&amp;lvl=15&amp;sp=Point.47.714595_-122.231306_8219 NE 128th&amp;cp=47.714595~-122.231306","Map")</f>
        <v>Map</v>
      </c>
      <c r="N1964" s="2" t="str">
        <f>HYPERLINK("http://i-0.rfimg.us/photo/1/bigphoto/122/28035122_1.jpg","Photo")</f>
        <v>Photo</v>
      </c>
      <c r="AG1964">
        <v>47.714595000000003</v>
      </c>
      <c r="AH1964">
        <v>-122.231306</v>
      </c>
      <c r="AI1964" t="s">
        <v>1058</v>
      </c>
      <c r="AJ1964">
        <v>98034</v>
      </c>
      <c r="AN1964">
        <v>391400</v>
      </c>
      <c r="BC1964" s="22">
        <v>39506.663483796299</v>
      </c>
      <c r="BI1964" s="22">
        <v>39549.294907407406</v>
      </c>
      <c r="BL1964">
        <v>11000</v>
      </c>
      <c r="BM1964">
        <v>1516183</v>
      </c>
      <c r="BN1964" t="s">
        <v>2917</v>
      </c>
      <c r="BO1964" s="17">
        <f t="shared" ca="1" si="30"/>
        <v>42.645922106479702</v>
      </c>
      <c r="BP1964" t="b">
        <v>0</v>
      </c>
      <c r="BQ1964">
        <v>1</v>
      </c>
      <c r="BR1964" t="s">
        <v>1686</v>
      </c>
      <c r="BS1964" t="s">
        <v>4484</v>
      </c>
      <c r="BT1964" t="b">
        <v>0</v>
      </c>
      <c r="BU1964" t="s">
        <v>1738</v>
      </c>
      <c r="BV1964" t="s">
        <v>1668</v>
      </c>
      <c r="BW1964">
        <v>8219</v>
      </c>
      <c r="BY1964">
        <v>276686</v>
      </c>
      <c r="BZ1964" t="s">
        <v>1677</v>
      </c>
      <c r="CA1964">
        <v>1</v>
      </c>
      <c r="CB1964" t="b">
        <v>1</v>
      </c>
      <c r="CC1964">
        <v>0</v>
      </c>
      <c r="CD1964" t="b">
        <v>0</v>
      </c>
      <c r="CE1964" t="b">
        <v>0</v>
      </c>
      <c r="CF1964" t="b">
        <v>0</v>
      </c>
      <c r="CG1964">
        <v>2991469</v>
      </c>
      <c r="CH1964" t="s">
        <v>1681</v>
      </c>
      <c r="CI1964" s="10">
        <v>550000</v>
      </c>
      <c r="CJ1964" s="7">
        <v>38422</v>
      </c>
    </row>
    <row r="1965" spans="1:90">
      <c r="A1965">
        <v>28035127</v>
      </c>
      <c r="B1965" s="2" t="str">
        <f>HYPERLINK("http://www.redfin.com/stingray/do/printable-listing?listing-id=1516181","Active")</f>
        <v>Active</v>
      </c>
      <c r="D1965" t="s">
        <v>3249</v>
      </c>
      <c r="E1965" t="s">
        <v>3248</v>
      </c>
      <c r="F1965">
        <v>449999</v>
      </c>
      <c r="G1965">
        <v>2008</v>
      </c>
      <c r="H1965">
        <v>1250</v>
      </c>
      <c r="I1965">
        <v>0</v>
      </c>
      <c r="J1965">
        <v>3</v>
      </c>
      <c r="K1965">
        <v>1.5</v>
      </c>
      <c r="M1965" s="2" t="str">
        <f>HYPERLINK("http://maps.live.com/default.aspx?v=2&amp;lvl=15&amp;sp=Point.47.638168_-122.342304_2113 8th Ave N&amp;cp=47.638168~-122.342304","Map")</f>
        <v>Map</v>
      </c>
      <c r="N1965" s="2" t="str">
        <f>HYPERLINK("http://i-0.rfimg.us/photo/1/bigphoto/127/28035127_0.jpg","Photo")</f>
        <v>Photo</v>
      </c>
      <c r="AG1965">
        <v>47.638168</v>
      </c>
      <c r="AH1965">
        <v>-122.342304</v>
      </c>
      <c r="AI1965" t="s">
        <v>66</v>
      </c>
      <c r="AJ1965">
        <v>98109</v>
      </c>
      <c r="BC1965" s="22">
        <v>39506.663437499999</v>
      </c>
      <c r="BI1965" s="22">
        <v>39549.294907407406</v>
      </c>
      <c r="BL1965">
        <v>9000</v>
      </c>
      <c r="BM1965">
        <v>1516181</v>
      </c>
      <c r="BN1965" t="s">
        <v>1746</v>
      </c>
      <c r="BO1965" s="17">
        <f t="shared" ca="1" si="30"/>
        <v>42.645968402779545</v>
      </c>
      <c r="BP1965" t="b">
        <v>0</v>
      </c>
      <c r="BQ1965">
        <v>1</v>
      </c>
      <c r="BR1965" t="s">
        <v>1667</v>
      </c>
      <c r="BS1965" t="s">
        <v>1723</v>
      </c>
      <c r="BT1965" t="b">
        <v>0</v>
      </c>
      <c r="BV1965" t="s">
        <v>1668</v>
      </c>
      <c r="BW1965">
        <v>2113</v>
      </c>
      <c r="BX1965" t="s">
        <v>1712</v>
      </c>
      <c r="BY1965">
        <v>12415940</v>
      </c>
      <c r="BZ1965" t="s">
        <v>1672</v>
      </c>
      <c r="CA1965">
        <v>1</v>
      </c>
      <c r="CB1965" t="b">
        <v>1</v>
      </c>
      <c r="CC1965">
        <v>0</v>
      </c>
      <c r="CD1965" t="b">
        <v>0</v>
      </c>
      <c r="CE1965" t="b">
        <v>0</v>
      </c>
      <c r="CF1965" t="b">
        <v>0</v>
      </c>
      <c r="CG1965">
        <v>15619688</v>
      </c>
      <c r="CH1965" t="s">
        <v>1681</v>
      </c>
      <c r="CI1965" s="10">
        <v>449999</v>
      </c>
    </row>
    <row r="1966" spans="1:90">
      <c r="A1966">
        <v>28035136</v>
      </c>
      <c r="B1966" s="2" t="str">
        <f>HYPERLINK("http://www.redfin.com/stingray/do/printable-listing?listing-id=1520480","Active")</f>
        <v>Active</v>
      </c>
      <c r="D1966" t="s">
        <v>60</v>
      </c>
      <c r="E1966" t="s">
        <v>2477</v>
      </c>
      <c r="F1966">
        <v>599995</v>
      </c>
      <c r="G1966">
        <v>1924</v>
      </c>
      <c r="H1966">
        <v>2200</v>
      </c>
      <c r="I1966">
        <v>3420</v>
      </c>
      <c r="J1966">
        <v>4</v>
      </c>
      <c r="K1966">
        <v>2</v>
      </c>
      <c r="M1966" s="2" t="str">
        <f>HYPERLINK("http://maps.live.com/default.aspx?v=2&amp;lvl=15&amp;sp=Point.47.665339_-122.339733_5008 Green Lake Way N&amp;cp=47.665339~-122.339733","Map")</f>
        <v>Map</v>
      </c>
      <c r="N1966" s="2" t="str">
        <f>HYPERLINK("http://i-0.rfimg.us/photo/1/bigphoto/136/28035136_1.jpg","Photo")</f>
        <v>Photo</v>
      </c>
      <c r="AG1966">
        <v>47.665339000000003</v>
      </c>
      <c r="AH1966">
        <v>-122.339733</v>
      </c>
      <c r="AI1966" t="s">
        <v>66</v>
      </c>
      <c r="AJ1966">
        <v>98103</v>
      </c>
      <c r="AN1966">
        <v>555000</v>
      </c>
      <c r="BC1966" s="22">
        <v>39507.745567129627</v>
      </c>
      <c r="BI1966" s="22">
        <v>39549.294907407406</v>
      </c>
      <c r="BL1966">
        <v>12000</v>
      </c>
      <c r="BM1966">
        <v>1520480</v>
      </c>
      <c r="BN1966" t="s">
        <v>1674</v>
      </c>
      <c r="BO1966" s="17">
        <f t="shared" ca="1" si="30"/>
        <v>41.563838888891041</v>
      </c>
      <c r="BP1966" t="b">
        <v>0</v>
      </c>
      <c r="BQ1966">
        <v>1</v>
      </c>
      <c r="BR1966" t="s">
        <v>2463</v>
      </c>
      <c r="BS1966" t="s">
        <v>60</v>
      </c>
      <c r="BT1966" t="b">
        <v>0</v>
      </c>
      <c r="BV1966" t="s">
        <v>1668</v>
      </c>
      <c r="BW1966">
        <v>5008</v>
      </c>
      <c r="BX1966" t="s">
        <v>1712</v>
      </c>
      <c r="BY1966">
        <v>305816</v>
      </c>
      <c r="BZ1966" t="s">
        <v>2478</v>
      </c>
      <c r="CA1966">
        <v>1</v>
      </c>
      <c r="CB1966" t="b">
        <v>1</v>
      </c>
      <c r="CC1966">
        <v>0</v>
      </c>
      <c r="CD1966" t="b">
        <v>0</v>
      </c>
      <c r="CE1966" t="b">
        <v>0</v>
      </c>
      <c r="CF1966" t="b">
        <v>0</v>
      </c>
      <c r="CG1966">
        <v>2594824</v>
      </c>
      <c r="CH1966" t="s">
        <v>1681</v>
      </c>
      <c r="CI1966" s="10">
        <v>599995</v>
      </c>
      <c r="CJ1966" s="7">
        <v>38947</v>
      </c>
    </row>
    <row r="1967" spans="1:90">
      <c r="A1967">
        <v>28035175</v>
      </c>
      <c r="B1967" s="2" t="str">
        <f>HYPERLINK("http://www.redfin.com/stingray/do/printable-listing?listing-id=1523693","Subject To Inspection")</f>
        <v>Subject To Inspection</v>
      </c>
      <c r="D1967" t="s">
        <v>5261</v>
      </c>
      <c r="E1967" t="s">
        <v>5355</v>
      </c>
      <c r="F1967">
        <v>1098000</v>
      </c>
      <c r="G1967">
        <v>1934</v>
      </c>
      <c r="H1967">
        <v>1686</v>
      </c>
      <c r="I1967">
        <v>0</v>
      </c>
      <c r="J1967">
        <v>2</v>
      </c>
      <c r="K1967">
        <v>1.75</v>
      </c>
      <c r="M1967" s="2" t="str">
        <f>HYPERLINK("http://maps.live.com/default.aspx?v=2&amp;lvl=15&amp;sp=Point.47.584173_-122.08423_2819 E Lake Sammamish Pkwy SE&amp;cp=47.584173~-122.08423","Map")</f>
        <v>Map</v>
      </c>
      <c r="N1967" s="2" t="str">
        <f>HYPERLINK("http://i-0.rfimg.us/photo/1/bigphoto/175/28035175_1.jpg","Photo")</f>
        <v>Photo</v>
      </c>
      <c r="AG1967">
        <v>47.584173</v>
      </c>
      <c r="AH1967">
        <v>-122.08423000000001</v>
      </c>
      <c r="AI1967" t="s">
        <v>5273</v>
      </c>
      <c r="AJ1967">
        <v>98075</v>
      </c>
      <c r="AN1967">
        <v>472000</v>
      </c>
      <c r="BC1967" s="22">
        <v>39509.264988425923</v>
      </c>
      <c r="BI1967" s="22">
        <v>39549.294907407406</v>
      </c>
      <c r="BL1967">
        <v>21960</v>
      </c>
      <c r="BM1967">
        <v>1523693</v>
      </c>
      <c r="BN1967" t="s">
        <v>1768</v>
      </c>
      <c r="BO1967" s="17">
        <f t="shared" ca="1" si="30"/>
        <v>40.044417476856324</v>
      </c>
      <c r="BP1967" t="b">
        <v>0</v>
      </c>
      <c r="BQ1967">
        <v>2</v>
      </c>
      <c r="BR1967" t="s">
        <v>5197</v>
      </c>
      <c r="BS1967" t="s">
        <v>5261</v>
      </c>
      <c r="BT1967" t="b">
        <v>0</v>
      </c>
      <c r="BU1967" t="s">
        <v>2436</v>
      </c>
      <c r="BV1967" t="s">
        <v>1668</v>
      </c>
      <c r="BW1967">
        <v>2819</v>
      </c>
      <c r="BX1967" t="s">
        <v>3856</v>
      </c>
      <c r="BY1967">
        <v>322373</v>
      </c>
      <c r="BZ1967" t="s">
        <v>2343</v>
      </c>
      <c r="CA1967">
        <v>1</v>
      </c>
      <c r="CB1967" t="b">
        <v>1</v>
      </c>
      <c r="CC1967">
        <v>0</v>
      </c>
      <c r="CD1967" t="b">
        <v>0</v>
      </c>
      <c r="CE1967" t="b">
        <v>0</v>
      </c>
      <c r="CF1967" t="b">
        <v>0</v>
      </c>
      <c r="CG1967">
        <v>2902806</v>
      </c>
      <c r="CH1967" t="s">
        <v>1681</v>
      </c>
      <c r="CI1967" s="10">
        <v>1098000</v>
      </c>
      <c r="CJ1967" s="7">
        <v>35992</v>
      </c>
    </row>
    <row r="1968" spans="1:90">
      <c r="A1968">
        <v>28035196</v>
      </c>
      <c r="B1968" s="15" t="str">
        <f>HYPERLINK("http://www.redfin.com/stingray/do/printable-listing?listing-id=1516990","Subject To Inspection")</f>
        <v>Subject To Inspection</v>
      </c>
      <c r="D1968" t="s">
        <v>3064</v>
      </c>
      <c r="E1968" t="s">
        <v>6101</v>
      </c>
      <c r="F1968" s="19">
        <v>359950</v>
      </c>
      <c r="G1968">
        <v>1997</v>
      </c>
      <c r="H1968">
        <v>1650</v>
      </c>
      <c r="I1968">
        <v>3427</v>
      </c>
      <c r="J1968">
        <v>3</v>
      </c>
      <c r="K1968">
        <v>2.5</v>
      </c>
      <c r="M1968" s="2" t="str">
        <f>HYPERLINK("http://maps.live.com/default.aspx?v=2&amp;lvl=15&amp;sp=Point.47.490737_-122.16861_3724 NE 5th St&amp;cp=47.490737~-122.16861","Map")</f>
        <v>Map</v>
      </c>
      <c r="N1968" s="2" t="str">
        <f>HYPERLINK("http://i-0.rfimg.us/photo/1/bigphoto/196/28035196_5.jpg","Photo")</f>
        <v>Photo</v>
      </c>
      <c r="AG1968">
        <v>47.490737000000003</v>
      </c>
      <c r="AH1968">
        <v>-122.16861</v>
      </c>
      <c r="AI1968" t="s">
        <v>1077</v>
      </c>
      <c r="AJ1968">
        <v>98056</v>
      </c>
      <c r="AN1968">
        <v>309950</v>
      </c>
      <c r="BC1968" s="22">
        <v>39506.745798611111</v>
      </c>
      <c r="BI1968" s="22">
        <v>39549.294907407406</v>
      </c>
      <c r="BL1968">
        <v>7299</v>
      </c>
      <c r="BM1968">
        <v>1516990</v>
      </c>
      <c r="BN1968" t="s">
        <v>6059</v>
      </c>
      <c r="BO1968" s="17">
        <f t="shared" ca="1" si="30"/>
        <v>42.563607291667722</v>
      </c>
      <c r="BP1968" t="b">
        <v>0</v>
      </c>
      <c r="BQ1968">
        <v>1</v>
      </c>
      <c r="BR1968" t="s">
        <v>1686</v>
      </c>
      <c r="BS1968" t="s">
        <v>1832</v>
      </c>
      <c r="BT1968" t="b">
        <v>0</v>
      </c>
      <c r="BU1968" t="s">
        <v>1738</v>
      </c>
      <c r="BV1968" t="s">
        <v>1668</v>
      </c>
      <c r="BW1968">
        <v>3724</v>
      </c>
      <c r="BY1968">
        <v>242398</v>
      </c>
      <c r="BZ1968" t="s">
        <v>6102</v>
      </c>
      <c r="CA1968">
        <v>1</v>
      </c>
      <c r="CB1968" t="b">
        <v>1</v>
      </c>
      <c r="CC1968">
        <v>0</v>
      </c>
      <c r="CD1968" t="b">
        <v>0</v>
      </c>
      <c r="CE1968" t="b">
        <v>0</v>
      </c>
      <c r="CF1968" t="b">
        <v>0</v>
      </c>
      <c r="CG1968">
        <v>2530313</v>
      </c>
      <c r="CH1968" t="s">
        <v>1681</v>
      </c>
      <c r="CI1968" s="10">
        <v>364950</v>
      </c>
      <c r="CJ1968" s="7">
        <v>38581</v>
      </c>
      <c r="CL1968" t="s">
        <v>6704</v>
      </c>
    </row>
    <row r="1969" spans="1:90">
      <c r="A1969">
        <v>28035208</v>
      </c>
      <c r="B1969" s="2" t="str">
        <f>HYPERLINK("http://www.redfin.com/stingray/do/printable-listing?listing-id=1533775","Active")</f>
        <v>Active</v>
      </c>
      <c r="D1969" t="s">
        <v>3924</v>
      </c>
      <c r="E1969" t="s">
        <v>4301</v>
      </c>
      <c r="F1969">
        <v>325000</v>
      </c>
      <c r="G1969">
        <v>1908</v>
      </c>
      <c r="H1969">
        <v>2694</v>
      </c>
      <c r="I1969">
        <v>4800</v>
      </c>
      <c r="J1969">
        <v>2</v>
      </c>
      <c r="K1969">
        <v>1</v>
      </c>
      <c r="M1969" s="2" t="str">
        <f>HYPERLINK("http://maps.live.com/default.aspx?v=2&amp;lvl=15&amp;sp=Point.47.620346_-122.295003_201 29th Ave E&amp;cp=47.620346~-122.295003","Map")</f>
        <v>Map</v>
      </c>
      <c r="N1969" s="2" t="str">
        <f>HYPERLINK("http://i-0.rfimg.us/photo/1/bigphoto/208/28035208_0.jpg","Photo")</f>
        <v>Photo</v>
      </c>
      <c r="AG1969">
        <v>47.620345999999998</v>
      </c>
      <c r="AH1969">
        <v>-122.29500299999999</v>
      </c>
      <c r="AI1969" t="s">
        <v>66</v>
      </c>
      <c r="AJ1969">
        <v>98112</v>
      </c>
      <c r="BC1969" s="22">
        <v>39512.72483796296</v>
      </c>
      <c r="BI1969" s="7">
        <v>39535</v>
      </c>
      <c r="BL1969">
        <v>6500</v>
      </c>
      <c r="BM1969">
        <v>1533775</v>
      </c>
      <c r="BN1969" t="s">
        <v>1700</v>
      </c>
      <c r="BO1969" s="17">
        <f t="shared" ca="1" si="30"/>
        <v>36.584567939818953</v>
      </c>
      <c r="BP1969" t="b">
        <v>0</v>
      </c>
      <c r="BQ1969">
        <v>1</v>
      </c>
      <c r="BR1969" t="s">
        <v>1667</v>
      </c>
      <c r="BS1969" t="s">
        <v>1772</v>
      </c>
      <c r="BT1969" t="b">
        <v>0</v>
      </c>
      <c r="BV1969" t="s">
        <v>1668</v>
      </c>
      <c r="BW1969">
        <v>201</v>
      </c>
      <c r="BX1969" t="s">
        <v>2436</v>
      </c>
      <c r="BY1969">
        <v>11901577</v>
      </c>
      <c r="BZ1969" t="s">
        <v>1813</v>
      </c>
      <c r="CA1969">
        <v>1</v>
      </c>
      <c r="CB1969" t="b">
        <v>1</v>
      </c>
      <c r="CC1969">
        <v>0</v>
      </c>
      <c r="CD1969" t="b">
        <v>0</v>
      </c>
      <c r="CE1969" t="b">
        <v>0</v>
      </c>
      <c r="CF1969" t="b">
        <v>0</v>
      </c>
      <c r="CG1969">
        <v>15155802</v>
      </c>
      <c r="CH1969" t="s">
        <v>1681</v>
      </c>
      <c r="CI1969" s="10">
        <v>325000</v>
      </c>
    </row>
    <row r="1970" spans="1:90">
      <c r="A1970">
        <v>28035227</v>
      </c>
      <c r="B1970" s="2" t="str">
        <f>HYPERLINK("http://www.redfin.com/stingray/do/printable-listing?listing-id=1526112","Active")</f>
        <v>Active</v>
      </c>
      <c r="D1970" t="s">
        <v>5121</v>
      </c>
      <c r="E1970" t="s">
        <v>5528</v>
      </c>
      <c r="F1970">
        <v>698000</v>
      </c>
      <c r="G1970">
        <v>1953</v>
      </c>
      <c r="H1970">
        <v>1440</v>
      </c>
      <c r="I1970">
        <v>11718</v>
      </c>
      <c r="J1970">
        <v>3</v>
      </c>
      <c r="K1970">
        <v>1</v>
      </c>
      <c r="M1970" s="2" t="str">
        <f>HYPERLINK("http://maps.live.com/default.aspx?v=2&amp;lvl=15&amp;sp=Point.47.592125_-122.196945_2011 108 Ave SE&amp;cp=47.592125~-122.196945","Map")</f>
        <v>Map</v>
      </c>
      <c r="N1970" s="2" t="str">
        <f>HYPERLINK("http://i-0.rfimg.us/photo/1/bigphoto/227/28035227_0.jpg","Photo")</f>
        <v>Photo</v>
      </c>
      <c r="AG1970">
        <v>47.592125000000003</v>
      </c>
      <c r="AH1970">
        <v>-122.196945</v>
      </c>
      <c r="AI1970" t="s">
        <v>369</v>
      </c>
      <c r="AJ1970">
        <v>98004</v>
      </c>
      <c r="AN1970">
        <v>625000</v>
      </c>
      <c r="BC1970" s="22">
        <v>39510.610925925925</v>
      </c>
      <c r="BI1970" s="22">
        <v>39549.294907407406</v>
      </c>
      <c r="BL1970">
        <v>13960</v>
      </c>
      <c r="BM1970">
        <v>1526112</v>
      </c>
      <c r="BN1970" t="s">
        <v>1674</v>
      </c>
      <c r="BO1970" s="17">
        <f t="shared" ca="1" si="30"/>
        <v>38.698479976854287</v>
      </c>
      <c r="BP1970" t="b">
        <v>0</v>
      </c>
      <c r="BQ1970">
        <v>1</v>
      </c>
      <c r="BR1970" t="s">
        <v>1667</v>
      </c>
      <c r="BS1970">
        <v>108</v>
      </c>
      <c r="BT1970" t="b">
        <v>0</v>
      </c>
      <c r="BV1970" t="s">
        <v>1668</v>
      </c>
      <c r="BW1970">
        <v>2011</v>
      </c>
      <c r="BX1970" t="s">
        <v>3856</v>
      </c>
      <c r="BY1970">
        <v>510416</v>
      </c>
      <c r="BZ1970" t="s">
        <v>1801</v>
      </c>
      <c r="CA1970">
        <v>1</v>
      </c>
      <c r="CB1970" t="b">
        <v>1</v>
      </c>
      <c r="CC1970">
        <v>0</v>
      </c>
      <c r="CD1970" t="b">
        <v>0</v>
      </c>
      <c r="CE1970" t="b">
        <v>0</v>
      </c>
      <c r="CF1970" t="b">
        <v>0</v>
      </c>
      <c r="CG1970">
        <v>2531094</v>
      </c>
      <c r="CH1970" t="s">
        <v>1681</v>
      </c>
      <c r="CI1970" s="10">
        <v>698000</v>
      </c>
      <c r="CJ1970" s="7">
        <v>39311</v>
      </c>
    </row>
    <row r="1971" spans="1:90">
      <c r="A1971">
        <v>28035229</v>
      </c>
      <c r="B1971" s="2" t="str">
        <f>HYPERLINK("http://www.redfin.com/stingray/do/printable-listing?listing-id=1529942","Active")</f>
        <v>Active</v>
      </c>
      <c r="D1971" t="s">
        <v>3071</v>
      </c>
      <c r="E1971" t="s">
        <v>4463</v>
      </c>
      <c r="F1971">
        <v>420000</v>
      </c>
      <c r="G1971">
        <v>1964</v>
      </c>
      <c r="H1971">
        <v>1170</v>
      </c>
      <c r="I1971">
        <v>9600</v>
      </c>
      <c r="J1971">
        <v>3</v>
      </c>
      <c r="K1971">
        <v>1.5</v>
      </c>
      <c r="M1971" s="2" t="str">
        <f>HYPERLINK("http://maps.live.com/default.aspx?v=2&amp;lvl=15&amp;sp=Point.47.725877_-122.228084_8426 NE 139th St&amp;cp=47.725877~-122.228084","Map")</f>
        <v>Map</v>
      </c>
      <c r="N1971" s="2" t="str">
        <f>HYPERLINK("http://i-0.rfimg.us/photo/1/bigphoto/229/28035229_0.jpg","Photo")</f>
        <v>Photo</v>
      </c>
      <c r="AG1971">
        <v>47.725876999999997</v>
      </c>
      <c r="AH1971">
        <v>-122.228084</v>
      </c>
      <c r="AI1971" t="s">
        <v>1058</v>
      </c>
      <c r="AJ1971">
        <v>98034</v>
      </c>
      <c r="AN1971">
        <v>132500</v>
      </c>
      <c r="BC1971" s="22">
        <v>39511.682893518519</v>
      </c>
      <c r="BI1971" s="22">
        <v>39549.294907407406</v>
      </c>
      <c r="BL1971">
        <v>8400</v>
      </c>
      <c r="BM1971">
        <v>1529942</v>
      </c>
      <c r="BN1971" t="s">
        <v>4081</v>
      </c>
      <c r="BO1971" s="17">
        <f t="shared" ca="1" si="30"/>
        <v>37.626512384260423</v>
      </c>
      <c r="BP1971" t="b">
        <v>0</v>
      </c>
      <c r="BQ1971">
        <v>1</v>
      </c>
      <c r="BR1971" t="s">
        <v>1686</v>
      </c>
      <c r="BS1971" t="s">
        <v>4423</v>
      </c>
      <c r="BT1971" t="b">
        <v>0</v>
      </c>
      <c r="BU1971" t="s">
        <v>1738</v>
      </c>
      <c r="BV1971" t="s">
        <v>1668</v>
      </c>
      <c r="BW1971">
        <v>8426</v>
      </c>
      <c r="BY1971">
        <v>279100</v>
      </c>
      <c r="BZ1971" t="s">
        <v>1741</v>
      </c>
      <c r="CA1971">
        <v>1</v>
      </c>
      <c r="CB1971" t="b">
        <v>1</v>
      </c>
      <c r="CC1971">
        <v>0</v>
      </c>
      <c r="CD1971" t="b">
        <v>0</v>
      </c>
      <c r="CE1971" t="b">
        <v>0</v>
      </c>
      <c r="CF1971" t="b">
        <v>0</v>
      </c>
      <c r="CG1971">
        <v>2770015</v>
      </c>
      <c r="CH1971" t="s">
        <v>1681</v>
      </c>
      <c r="CI1971" s="10">
        <v>420000</v>
      </c>
      <c r="CJ1971" s="7">
        <v>35034</v>
      </c>
    </row>
    <row r="1972" spans="1:90">
      <c r="A1972">
        <v>28035262</v>
      </c>
      <c r="B1972" s="2" t="str">
        <f>HYPERLINK("http://www.redfin.com/stingray/do/printable-listing?listing-id=1519924","Active")</f>
        <v>Active</v>
      </c>
      <c r="D1972" t="s">
        <v>5565</v>
      </c>
      <c r="E1972" t="s">
        <v>5580</v>
      </c>
      <c r="F1972" s="19">
        <v>539950</v>
      </c>
      <c r="G1972">
        <v>1970</v>
      </c>
      <c r="H1972">
        <v>3170</v>
      </c>
      <c r="I1972">
        <v>12600</v>
      </c>
      <c r="J1972">
        <v>4</v>
      </c>
      <c r="K1972">
        <v>2.75</v>
      </c>
      <c r="M1972" s="2" t="str">
        <f>HYPERLINK("http://maps.live.com/default.aspx?v=2&amp;lvl=15&amp;sp=Point.47.542074_-122.175446_6710 123rd Pl SE&amp;cp=47.542074~-122.175446","Map")</f>
        <v>Map</v>
      </c>
      <c r="N1972" s="2" t="str">
        <f>HYPERLINK("http://i-0.rfimg.us/photo/1/bigphoto/262/28035262_4.jpg","Photo")</f>
        <v>Photo</v>
      </c>
      <c r="AG1972">
        <v>47.542074</v>
      </c>
      <c r="AH1972">
        <v>-122.17544599999999</v>
      </c>
      <c r="AI1972" t="s">
        <v>369</v>
      </c>
      <c r="AJ1972">
        <v>98006</v>
      </c>
      <c r="AN1972">
        <v>355000</v>
      </c>
      <c r="BC1972" s="22">
        <v>39507.656469907408</v>
      </c>
      <c r="BI1972" s="22">
        <v>39549.294907407406</v>
      </c>
      <c r="BL1972">
        <v>11199</v>
      </c>
      <c r="BM1972">
        <v>1519924</v>
      </c>
      <c r="BN1972" t="s">
        <v>1735</v>
      </c>
      <c r="BO1972" s="17">
        <f t="shared" ca="1" si="30"/>
        <v>41.652935995371081</v>
      </c>
      <c r="BP1972" t="b">
        <v>0</v>
      </c>
      <c r="BQ1972">
        <v>1</v>
      </c>
      <c r="BR1972" t="s">
        <v>1842</v>
      </c>
      <c r="BS1972" t="s">
        <v>2882</v>
      </c>
      <c r="BT1972" t="b">
        <v>0</v>
      </c>
      <c r="BV1972" t="s">
        <v>1668</v>
      </c>
      <c r="BW1972">
        <v>6710</v>
      </c>
      <c r="BX1972" t="s">
        <v>3856</v>
      </c>
      <c r="BY1972">
        <v>414651</v>
      </c>
      <c r="BZ1972" t="s">
        <v>5581</v>
      </c>
      <c r="CA1972">
        <v>1</v>
      </c>
      <c r="CB1972" t="b">
        <v>1</v>
      </c>
      <c r="CC1972">
        <v>0</v>
      </c>
      <c r="CD1972" t="b">
        <v>0</v>
      </c>
      <c r="CE1972" t="b">
        <v>0</v>
      </c>
      <c r="CF1972" t="b">
        <v>0</v>
      </c>
      <c r="CG1972">
        <v>2518929</v>
      </c>
      <c r="CH1972" t="s">
        <v>1681</v>
      </c>
      <c r="CI1972" s="10">
        <v>559950</v>
      </c>
      <c r="CJ1972" s="7">
        <v>38254</v>
      </c>
      <c r="CL1972" t="s">
        <v>6502</v>
      </c>
    </row>
    <row r="1973" spans="1:90">
      <c r="A1973">
        <v>28035273</v>
      </c>
      <c r="B1973" s="15" t="str">
        <f>HYPERLINK("http://www.redfin.com/stingray/do/printable-listing?listing-id=1520000","Active")</f>
        <v>Active</v>
      </c>
      <c r="D1973" t="s">
        <v>207</v>
      </c>
      <c r="E1973" t="s">
        <v>3170</v>
      </c>
      <c r="F1973">
        <v>710000</v>
      </c>
      <c r="G1973">
        <v>1939</v>
      </c>
      <c r="H1973">
        <v>2300</v>
      </c>
      <c r="I1973">
        <v>5700</v>
      </c>
      <c r="J1973">
        <v>4</v>
      </c>
      <c r="K1973">
        <v>2.75</v>
      </c>
      <c r="M1973" s="2" t="str">
        <f>HYPERLINK("http://maps.live.com/default.aspx?v=2&amp;lvl=15&amp;sp=Point.47.6783_-122.295991_6822 29th Ave NE&amp;cp=47.6783~-122.295991","Map")</f>
        <v>Map</v>
      </c>
      <c r="N1973" s="2" t="str">
        <f>HYPERLINK("http://i-0.rfimg.us/photo/1/bigphoto/273/28035273_0.jpg","Photo")</f>
        <v>Photo</v>
      </c>
      <c r="AG1973">
        <v>47.6783</v>
      </c>
      <c r="AH1973">
        <v>-122.295991</v>
      </c>
      <c r="AI1973" t="s">
        <v>66</v>
      </c>
      <c r="AJ1973">
        <v>98115</v>
      </c>
      <c r="AN1973">
        <v>598450</v>
      </c>
      <c r="BC1973" s="22">
        <v>39507.657627314817</v>
      </c>
      <c r="BI1973" s="22">
        <v>39549.294907407406</v>
      </c>
      <c r="BL1973">
        <v>14200</v>
      </c>
      <c r="BM1973">
        <v>1520000</v>
      </c>
      <c r="BN1973" t="s">
        <v>1710</v>
      </c>
      <c r="BO1973" s="17">
        <f t="shared" ca="1" si="30"/>
        <v>41.651778587962326</v>
      </c>
      <c r="BP1973" t="b">
        <v>0</v>
      </c>
      <c r="BQ1973">
        <v>1</v>
      </c>
      <c r="BR1973" t="s">
        <v>1667</v>
      </c>
      <c r="BS1973" t="s">
        <v>1772</v>
      </c>
      <c r="BT1973" t="b">
        <v>0</v>
      </c>
      <c r="BV1973" t="s">
        <v>1668</v>
      </c>
      <c r="BW1973">
        <v>6822</v>
      </c>
      <c r="BX1973" t="s">
        <v>1738</v>
      </c>
      <c r="BY1973">
        <v>315594</v>
      </c>
      <c r="BZ1973" t="s">
        <v>1713</v>
      </c>
      <c r="CA1973">
        <v>1</v>
      </c>
      <c r="CB1973" t="b">
        <v>1</v>
      </c>
      <c r="CC1973">
        <v>0</v>
      </c>
      <c r="CD1973" t="b">
        <v>0</v>
      </c>
      <c r="CE1973" t="b">
        <v>0</v>
      </c>
      <c r="CF1973" t="b">
        <v>0</v>
      </c>
      <c r="CG1973">
        <v>2842959</v>
      </c>
      <c r="CH1973" t="s">
        <v>1681</v>
      </c>
      <c r="CI1973" s="10">
        <v>710000</v>
      </c>
      <c r="CJ1973" s="7">
        <v>38828</v>
      </c>
    </row>
    <row r="1974" spans="1:90">
      <c r="A1974">
        <v>28035279</v>
      </c>
      <c r="B1974" s="15" t="str">
        <f>HYPERLINK("http://www.redfin.com/stingray/do/printable-listing?listing-id=1522376","Subject To Inspection")</f>
        <v>Subject To Inspection</v>
      </c>
      <c r="D1974" t="s">
        <v>2552</v>
      </c>
      <c r="E1974" t="s">
        <v>3478</v>
      </c>
      <c r="F1974">
        <v>675000</v>
      </c>
      <c r="G1974">
        <v>1940</v>
      </c>
      <c r="H1974">
        <v>2244</v>
      </c>
      <c r="I1974">
        <v>7200</v>
      </c>
      <c r="J1974">
        <v>3</v>
      </c>
      <c r="K1974">
        <v>2.25</v>
      </c>
      <c r="M1974" s="2" t="str">
        <f>HYPERLINK("http://maps.live.com/default.aspx?v=2&amp;lvl=15&amp;sp=Point.47.654256_-122.397315_3803 31st Ave W&amp;cp=47.654256~-122.397315","Map")</f>
        <v>Map</v>
      </c>
      <c r="N1974" s="2" t="str">
        <f>HYPERLINK("http://i-0.rfimg.us/photo/1/bigphoto/279/28035279_1.jpg","Photo")</f>
        <v>Photo</v>
      </c>
      <c r="AG1974">
        <v>47.654255999999997</v>
      </c>
      <c r="AH1974">
        <v>-122.39731500000001</v>
      </c>
      <c r="AI1974" t="s">
        <v>66</v>
      </c>
      <c r="AJ1974">
        <v>98199</v>
      </c>
      <c r="AN1974">
        <v>231000</v>
      </c>
      <c r="BC1974" s="22">
        <v>39508.452662037038</v>
      </c>
      <c r="BI1974" s="22">
        <v>39549.294907407406</v>
      </c>
      <c r="BL1974">
        <v>13500</v>
      </c>
      <c r="BM1974">
        <v>1522376</v>
      </c>
      <c r="BN1974" t="s">
        <v>1718</v>
      </c>
      <c r="BO1974" s="17">
        <f t="shared" ca="1" si="30"/>
        <v>40.856743865741009</v>
      </c>
      <c r="BP1974" t="b">
        <v>0</v>
      </c>
      <c r="BQ1974">
        <v>1</v>
      </c>
      <c r="BR1974" t="s">
        <v>1667</v>
      </c>
      <c r="BS1974" t="s">
        <v>1732</v>
      </c>
      <c r="BT1974" t="b">
        <v>0</v>
      </c>
      <c r="BV1974" t="s">
        <v>1668</v>
      </c>
      <c r="BW1974">
        <v>3803</v>
      </c>
      <c r="BX1974" t="s">
        <v>2423</v>
      </c>
      <c r="BY1974">
        <v>127817</v>
      </c>
      <c r="BZ1974" t="s">
        <v>3479</v>
      </c>
      <c r="CA1974">
        <v>1</v>
      </c>
      <c r="CB1974" t="b">
        <v>1</v>
      </c>
      <c r="CC1974">
        <v>0</v>
      </c>
      <c r="CD1974" t="b">
        <v>0</v>
      </c>
      <c r="CE1974" t="b">
        <v>0</v>
      </c>
      <c r="CF1974" t="b">
        <v>0</v>
      </c>
      <c r="CG1974">
        <v>2405766</v>
      </c>
      <c r="CH1974" t="s">
        <v>1681</v>
      </c>
      <c r="CI1974" s="10">
        <v>675000</v>
      </c>
      <c r="CJ1974" s="7">
        <v>35520</v>
      </c>
    </row>
    <row r="1975" spans="1:90">
      <c r="A1975">
        <v>28035315</v>
      </c>
      <c r="B1975" s="2" t="str">
        <f>HYPERLINK("http://www.redfin.com/stingray/do/printable-listing?listing-id=1534436","Active")</f>
        <v>Active</v>
      </c>
      <c r="D1975" t="s">
        <v>5281</v>
      </c>
      <c r="E1975" t="s">
        <v>5478</v>
      </c>
      <c r="F1975">
        <v>850000</v>
      </c>
      <c r="G1975">
        <v>1988</v>
      </c>
      <c r="H1975">
        <v>2960</v>
      </c>
      <c r="I1975">
        <v>9628</v>
      </c>
      <c r="J1975">
        <v>4</v>
      </c>
      <c r="K1975">
        <v>2.5</v>
      </c>
      <c r="M1975" s="2" t="str">
        <f>HYPERLINK("http://maps.live.com/default.aspx?v=2&amp;lvl=15&amp;sp=Point.47.568731_-122.093718_4243 185th Pl SE&amp;cp=47.568731~-122.093718","Map")</f>
        <v>Map</v>
      </c>
      <c r="N1975" s="2" t="str">
        <f>HYPERLINK("http://i-0.rfimg.us/photo/1/bigphoto/315/28035315_1.jpg","Photo")</f>
        <v>Photo</v>
      </c>
      <c r="AG1975">
        <v>47.568731</v>
      </c>
      <c r="AH1975">
        <v>-122.093718</v>
      </c>
      <c r="AI1975" t="s">
        <v>5280</v>
      </c>
      <c r="AJ1975">
        <v>98027</v>
      </c>
      <c r="AN1975">
        <v>379500</v>
      </c>
      <c r="BC1975" s="22">
        <v>39512.901956018519</v>
      </c>
      <c r="BI1975" s="22">
        <v>39549.294907407406</v>
      </c>
      <c r="BL1975">
        <v>17000</v>
      </c>
      <c r="BM1975">
        <v>1534436</v>
      </c>
      <c r="BN1975" t="s">
        <v>1674</v>
      </c>
      <c r="BO1975" s="17">
        <f t="shared" ca="1" si="30"/>
        <v>36.407449884260132</v>
      </c>
      <c r="BP1975" t="b">
        <v>0</v>
      </c>
      <c r="BQ1975">
        <v>1</v>
      </c>
      <c r="BR1975" t="s">
        <v>1842</v>
      </c>
      <c r="BS1975" t="s">
        <v>5479</v>
      </c>
      <c r="BT1975" t="b">
        <v>0</v>
      </c>
      <c r="BV1975" t="s">
        <v>1668</v>
      </c>
      <c r="BW1975">
        <v>4243</v>
      </c>
      <c r="BX1975" t="s">
        <v>3856</v>
      </c>
      <c r="BY1975">
        <v>326580</v>
      </c>
      <c r="BZ1975" t="s">
        <v>1679</v>
      </c>
      <c r="CA1975">
        <v>1</v>
      </c>
      <c r="CB1975" t="b">
        <v>1</v>
      </c>
      <c r="CC1975">
        <v>0</v>
      </c>
      <c r="CD1975" t="b">
        <v>0</v>
      </c>
      <c r="CE1975" t="b">
        <v>0</v>
      </c>
      <c r="CF1975" t="b">
        <v>0</v>
      </c>
      <c r="CG1975">
        <v>2396574</v>
      </c>
      <c r="CH1975" t="s">
        <v>1681</v>
      </c>
      <c r="CI1975" s="10">
        <v>850000</v>
      </c>
      <c r="CJ1975" s="7">
        <v>34771</v>
      </c>
    </row>
    <row r="1976" spans="1:90">
      <c r="A1976">
        <v>28035324</v>
      </c>
      <c r="B1976" s="2" t="str">
        <f>HYPERLINK("http://www.redfin.com/stingray/do/printable-listing?listing-id=1519976","Active")</f>
        <v>Active</v>
      </c>
      <c r="D1976" t="s">
        <v>109</v>
      </c>
      <c r="E1976" t="s">
        <v>3624</v>
      </c>
      <c r="F1976">
        <v>749950</v>
      </c>
      <c r="G1976">
        <v>1919</v>
      </c>
      <c r="H1976">
        <v>2517</v>
      </c>
      <c r="I1976">
        <v>3900</v>
      </c>
      <c r="J1976">
        <v>4</v>
      </c>
      <c r="K1976">
        <v>2.5</v>
      </c>
      <c r="M1976" s="2" t="str">
        <f>HYPERLINK("http://maps.live.com/default.aspx?v=2&amp;lvl=15&amp;sp=Point.47.654611_-122.335979_3906 Wallingford Ave N&amp;cp=47.654611~-122.335979","Map")</f>
        <v>Map</v>
      </c>
      <c r="N1976" s="2" t="str">
        <f>HYPERLINK("http://i-0.rfimg.us/photo/1/bigphoto/324/28035324_5.jpg","Photo")</f>
        <v>Photo</v>
      </c>
      <c r="AG1976">
        <v>47.654611000000003</v>
      </c>
      <c r="AH1976">
        <v>-122.33597899999999</v>
      </c>
      <c r="AI1976" t="s">
        <v>66</v>
      </c>
      <c r="AJ1976">
        <v>98103</v>
      </c>
      <c r="AN1976">
        <v>161000</v>
      </c>
      <c r="BC1976" s="22">
        <v>39507.657418981478</v>
      </c>
      <c r="BI1976" s="22">
        <v>39549.294907407406</v>
      </c>
      <c r="BL1976">
        <v>14999</v>
      </c>
      <c r="BM1976">
        <v>1519976</v>
      </c>
      <c r="BN1976" t="s">
        <v>1678</v>
      </c>
      <c r="BO1976" s="17">
        <f t="shared" ca="1" si="30"/>
        <v>41.651986921300704</v>
      </c>
      <c r="BP1976" t="b">
        <v>0</v>
      </c>
      <c r="BQ1976">
        <v>1</v>
      </c>
      <c r="BR1976" t="s">
        <v>1667</v>
      </c>
      <c r="BS1976" t="s">
        <v>109</v>
      </c>
      <c r="BT1976" t="b">
        <v>0</v>
      </c>
      <c r="BV1976" t="s">
        <v>1668</v>
      </c>
      <c r="BW1976">
        <v>3906</v>
      </c>
      <c r="BX1976" t="s">
        <v>1712</v>
      </c>
      <c r="BY1976">
        <v>119953</v>
      </c>
      <c r="BZ1976" t="s">
        <v>3625</v>
      </c>
      <c r="CA1976">
        <v>1</v>
      </c>
      <c r="CB1976" t="b">
        <v>1</v>
      </c>
      <c r="CC1976">
        <v>0</v>
      </c>
      <c r="CD1976" t="b">
        <v>0</v>
      </c>
      <c r="CE1976" t="b">
        <v>0</v>
      </c>
      <c r="CF1976" t="b">
        <v>0</v>
      </c>
      <c r="CG1976">
        <v>2507959</v>
      </c>
      <c r="CH1976" t="s">
        <v>1681</v>
      </c>
      <c r="CI1976" s="10">
        <v>749950</v>
      </c>
      <c r="CJ1976" s="7">
        <v>34240</v>
      </c>
    </row>
    <row r="1977" spans="1:90">
      <c r="A1977">
        <v>28035328</v>
      </c>
      <c r="B1977" s="2" t="str">
        <f>HYPERLINK("http://www.redfin.com/stingray/do/printable-listing?listing-id=1517512","Active")</f>
        <v>Active</v>
      </c>
      <c r="D1977" t="s">
        <v>70</v>
      </c>
      <c r="E1977" t="s">
        <v>2694</v>
      </c>
      <c r="F1977">
        <v>369000</v>
      </c>
      <c r="G1977">
        <v>2001</v>
      </c>
      <c r="H1977">
        <v>1620</v>
      </c>
      <c r="I1977">
        <v>1543</v>
      </c>
      <c r="J1977">
        <v>3</v>
      </c>
      <c r="K1977">
        <v>2.25</v>
      </c>
      <c r="M1977" s="2" t="str">
        <f>HYPERLINK("http://maps.live.com/default.aspx?v=2&amp;lvl=15&amp;sp=Point.47.721951_-122.356096_12719 Greenwood (not busy back row) Ave N nC&amp;cp=47.721951~-122.356096","Map")</f>
        <v>Map</v>
      </c>
      <c r="N1977" s="2" t="str">
        <f>HYPERLINK("http://i-0.rfimg.us/photo/1/bigphoto/328/28035328_4.jpg","Photo")</f>
        <v>Photo</v>
      </c>
      <c r="AG1977">
        <v>47.721950999999997</v>
      </c>
      <c r="AH1977">
        <v>-122.35609599999999</v>
      </c>
      <c r="AI1977" t="s">
        <v>66</v>
      </c>
      <c r="AJ1977">
        <v>98122</v>
      </c>
      <c r="AM1977" t="s">
        <v>2341</v>
      </c>
      <c r="AN1977">
        <v>239900</v>
      </c>
      <c r="BC1977" s="22">
        <v>39506.994328703702</v>
      </c>
      <c r="BI1977" s="22">
        <v>39549.294907407406</v>
      </c>
      <c r="BL1977">
        <v>7380</v>
      </c>
      <c r="BM1977">
        <v>1517512</v>
      </c>
      <c r="BN1977" t="s">
        <v>2693</v>
      </c>
      <c r="BO1977" s="17">
        <f t="shared" ca="1" si="30"/>
        <v>42.315077199076768</v>
      </c>
      <c r="BP1977" t="b">
        <v>0</v>
      </c>
      <c r="BQ1977">
        <v>1</v>
      </c>
      <c r="BR1977" t="s">
        <v>1667</v>
      </c>
      <c r="BS1977" t="s">
        <v>2695</v>
      </c>
      <c r="BT1977" t="b">
        <v>0</v>
      </c>
      <c r="BV1977" t="s">
        <v>1668</v>
      </c>
      <c r="BW1977">
        <v>12719</v>
      </c>
      <c r="BX1977" t="s">
        <v>1712</v>
      </c>
      <c r="BY1977">
        <v>95495</v>
      </c>
      <c r="BZ1977" t="s">
        <v>2696</v>
      </c>
      <c r="CA1977">
        <v>1</v>
      </c>
      <c r="CB1977" t="b">
        <v>1</v>
      </c>
      <c r="CC1977">
        <v>0</v>
      </c>
      <c r="CD1977" t="b">
        <v>0</v>
      </c>
      <c r="CE1977" t="b">
        <v>0</v>
      </c>
      <c r="CF1977" t="b">
        <v>0</v>
      </c>
      <c r="CG1977">
        <v>2431018</v>
      </c>
      <c r="CH1977" t="s">
        <v>1681</v>
      </c>
      <c r="CI1977" s="10">
        <v>369000</v>
      </c>
      <c r="CJ1977" s="7">
        <v>37245</v>
      </c>
    </row>
    <row r="1978" spans="1:90">
      <c r="A1978">
        <v>28035332</v>
      </c>
      <c r="B1978" s="2" t="str">
        <f>HYPERLINK("http://www.redfin.com/stingray/do/printable-listing?listing-id=1517903","Active")</f>
        <v>Active</v>
      </c>
      <c r="D1978" t="s">
        <v>3066</v>
      </c>
      <c r="E1978" t="s">
        <v>5019</v>
      </c>
      <c r="F1978">
        <v>939000</v>
      </c>
      <c r="G1978">
        <v>2008</v>
      </c>
      <c r="H1978">
        <v>3763</v>
      </c>
      <c r="I1978">
        <v>14719</v>
      </c>
      <c r="J1978">
        <v>4</v>
      </c>
      <c r="K1978">
        <v>2.5</v>
      </c>
      <c r="M1978" s="2" t="str">
        <f>HYPERLINK("http://maps.live.com/default.aspx?v=2&amp;lvl=15&amp;sp=adr.12326 102nd Ln (Unable to map),98005","Map")</f>
        <v>Map</v>
      </c>
      <c r="N1978" s="2" t="str">
        <f>HYPERLINK("http://i-0.rfimg.us/photo/1/bigphoto/332/28035332_0.jpg","Photo")</f>
        <v>Photo</v>
      </c>
      <c r="AI1978" t="s">
        <v>1058</v>
      </c>
      <c r="AJ1978">
        <v>98005</v>
      </c>
      <c r="BC1978" s="22">
        <v>39507.360520833332</v>
      </c>
      <c r="BI1978" s="22">
        <v>39549.294907407406</v>
      </c>
      <c r="BL1978">
        <v>18780</v>
      </c>
      <c r="BM1978">
        <v>1517903</v>
      </c>
      <c r="BN1978" t="s">
        <v>1674</v>
      </c>
      <c r="BO1978" s="17">
        <f t="shared" ca="1" si="30"/>
        <v>41.948885069446987</v>
      </c>
      <c r="BP1978" t="b">
        <v>0</v>
      </c>
      <c r="BQ1978">
        <v>1</v>
      </c>
      <c r="BR1978" t="s">
        <v>2963</v>
      </c>
      <c r="BS1978" t="s">
        <v>5020</v>
      </c>
      <c r="BT1978" t="b">
        <v>0</v>
      </c>
      <c r="BV1978" t="s">
        <v>1668</v>
      </c>
      <c r="BW1978">
        <v>12326</v>
      </c>
      <c r="BY1978">
        <v>0</v>
      </c>
      <c r="BZ1978" t="s">
        <v>1696</v>
      </c>
      <c r="CA1978">
        <v>1</v>
      </c>
      <c r="CB1978" t="b">
        <v>1</v>
      </c>
      <c r="CC1978">
        <v>0</v>
      </c>
      <c r="CD1978" t="b">
        <v>0</v>
      </c>
      <c r="CE1978" t="b">
        <v>0</v>
      </c>
      <c r="CF1978" t="b">
        <v>0</v>
      </c>
      <c r="CG1978" t="s">
        <v>1870</v>
      </c>
      <c r="CH1978" t="s">
        <v>1681</v>
      </c>
      <c r="CI1978" s="10">
        <v>939000</v>
      </c>
    </row>
    <row r="1979" spans="1:90">
      <c r="A1979">
        <v>28035369</v>
      </c>
      <c r="B1979" s="2" t="str">
        <f>HYPERLINK("http://www.redfin.com/stingray/do/printable-listing?listing-id=1517883","Active")</f>
        <v>Active</v>
      </c>
      <c r="D1979" t="s">
        <v>369</v>
      </c>
      <c r="E1979" t="s">
        <v>4987</v>
      </c>
      <c r="F1979" s="19">
        <v>774883</v>
      </c>
      <c r="G1979">
        <v>1984</v>
      </c>
      <c r="H1979">
        <v>3070</v>
      </c>
      <c r="I1979">
        <v>11139</v>
      </c>
      <c r="J1979">
        <v>3</v>
      </c>
      <c r="K1979">
        <v>2.5</v>
      </c>
      <c r="M1979" s="2" t="str">
        <f>HYPERLINK("http://maps.live.com/default.aspx?v=2&amp;lvl=15&amp;sp=Point.47.645103_-122.188168_3842 113th Ave NE&amp;cp=47.645103~-122.188168","Map")</f>
        <v>Map</v>
      </c>
      <c r="N1979" s="2" t="str">
        <f>HYPERLINK("http://i-0.rfimg.us/photo/1/bigphoto/369/28035369_2.jpg","Photo")</f>
        <v>Photo</v>
      </c>
      <c r="AG1979">
        <v>47.645102999999999</v>
      </c>
      <c r="AH1979">
        <v>-122.188168</v>
      </c>
      <c r="AI1979" t="s">
        <v>369</v>
      </c>
      <c r="AJ1979">
        <v>98004</v>
      </c>
      <c r="AN1979">
        <v>680000</v>
      </c>
      <c r="BC1979" s="22">
        <v>39507.360162037039</v>
      </c>
      <c r="BI1979" s="22">
        <v>39549.294907407406</v>
      </c>
      <c r="BL1979">
        <v>16000</v>
      </c>
      <c r="BM1979">
        <v>1517883</v>
      </c>
      <c r="BN1979" t="s">
        <v>1674</v>
      </c>
      <c r="BO1979" s="17">
        <f t="shared" ca="1" si="30"/>
        <v>41.949243865739845</v>
      </c>
      <c r="BP1979" t="b">
        <v>0</v>
      </c>
      <c r="BQ1979">
        <v>1</v>
      </c>
      <c r="BR1979" t="s">
        <v>1667</v>
      </c>
      <c r="BS1979" t="s">
        <v>4394</v>
      </c>
      <c r="BT1979" t="b">
        <v>0</v>
      </c>
      <c r="BV1979" t="s">
        <v>1668</v>
      </c>
      <c r="BW1979">
        <v>3842</v>
      </c>
      <c r="BX1979" t="s">
        <v>1738</v>
      </c>
      <c r="BY1979">
        <v>459514</v>
      </c>
      <c r="BZ1979" t="s">
        <v>4988</v>
      </c>
      <c r="CA1979">
        <v>1</v>
      </c>
      <c r="CB1979" t="b">
        <v>1</v>
      </c>
      <c r="CC1979">
        <v>0</v>
      </c>
      <c r="CD1979" t="b">
        <v>0</v>
      </c>
      <c r="CE1979" t="b">
        <v>0</v>
      </c>
      <c r="CF1979" t="b">
        <v>0</v>
      </c>
      <c r="CG1979">
        <v>2502867</v>
      </c>
      <c r="CH1979" t="s">
        <v>1681</v>
      </c>
      <c r="CI1979" s="10">
        <v>800000</v>
      </c>
      <c r="CJ1979" s="7">
        <v>38491</v>
      </c>
    </row>
    <row r="1980" spans="1:90">
      <c r="A1980">
        <v>28035383</v>
      </c>
      <c r="B1980" s="2" t="str">
        <f>HYPERLINK("http://www.redfin.com/stingray/do/printable-listing?listing-id=1518734","Active")</f>
        <v>Active</v>
      </c>
      <c r="D1980" t="s">
        <v>5191</v>
      </c>
      <c r="E1980" t="s">
        <v>5847</v>
      </c>
      <c r="F1980">
        <v>835000</v>
      </c>
      <c r="G1980">
        <v>1984</v>
      </c>
      <c r="H1980">
        <v>2650</v>
      </c>
      <c r="I1980">
        <v>3500</v>
      </c>
      <c r="J1980">
        <v>3</v>
      </c>
      <c r="K1980">
        <v>3.25</v>
      </c>
      <c r="M1980" s="2" t="str">
        <f>HYPERLINK("http://maps.live.com/default.aspx?v=2&amp;lvl=15&amp;sp=Point.47.557096_-122.155546_5007 139th Pl SE&amp;cp=47.557096~-122.155546","Map")</f>
        <v>Map</v>
      </c>
      <c r="N1980" s="2" t="str">
        <f>HYPERLINK("http://i-0.rfimg.us/photo/1/bigphoto/383/28035383_2.jpg","Photo")</f>
        <v>Photo</v>
      </c>
      <c r="AG1980">
        <v>47.557096000000001</v>
      </c>
      <c r="AH1980">
        <v>-122.155546</v>
      </c>
      <c r="AI1980" t="s">
        <v>369</v>
      </c>
      <c r="AJ1980">
        <v>98006</v>
      </c>
      <c r="BC1980" s="22">
        <v>39507.442627314813</v>
      </c>
      <c r="BI1980" s="22">
        <v>39549.294907407406</v>
      </c>
      <c r="BL1980">
        <v>16700</v>
      </c>
      <c r="BM1980">
        <v>1518734</v>
      </c>
      <c r="BN1980" t="s">
        <v>1674</v>
      </c>
      <c r="BO1980" s="17">
        <f t="shared" ca="1" si="30"/>
        <v>41.86677858796611</v>
      </c>
      <c r="BP1980" t="b">
        <v>0</v>
      </c>
      <c r="BQ1980">
        <v>1</v>
      </c>
      <c r="BR1980" t="s">
        <v>1842</v>
      </c>
      <c r="BS1980" t="s">
        <v>4423</v>
      </c>
      <c r="BT1980" t="b">
        <v>0</v>
      </c>
      <c r="BV1980" t="s">
        <v>1668</v>
      </c>
      <c r="BW1980">
        <v>5007</v>
      </c>
      <c r="BX1980" t="s">
        <v>3856</v>
      </c>
      <c r="BY1980">
        <v>237934</v>
      </c>
      <c r="BZ1980" t="s">
        <v>5848</v>
      </c>
      <c r="CA1980">
        <v>1</v>
      </c>
      <c r="CB1980" t="b">
        <v>1</v>
      </c>
      <c r="CC1980">
        <v>0</v>
      </c>
      <c r="CD1980" t="b">
        <v>0</v>
      </c>
      <c r="CE1980" t="b">
        <v>0</v>
      </c>
      <c r="CF1980" t="b">
        <v>0</v>
      </c>
      <c r="CG1980">
        <v>2755037</v>
      </c>
      <c r="CH1980" t="s">
        <v>1681</v>
      </c>
      <c r="CI1980" s="10">
        <v>835000</v>
      </c>
    </row>
    <row r="1981" spans="1:90">
      <c r="A1981">
        <v>28035416</v>
      </c>
      <c r="B1981" s="2" t="str">
        <f>HYPERLINK("http://www.redfin.com/stingray/do/printable-listing?listing-id=1523218","Active")</f>
        <v>Active</v>
      </c>
      <c r="D1981" t="s">
        <v>3249</v>
      </c>
      <c r="E1981" t="s">
        <v>3569</v>
      </c>
      <c r="F1981">
        <v>998000</v>
      </c>
      <c r="G1981">
        <v>1927</v>
      </c>
      <c r="H1981">
        <v>3040</v>
      </c>
      <c r="I1981">
        <v>3600</v>
      </c>
      <c r="J1981">
        <v>5</v>
      </c>
      <c r="K1981">
        <v>2.75</v>
      </c>
      <c r="M1981" s="2" t="str">
        <f>HYPERLINK("http://maps.live.com/default.aspx?v=2&amp;lvl=15&amp;sp=Point.47.637298_-122.366715_1947 7th Ave W&amp;cp=47.637298~-122.366715","Map")</f>
        <v>Map</v>
      </c>
      <c r="N1981" s="2" t="str">
        <f>HYPERLINK("http://i-0.rfimg.us/photo/1/bigphoto/416/28035416_0.jpg","Photo")</f>
        <v>Photo</v>
      </c>
      <c r="AG1981">
        <v>47.637298000000001</v>
      </c>
      <c r="AH1981">
        <v>-122.366715</v>
      </c>
      <c r="AI1981" t="s">
        <v>66</v>
      </c>
      <c r="AJ1981">
        <v>98119</v>
      </c>
      <c r="BC1981" s="22">
        <v>39508.775868055556</v>
      </c>
      <c r="BI1981" s="22">
        <v>39549.294907407406</v>
      </c>
      <c r="BL1981">
        <v>19960</v>
      </c>
      <c r="BM1981">
        <v>1523218</v>
      </c>
      <c r="BN1981" t="s">
        <v>1678</v>
      </c>
      <c r="BO1981" s="17">
        <f t="shared" ca="1" si="30"/>
        <v>40.53353784722276</v>
      </c>
      <c r="BP1981" t="b">
        <v>0</v>
      </c>
      <c r="BQ1981">
        <v>1</v>
      </c>
      <c r="BR1981" t="s">
        <v>1667</v>
      </c>
      <c r="BS1981" t="s">
        <v>1859</v>
      </c>
      <c r="BT1981" t="b">
        <v>0</v>
      </c>
      <c r="BV1981" t="s">
        <v>1668</v>
      </c>
      <c r="BW1981">
        <v>1947</v>
      </c>
      <c r="BX1981" t="s">
        <v>2423</v>
      </c>
      <c r="BY1981">
        <v>134539</v>
      </c>
      <c r="BZ1981" t="s">
        <v>1713</v>
      </c>
      <c r="CA1981">
        <v>1</v>
      </c>
      <c r="CB1981" t="b">
        <v>1</v>
      </c>
      <c r="CC1981">
        <v>0</v>
      </c>
      <c r="CD1981" t="b">
        <v>0</v>
      </c>
      <c r="CE1981" t="b">
        <v>0</v>
      </c>
      <c r="CF1981" t="b">
        <v>0</v>
      </c>
      <c r="CG1981">
        <v>2483377</v>
      </c>
      <c r="CH1981" t="s">
        <v>1681</v>
      </c>
      <c r="CI1981" s="10">
        <v>998000</v>
      </c>
    </row>
    <row r="1982" spans="1:90">
      <c r="A1982">
        <v>28035428</v>
      </c>
      <c r="B1982" s="15" t="str">
        <f>HYPERLINK("http://www.redfin.com/stingray/do/printable-listing?listing-id=1519813","Subject To Inspection")</f>
        <v>Subject To Inspection</v>
      </c>
      <c r="D1982" t="s">
        <v>63</v>
      </c>
      <c r="E1982" t="s">
        <v>1594</v>
      </c>
      <c r="F1982">
        <v>469922</v>
      </c>
      <c r="G1982">
        <v>1930</v>
      </c>
      <c r="H1982">
        <v>1840</v>
      </c>
      <c r="I1982">
        <v>4000</v>
      </c>
      <c r="J1982">
        <v>3</v>
      </c>
      <c r="K1982">
        <v>1</v>
      </c>
      <c r="M1982" s="2" t="str">
        <f>HYPERLINK("http://maps.live.com/default.aspx?v=2&amp;lvl=15&amp;sp=Point.47.679751_-122.373035_1308 NW 70th St&amp;cp=47.679751~-122.373035","Map")</f>
        <v>Map</v>
      </c>
      <c r="N1982" s="2" t="str">
        <f>HYPERLINK("http://i-0.rfimg.us/photo/1/bigphoto/428/28035428_0.jpg","Photo")</f>
        <v>Photo</v>
      </c>
      <c r="AG1982">
        <v>47.679751000000003</v>
      </c>
      <c r="AH1982">
        <v>-122.373035</v>
      </c>
      <c r="AI1982" t="s">
        <v>66</v>
      </c>
      <c r="AJ1982">
        <v>98117</v>
      </c>
      <c r="AN1982">
        <v>82169</v>
      </c>
      <c r="BC1982" s="22">
        <v>39507.63559027778</v>
      </c>
      <c r="BI1982" s="7">
        <v>39542</v>
      </c>
      <c r="BL1982">
        <v>9398</v>
      </c>
      <c r="BM1982">
        <v>1519813</v>
      </c>
      <c r="BN1982" t="s">
        <v>1685</v>
      </c>
      <c r="BO1982" s="17">
        <f t="shared" ca="1" si="30"/>
        <v>41.673815740738064</v>
      </c>
      <c r="BP1982" t="b">
        <v>0</v>
      </c>
      <c r="BQ1982">
        <v>1</v>
      </c>
      <c r="BR1982" t="s">
        <v>1686</v>
      </c>
      <c r="BS1982" t="s">
        <v>1703</v>
      </c>
      <c r="BT1982" t="b">
        <v>0</v>
      </c>
      <c r="BU1982" t="s">
        <v>1669</v>
      </c>
      <c r="BV1982" t="s">
        <v>1668</v>
      </c>
      <c r="BW1982">
        <v>1308</v>
      </c>
      <c r="BY1982">
        <v>497732</v>
      </c>
      <c r="BZ1982" t="s">
        <v>1713</v>
      </c>
      <c r="CA1982">
        <v>1</v>
      </c>
      <c r="CB1982" t="b">
        <v>1</v>
      </c>
      <c r="CC1982">
        <v>0</v>
      </c>
      <c r="CD1982" t="b">
        <v>0</v>
      </c>
      <c r="CE1982" t="b">
        <v>0</v>
      </c>
      <c r="CF1982" t="b">
        <v>0</v>
      </c>
      <c r="CG1982">
        <v>2930408</v>
      </c>
      <c r="CH1982" t="s">
        <v>1681</v>
      </c>
      <c r="CI1982" s="10">
        <v>469922</v>
      </c>
      <c r="CJ1982" s="7">
        <v>34513</v>
      </c>
    </row>
    <row r="1983" spans="1:90">
      <c r="A1983">
        <v>28035445</v>
      </c>
      <c r="B1983" s="2" t="str">
        <f>HYPERLINK("http://www.redfin.com/stingray/do/printable-listing?listing-id=1531317","Subject To Inspection")</f>
        <v>Subject To Inspection</v>
      </c>
      <c r="D1983" t="s">
        <v>4378</v>
      </c>
      <c r="E1983" t="s">
        <v>4553</v>
      </c>
      <c r="F1983">
        <v>949950</v>
      </c>
      <c r="G1983">
        <v>1994</v>
      </c>
      <c r="H1983">
        <v>2410</v>
      </c>
      <c r="I1983">
        <v>10294</v>
      </c>
      <c r="J1983">
        <v>2</v>
      </c>
      <c r="K1983">
        <v>1.5</v>
      </c>
      <c r="M1983" s="2" t="str">
        <f>HYPERLINK("http://maps.live.com/default.aspx?v=2&amp;lvl=15&amp;sp=Point.47.699004_-122.228619_8351 Juanita Dr NE&amp;cp=47.699004~-122.228619","Map")</f>
        <v>Map</v>
      </c>
      <c r="N1983" s="2" t="str">
        <f>HYPERLINK("http://i-0.rfimg.us/photo/1/bigphoto/445/28035445_0.jpg","Photo")</f>
        <v>Photo</v>
      </c>
      <c r="AG1983">
        <v>47.699004000000002</v>
      </c>
      <c r="AH1983">
        <v>-122.22861899999999</v>
      </c>
      <c r="AI1983" t="s">
        <v>1058</v>
      </c>
      <c r="AJ1983">
        <v>98034</v>
      </c>
      <c r="AN1983">
        <v>533000</v>
      </c>
      <c r="BC1983" s="22">
        <v>39512.369293981479</v>
      </c>
      <c r="BI1983" s="7">
        <v>39531</v>
      </c>
      <c r="BL1983">
        <v>18999</v>
      </c>
      <c r="BM1983">
        <v>1531317</v>
      </c>
      <c r="BN1983" t="s">
        <v>1798</v>
      </c>
      <c r="BO1983" s="17">
        <f t="shared" ca="1" si="30"/>
        <v>36.940111921299831</v>
      </c>
      <c r="BP1983" t="b">
        <v>0</v>
      </c>
      <c r="BQ1983">
        <v>2</v>
      </c>
      <c r="BR1983" t="s">
        <v>1816</v>
      </c>
      <c r="BS1983" t="s">
        <v>2850</v>
      </c>
      <c r="BT1983" t="b">
        <v>0</v>
      </c>
      <c r="BV1983" t="s">
        <v>1668</v>
      </c>
      <c r="BW1983">
        <v>8351</v>
      </c>
      <c r="BX1983" t="s">
        <v>1738</v>
      </c>
      <c r="BY1983">
        <v>280372</v>
      </c>
      <c r="BZ1983" t="s">
        <v>1670</v>
      </c>
      <c r="CA1983">
        <v>1</v>
      </c>
      <c r="CB1983" t="b">
        <v>1</v>
      </c>
      <c r="CC1983">
        <v>0</v>
      </c>
      <c r="CD1983" t="b">
        <v>0</v>
      </c>
      <c r="CE1983" t="b">
        <v>0</v>
      </c>
      <c r="CF1983" t="b">
        <v>0</v>
      </c>
      <c r="CG1983">
        <v>2673896</v>
      </c>
      <c r="CH1983" t="s">
        <v>1681</v>
      </c>
      <c r="CI1983" s="10">
        <v>949950</v>
      </c>
      <c r="CJ1983" s="7">
        <v>35429</v>
      </c>
    </row>
    <row r="1984" spans="1:90">
      <c r="A1984">
        <v>28035540</v>
      </c>
      <c r="B1984" s="2" t="str">
        <f>HYPERLINK("http://www.redfin.com/stingray/do/printable-listing?listing-id=1518966","Active")</f>
        <v>Active</v>
      </c>
      <c r="D1984" t="s">
        <v>3064</v>
      </c>
      <c r="E1984" t="s">
        <v>6174</v>
      </c>
      <c r="F1984">
        <v>479950</v>
      </c>
      <c r="G1984">
        <v>2008</v>
      </c>
      <c r="H1984">
        <v>2470</v>
      </c>
      <c r="I1984">
        <v>9600</v>
      </c>
      <c r="J1984">
        <v>4</v>
      </c>
      <c r="K1984">
        <v>2.5</v>
      </c>
      <c r="M1984" s="2" t="str">
        <f>HYPERLINK("http://maps.live.com/default.aspx?v=2&amp;lvl=15&amp;sp=Point.47.498782_-122.152297_2320 Graham Ave NE&amp;cp=47.498782~-122.152297","Map")</f>
        <v>Map</v>
      </c>
      <c r="N1984" s="2" t="str">
        <f>HYPERLINK("http://i-0.rfimg.us/photo/1/bigphoto/540/28035540_0.jpg","Photo")</f>
        <v>Photo</v>
      </c>
      <c r="AG1984">
        <v>47.498781999999999</v>
      </c>
      <c r="AH1984">
        <v>-122.152297</v>
      </c>
      <c r="AI1984" t="s">
        <v>1077</v>
      </c>
      <c r="AJ1984">
        <v>98059</v>
      </c>
      <c r="BC1984" s="22">
        <v>39507.484803240739</v>
      </c>
      <c r="BI1984" s="22">
        <v>39549.294907407406</v>
      </c>
      <c r="BL1984">
        <v>9599</v>
      </c>
      <c r="BM1984">
        <v>1518966</v>
      </c>
      <c r="BN1984" t="s">
        <v>6076</v>
      </c>
      <c r="BO1984" s="17">
        <f t="shared" ca="1" si="30"/>
        <v>41.824602662039979</v>
      </c>
      <c r="BP1984" t="b">
        <v>0</v>
      </c>
      <c r="BQ1984">
        <v>1</v>
      </c>
      <c r="BR1984" t="s">
        <v>1667</v>
      </c>
      <c r="BS1984" t="s">
        <v>6175</v>
      </c>
      <c r="BT1984" t="b">
        <v>0</v>
      </c>
      <c r="BV1984" t="s">
        <v>1668</v>
      </c>
      <c r="BW1984">
        <v>2320</v>
      </c>
      <c r="BX1984" t="s">
        <v>1738</v>
      </c>
      <c r="BY1984">
        <v>12421170</v>
      </c>
      <c r="BZ1984" t="s">
        <v>1696</v>
      </c>
      <c r="CA1984">
        <v>1</v>
      </c>
      <c r="CB1984" t="b">
        <v>1</v>
      </c>
      <c r="CC1984">
        <v>0</v>
      </c>
      <c r="CD1984" t="b">
        <v>0</v>
      </c>
      <c r="CE1984" t="b">
        <v>0</v>
      </c>
      <c r="CF1984" t="b">
        <v>0</v>
      </c>
      <c r="CG1984">
        <v>15624918</v>
      </c>
      <c r="CH1984" t="s">
        <v>1681</v>
      </c>
      <c r="CI1984" s="10">
        <v>479950</v>
      </c>
    </row>
    <row r="1985" spans="1:88">
      <c r="A1985">
        <v>28035576</v>
      </c>
      <c r="B1985" s="2" t="str">
        <f>HYPERLINK("http://www.redfin.com/stingray/do/printable-listing?listing-id=1524940","Active")</f>
        <v>Active</v>
      </c>
      <c r="D1985" t="s">
        <v>194</v>
      </c>
      <c r="E1985" t="s">
        <v>3021</v>
      </c>
      <c r="F1985">
        <v>649757</v>
      </c>
      <c r="G1985">
        <v>1960</v>
      </c>
      <c r="H1985">
        <v>3460</v>
      </c>
      <c r="I1985">
        <v>6120</v>
      </c>
      <c r="J1985">
        <v>4</v>
      </c>
      <c r="K1985">
        <v>2.75</v>
      </c>
      <c r="M1985" s="2" t="str">
        <f>HYPERLINK("http://maps.live.com/default.aspx?v=2&amp;lvl=15&amp;sp=Point.47.696922_-122.285427_3852 NE 94th St&amp;cp=47.696922~-122.285427","Map")</f>
        <v>Map</v>
      </c>
      <c r="N1985" s="2" t="str">
        <f>HYPERLINK("http://i-0.rfimg.us/photo/1/bigphoto/576/28035576_4.jpg","Photo")</f>
        <v>Photo</v>
      </c>
      <c r="AG1985">
        <v>47.696922000000001</v>
      </c>
      <c r="AH1985">
        <v>-122.285427</v>
      </c>
      <c r="AI1985" t="s">
        <v>66</v>
      </c>
      <c r="AJ1985">
        <v>98115</v>
      </c>
      <c r="BC1985" s="22">
        <v>39510.337719907409</v>
      </c>
      <c r="BI1985" s="22">
        <v>39549.294907407406</v>
      </c>
      <c r="BL1985">
        <v>12995</v>
      </c>
      <c r="BM1985">
        <v>1524940</v>
      </c>
      <c r="BN1985" t="s">
        <v>1700</v>
      </c>
      <c r="BO1985" s="17">
        <f t="shared" ca="1" si="30"/>
        <v>38.971685995369626</v>
      </c>
      <c r="BP1985" t="b">
        <v>0</v>
      </c>
      <c r="BQ1985">
        <v>1</v>
      </c>
      <c r="BR1985" t="s">
        <v>1686</v>
      </c>
      <c r="BS1985" t="s">
        <v>2716</v>
      </c>
      <c r="BT1985" t="b">
        <v>0</v>
      </c>
      <c r="BU1985" t="s">
        <v>1738</v>
      </c>
      <c r="BV1985" t="s">
        <v>1668</v>
      </c>
      <c r="BW1985">
        <v>3852</v>
      </c>
      <c r="BY1985">
        <v>315964</v>
      </c>
      <c r="BZ1985" t="s">
        <v>3022</v>
      </c>
      <c r="CA1985">
        <v>1</v>
      </c>
      <c r="CB1985" t="b">
        <v>1</v>
      </c>
      <c r="CC1985">
        <v>0</v>
      </c>
      <c r="CD1985" t="b">
        <v>0</v>
      </c>
      <c r="CE1985" t="b">
        <v>0</v>
      </c>
      <c r="CF1985" t="b">
        <v>0</v>
      </c>
      <c r="CG1985">
        <v>2433601</v>
      </c>
      <c r="CH1985" t="s">
        <v>1681</v>
      </c>
      <c r="CI1985" s="10">
        <v>649757</v>
      </c>
    </row>
    <row r="1986" spans="1:88">
      <c r="A1986">
        <v>28035590</v>
      </c>
      <c r="B1986" s="2" t="str">
        <f>HYPERLINK("http://www.redfin.com/stingray/do/printable-listing?listing-id=1520178","Active")</f>
        <v>Active</v>
      </c>
      <c r="D1986" t="s">
        <v>4611</v>
      </c>
      <c r="E1986" t="s">
        <v>4627</v>
      </c>
      <c r="F1986">
        <v>752950</v>
      </c>
      <c r="G1986">
        <v>2008</v>
      </c>
      <c r="H1986">
        <v>3081</v>
      </c>
      <c r="I1986">
        <v>0</v>
      </c>
      <c r="J1986">
        <v>4</v>
      </c>
      <c r="K1986">
        <v>2.5</v>
      </c>
      <c r="M1986" s="2" t="str">
        <f>HYPERLINK("http://maps.live.com/default.aspx?v=2&amp;lvl=15&amp;sp=adr.14750 NE 73rd Way (Unable to map),98052","Map")</f>
        <v>Map</v>
      </c>
      <c r="N1986" s="2" t="str">
        <f>HYPERLINK("http://i-0.rfimg.us/photo/1/bigphoto/590/28035590_0.jpg","Photo")</f>
        <v>Photo</v>
      </c>
      <c r="AI1986" t="s">
        <v>4363</v>
      </c>
      <c r="AJ1986">
        <v>98052</v>
      </c>
      <c r="BC1986" s="22">
        <v>39507.684050925927</v>
      </c>
      <c r="BI1986" s="22">
        <v>39549.294907407406</v>
      </c>
      <c r="BL1986">
        <v>15059</v>
      </c>
      <c r="BM1986">
        <v>1520178</v>
      </c>
      <c r="BN1986" t="s">
        <v>1688</v>
      </c>
      <c r="BO1986" s="17">
        <f t="shared" ref="BO1986:BO2049" ca="1" si="31">NOW()-BC1986</f>
        <v>41.625354976851668</v>
      </c>
      <c r="BP1986" t="b">
        <v>0</v>
      </c>
      <c r="BQ1986">
        <v>1</v>
      </c>
      <c r="BR1986" t="s">
        <v>2463</v>
      </c>
      <c r="BS1986" t="s">
        <v>1828</v>
      </c>
      <c r="BT1986" t="b">
        <v>0</v>
      </c>
      <c r="BU1986" t="s">
        <v>1738</v>
      </c>
      <c r="BV1986" t="s">
        <v>1668</v>
      </c>
      <c r="BW1986">
        <v>14750</v>
      </c>
      <c r="BY1986">
        <v>0</v>
      </c>
      <c r="BZ1986" s="21">
        <v>0</v>
      </c>
      <c r="CA1986">
        <v>1</v>
      </c>
      <c r="CB1986" t="b">
        <v>1</v>
      </c>
      <c r="CC1986">
        <v>0</v>
      </c>
      <c r="CD1986" t="b">
        <v>0</v>
      </c>
      <c r="CE1986" t="b">
        <v>0</v>
      </c>
      <c r="CF1986" t="b">
        <v>0</v>
      </c>
      <c r="CG1986" t="s">
        <v>1870</v>
      </c>
      <c r="CH1986" t="s">
        <v>1681</v>
      </c>
      <c r="CI1986" s="10">
        <v>752950</v>
      </c>
    </row>
    <row r="1987" spans="1:88">
      <c r="A1987">
        <v>28035604</v>
      </c>
      <c r="B1987" s="2" t="str">
        <f>HYPERLINK("http://www.redfin.com/stingray/do/printable-listing?listing-id=1519818","Active")</f>
        <v>Active</v>
      </c>
      <c r="D1987" t="s">
        <v>60</v>
      </c>
      <c r="E1987" t="s">
        <v>1610</v>
      </c>
      <c r="F1987">
        <v>444950</v>
      </c>
      <c r="G1987">
        <v>1985</v>
      </c>
      <c r="H1987">
        <v>2310</v>
      </c>
      <c r="I1987">
        <v>4959</v>
      </c>
      <c r="J1987">
        <v>5</v>
      </c>
      <c r="K1987">
        <v>3</v>
      </c>
      <c r="M1987" s="2" t="str">
        <f>HYPERLINK("http://maps.live.com/default.aspx?v=2&amp;lvl=15&amp;sp=Point.47.701887_-122.340231_10014 Interlake Ave N&amp;cp=47.701887~-122.340231","Map")</f>
        <v>Map</v>
      </c>
      <c r="N1987" s="2" t="str">
        <f>HYPERLINK("http://i-0.rfimg.us/photo/1/bigphoto/604/28035604_2.jpg","Photo")</f>
        <v>Photo</v>
      </c>
      <c r="AG1987">
        <v>47.701886999999999</v>
      </c>
      <c r="AH1987">
        <v>-122.340231</v>
      </c>
      <c r="AI1987" t="s">
        <v>66</v>
      </c>
      <c r="AJ1987">
        <v>98133</v>
      </c>
      <c r="AN1987">
        <v>275000</v>
      </c>
      <c r="BC1987" s="22">
        <v>39507.635659722226</v>
      </c>
      <c r="BI1987" s="22">
        <v>39545.917314814818</v>
      </c>
      <c r="BL1987">
        <v>8899</v>
      </c>
      <c r="BM1987">
        <v>1519818</v>
      </c>
      <c r="BN1987" t="s">
        <v>1753</v>
      </c>
      <c r="BO1987" s="17">
        <f t="shared" ca="1" si="31"/>
        <v>41.67374618055328</v>
      </c>
      <c r="BP1987" t="b">
        <v>0</v>
      </c>
      <c r="BQ1987">
        <v>1</v>
      </c>
      <c r="BR1987" t="s">
        <v>1667</v>
      </c>
      <c r="BS1987" t="s">
        <v>2378</v>
      </c>
      <c r="BT1987" t="b">
        <v>0</v>
      </c>
      <c r="BV1987" t="s">
        <v>1668</v>
      </c>
      <c r="BW1987">
        <v>10014</v>
      </c>
      <c r="BX1987" t="s">
        <v>1712</v>
      </c>
      <c r="BY1987">
        <v>105439</v>
      </c>
      <c r="BZ1987" t="s">
        <v>2697</v>
      </c>
      <c r="CA1987">
        <v>1</v>
      </c>
      <c r="CB1987" t="b">
        <v>1</v>
      </c>
      <c r="CC1987">
        <v>0</v>
      </c>
      <c r="CD1987" t="b">
        <v>0</v>
      </c>
      <c r="CE1987" t="b">
        <v>0</v>
      </c>
      <c r="CF1987" t="b">
        <v>0</v>
      </c>
      <c r="CG1987">
        <v>2607478</v>
      </c>
      <c r="CH1987" t="s">
        <v>1681</v>
      </c>
      <c r="CI1987" s="10">
        <v>444950</v>
      </c>
      <c r="CJ1987" s="7">
        <v>37384</v>
      </c>
    </row>
    <row r="1988" spans="1:88">
      <c r="A1988">
        <v>28035617</v>
      </c>
      <c r="B1988" s="2" t="str">
        <f>HYPERLINK("http://www.redfin.com/stingray/do/printable-listing?listing-id=1525870","Active")</f>
        <v>Active</v>
      </c>
      <c r="D1988" t="s">
        <v>3249</v>
      </c>
      <c r="E1988" t="s">
        <v>3605</v>
      </c>
      <c r="F1988">
        <v>1888000</v>
      </c>
      <c r="G1988">
        <v>1952</v>
      </c>
      <c r="H1988">
        <v>3400</v>
      </c>
      <c r="I1988">
        <v>5174</v>
      </c>
      <c r="J1988">
        <v>4</v>
      </c>
      <c r="K1988">
        <v>3.5</v>
      </c>
      <c r="M1988" s="2" t="str">
        <f>HYPERLINK("http://maps.live.com/default.aspx?v=2&amp;lvl=15&amp;sp=Point.47.649217_-122.370129_3222 10th Ave W&amp;cp=47.649217~-122.370129","Map")</f>
        <v>Map</v>
      </c>
      <c r="N1988" s="2" t="str">
        <f>HYPERLINK("http://i-0.rfimg.us/photo/1/bigphoto/617/28035617_2.jpg","Photo")</f>
        <v>Photo</v>
      </c>
      <c r="AG1988">
        <v>47.649217</v>
      </c>
      <c r="AH1988">
        <v>-122.37012900000001</v>
      </c>
      <c r="AI1988" t="s">
        <v>66</v>
      </c>
      <c r="AJ1988">
        <v>98119</v>
      </c>
      <c r="AN1988">
        <v>625000</v>
      </c>
      <c r="BC1988" s="22">
        <v>39510.557233796295</v>
      </c>
      <c r="BI1988" s="22">
        <v>39549.294907407406</v>
      </c>
      <c r="BL1988">
        <v>37760</v>
      </c>
      <c r="BM1988">
        <v>1525870</v>
      </c>
      <c r="BN1988" t="s">
        <v>1680</v>
      </c>
      <c r="BO1988" s="17">
        <f t="shared" ca="1" si="31"/>
        <v>38.752172106484068</v>
      </c>
      <c r="BP1988" t="b">
        <v>0</v>
      </c>
      <c r="BQ1988">
        <v>1</v>
      </c>
      <c r="BR1988" t="s">
        <v>1667</v>
      </c>
      <c r="BS1988" t="s">
        <v>1788</v>
      </c>
      <c r="BT1988" t="b">
        <v>0</v>
      </c>
      <c r="BV1988" t="s">
        <v>1668</v>
      </c>
      <c r="BW1988">
        <v>3222</v>
      </c>
      <c r="BX1988" t="s">
        <v>2423</v>
      </c>
      <c r="BY1988">
        <v>131029</v>
      </c>
      <c r="BZ1988" t="s">
        <v>3606</v>
      </c>
      <c r="CA1988">
        <v>1</v>
      </c>
      <c r="CB1988" t="b">
        <v>1</v>
      </c>
      <c r="CC1988">
        <v>0</v>
      </c>
      <c r="CD1988" t="b">
        <v>0</v>
      </c>
      <c r="CE1988" t="b">
        <v>0</v>
      </c>
      <c r="CF1988" t="b">
        <v>0</v>
      </c>
      <c r="CG1988">
        <v>2593679</v>
      </c>
      <c r="CH1988" t="s">
        <v>1681</v>
      </c>
      <c r="CI1988" s="10">
        <v>1888000</v>
      </c>
      <c r="CJ1988" s="7">
        <v>39003</v>
      </c>
    </row>
    <row r="1989" spans="1:88">
      <c r="A1989">
        <v>28035627</v>
      </c>
      <c r="B1989" s="2" t="str">
        <f>HYPERLINK("http://www.redfin.com/stingray/do/printable-listing?listing-id=1519806","Active")</f>
        <v>Active</v>
      </c>
      <c r="D1989" t="s">
        <v>5204</v>
      </c>
      <c r="E1989" t="s">
        <v>5222</v>
      </c>
      <c r="F1989">
        <v>525000</v>
      </c>
      <c r="G1989">
        <v>1962</v>
      </c>
      <c r="H1989">
        <v>2040</v>
      </c>
      <c r="I1989">
        <v>8200</v>
      </c>
      <c r="J1989">
        <v>4</v>
      </c>
      <c r="K1989">
        <v>1.75</v>
      </c>
      <c r="M1989" s="2" t="str">
        <f>HYPERLINK("http://maps.live.com/default.aspx?v=2&amp;lvl=15&amp;sp=Point.47.592523_-122.147235_14506 SE 20th Pl&amp;cp=47.592523~-122.147235","Map")</f>
        <v>Map</v>
      </c>
      <c r="N1989" s="2" t="str">
        <f>HYPERLINK("http://i-0.rfimg.us/photo/1/bigphoto/627/28035627_4.jpg","Photo")</f>
        <v>Photo</v>
      </c>
      <c r="AG1989">
        <v>47.592523</v>
      </c>
      <c r="AH1989">
        <v>-122.14723499999999</v>
      </c>
      <c r="AI1989" t="s">
        <v>369</v>
      </c>
      <c r="AJ1989">
        <v>98007</v>
      </c>
      <c r="AN1989">
        <v>430000</v>
      </c>
      <c r="BC1989" s="22">
        <v>39507.63553240741</v>
      </c>
      <c r="BI1989" s="7">
        <v>39536</v>
      </c>
      <c r="BL1989">
        <v>10500</v>
      </c>
      <c r="BM1989">
        <v>1519806</v>
      </c>
      <c r="BN1989" t="s">
        <v>3883</v>
      </c>
      <c r="BO1989" s="17">
        <f t="shared" ca="1" si="31"/>
        <v>41.673873495368753</v>
      </c>
      <c r="BP1989" t="b">
        <v>0</v>
      </c>
      <c r="BQ1989">
        <v>1</v>
      </c>
      <c r="BR1989" t="s">
        <v>1842</v>
      </c>
      <c r="BS1989" t="s">
        <v>1844</v>
      </c>
      <c r="BT1989" t="b">
        <v>0</v>
      </c>
      <c r="BU1989" t="s">
        <v>3856</v>
      </c>
      <c r="BV1989" t="s">
        <v>1668</v>
      </c>
      <c r="BW1989">
        <v>14506</v>
      </c>
      <c r="BY1989">
        <v>426090</v>
      </c>
      <c r="BZ1989" t="s">
        <v>5223</v>
      </c>
      <c r="CA1989">
        <v>1</v>
      </c>
      <c r="CB1989" t="b">
        <v>1</v>
      </c>
      <c r="CC1989">
        <v>0</v>
      </c>
      <c r="CD1989" t="b">
        <v>0</v>
      </c>
      <c r="CE1989" t="b">
        <v>0</v>
      </c>
      <c r="CF1989" t="b">
        <v>0</v>
      </c>
      <c r="CG1989">
        <v>2782645</v>
      </c>
      <c r="CH1989" t="s">
        <v>1681</v>
      </c>
      <c r="CI1989" s="10">
        <v>525000</v>
      </c>
      <c r="CJ1989" s="7">
        <v>39353</v>
      </c>
    </row>
    <row r="1990" spans="1:88">
      <c r="A1990">
        <v>28035641</v>
      </c>
      <c r="B1990" s="2" t="str">
        <f>HYPERLINK("http://www.redfin.com/stingray/do/printable-listing?listing-id=1519820","Active")</f>
        <v>Active</v>
      </c>
      <c r="D1990" t="s">
        <v>100</v>
      </c>
      <c r="E1990" t="s">
        <v>3281</v>
      </c>
      <c r="F1990">
        <v>449950</v>
      </c>
      <c r="G1990">
        <v>2007</v>
      </c>
      <c r="H1990">
        <v>1350</v>
      </c>
      <c r="I1990">
        <v>0</v>
      </c>
      <c r="J1990">
        <v>3</v>
      </c>
      <c r="K1990">
        <v>2.25</v>
      </c>
      <c r="M1990" s="2" t="str">
        <f>HYPERLINK("http://maps.live.com/default.aspx?v=2&amp;lvl=15&amp;sp=Point.47.650898_-122.344988_3617 Albion Pl N nC&amp;cp=47.650898~-122.344988","Map")</f>
        <v>Map</v>
      </c>
      <c r="N1990" s="2" t="str">
        <f>HYPERLINK("http://i-0.rfimg.us/photo/1/bigphoto/641/28035641_0.jpg","Photo")</f>
        <v>Photo</v>
      </c>
      <c r="AG1990">
        <v>47.650897999999998</v>
      </c>
      <c r="AH1990">
        <v>-122.344988</v>
      </c>
      <c r="AI1990" t="s">
        <v>66</v>
      </c>
      <c r="AJ1990">
        <v>98103</v>
      </c>
      <c r="AM1990" t="s">
        <v>2341</v>
      </c>
      <c r="BC1990" s="22">
        <v>39507.635671296295</v>
      </c>
      <c r="BI1990" s="22">
        <v>39549.294907407406</v>
      </c>
      <c r="BL1990">
        <v>8999</v>
      </c>
      <c r="BM1990">
        <v>1519820</v>
      </c>
      <c r="BN1990" t="s">
        <v>1693</v>
      </c>
      <c r="BO1990" s="17">
        <f t="shared" ca="1" si="31"/>
        <v>41.673734606483777</v>
      </c>
      <c r="BP1990" t="b">
        <v>0</v>
      </c>
      <c r="BQ1990">
        <v>1</v>
      </c>
      <c r="BR1990" t="s">
        <v>1842</v>
      </c>
      <c r="BS1990" t="s">
        <v>3277</v>
      </c>
      <c r="BT1990" t="b">
        <v>0</v>
      </c>
      <c r="BV1990" t="s">
        <v>1668</v>
      </c>
      <c r="BW1990">
        <v>3617</v>
      </c>
      <c r="BX1990" t="s">
        <v>1712</v>
      </c>
      <c r="BY1990">
        <v>12421327</v>
      </c>
      <c r="BZ1990" t="s">
        <v>1672</v>
      </c>
      <c r="CA1990">
        <v>1</v>
      </c>
      <c r="CB1990" t="b">
        <v>1</v>
      </c>
      <c r="CC1990">
        <v>0</v>
      </c>
      <c r="CD1990" t="b">
        <v>0</v>
      </c>
      <c r="CE1990" t="b">
        <v>0</v>
      </c>
      <c r="CF1990" t="b">
        <v>0</v>
      </c>
      <c r="CG1990">
        <v>15505605</v>
      </c>
      <c r="CH1990" t="s">
        <v>1681</v>
      </c>
      <c r="CI1990" s="10">
        <v>449950</v>
      </c>
    </row>
    <row r="1991" spans="1:88">
      <c r="A1991">
        <v>28035656</v>
      </c>
      <c r="B1991" s="2" t="str">
        <f>HYPERLINK("http://www.redfin.com/stingray/do/printable-listing?listing-id=1519974","Active")</f>
        <v>Active</v>
      </c>
      <c r="D1991" t="s">
        <v>3264</v>
      </c>
      <c r="E1991" t="s">
        <v>3666</v>
      </c>
      <c r="F1991">
        <v>1350000</v>
      </c>
      <c r="G1991">
        <v>1974</v>
      </c>
      <c r="H1991">
        <v>1650</v>
      </c>
      <c r="I1991">
        <v>2040</v>
      </c>
      <c r="J1991">
        <v>2</v>
      </c>
      <c r="K1991">
        <v>1</v>
      </c>
      <c r="M1991" s="2" t="str">
        <f>HYPERLINK("http://maps.live.com/default.aspx?v=2&amp;lvl=15&amp;sp=Point.47.6421_-122.343052_2466 Westlake Ave N&amp;cp=47.6421~-122.343052","Map")</f>
        <v>Map</v>
      </c>
      <c r="N1991" s="2" t="str">
        <f>HYPERLINK("http://i-0.rfimg.us/photo/1/bigphoto/656/28035656_1.jpg","Photo")</f>
        <v>Photo</v>
      </c>
      <c r="AG1991">
        <v>47.642099999999999</v>
      </c>
      <c r="AH1991">
        <v>-122.343052</v>
      </c>
      <c r="AI1991" t="s">
        <v>66</v>
      </c>
      <c r="AJ1991">
        <v>98109</v>
      </c>
      <c r="BC1991" s="22">
        <v>39507.657418981478</v>
      </c>
      <c r="BI1991" s="22">
        <v>39549.294907407406</v>
      </c>
      <c r="BL1991">
        <v>27000</v>
      </c>
      <c r="BM1991">
        <v>1519974</v>
      </c>
      <c r="BN1991" t="s">
        <v>1674</v>
      </c>
      <c r="BO1991" s="17">
        <f t="shared" ca="1" si="31"/>
        <v>41.651986921300704</v>
      </c>
      <c r="BP1991" t="b">
        <v>0</v>
      </c>
      <c r="BQ1991">
        <v>1</v>
      </c>
      <c r="BR1991" t="s">
        <v>1667</v>
      </c>
      <c r="BS1991" t="s">
        <v>3264</v>
      </c>
      <c r="BT1991" t="b">
        <v>0</v>
      </c>
      <c r="BV1991" t="s">
        <v>1668</v>
      </c>
      <c r="BW1991">
        <v>2466</v>
      </c>
      <c r="BX1991" t="s">
        <v>1712</v>
      </c>
      <c r="BY1991">
        <v>12088935</v>
      </c>
      <c r="BZ1991" t="s">
        <v>1911</v>
      </c>
      <c r="CA1991">
        <v>1</v>
      </c>
      <c r="CB1991" t="b">
        <v>1</v>
      </c>
      <c r="CC1991">
        <v>0</v>
      </c>
      <c r="CD1991" t="b">
        <v>0</v>
      </c>
      <c r="CE1991" t="b">
        <v>0</v>
      </c>
      <c r="CF1991" t="b">
        <v>0</v>
      </c>
      <c r="CG1991">
        <v>15342856</v>
      </c>
      <c r="CH1991" t="s">
        <v>1681</v>
      </c>
      <c r="CI1991" s="10">
        <v>1350000</v>
      </c>
    </row>
    <row r="1992" spans="1:88">
      <c r="A1992">
        <v>28035712</v>
      </c>
      <c r="B1992" s="2" t="str">
        <f>HYPERLINK("http://www.redfin.com/stingray/do/printable-listing?listing-id=1542652","Active")</f>
        <v>Active</v>
      </c>
      <c r="D1992" t="s">
        <v>60</v>
      </c>
      <c r="E1992" t="s">
        <v>2361</v>
      </c>
      <c r="F1992" s="19">
        <v>750000</v>
      </c>
      <c r="G1992">
        <v>1997</v>
      </c>
      <c r="H1992">
        <v>2170</v>
      </c>
      <c r="I1992">
        <v>3000</v>
      </c>
      <c r="J1992">
        <v>4</v>
      </c>
      <c r="K1992">
        <v>2.5</v>
      </c>
      <c r="M1992" s="2" t="str">
        <f>HYPERLINK("http://maps.live.com/default.aspx?v=2&amp;lvl=15&amp;sp=Point.47.683823_-122.349485_707 N 76th St&amp;cp=47.683823~-122.349485","Map")</f>
        <v>Map</v>
      </c>
      <c r="N1992" s="2" t="str">
        <f>HYPERLINK("http://i-0.rfimg.us/photo/1/bigphoto/712/28035712_1.jpg","Photo")</f>
        <v>Photo</v>
      </c>
      <c r="AG1992">
        <v>47.683822999999997</v>
      </c>
      <c r="AH1992">
        <v>-122.349485</v>
      </c>
      <c r="AI1992" t="s">
        <v>66</v>
      </c>
      <c r="AJ1992">
        <v>98103</v>
      </c>
      <c r="AN1992">
        <v>750000</v>
      </c>
      <c r="BC1992" s="22">
        <v>39515.431446759256</v>
      </c>
      <c r="BI1992" s="22">
        <v>39549.294907407406</v>
      </c>
      <c r="BL1992">
        <v>15980</v>
      </c>
      <c r="BM1992">
        <v>1542652</v>
      </c>
      <c r="BN1992" t="s">
        <v>2360</v>
      </c>
      <c r="BO1992" s="17">
        <f t="shared" ca="1" si="31"/>
        <v>33.877959259261843</v>
      </c>
      <c r="BP1992" t="b">
        <v>0</v>
      </c>
      <c r="BQ1992">
        <v>1</v>
      </c>
      <c r="BR1992" t="s">
        <v>1686</v>
      </c>
      <c r="BS1992" t="s">
        <v>2057</v>
      </c>
      <c r="BT1992" t="b">
        <v>0</v>
      </c>
      <c r="BU1992" t="s">
        <v>1712</v>
      </c>
      <c r="BV1992" t="s">
        <v>1668</v>
      </c>
      <c r="BW1992">
        <v>707</v>
      </c>
      <c r="BY1992">
        <v>301625</v>
      </c>
      <c r="BZ1992" t="s">
        <v>2133</v>
      </c>
      <c r="CA1992">
        <v>1</v>
      </c>
      <c r="CB1992" t="b">
        <v>1</v>
      </c>
      <c r="CC1992">
        <v>0</v>
      </c>
      <c r="CD1992" t="b">
        <v>0</v>
      </c>
      <c r="CE1992" t="b">
        <v>0</v>
      </c>
      <c r="CF1992" t="b">
        <v>0</v>
      </c>
      <c r="CG1992">
        <v>2973448</v>
      </c>
      <c r="CH1992" t="s">
        <v>1681</v>
      </c>
      <c r="CI1992" s="10">
        <v>799000</v>
      </c>
      <c r="CJ1992" s="7">
        <v>39113</v>
      </c>
    </row>
    <row r="1993" spans="1:88">
      <c r="A1993">
        <v>28035778</v>
      </c>
      <c r="B1993" s="2" t="str">
        <f>HYPERLINK("http://www.redfin.com/stingray/do/printable-listing?listing-id=1519926","Subject To Inspection")</f>
        <v>Subject To Inspection</v>
      </c>
      <c r="D1993" t="s">
        <v>109</v>
      </c>
      <c r="E1993" t="s">
        <v>1584</v>
      </c>
      <c r="F1993">
        <v>449950</v>
      </c>
      <c r="G1993">
        <v>2007</v>
      </c>
      <c r="H1993">
        <v>1357</v>
      </c>
      <c r="I1993">
        <v>0</v>
      </c>
      <c r="J1993">
        <v>3</v>
      </c>
      <c r="K1993">
        <v>2.25</v>
      </c>
      <c r="M1993" s="2" t="str">
        <f>HYPERLINK("http://maps.live.com/default.aspx?v=2&amp;lvl=15&amp;sp=Point.47.648371_-122.334103_3425 Meridian Ave N&amp;cp=47.648371~-122.334103","Map")</f>
        <v>Map</v>
      </c>
      <c r="N1993" s="2" t="str">
        <f>HYPERLINK("http://i-0.rfimg.us/photo/1/bigphoto/778/28035778_0.jpg","Photo")</f>
        <v>Photo</v>
      </c>
      <c r="AG1993">
        <v>47.648370999999997</v>
      </c>
      <c r="AH1993">
        <v>-122.334103</v>
      </c>
      <c r="AI1993" t="s">
        <v>66</v>
      </c>
      <c r="AJ1993">
        <v>98103</v>
      </c>
      <c r="BC1993" s="22">
        <v>39507.656504629631</v>
      </c>
      <c r="BI1993" s="7">
        <v>39533</v>
      </c>
      <c r="BL1993">
        <v>8999</v>
      </c>
      <c r="BM1993">
        <v>1519926</v>
      </c>
      <c r="BN1993" t="s">
        <v>1766</v>
      </c>
      <c r="BO1993" s="17">
        <f t="shared" ca="1" si="31"/>
        <v>41.652901273148018</v>
      </c>
      <c r="BP1993" t="b">
        <v>0</v>
      </c>
      <c r="BQ1993">
        <v>2</v>
      </c>
      <c r="BR1993" t="s">
        <v>1667</v>
      </c>
      <c r="BS1993" t="s">
        <v>2413</v>
      </c>
      <c r="BT1993" t="b">
        <v>0</v>
      </c>
      <c r="BV1993" t="s">
        <v>1668</v>
      </c>
      <c r="BW1993">
        <v>3425</v>
      </c>
      <c r="BX1993" t="s">
        <v>1712</v>
      </c>
      <c r="BY1993">
        <v>12421337</v>
      </c>
      <c r="BZ1993" t="s">
        <v>1676</v>
      </c>
      <c r="CA1993">
        <v>1</v>
      </c>
      <c r="CB1993" t="b">
        <v>1</v>
      </c>
      <c r="CC1993">
        <v>0</v>
      </c>
      <c r="CD1993" t="b">
        <v>0</v>
      </c>
      <c r="CE1993" t="b">
        <v>0</v>
      </c>
      <c r="CF1993" t="b">
        <v>0</v>
      </c>
      <c r="CG1993">
        <v>15625085</v>
      </c>
      <c r="CH1993" t="s">
        <v>1681</v>
      </c>
      <c r="CI1993" s="10">
        <v>449950</v>
      </c>
    </row>
    <row r="1994" spans="1:88">
      <c r="A1994">
        <v>28035804</v>
      </c>
      <c r="B1994" s="2" t="str">
        <f>HYPERLINK("http://www.redfin.com/stingray/do/printable-listing?listing-id=1519936","Active")</f>
        <v>Active</v>
      </c>
      <c r="D1994" t="s">
        <v>3249</v>
      </c>
      <c r="E1994" t="s">
        <v>3351</v>
      </c>
      <c r="F1994">
        <v>1490000</v>
      </c>
      <c r="G1994">
        <v>1924</v>
      </c>
      <c r="H1994">
        <v>3470</v>
      </c>
      <c r="I1994">
        <v>4680</v>
      </c>
      <c r="J1994">
        <v>4</v>
      </c>
      <c r="K1994">
        <v>3</v>
      </c>
      <c r="M1994" s="2" t="str">
        <f>HYPERLINK("http://maps.live.com/default.aspx?v=2&amp;lvl=15&amp;sp=Point.47.637935_-122.347936_2114 Bigelow Ave N&amp;cp=47.637935~-122.347936","Map")</f>
        <v>Map</v>
      </c>
      <c r="N1994" s="2" t="str">
        <f>HYPERLINK("http://i-0.rfimg.us/photo/1/bigphoto/804/28035804_3.jpg","Photo")</f>
        <v>Photo</v>
      </c>
      <c r="AG1994">
        <v>47.637934999999999</v>
      </c>
      <c r="AH1994">
        <v>-122.347936</v>
      </c>
      <c r="AI1994" t="s">
        <v>66</v>
      </c>
      <c r="AJ1994">
        <v>98109</v>
      </c>
      <c r="AN1994">
        <v>770000</v>
      </c>
      <c r="BC1994" s="22">
        <v>39507.6565625</v>
      </c>
      <c r="BI1994" s="22">
        <v>39549.294907407406</v>
      </c>
      <c r="BL1994">
        <v>29800</v>
      </c>
      <c r="BM1994">
        <v>1519936</v>
      </c>
      <c r="BN1994" t="s">
        <v>1702</v>
      </c>
      <c r="BO1994" s="17">
        <f t="shared" ca="1" si="31"/>
        <v>41.652843402778672</v>
      </c>
      <c r="BP1994" t="b">
        <v>0</v>
      </c>
      <c r="BQ1994">
        <v>1</v>
      </c>
      <c r="BR1994" t="s">
        <v>1667</v>
      </c>
      <c r="BS1994" t="s">
        <v>3346</v>
      </c>
      <c r="BT1994" t="b">
        <v>0</v>
      </c>
      <c r="BV1994" t="s">
        <v>1668</v>
      </c>
      <c r="BW1994">
        <v>2114</v>
      </c>
      <c r="BX1994" t="s">
        <v>1712</v>
      </c>
      <c r="BY1994">
        <v>132529</v>
      </c>
      <c r="BZ1994" t="s">
        <v>3352</v>
      </c>
      <c r="CA1994">
        <v>1</v>
      </c>
      <c r="CB1994" t="b">
        <v>1</v>
      </c>
      <c r="CC1994">
        <v>0</v>
      </c>
      <c r="CD1994" t="b">
        <v>0</v>
      </c>
      <c r="CE1994" t="b">
        <v>0</v>
      </c>
      <c r="CF1994" t="b">
        <v>0</v>
      </c>
      <c r="CG1994">
        <v>2723588</v>
      </c>
      <c r="CH1994" t="s">
        <v>1681</v>
      </c>
      <c r="CI1994" s="10">
        <v>1490000</v>
      </c>
      <c r="CJ1994" s="7">
        <v>37425</v>
      </c>
    </row>
    <row r="1995" spans="1:88">
      <c r="A1995">
        <v>28035820</v>
      </c>
      <c r="B1995" s="2" t="str">
        <f>HYPERLINK("http://www.redfin.com/stingray/do/printable-listing?listing-id=1520971","Active")</f>
        <v>Active</v>
      </c>
      <c r="D1995" t="s">
        <v>5926</v>
      </c>
      <c r="E1995" t="s">
        <v>6194</v>
      </c>
      <c r="F1995" s="19">
        <v>399500</v>
      </c>
      <c r="G1995">
        <v>1976</v>
      </c>
      <c r="H1995">
        <v>2100</v>
      </c>
      <c r="I1995">
        <v>11000</v>
      </c>
      <c r="J1995">
        <v>3</v>
      </c>
      <c r="K1995">
        <v>2.5</v>
      </c>
      <c r="M1995" s="2" t="str">
        <f>HYPERLINK("http://maps.live.com/default.aspx?v=2&amp;lvl=15&amp;sp=Point.47.516223_-122.179368_12104 SE 96 Pl&amp;cp=47.516223~-122.179368","Map")</f>
        <v>Map</v>
      </c>
      <c r="N1995" s="2" t="str">
        <f>HYPERLINK("http://i-0.rfimg.us/photo/1/bigphoto/820/28035820_1.jpg","Photo")</f>
        <v>Photo</v>
      </c>
      <c r="AG1995">
        <v>47.516222999999997</v>
      </c>
      <c r="AH1995">
        <v>-122.179368</v>
      </c>
      <c r="AI1995" t="s">
        <v>1077</v>
      </c>
      <c r="AJ1995">
        <v>98055</v>
      </c>
      <c r="BC1995" s="22">
        <v>39507.817928240744</v>
      </c>
      <c r="BI1995" s="22">
        <v>39549.294907407406</v>
      </c>
      <c r="BL1995">
        <v>8580</v>
      </c>
      <c r="BM1995">
        <v>1520971</v>
      </c>
      <c r="BN1995" t="s">
        <v>2590</v>
      </c>
      <c r="BO1995" s="17">
        <f t="shared" ca="1" si="31"/>
        <v>41.491477662035322</v>
      </c>
      <c r="BP1995" t="b">
        <v>0</v>
      </c>
      <c r="BQ1995">
        <v>1</v>
      </c>
      <c r="BR1995" t="s">
        <v>1842</v>
      </c>
      <c r="BS1995">
        <v>96</v>
      </c>
      <c r="BT1995" t="b">
        <v>0</v>
      </c>
      <c r="BU1995" t="s">
        <v>3856</v>
      </c>
      <c r="BV1995" t="s">
        <v>1668</v>
      </c>
      <c r="BW1995">
        <v>12104</v>
      </c>
      <c r="BY1995">
        <v>409753</v>
      </c>
      <c r="BZ1995" t="s">
        <v>1804</v>
      </c>
      <c r="CA1995">
        <v>1</v>
      </c>
      <c r="CB1995" t="b">
        <v>1</v>
      </c>
      <c r="CC1995">
        <v>0</v>
      </c>
      <c r="CD1995" t="b">
        <v>0</v>
      </c>
      <c r="CE1995" t="b">
        <v>0</v>
      </c>
      <c r="CF1995" t="b">
        <v>0</v>
      </c>
      <c r="CG1995">
        <v>2403358</v>
      </c>
      <c r="CH1995" t="s">
        <v>1681</v>
      </c>
      <c r="CI1995" s="10">
        <v>429000</v>
      </c>
    </row>
    <row r="1996" spans="1:88">
      <c r="A1996">
        <v>28035828</v>
      </c>
      <c r="B1996" s="2" t="str">
        <f>HYPERLINK("http://www.redfin.com/stingray/do/printable-listing?listing-id=1519925","Active")</f>
        <v>Active</v>
      </c>
      <c r="D1996" t="s">
        <v>100</v>
      </c>
      <c r="E1996" t="s">
        <v>2461</v>
      </c>
      <c r="F1996">
        <v>474900</v>
      </c>
      <c r="G1996">
        <v>2000</v>
      </c>
      <c r="H1996">
        <v>1226</v>
      </c>
      <c r="I1996">
        <v>0</v>
      </c>
      <c r="J1996">
        <v>2</v>
      </c>
      <c r="K1996">
        <v>3</v>
      </c>
      <c r="M1996" s="2" t="str">
        <f>HYPERLINK("http://maps.live.com/default.aspx?v=2&amp;lvl=15&amp;sp=Point.47.661963_-122.35117_611 N 46 St&amp;cp=47.661963~-122.35117","Map")</f>
        <v>Map</v>
      </c>
      <c r="N1996" s="2" t="str">
        <f>HYPERLINK("http://i-0.rfimg.us/photo/1/bigphoto/828/28035828_0.jpg","Photo")</f>
        <v>Photo</v>
      </c>
      <c r="AG1996">
        <v>47.661963</v>
      </c>
      <c r="AH1996">
        <v>-122.35117</v>
      </c>
      <c r="AI1996" t="s">
        <v>66</v>
      </c>
      <c r="AJ1996">
        <v>98103</v>
      </c>
      <c r="BC1996" s="22">
        <v>39507.656481481485</v>
      </c>
      <c r="BI1996" s="22">
        <v>39545.917314814818</v>
      </c>
      <c r="BL1996">
        <v>9498</v>
      </c>
      <c r="BM1996">
        <v>1519925</v>
      </c>
      <c r="BN1996" t="s">
        <v>1688</v>
      </c>
      <c r="BO1996" s="17">
        <f t="shared" ca="1" si="31"/>
        <v>41.652924537032959</v>
      </c>
      <c r="BP1996" t="b">
        <v>0</v>
      </c>
      <c r="BQ1996">
        <v>1</v>
      </c>
      <c r="BR1996" t="s">
        <v>1686</v>
      </c>
      <c r="BS1996">
        <v>46</v>
      </c>
      <c r="BT1996" t="b">
        <v>0</v>
      </c>
      <c r="BU1996" t="s">
        <v>1712</v>
      </c>
      <c r="BV1996" t="s">
        <v>1668</v>
      </c>
      <c r="BW1996">
        <v>611</v>
      </c>
      <c r="BY1996">
        <v>2093193</v>
      </c>
      <c r="BZ1996" t="s">
        <v>1672</v>
      </c>
      <c r="CA1996">
        <v>1</v>
      </c>
      <c r="CB1996" t="b">
        <v>1</v>
      </c>
      <c r="CC1996">
        <v>0</v>
      </c>
      <c r="CD1996" t="b">
        <v>0</v>
      </c>
      <c r="CE1996" t="b">
        <v>0</v>
      </c>
      <c r="CF1996" t="b">
        <v>0</v>
      </c>
      <c r="CG1996">
        <v>2945548</v>
      </c>
      <c r="CH1996" t="s">
        <v>1681</v>
      </c>
      <c r="CI1996" s="10">
        <v>474900</v>
      </c>
    </row>
    <row r="1997" spans="1:88">
      <c r="A1997">
        <v>28035829</v>
      </c>
      <c r="B1997" s="2" t="str">
        <f>HYPERLINK("http://www.redfin.com/stingray/do/printable-listing?listing-id=1523945","Active")</f>
        <v>Active</v>
      </c>
      <c r="D1997" t="s">
        <v>42</v>
      </c>
      <c r="E1997" t="s">
        <v>2165</v>
      </c>
      <c r="F1997">
        <v>395000</v>
      </c>
      <c r="G1997">
        <v>1982</v>
      </c>
      <c r="H1997">
        <v>1780</v>
      </c>
      <c r="I1997">
        <v>2240</v>
      </c>
      <c r="J1997">
        <v>3</v>
      </c>
      <c r="K1997">
        <v>2.5</v>
      </c>
      <c r="M1997" s="2" t="str">
        <f>HYPERLINK("http://maps.live.com/default.aspx?v=2&amp;lvl=15&amp;sp=Point.47.714675_-122.34121_11708 Stendall Dr N&amp;cp=47.714675~-122.34121","Map")</f>
        <v>Map</v>
      </c>
      <c r="N1997" s="2" t="str">
        <f>HYPERLINK("http://i-0.rfimg.us/photo/1/bigphoto/829/28035829_4.jpg","Photo")</f>
        <v>Photo</v>
      </c>
      <c r="AG1997">
        <v>47.714675</v>
      </c>
      <c r="AH1997">
        <v>-122.34121</v>
      </c>
      <c r="AI1997" t="s">
        <v>66</v>
      </c>
      <c r="AJ1997">
        <v>98133</v>
      </c>
      <c r="AN1997">
        <v>149950</v>
      </c>
      <c r="BC1997" s="22">
        <v>39509.441944444443</v>
      </c>
      <c r="BI1997" s="22">
        <v>39549.294907407406</v>
      </c>
      <c r="BL1997">
        <v>7900</v>
      </c>
      <c r="BM1997">
        <v>1523945</v>
      </c>
      <c r="BN1997" t="s">
        <v>1815</v>
      </c>
      <c r="BO1997" s="17">
        <f t="shared" ca="1" si="31"/>
        <v>39.867461458336038</v>
      </c>
      <c r="BP1997" t="b">
        <v>0</v>
      </c>
      <c r="BQ1997">
        <v>1</v>
      </c>
      <c r="BR1997" t="s">
        <v>1816</v>
      </c>
      <c r="BS1997" t="s">
        <v>2783</v>
      </c>
      <c r="BT1997" t="b">
        <v>0</v>
      </c>
      <c r="BV1997" t="s">
        <v>1668</v>
      </c>
      <c r="BW1997">
        <v>11708</v>
      </c>
      <c r="BX1997" t="s">
        <v>1712</v>
      </c>
      <c r="BY1997">
        <v>98323</v>
      </c>
      <c r="BZ1997" t="s">
        <v>2784</v>
      </c>
      <c r="CA1997">
        <v>1</v>
      </c>
      <c r="CB1997" t="b">
        <v>1</v>
      </c>
      <c r="CC1997">
        <v>0</v>
      </c>
      <c r="CD1997" t="b">
        <v>0</v>
      </c>
      <c r="CE1997" t="b">
        <v>0</v>
      </c>
      <c r="CF1997" t="b">
        <v>0</v>
      </c>
      <c r="CG1997">
        <v>2655988</v>
      </c>
      <c r="CH1997" t="s">
        <v>1681</v>
      </c>
      <c r="CI1997" s="10">
        <v>395000</v>
      </c>
      <c r="CJ1997" s="7">
        <v>30768</v>
      </c>
    </row>
    <row r="1998" spans="1:88">
      <c r="A1998">
        <v>28035861</v>
      </c>
      <c r="B1998" s="2" t="str">
        <f>HYPERLINK("http://www.redfin.com/stingray/do/printable-listing?listing-id=1522730","Active")</f>
        <v>Active</v>
      </c>
      <c r="D1998" t="s">
        <v>5776</v>
      </c>
      <c r="E1998" t="s">
        <v>5773</v>
      </c>
      <c r="F1998">
        <v>529000</v>
      </c>
      <c r="G1998">
        <v>2008</v>
      </c>
      <c r="H1998">
        <v>2600</v>
      </c>
      <c r="I1998">
        <v>5030</v>
      </c>
      <c r="J1998">
        <v>3</v>
      </c>
      <c r="K1998">
        <v>2.5</v>
      </c>
      <c r="M1998" s="2" t="str">
        <f>HYPERLINK("http://maps.live.com/default.aspx?v=2&amp;lvl=15&amp;sp=Point.47.524041_-122.198796_3604 Meadow Ave N&amp;cp=47.524041~-122.198796","Map")</f>
        <v>Map</v>
      </c>
      <c r="N1998" s="2" t="str">
        <f>HYPERLINK("http://i-0.rfimg.us/photo/1/bigphoto/861/28035861_2.jpg","Photo")</f>
        <v>Photo</v>
      </c>
      <c r="AG1998">
        <v>47.524040999999997</v>
      </c>
      <c r="AH1998">
        <v>-122.198796</v>
      </c>
      <c r="AI1998" t="s">
        <v>1077</v>
      </c>
      <c r="AJ1998">
        <v>98056</v>
      </c>
      <c r="BC1998" s="22">
        <v>39508.58861111111</v>
      </c>
      <c r="BI1998" s="22">
        <v>39549.294907407406</v>
      </c>
      <c r="BL1998">
        <v>10580</v>
      </c>
      <c r="BM1998">
        <v>1522730</v>
      </c>
      <c r="BN1998" t="s">
        <v>1725</v>
      </c>
      <c r="BO1998" s="17">
        <f t="shared" ca="1" si="31"/>
        <v>40.720794791668595</v>
      </c>
      <c r="BP1998" t="b">
        <v>0</v>
      </c>
      <c r="BQ1998">
        <v>1</v>
      </c>
      <c r="BR1998" t="s">
        <v>1667</v>
      </c>
      <c r="BS1998" t="s">
        <v>5774</v>
      </c>
      <c r="BT1998" t="b">
        <v>0</v>
      </c>
      <c r="BV1998" t="s">
        <v>1668</v>
      </c>
      <c r="BW1998">
        <v>3604</v>
      </c>
      <c r="BX1998" t="s">
        <v>1712</v>
      </c>
      <c r="BY1998">
        <v>12421666</v>
      </c>
      <c r="BZ1998" t="s">
        <v>5775</v>
      </c>
      <c r="CA1998">
        <v>1</v>
      </c>
      <c r="CB1998" t="b">
        <v>1</v>
      </c>
      <c r="CC1998">
        <v>0</v>
      </c>
      <c r="CD1998" t="b">
        <v>0</v>
      </c>
      <c r="CE1998" t="b">
        <v>0</v>
      </c>
      <c r="CF1998" t="b">
        <v>0</v>
      </c>
      <c r="CG1998">
        <v>15625414</v>
      </c>
      <c r="CH1998" t="s">
        <v>1681</v>
      </c>
      <c r="CI1998" s="10">
        <v>529000</v>
      </c>
    </row>
    <row r="1999" spans="1:88">
      <c r="A1999">
        <v>28035871</v>
      </c>
      <c r="B1999" s="2" t="str">
        <f>HYPERLINK("http://www.redfin.com/stingray/do/printable-listing?listing-id=1520028","Active")</f>
        <v>Active</v>
      </c>
      <c r="D1999" t="s">
        <v>184</v>
      </c>
      <c r="E1999" t="s">
        <v>3046</v>
      </c>
      <c r="F1999" s="19">
        <v>339888</v>
      </c>
      <c r="G1999">
        <v>2008</v>
      </c>
      <c r="H1999">
        <v>1400</v>
      </c>
      <c r="I1999">
        <v>0</v>
      </c>
      <c r="J1999">
        <v>3</v>
      </c>
      <c r="K1999">
        <v>2</v>
      </c>
      <c r="M1999" s="2" t="str">
        <f>HYPERLINK("http://maps.live.com/default.aspx?v=2&amp;lvl=15&amp;sp=Point.47.717463_-122.317098_1017 NE 123rd St nB&amp;cp=47.717463~-122.317098","Map")</f>
        <v>Map</v>
      </c>
      <c r="N1999" s="2" t="str">
        <f>HYPERLINK("http://i-0.rfimg.us/photo/1/bigphoto/871/28035871_0.jpg","Photo")</f>
        <v>Photo</v>
      </c>
      <c r="AG1999">
        <v>47.717463000000002</v>
      </c>
      <c r="AH1999">
        <v>-122.317098</v>
      </c>
      <c r="AI1999" t="s">
        <v>66</v>
      </c>
      <c r="AJ1999">
        <v>98125</v>
      </c>
      <c r="AM1999" t="s">
        <v>1699</v>
      </c>
      <c r="BC1999" s="22">
        <v>39507.657881944448</v>
      </c>
      <c r="BI1999" s="22">
        <v>39549.294907407406</v>
      </c>
      <c r="BL1999">
        <v>6998</v>
      </c>
      <c r="BM1999">
        <v>1520028</v>
      </c>
      <c r="BN1999" t="s">
        <v>1746</v>
      </c>
      <c r="BO1999" s="17">
        <f t="shared" ca="1" si="31"/>
        <v>41.651523958331381</v>
      </c>
      <c r="BP1999" t="b">
        <v>0</v>
      </c>
      <c r="BQ1999">
        <v>1</v>
      </c>
      <c r="BR1999" t="s">
        <v>1686</v>
      </c>
      <c r="BS1999" t="s">
        <v>2882</v>
      </c>
      <c r="BT1999" t="b">
        <v>0</v>
      </c>
      <c r="BU1999" t="s">
        <v>1738</v>
      </c>
      <c r="BV1999" t="s">
        <v>1668</v>
      </c>
      <c r="BW1999">
        <v>1017</v>
      </c>
      <c r="BY1999">
        <v>12421348</v>
      </c>
      <c r="BZ1999" t="s">
        <v>1713</v>
      </c>
      <c r="CA1999">
        <v>1</v>
      </c>
      <c r="CB1999" t="b">
        <v>1</v>
      </c>
      <c r="CC1999">
        <v>0</v>
      </c>
      <c r="CD1999" t="b">
        <v>0</v>
      </c>
      <c r="CE1999" t="b">
        <v>0</v>
      </c>
      <c r="CF1999" t="b">
        <v>0</v>
      </c>
      <c r="CG1999">
        <v>15625096</v>
      </c>
      <c r="CH1999" t="s">
        <v>1681</v>
      </c>
      <c r="CI1999" s="10">
        <v>349888</v>
      </c>
    </row>
    <row r="2000" spans="1:88">
      <c r="A2000">
        <v>28035923</v>
      </c>
      <c r="B2000" s="2" t="str">
        <f>HYPERLINK("http://www.redfin.com/stingray/do/printable-listing?listing-id=1531177","Subject To Inspection")</f>
        <v>Subject To Inspection</v>
      </c>
      <c r="D2000" t="s">
        <v>369</v>
      </c>
      <c r="E2000" t="s">
        <v>5122</v>
      </c>
      <c r="F2000">
        <v>489500</v>
      </c>
      <c r="G2000">
        <v>1967</v>
      </c>
      <c r="H2000">
        <v>0</v>
      </c>
      <c r="I2000">
        <v>9350</v>
      </c>
      <c r="J2000">
        <v>3</v>
      </c>
      <c r="K2000">
        <v>1.75</v>
      </c>
      <c r="M2000" s="2" t="str">
        <f>HYPERLINK("http://maps.live.com/default.aspx?v=2&amp;lvl=15&amp;sp=Point.47.602427_-122.144715_805 146 Ave SE&amp;cp=47.602427~-122.144715","Map")</f>
        <v>Map</v>
      </c>
      <c r="N2000" s="2" t="str">
        <f>HYPERLINK("http://i-0.rfimg.us/photo/1/bigphoto/923/28035923_0.jpg","Photo")</f>
        <v>Photo</v>
      </c>
      <c r="AG2000">
        <v>47.602426999999999</v>
      </c>
      <c r="AH2000">
        <v>-122.14471500000001</v>
      </c>
      <c r="AI2000" t="s">
        <v>369</v>
      </c>
      <c r="AJ2000">
        <v>98007</v>
      </c>
      <c r="AN2000">
        <v>295000</v>
      </c>
      <c r="BC2000" s="22">
        <v>39512.276018518518</v>
      </c>
      <c r="BI2000" s="7">
        <v>39532</v>
      </c>
      <c r="BL2000">
        <v>9790</v>
      </c>
      <c r="BM2000">
        <v>1531177</v>
      </c>
      <c r="BN2000" t="s">
        <v>1768</v>
      </c>
      <c r="BO2000" s="17">
        <f t="shared" ca="1" si="31"/>
        <v>37.033387384261005</v>
      </c>
      <c r="BP2000" t="b">
        <v>0</v>
      </c>
      <c r="BQ2000">
        <v>2</v>
      </c>
      <c r="BR2000" t="s">
        <v>1667</v>
      </c>
      <c r="BS2000">
        <v>146</v>
      </c>
      <c r="BT2000" t="b">
        <v>0</v>
      </c>
      <c r="BV2000" t="s">
        <v>1668</v>
      </c>
      <c r="BW2000">
        <v>805</v>
      </c>
      <c r="BX2000" t="s">
        <v>3856</v>
      </c>
      <c r="BY2000">
        <v>426642</v>
      </c>
      <c r="BZ2000" t="s">
        <v>1672</v>
      </c>
      <c r="CA2000">
        <v>1</v>
      </c>
      <c r="CB2000" t="b">
        <v>1</v>
      </c>
      <c r="CC2000">
        <v>0</v>
      </c>
      <c r="CD2000" t="b">
        <v>0</v>
      </c>
      <c r="CE2000" t="b">
        <v>0</v>
      </c>
      <c r="CF2000" t="b">
        <v>0</v>
      </c>
      <c r="CG2000">
        <v>2811666</v>
      </c>
      <c r="CH2000" t="s">
        <v>1681</v>
      </c>
      <c r="CI2000" s="10">
        <v>489500</v>
      </c>
      <c r="CJ2000" s="7">
        <v>37741</v>
      </c>
    </row>
    <row r="2001" spans="1:90">
      <c r="A2001">
        <v>28035950</v>
      </c>
      <c r="B2001" s="2" t="str">
        <f>HYPERLINK("http://www.redfin.com/stingray/do/printable-listing?listing-id=1519980","Active")</f>
        <v>Active</v>
      </c>
      <c r="D2001" t="s">
        <v>78</v>
      </c>
      <c r="E2001" t="s">
        <v>1616</v>
      </c>
      <c r="F2001" s="19">
        <v>899500</v>
      </c>
      <c r="G2001">
        <v>2008</v>
      </c>
      <c r="H2001">
        <v>3395</v>
      </c>
      <c r="I2001">
        <v>4046</v>
      </c>
      <c r="J2001">
        <v>4</v>
      </c>
      <c r="K2001">
        <v>3.5</v>
      </c>
      <c r="M2001" s="2" t="str">
        <f>HYPERLINK("http://maps.live.com/default.aspx?v=2&amp;lvl=15&amp;sp=Point.47.690109_-122.381995_8334 20th Ave NW&amp;cp=47.690109~-122.381995","Map")</f>
        <v>Map</v>
      </c>
      <c r="N2001" s="2" t="str">
        <f>HYPERLINK("http://i-0.rfimg.us/photo/1/bigphoto/950/28035950_0.jpg","Photo")</f>
        <v>Photo</v>
      </c>
      <c r="AG2001">
        <v>47.690109</v>
      </c>
      <c r="AH2001">
        <v>-122.381995</v>
      </c>
      <c r="AI2001" t="s">
        <v>66</v>
      </c>
      <c r="AJ2001">
        <v>98117</v>
      </c>
      <c r="AN2001">
        <v>550000</v>
      </c>
      <c r="BC2001" s="22">
        <v>39507.657430555555</v>
      </c>
      <c r="BI2001" s="22">
        <v>39547.913935185185</v>
      </c>
      <c r="BL2001">
        <v>18570</v>
      </c>
      <c r="BM2001">
        <v>1519980</v>
      </c>
      <c r="BN2001" t="s">
        <v>1720</v>
      </c>
      <c r="BO2001" s="17">
        <f t="shared" ca="1" si="31"/>
        <v>41.651975462962582</v>
      </c>
      <c r="BP2001" t="b">
        <v>0</v>
      </c>
      <c r="BQ2001">
        <v>1</v>
      </c>
      <c r="BR2001" t="s">
        <v>1667</v>
      </c>
      <c r="BS2001" t="s">
        <v>1844</v>
      </c>
      <c r="BT2001" t="b">
        <v>0</v>
      </c>
      <c r="BV2001" t="s">
        <v>1668</v>
      </c>
      <c r="BW2001">
        <v>8334</v>
      </c>
      <c r="BX2001" t="s">
        <v>1669</v>
      </c>
      <c r="BY2001">
        <v>164271</v>
      </c>
      <c r="BZ2001" t="s">
        <v>1713</v>
      </c>
      <c r="CA2001">
        <v>1</v>
      </c>
      <c r="CB2001" t="b">
        <v>1</v>
      </c>
      <c r="CC2001">
        <v>0</v>
      </c>
      <c r="CD2001" t="b">
        <v>0</v>
      </c>
      <c r="CE2001" t="b">
        <v>0</v>
      </c>
      <c r="CF2001" t="b">
        <v>0</v>
      </c>
      <c r="CG2001">
        <v>2881804</v>
      </c>
      <c r="CH2001" t="s">
        <v>1681</v>
      </c>
      <c r="CI2001" s="10">
        <v>928500</v>
      </c>
      <c r="CJ2001" s="7">
        <v>38909</v>
      </c>
    </row>
    <row r="2002" spans="1:90">
      <c r="A2002">
        <v>28035956</v>
      </c>
      <c r="B2002" s="2" t="str">
        <f>HYPERLINK("http://www.redfin.com/stingray/do/printable-listing?listing-id=1520188","Active")</f>
        <v>Active</v>
      </c>
      <c r="D2002" t="s">
        <v>5078</v>
      </c>
      <c r="E2002" t="s">
        <v>5132</v>
      </c>
      <c r="F2002" s="19">
        <v>579950</v>
      </c>
      <c r="G2002">
        <v>1965</v>
      </c>
      <c r="H2002">
        <v>1570</v>
      </c>
      <c r="I2002">
        <v>7680</v>
      </c>
      <c r="J2002">
        <v>4</v>
      </c>
      <c r="K2002">
        <v>1.75</v>
      </c>
      <c r="M2002" s="2" t="str">
        <f>HYPERLINK("http://maps.live.com/default.aspx?v=2&amp;lvl=15&amp;sp=Point.47.626485_-122.116193_16813 NE 19th Pl&amp;cp=47.626485~-122.116193","Map")</f>
        <v>Map</v>
      </c>
      <c r="N2002" s="2" t="str">
        <f>HYPERLINK("http://i-0.rfimg.us/photo/1/bigphoto/956/28035956_1.jpg","Photo")</f>
        <v>Photo</v>
      </c>
      <c r="AG2002">
        <v>47.626485000000002</v>
      </c>
      <c r="AH2002">
        <v>-122.116193</v>
      </c>
      <c r="AI2002" t="s">
        <v>369</v>
      </c>
      <c r="AJ2002">
        <v>98008</v>
      </c>
      <c r="AN2002">
        <v>525000</v>
      </c>
      <c r="BC2002" s="22">
        <v>39507.684259259258</v>
      </c>
      <c r="BI2002" s="22">
        <v>39549.294907407406</v>
      </c>
      <c r="BL2002">
        <v>11799</v>
      </c>
      <c r="BM2002">
        <v>1520188</v>
      </c>
      <c r="BN2002" t="s">
        <v>5131</v>
      </c>
      <c r="BO2002" s="17">
        <f t="shared" ca="1" si="31"/>
        <v>41.625146643520566</v>
      </c>
      <c r="BP2002" t="b">
        <v>0</v>
      </c>
      <c r="BQ2002">
        <v>1</v>
      </c>
      <c r="BR2002" t="s">
        <v>1842</v>
      </c>
      <c r="BS2002" t="s">
        <v>1906</v>
      </c>
      <c r="BT2002" t="b">
        <v>0</v>
      </c>
      <c r="BU2002" t="s">
        <v>1738</v>
      </c>
      <c r="BV2002" t="s">
        <v>1668</v>
      </c>
      <c r="BW2002">
        <v>16813</v>
      </c>
      <c r="BY2002">
        <v>432815</v>
      </c>
      <c r="BZ2002" t="s">
        <v>5133</v>
      </c>
      <c r="CA2002">
        <v>1</v>
      </c>
      <c r="CB2002" t="b">
        <v>1</v>
      </c>
      <c r="CC2002">
        <v>0</v>
      </c>
      <c r="CD2002" t="b">
        <v>0</v>
      </c>
      <c r="CE2002" t="b">
        <v>0</v>
      </c>
      <c r="CF2002" t="b">
        <v>0</v>
      </c>
      <c r="CG2002">
        <v>2447969</v>
      </c>
      <c r="CH2002" t="s">
        <v>1681</v>
      </c>
      <c r="CI2002" s="10">
        <v>589950</v>
      </c>
      <c r="CJ2002" s="7">
        <v>39035</v>
      </c>
    </row>
    <row r="2003" spans="1:90">
      <c r="A2003">
        <v>28035966</v>
      </c>
      <c r="B2003" s="2" t="str">
        <f>HYPERLINK("http://www.redfin.com/stingray/do/printable-listing?listing-id=1563306","Subject To Inspection")</f>
        <v>Subject To Inspection</v>
      </c>
      <c r="D2003" t="s">
        <v>207</v>
      </c>
      <c r="E2003" t="s">
        <v>3228</v>
      </c>
      <c r="F2003">
        <v>675000</v>
      </c>
      <c r="G2003">
        <v>1936</v>
      </c>
      <c r="H2003">
        <v>2860</v>
      </c>
      <c r="I2003">
        <v>7326</v>
      </c>
      <c r="J2003">
        <v>3</v>
      </c>
      <c r="K2003">
        <v>1.25</v>
      </c>
      <c r="M2003" s="2" t="str">
        <f>HYPERLINK("http://maps.live.com/default.aspx?v=2&amp;lvl=15&amp;sp=Point.47.671551_-122.297786_5755 28th Ave NE&amp;cp=47.671551~-122.297786","Map")</f>
        <v>Map</v>
      </c>
      <c r="N2003" s="2" t="str">
        <f>HYPERLINK("http://i-0.rfimg.us/photo/1/bigphoto/966/28035966_1.jpg","Photo")</f>
        <v>Photo</v>
      </c>
      <c r="AG2003">
        <v>47.671551000000001</v>
      </c>
      <c r="AH2003">
        <v>-122.297786</v>
      </c>
      <c r="AI2003" t="s">
        <v>66</v>
      </c>
      <c r="AJ2003">
        <v>98105</v>
      </c>
      <c r="BC2003" s="22">
        <v>39522.630370370367</v>
      </c>
      <c r="BI2003" s="22">
        <v>39549.294907407406</v>
      </c>
      <c r="BL2003">
        <v>13500</v>
      </c>
      <c r="BM2003">
        <v>1563306</v>
      </c>
      <c r="BN2003" t="s">
        <v>1710</v>
      </c>
      <c r="BO2003" s="17">
        <f t="shared" ca="1" si="31"/>
        <v>26.679035532411945</v>
      </c>
      <c r="BP2003" t="b">
        <v>0</v>
      </c>
      <c r="BQ2003">
        <v>2</v>
      </c>
      <c r="BR2003" t="s">
        <v>1667</v>
      </c>
      <c r="BS2003" t="s">
        <v>1760</v>
      </c>
      <c r="BT2003" t="b">
        <v>0</v>
      </c>
      <c r="BV2003" t="s">
        <v>1668</v>
      </c>
      <c r="BW2003">
        <v>5755</v>
      </c>
      <c r="BX2003" t="s">
        <v>1738</v>
      </c>
      <c r="BY2003">
        <v>312504</v>
      </c>
      <c r="BZ2003" t="s">
        <v>3229</v>
      </c>
      <c r="CA2003">
        <v>1</v>
      </c>
      <c r="CB2003" t="b">
        <v>1</v>
      </c>
      <c r="CC2003">
        <v>0</v>
      </c>
      <c r="CD2003" t="b">
        <v>0</v>
      </c>
      <c r="CE2003" t="b">
        <v>0</v>
      </c>
      <c r="CF2003" t="b">
        <v>0</v>
      </c>
      <c r="CG2003">
        <v>2386439</v>
      </c>
      <c r="CH2003" t="s">
        <v>1681</v>
      </c>
      <c r="CI2003" s="10">
        <v>675000</v>
      </c>
    </row>
    <row r="2004" spans="1:90">
      <c r="A2004">
        <v>28035979</v>
      </c>
      <c r="B2004" s="2" t="str">
        <f>HYPERLINK("http://www.redfin.com/stingray/do/printable-listing?listing-id=1520181","Active")</f>
        <v>Active</v>
      </c>
      <c r="D2004" t="s">
        <v>3929</v>
      </c>
      <c r="E2004" t="s">
        <v>6176</v>
      </c>
      <c r="F2004">
        <v>579950</v>
      </c>
      <c r="G2004">
        <v>2008</v>
      </c>
      <c r="H2004">
        <v>2848</v>
      </c>
      <c r="I2004">
        <v>5058</v>
      </c>
      <c r="J2004">
        <v>4</v>
      </c>
      <c r="K2004">
        <v>2.5</v>
      </c>
      <c r="M2004" s="2" t="str">
        <f>HYPERLINK("http://maps.live.com/default.aspx?v=2&amp;lvl=15&amp;sp=Point.47.5119_-122.1445_12234 147th Ave SE&amp;cp=47.5119~-122.1445","Map")</f>
        <v>Map</v>
      </c>
      <c r="N2004" s="2" t="str">
        <f>HYPERLINK("http://i-0.rfimg.us/photo/1/bigphoto/979/28035979_1.jpg","Photo")</f>
        <v>Photo</v>
      </c>
      <c r="AG2004">
        <v>47.511899999999997</v>
      </c>
      <c r="AH2004">
        <v>-122.14449999999999</v>
      </c>
      <c r="AI2004" t="s">
        <v>1077</v>
      </c>
      <c r="AJ2004">
        <v>98059</v>
      </c>
      <c r="BC2004" s="22">
        <v>39507.684062499997</v>
      </c>
      <c r="BI2004" s="22">
        <v>39549.294907407406</v>
      </c>
      <c r="BL2004">
        <v>11599</v>
      </c>
      <c r="BM2004">
        <v>1520181</v>
      </c>
      <c r="BN2004" t="s">
        <v>1768</v>
      </c>
      <c r="BO2004" s="17">
        <f t="shared" ca="1" si="31"/>
        <v>41.625343402782164</v>
      </c>
      <c r="BP2004" t="b">
        <v>0</v>
      </c>
      <c r="BQ2004">
        <v>1</v>
      </c>
      <c r="BR2004" t="s">
        <v>1667</v>
      </c>
      <c r="BS2004" t="s">
        <v>4610</v>
      </c>
      <c r="BT2004" t="b">
        <v>0</v>
      </c>
      <c r="BV2004" t="s">
        <v>1668</v>
      </c>
      <c r="BW2004">
        <v>12234</v>
      </c>
      <c r="BX2004" t="s">
        <v>3856</v>
      </c>
      <c r="BY2004">
        <v>12421385</v>
      </c>
      <c r="BZ2004" t="s">
        <v>1807</v>
      </c>
      <c r="CA2004">
        <v>1</v>
      </c>
      <c r="CB2004" t="b">
        <v>1</v>
      </c>
      <c r="CC2004">
        <v>0</v>
      </c>
      <c r="CD2004" t="b">
        <v>0</v>
      </c>
      <c r="CE2004" t="b">
        <v>0</v>
      </c>
      <c r="CF2004" t="b">
        <v>0</v>
      </c>
      <c r="CG2004">
        <v>15625133</v>
      </c>
      <c r="CH2004" t="s">
        <v>1681</v>
      </c>
      <c r="CI2004" s="10">
        <v>579950</v>
      </c>
    </row>
    <row r="2005" spans="1:90">
      <c r="A2005">
        <v>28036005</v>
      </c>
      <c r="B2005" s="2" t="str">
        <f>HYPERLINK("http://www.redfin.com/stingray/do/printable-listing?listing-id=1526563","Active")</f>
        <v>Active</v>
      </c>
      <c r="D2005" t="s">
        <v>2552</v>
      </c>
      <c r="E2005" t="s">
        <v>3361</v>
      </c>
      <c r="F2005" s="19">
        <v>825000</v>
      </c>
      <c r="G2005">
        <v>1939</v>
      </c>
      <c r="H2005">
        <v>2020</v>
      </c>
      <c r="I2005">
        <v>4590</v>
      </c>
      <c r="J2005">
        <v>3</v>
      </c>
      <c r="K2005">
        <v>2.75</v>
      </c>
      <c r="M2005" s="2" t="str">
        <f>HYPERLINK("http://maps.live.com/default.aspx?v=2&amp;lvl=15&amp;sp=Point.47.641379_-122.394786_2910 W Smith St&amp;cp=47.641379~-122.394786","Map")</f>
        <v>Map</v>
      </c>
      <c r="N2005" s="2" t="str">
        <f>HYPERLINK("http://i-0.rfimg.us/photo/1/bigphoto/005/28036005_1.jpg","Photo")</f>
        <v>Photo</v>
      </c>
      <c r="AG2005">
        <v>47.641379000000001</v>
      </c>
      <c r="AH2005">
        <v>-122.394786</v>
      </c>
      <c r="AI2005" t="s">
        <v>66</v>
      </c>
      <c r="AJ2005">
        <v>98199</v>
      </c>
      <c r="AN2005">
        <v>409000</v>
      </c>
      <c r="BC2005" s="22">
        <v>39510.695636574077</v>
      </c>
      <c r="BI2005" s="22">
        <v>39549.294907407406</v>
      </c>
      <c r="BL2005">
        <v>18500</v>
      </c>
      <c r="BM2005">
        <v>1526563</v>
      </c>
      <c r="BN2005" t="s">
        <v>1675</v>
      </c>
      <c r="BO2005" s="17">
        <f t="shared" ca="1" si="31"/>
        <v>38.613769328701892</v>
      </c>
      <c r="BP2005" t="b">
        <v>0</v>
      </c>
      <c r="BQ2005">
        <v>1</v>
      </c>
      <c r="BR2005" t="s">
        <v>1686</v>
      </c>
      <c r="BS2005" t="s">
        <v>3357</v>
      </c>
      <c r="BT2005" t="b">
        <v>0</v>
      </c>
      <c r="BU2005" t="s">
        <v>2423</v>
      </c>
      <c r="BV2005" t="s">
        <v>1668</v>
      </c>
      <c r="BW2005">
        <v>2910</v>
      </c>
      <c r="BY2005">
        <v>127086</v>
      </c>
      <c r="BZ2005" t="s">
        <v>1704</v>
      </c>
      <c r="CA2005">
        <v>1</v>
      </c>
      <c r="CB2005" t="b">
        <v>1</v>
      </c>
      <c r="CC2005">
        <v>0</v>
      </c>
      <c r="CD2005" t="b">
        <v>0</v>
      </c>
      <c r="CE2005" t="b">
        <v>0</v>
      </c>
      <c r="CF2005" t="b">
        <v>0</v>
      </c>
      <c r="CG2005">
        <v>2916430</v>
      </c>
      <c r="CH2005" t="s">
        <v>1681</v>
      </c>
      <c r="CI2005" s="10">
        <v>925000</v>
      </c>
      <c r="CJ2005" s="7">
        <v>36437</v>
      </c>
      <c r="CL2005" t="s">
        <v>2325</v>
      </c>
    </row>
    <row r="2006" spans="1:90">
      <c r="A2006">
        <v>28036011</v>
      </c>
      <c r="B2006" s="2" t="str">
        <f>HYPERLINK("http://www.redfin.com/stingray/do/printable-listing?listing-id=1520189","Active")</f>
        <v>Active</v>
      </c>
      <c r="D2006" t="s">
        <v>63</v>
      </c>
      <c r="E2006" t="s">
        <v>1694</v>
      </c>
      <c r="F2006">
        <v>399000</v>
      </c>
      <c r="G2006">
        <v>2008</v>
      </c>
      <c r="H2006">
        <v>1250</v>
      </c>
      <c r="I2006">
        <v>0</v>
      </c>
      <c r="J2006">
        <v>3</v>
      </c>
      <c r="K2006">
        <v>2.5</v>
      </c>
      <c r="M2006" s="2" t="str">
        <f>HYPERLINK("http://maps.live.com/default.aspx?v=2&amp;lvl=15&amp;sp=Point.47.676209_-122.378103_6505 16th Ave NW&amp;cp=47.676209~-122.378103","Map")</f>
        <v>Map</v>
      </c>
      <c r="N2006" s="2" t="str">
        <f>HYPERLINK("http://i-0.rfimg.us/photo/1/bigphoto/011/28036011_0.jpg","Photo")</f>
        <v>Photo</v>
      </c>
      <c r="AG2006">
        <v>47.676209</v>
      </c>
      <c r="AH2006">
        <v>-122.378103</v>
      </c>
      <c r="AI2006" t="s">
        <v>66</v>
      </c>
      <c r="AJ2006">
        <v>98107</v>
      </c>
      <c r="AN2006">
        <v>900000</v>
      </c>
      <c r="BC2006" s="22">
        <v>39507.684270833335</v>
      </c>
      <c r="BI2006" s="22">
        <v>39549.294907407406</v>
      </c>
      <c r="BL2006">
        <v>7980</v>
      </c>
      <c r="BM2006">
        <v>1520189</v>
      </c>
      <c r="BN2006" t="s">
        <v>1693</v>
      </c>
      <c r="BO2006" s="17">
        <f t="shared" ca="1" si="31"/>
        <v>41.625135185182444</v>
      </c>
      <c r="BP2006" t="b">
        <v>0</v>
      </c>
      <c r="BQ2006">
        <v>1</v>
      </c>
      <c r="BR2006" t="s">
        <v>1667</v>
      </c>
      <c r="BS2006" t="s">
        <v>1695</v>
      </c>
      <c r="BT2006" t="b">
        <v>0</v>
      </c>
      <c r="BV2006" t="s">
        <v>1668</v>
      </c>
      <c r="BW2006">
        <v>6505</v>
      </c>
      <c r="BX2006" t="s">
        <v>1669</v>
      </c>
      <c r="BY2006">
        <v>2075131</v>
      </c>
      <c r="BZ2006" t="s">
        <v>1696</v>
      </c>
      <c r="CA2006">
        <v>1</v>
      </c>
      <c r="CB2006" t="b">
        <v>1</v>
      </c>
      <c r="CC2006">
        <v>0</v>
      </c>
      <c r="CD2006" t="b">
        <v>0</v>
      </c>
      <c r="CE2006" t="b">
        <v>0</v>
      </c>
      <c r="CF2006" t="b">
        <v>0</v>
      </c>
      <c r="CG2006">
        <v>2618914</v>
      </c>
      <c r="CH2006" t="s">
        <v>1681</v>
      </c>
      <c r="CI2006" s="10">
        <v>399000</v>
      </c>
      <c r="CJ2006" s="7">
        <v>38901</v>
      </c>
    </row>
    <row r="2007" spans="1:90">
      <c r="A2007">
        <v>28036056</v>
      </c>
      <c r="B2007" s="2" t="str">
        <f>HYPERLINK("http://www.redfin.com/stingray/do/printable-listing?listing-id=1520421","Active")</f>
        <v>Active</v>
      </c>
      <c r="D2007" t="s">
        <v>78</v>
      </c>
      <c r="E2007" t="s">
        <v>1578</v>
      </c>
      <c r="F2007" s="19">
        <v>421900</v>
      </c>
      <c r="G2007">
        <v>1925</v>
      </c>
      <c r="H2007">
        <v>2040</v>
      </c>
      <c r="I2007">
        <v>5100</v>
      </c>
      <c r="J2007">
        <v>2</v>
      </c>
      <c r="K2007">
        <v>1.25</v>
      </c>
      <c r="M2007" s="2" t="str">
        <f>HYPERLINK("http://maps.live.com/default.aspx?v=2&amp;lvl=15&amp;sp=Point.47.680485_-122.383972_7032 22nd Ave NW&amp;cp=47.680485~-122.383972","Map")</f>
        <v>Map</v>
      </c>
      <c r="N2007" s="2" t="str">
        <f>HYPERLINK("http://i-0.rfimg.us/photo/1/bigphoto/056/28036056_0.jpg","Photo")</f>
        <v>Photo</v>
      </c>
      <c r="AG2007">
        <v>47.680484999999997</v>
      </c>
      <c r="AH2007">
        <v>-122.383972</v>
      </c>
      <c r="AI2007" t="s">
        <v>66</v>
      </c>
      <c r="AJ2007">
        <v>98117</v>
      </c>
      <c r="AN2007">
        <v>427500</v>
      </c>
      <c r="BC2007" s="22">
        <v>39507.726180555554</v>
      </c>
      <c r="BI2007" s="7">
        <v>39534</v>
      </c>
      <c r="BL2007">
        <v>8738</v>
      </c>
      <c r="BM2007">
        <v>1520421</v>
      </c>
      <c r="BN2007" t="s">
        <v>1691</v>
      </c>
      <c r="BO2007" s="17">
        <f t="shared" ca="1" si="31"/>
        <v>41.583225462964037</v>
      </c>
      <c r="BP2007" t="b">
        <v>0</v>
      </c>
      <c r="BQ2007">
        <v>1</v>
      </c>
      <c r="BR2007" t="s">
        <v>1667</v>
      </c>
      <c r="BS2007" t="s">
        <v>1692</v>
      </c>
      <c r="BT2007" t="b">
        <v>0</v>
      </c>
      <c r="BV2007" t="s">
        <v>1668</v>
      </c>
      <c r="BW2007">
        <v>7032</v>
      </c>
      <c r="BX2007" t="s">
        <v>1669</v>
      </c>
      <c r="BY2007">
        <v>165019</v>
      </c>
      <c r="BZ2007" t="s">
        <v>1684</v>
      </c>
      <c r="CA2007">
        <v>1</v>
      </c>
      <c r="CB2007" t="b">
        <v>1</v>
      </c>
      <c r="CC2007">
        <v>0</v>
      </c>
      <c r="CD2007" t="b">
        <v>1</v>
      </c>
      <c r="CE2007" t="b">
        <v>0</v>
      </c>
      <c r="CF2007" t="b">
        <v>0</v>
      </c>
      <c r="CG2007">
        <v>2809782</v>
      </c>
      <c r="CH2007" t="s">
        <v>1681</v>
      </c>
      <c r="CI2007" s="10">
        <v>436900</v>
      </c>
      <c r="CJ2007" s="7">
        <v>39450</v>
      </c>
    </row>
    <row r="2008" spans="1:90">
      <c r="A2008">
        <v>28036064</v>
      </c>
      <c r="B2008" s="2" t="str">
        <f>HYPERLINK("http://www.redfin.com/stingray/do/printable-listing?listing-id=1522235","Active")</f>
        <v>Active</v>
      </c>
      <c r="D2008" t="s">
        <v>4663</v>
      </c>
      <c r="E2008" t="s">
        <v>4748</v>
      </c>
      <c r="F2008">
        <v>959000</v>
      </c>
      <c r="G2008">
        <v>2007</v>
      </c>
      <c r="H2008">
        <v>3054</v>
      </c>
      <c r="I2008">
        <v>7428</v>
      </c>
      <c r="J2008">
        <v>4</v>
      </c>
      <c r="K2008">
        <v>3.5</v>
      </c>
      <c r="M2008" s="2" t="str">
        <f>HYPERLINK("http://maps.live.com/default.aspx?v=2&amp;lvl=15&amp;sp=Point.47.669311_-122.165276_7109 132nd Ave NE&amp;cp=47.669311~-122.165276","Map")</f>
        <v>Map</v>
      </c>
      <c r="N2008" s="2" t="str">
        <f>HYPERLINK("http://i-0.rfimg.us/photo/1/bigphoto/064/28036064_2.jpg","Photo")</f>
        <v>Photo</v>
      </c>
      <c r="AG2008">
        <v>47.669311</v>
      </c>
      <c r="AH2008">
        <v>-122.16527600000001</v>
      </c>
      <c r="AI2008" t="s">
        <v>1058</v>
      </c>
      <c r="AJ2008">
        <v>98033</v>
      </c>
      <c r="AN2008">
        <v>892177</v>
      </c>
      <c r="BC2008" s="22">
        <v>39508.400833333333</v>
      </c>
      <c r="BI2008" s="22">
        <v>39549.294907407406</v>
      </c>
      <c r="BL2008">
        <v>19180</v>
      </c>
      <c r="BM2008">
        <v>1522235</v>
      </c>
      <c r="BN2008" t="s">
        <v>4747</v>
      </c>
      <c r="BO2008" s="17">
        <f t="shared" ca="1" si="31"/>
        <v>40.908572569445823</v>
      </c>
      <c r="BP2008" t="b">
        <v>0</v>
      </c>
      <c r="BQ2008">
        <v>1</v>
      </c>
      <c r="BR2008" t="s">
        <v>1667</v>
      </c>
      <c r="BS2008" t="s">
        <v>4362</v>
      </c>
      <c r="BT2008" t="b">
        <v>0</v>
      </c>
      <c r="BV2008" t="s">
        <v>1668</v>
      </c>
      <c r="BW2008">
        <v>7109</v>
      </c>
      <c r="BX2008" t="s">
        <v>1738</v>
      </c>
      <c r="BY2008">
        <v>12303970</v>
      </c>
      <c r="BZ2008" t="s">
        <v>4749</v>
      </c>
      <c r="CA2008">
        <v>1</v>
      </c>
      <c r="CB2008" t="b">
        <v>1</v>
      </c>
      <c r="CC2008">
        <v>0</v>
      </c>
      <c r="CD2008" t="b">
        <v>0</v>
      </c>
      <c r="CE2008" t="b">
        <v>0</v>
      </c>
      <c r="CF2008" t="b">
        <v>0</v>
      </c>
      <c r="CG2008">
        <v>15510904</v>
      </c>
      <c r="CH2008" t="s">
        <v>1681</v>
      </c>
      <c r="CI2008" s="10">
        <v>959000</v>
      </c>
      <c r="CJ2008" s="7">
        <v>39309</v>
      </c>
    </row>
    <row r="2009" spans="1:90">
      <c r="A2009">
        <v>28036066</v>
      </c>
      <c r="B2009" s="2" t="str">
        <f>HYPERLINK("http://www.redfin.com/stingray/do/printable-listing?listing-id=1520368","Active")</f>
        <v>Active</v>
      </c>
      <c r="D2009" t="s">
        <v>3704</v>
      </c>
      <c r="E2009" t="s">
        <v>4170</v>
      </c>
      <c r="F2009">
        <v>539000</v>
      </c>
      <c r="G2009">
        <v>2004</v>
      </c>
      <c r="H2009">
        <v>1720</v>
      </c>
      <c r="I2009">
        <v>0</v>
      </c>
      <c r="J2009">
        <v>3</v>
      </c>
      <c r="K2009">
        <v>2.25</v>
      </c>
      <c r="M2009" s="2" t="str">
        <f>HYPERLINK("http://maps.live.com/default.aspx?v=2&amp;lvl=15&amp;sp=Point.47.619928_-122.308974_215 18th Ave E nA&amp;cp=47.619928~-122.308974","Map")</f>
        <v>Map</v>
      </c>
      <c r="N2009" s="2" t="str">
        <f>HYPERLINK("http://i-0.rfimg.us/photo/1/bigphoto/066/28036066_1.jpg","Photo")</f>
        <v>Photo</v>
      </c>
      <c r="AG2009">
        <v>47.619928000000002</v>
      </c>
      <c r="AH2009">
        <v>-122.30897400000001</v>
      </c>
      <c r="AI2009" t="s">
        <v>66</v>
      </c>
      <c r="AJ2009">
        <v>98112</v>
      </c>
      <c r="AM2009" t="s">
        <v>1722</v>
      </c>
      <c r="BC2009" s="22">
        <v>39507.714513888888</v>
      </c>
      <c r="BI2009" s="22">
        <v>39549.294907407406</v>
      </c>
      <c r="BL2009">
        <v>10780</v>
      </c>
      <c r="BM2009">
        <v>1520368</v>
      </c>
      <c r="BN2009" t="s">
        <v>1766</v>
      </c>
      <c r="BO2009" s="17">
        <f t="shared" ca="1" si="31"/>
        <v>41.594892013890785</v>
      </c>
      <c r="BP2009" t="b">
        <v>0</v>
      </c>
      <c r="BQ2009">
        <v>1</v>
      </c>
      <c r="BR2009" t="s">
        <v>1667</v>
      </c>
      <c r="BS2009" t="s">
        <v>1909</v>
      </c>
      <c r="BT2009" t="b">
        <v>0</v>
      </c>
      <c r="BV2009" t="s">
        <v>1668</v>
      </c>
      <c r="BW2009">
        <v>215</v>
      </c>
      <c r="BX2009" t="s">
        <v>2436</v>
      </c>
      <c r="BY2009">
        <v>12315695</v>
      </c>
      <c r="BZ2009" t="s">
        <v>1704</v>
      </c>
      <c r="CA2009">
        <v>1</v>
      </c>
      <c r="CB2009" t="b">
        <v>1</v>
      </c>
      <c r="CC2009">
        <v>0</v>
      </c>
      <c r="CD2009" t="b">
        <v>0</v>
      </c>
      <c r="CE2009" t="b">
        <v>0</v>
      </c>
      <c r="CF2009" t="b">
        <v>0</v>
      </c>
      <c r="CG2009">
        <v>15522137</v>
      </c>
      <c r="CH2009" t="s">
        <v>1681</v>
      </c>
      <c r="CI2009" s="10">
        <v>539000</v>
      </c>
    </row>
    <row r="2010" spans="1:90">
      <c r="A2010">
        <v>28036074</v>
      </c>
      <c r="B2010" s="15" t="str">
        <f>HYPERLINK("http://www.redfin.com/stingray/do/printable-listing?listing-id=1524486","Subject To Inspection")</f>
        <v>Subject To Inspection</v>
      </c>
      <c r="D2010" t="s">
        <v>109</v>
      </c>
      <c r="E2010" t="s">
        <v>2390</v>
      </c>
      <c r="F2010">
        <v>924950</v>
      </c>
      <c r="G2010">
        <v>1911</v>
      </c>
      <c r="H2010">
        <v>4040</v>
      </c>
      <c r="I2010">
        <v>4374</v>
      </c>
      <c r="J2010">
        <v>5</v>
      </c>
      <c r="K2010">
        <v>3.25</v>
      </c>
      <c r="M2010" s="2" t="str">
        <f>HYPERLINK("http://maps.live.com/default.aspx?v=2&amp;lvl=15&amp;sp=Point.47.662156_-122.325824_4526 Thackeray Pl NE&amp;cp=47.662156~-122.325824","Map")</f>
        <v>Map</v>
      </c>
      <c r="N2010" s="2" t="str">
        <f>HYPERLINK("http://i-0.rfimg.us/photo/1/bigphoto/074/28036074_0.jpg","Photo")</f>
        <v>Photo</v>
      </c>
      <c r="AG2010">
        <v>47.662156000000003</v>
      </c>
      <c r="AH2010">
        <v>-122.325824</v>
      </c>
      <c r="AI2010" t="s">
        <v>66</v>
      </c>
      <c r="AJ2010">
        <v>98105</v>
      </c>
      <c r="AN2010">
        <v>359000</v>
      </c>
      <c r="BC2010" s="22">
        <v>39509.859074074076</v>
      </c>
      <c r="BI2010" s="7">
        <v>39541</v>
      </c>
      <c r="BL2010">
        <v>18499</v>
      </c>
      <c r="BM2010">
        <v>1524486</v>
      </c>
      <c r="BN2010" t="s">
        <v>1710</v>
      </c>
      <c r="BO2010" s="17">
        <f t="shared" ca="1" si="31"/>
        <v>39.450331944441132</v>
      </c>
      <c r="BP2010" t="b">
        <v>0</v>
      </c>
      <c r="BQ2010">
        <v>1</v>
      </c>
      <c r="BR2010" t="s">
        <v>1842</v>
      </c>
      <c r="BS2010" t="s">
        <v>2391</v>
      </c>
      <c r="BT2010" t="b">
        <v>0</v>
      </c>
      <c r="BV2010" t="s">
        <v>1668</v>
      </c>
      <c r="BW2010">
        <v>4526</v>
      </c>
      <c r="BX2010" t="s">
        <v>1738</v>
      </c>
      <c r="BY2010">
        <v>117360</v>
      </c>
      <c r="BZ2010" t="s">
        <v>1672</v>
      </c>
      <c r="CA2010">
        <v>1</v>
      </c>
      <c r="CB2010" t="b">
        <v>1</v>
      </c>
      <c r="CC2010">
        <v>0</v>
      </c>
      <c r="CD2010" t="b">
        <v>0</v>
      </c>
      <c r="CE2010" t="b">
        <v>0</v>
      </c>
      <c r="CF2010" t="b">
        <v>0</v>
      </c>
      <c r="CG2010">
        <v>2535637</v>
      </c>
      <c r="CH2010" t="s">
        <v>1681</v>
      </c>
      <c r="CI2010" s="10">
        <v>924950</v>
      </c>
      <c r="CJ2010" s="7">
        <v>36685</v>
      </c>
    </row>
    <row r="2011" spans="1:90">
      <c r="A2011">
        <v>28036101</v>
      </c>
      <c r="B2011" s="2" t="str">
        <f>HYPERLINK("http://www.redfin.com/stingray/do/printable-listing?listing-id=1531314","Active")</f>
        <v>Active</v>
      </c>
      <c r="D2011" t="s">
        <v>101</v>
      </c>
      <c r="E2011" t="s">
        <v>2118</v>
      </c>
      <c r="F2011">
        <v>762500</v>
      </c>
      <c r="G2011">
        <v>2001</v>
      </c>
      <c r="H2011">
        <v>2630</v>
      </c>
      <c r="I2011">
        <v>15834</v>
      </c>
      <c r="J2011">
        <v>3</v>
      </c>
      <c r="K2011">
        <v>2.5</v>
      </c>
      <c r="M2011" s="2" t="str">
        <f>HYPERLINK("http://maps.live.com/default.aspx?v=2&amp;lvl=15&amp;sp=Point.47.694337_-122.397887_3154 NW 90th St&amp;cp=47.694337~-122.397887","Map")</f>
        <v>Map</v>
      </c>
      <c r="N2011" s="2" t="str">
        <f>HYPERLINK("http://i-0.rfimg.us/photo/1/bigphoto/101/28036101_4.jpg","Photo")</f>
        <v>Photo</v>
      </c>
      <c r="AG2011">
        <v>47.694336999999997</v>
      </c>
      <c r="AH2011">
        <v>-122.397887</v>
      </c>
      <c r="AI2011" t="s">
        <v>66</v>
      </c>
      <c r="AJ2011">
        <v>98117</v>
      </c>
      <c r="BC2011" s="22">
        <v>39512.36922453704</v>
      </c>
      <c r="BI2011" s="7">
        <v>39518</v>
      </c>
      <c r="BL2011">
        <v>15250</v>
      </c>
      <c r="BM2011">
        <v>1531314</v>
      </c>
      <c r="BN2011" t="s">
        <v>1749</v>
      </c>
      <c r="BO2011" s="17">
        <f t="shared" ca="1" si="31"/>
        <v>36.940181481477339</v>
      </c>
      <c r="BP2011" t="b">
        <v>0</v>
      </c>
      <c r="BQ2011">
        <v>1</v>
      </c>
      <c r="BR2011" t="s">
        <v>1686</v>
      </c>
      <c r="BS2011" t="s">
        <v>1761</v>
      </c>
      <c r="BT2011" t="b">
        <v>0</v>
      </c>
      <c r="BU2011" t="s">
        <v>1669</v>
      </c>
      <c r="BV2011" t="s">
        <v>1668</v>
      </c>
      <c r="BW2011">
        <v>3154</v>
      </c>
      <c r="BY2011">
        <v>165127</v>
      </c>
      <c r="BZ2011" t="s">
        <v>2015</v>
      </c>
      <c r="CA2011">
        <v>1</v>
      </c>
      <c r="CB2011" t="b">
        <v>1</v>
      </c>
      <c r="CC2011">
        <v>0</v>
      </c>
      <c r="CD2011" t="b">
        <v>0</v>
      </c>
      <c r="CE2011" t="b">
        <v>1</v>
      </c>
      <c r="CF2011" t="b">
        <v>0</v>
      </c>
      <c r="CG2011">
        <v>2731364</v>
      </c>
      <c r="CH2011" t="s">
        <v>1681</v>
      </c>
      <c r="CI2011" s="10">
        <v>762500</v>
      </c>
    </row>
    <row r="2012" spans="1:90">
      <c r="A2012">
        <v>28036132</v>
      </c>
      <c r="B2012" s="2" t="str">
        <f>HYPERLINK("http://www.redfin.com/stingray/do/printable-listing?listing-id=1520634","Active")</f>
        <v>Active</v>
      </c>
      <c r="D2012" t="s">
        <v>109</v>
      </c>
      <c r="E2012" t="s">
        <v>1600</v>
      </c>
      <c r="F2012">
        <v>459950</v>
      </c>
      <c r="G2012">
        <v>2008</v>
      </c>
      <c r="H2012">
        <v>1439</v>
      </c>
      <c r="I2012">
        <v>0</v>
      </c>
      <c r="J2012">
        <v>3</v>
      </c>
      <c r="K2012">
        <v>2.25</v>
      </c>
      <c r="M2012" s="2" t="str">
        <f>HYPERLINK("http://maps.live.com/default.aspx?v=2&amp;lvl=15&amp;sp=Point.47.654237_-122.34561_1010 N 39th St&amp;cp=47.654237~-122.34561","Map")</f>
        <v>Map</v>
      </c>
      <c r="N2012" s="2" t="str">
        <f>HYPERLINK("http://i-0.rfimg.us/photo/1/bigphoto/132/28036132_0.jpg","Photo")</f>
        <v>Photo</v>
      </c>
      <c r="AG2012">
        <v>47.654237000000002</v>
      </c>
      <c r="AH2012">
        <v>-122.34560999999999</v>
      </c>
      <c r="AI2012" t="s">
        <v>66</v>
      </c>
      <c r="AJ2012">
        <v>98103</v>
      </c>
      <c r="BC2012" s="22">
        <v>39507.808564814812</v>
      </c>
      <c r="BI2012" s="22">
        <v>39547.913935185185</v>
      </c>
      <c r="BL2012">
        <v>9199</v>
      </c>
      <c r="BM2012">
        <v>1520634</v>
      </c>
      <c r="BN2012" t="s">
        <v>1720</v>
      </c>
      <c r="BO2012" s="17">
        <f t="shared" ca="1" si="31"/>
        <v>41.500841087967274</v>
      </c>
      <c r="BP2012" t="b">
        <v>0</v>
      </c>
      <c r="BQ2012">
        <v>1</v>
      </c>
      <c r="BR2012" t="s">
        <v>1686</v>
      </c>
      <c r="BS2012" t="s">
        <v>3124</v>
      </c>
      <c r="BT2012" t="b">
        <v>0</v>
      </c>
      <c r="BU2012" t="s">
        <v>1712</v>
      </c>
      <c r="BV2012" t="s">
        <v>1668</v>
      </c>
      <c r="BW2012">
        <v>1010</v>
      </c>
      <c r="BY2012">
        <v>12421437</v>
      </c>
      <c r="BZ2012" t="s">
        <v>1676</v>
      </c>
      <c r="CA2012">
        <v>1</v>
      </c>
      <c r="CB2012" t="b">
        <v>1</v>
      </c>
      <c r="CC2012">
        <v>0</v>
      </c>
      <c r="CD2012" t="b">
        <v>0</v>
      </c>
      <c r="CE2012" t="b">
        <v>0</v>
      </c>
      <c r="CF2012" t="b">
        <v>0</v>
      </c>
      <c r="CG2012">
        <v>15625185</v>
      </c>
      <c r="CH2012" t="s">
        <v>1681</v>
      </c>
      <c r="CI2012" s="10">
        <v>459950</v>
      </c>
    </row>
    <row r="2013" spans="1:90">
      <c r="A2013">
        <v>28036155</v>
      </c>
      <c r="B2013" s="15" t="str">
        <f>HYPERLINK("http://www.redfin.com/stingray/do/printable-listing?listing-id=1521183","Subject To Inspection")</f>
        <v>Subject To Inspection</v>
      </c>
      <c r="D2013" t="s">
        <v>3064</v>
      </c>
      <c r="E2013" t="s">
        <v>3905</v>
      </c>
      <c r="F2013">
        <v>1038800</v>
      </c>
      <c r="G2013">
        <v>2007</v>
      </c>
      <c r="H2013">
        <v>4444</v>
      </c>
      <c r="I2013">
        <v>7996</v>
      </c>
      <c r="J2013">
        <v>6</v>
      </c>
      <c r="K2013">
        <v>4.5</v>
      </c>
      <c r="M2013" s="2" t="str">
        <f>HYPERLINK("http://maps.live.com/default.aspx?v=2&amp;lvl=15&amp;sp=adr.5513 NE First Pl nLot 10 (Unable to map),98059","Map")</f>
        <v>Map</v>
      </c>
      <c r="N2013" s="2" t="str">
        <f>HYPERLINK("http://i-0.rfimg.us/photo/1/bigphoto/155/28036155_0.jpg","Photo")</f>
        <v>Photo</v>
      </c>
      <c r="AI2013" t="s">
        <v>1077</v>
      </c>
      <c r="AJ2013">
        <v>98059</v>
      </c>
      <c r="AM2013" t="s">
        <v>3906</v>
      </c>
      <c r="BC2013" s="22">
        <v>39507.891006944446</v>
      </c>
      <c r="BI2013" s="22">
        <v>39549.294907407406</v>
      </c>
      <c r="BL2013">
        <v>20776</v>
      </c>
      <c r="BM2013">
        <v>1521183</v>
      </c>
      <c r="BN2013" t="s">
        <v>3236</v>
      </c>
      <c r="BO2013" s="17">
        <f t="shared" ca="1" si="31"/>
        <v>41.418398958332546</v>
      </c>
      <c r="BP2013" t="b">
        <v>0</v>
      </c>
      <c r="BQ2013">
        <v>1</v>
      </c>
      <c r="BR2013" t="s">
        <v>1842</v>
      </c>
      <c r="BS2013" t="s">
        <v>3877</v>
      </c>
      <c r="BT2013" t="b">
        <v>0</v>
      </c>
      <c r="BU2013" t="s">
        <v>1738</v>
      </c>
      <c r="BV2013" t="s">
        <v>1668</v>
      </c>
      <c r="BW2013">
        <v>5513</v>
      </c>
      <c r="BY2013">
        <v>0</v>
      </c>
      <c r="BZ2013" s="21">
        <v>0</v>
      </c>
      <c r="CA2013">
        <v>1</v>
      </c>
      <c r="CB2013" t="b">
        <v>1</v>
      </c>
      <c r="CC2013">
        <v>0</v>
      </c>
      <c r="CD2013" t="b">
        <v>0</v>
      </c>
      <c r="CE2013" t="b">
        <v>0</v>
      </c>
      <c r="CF2013" t="b">
        <v>0</v>
      </c>
      <c r="CG2013" t="s">
        <v>1870</v>
      </c>
      <c r="CH2013" t="s">
        <v>1681</v>
      </c>
      <c r="CI2013" s="10">
        <v>1038800</v>
      </c>
    </row>
    <row r="2014" spans="1:90">
      <c r="A2014">
        <v>28036201</v>
      </c>
      <c r="B2014" s="2" t="str">
        <f>HYPERLINK("http://www.redfin.com/stingray/do/printable-listing?listing-id=1522265","Active")</f>
        <v>Active</v>
      </c>
      <c r="D2014" t="s">
        <v>369</v>
      </c>
      <c r="E2014" t="s">
        <v>5818</v>
      </c>
      <c r="F2014">
        <v>509950</v>
      </c>
      <c r="G2014">
        <v>1978</v>
      </c>
      <c r="H2014">
        <v>2610</v>
      </c>
      <c r="I2014">
        <v>0</v>
      </c>
      <c r="J2014">
        <v>4</v>
      </c>
      <c r="K2014">
        <v>2.25</v>
      </c>
      <c r="M2014" s="2" t="str">
        <f>HYPERLINK("http://maps.live.com/default.aspx?v=2&amp;lvl=15&amp;sp=Point.47.544469_-122.181574_11828 SE 66th St&amp;cp=47.544469~-122.181574","Map")</f>
        <v>Map</v>
      </c>
      <c r="N2014" s="2" t="str">
        <f>HYPERLINK("http://i-0.rfimg.us/photo/1/bigphoto/201/28036201_0.jpg","Photo")</f>
        <v>Photo</v>
      </c>
      <c r="AG2014">
        <v>47.544468999999999</v>
      </c>
      <c r="AH2014">
        <v>-122.181574</v>
      </c>
      <c r="AI2014" t="s">
        <v>369</v>
      </c>
      <c r="AJ2014">
        <v>98006</v>
      </c>
      <c r="AN2014">
        <v>290000</v>
      </c>
      <c r="BC2014" s="22">
        <v>39508.41064814815</v>
      </c>
      <c r="BI2014" s="22">
        <v>39549.294907407406</v>
      </c>
      <c r="BL2014">
        <v>10199</v>
      </c>
      <c r="BM2014">
        <v>1522265</v>
      </c>
      <c r="BN2014" t="s">
        <v>1737</v>
      </c>
      <c r="BO2014" s="17">
        <f t="shared" ca="1" si="31"/>
        <v>40.898757754628605</v>
      </c>
      <c r="BP2014" t="b">
        <v>0</v>
      </c>
      <c r="BQ2014">
        <v>1</v>
      </c>
      <c r="BR2014" t="s">
        <v>1686</v>
      </c>
      <c r="BS2014" t="s">
        <v>1915</v>
      </c>
      <c r="BT2014" t="b">
        <v>0</v>
      </c>
      <c r="BU2014" t="s">
        <v>3856</v>
      </c>
      <c r="BV2014" t="s">
        <v>1668</v>
      </c>
      <c r="BW2014">
        <v>11828</v>
      </c>
      <c r="BY2014">
        <v>416099</v>
      </c>
      <c r="BZ2014" t="s">
        <v>1696</v>
      </c>
      <c r="CA2014">
        <v>1</v>
      </c>
      <c r="CB2014" t="b">
        <v>1</v>
      </c>
      <c r="CC2014">
        <v>0</v>
      </c>
      <c r="CD2014" t="b">
        <v>0</v>
      </c>
      <c r="CE2014" t="b">
        <v>0</v>
      </c>
      <c r="CF2014" t="b">
        <v>0</v>
      </c>
      <c r="CG2014">
        <v>2738248</v>
      </c>
      <c r="CH2014" t="s">
        <v>1681</v>
      </c>
      <c r="CI2014" s="10">
        <v>509950</v>
      </c>
      <c r="CJ2014" s="7">
        <v>37106</v>
      </c>
    </row>
    <row r="2015" spans="1:90">
      <c r="A2015">
        <v>28036220</v>
      </c>
      <c r="B2015" s="2" t="str">
        <f>HYPERLINK("http://www.redfin.com/stingray/do/printable-listing?listing-id=1530632","Active")</f>
        <v>Active</v>
      </c>
      <c r="D2015" t="s">
        <v>3959</v>
      </c>
      <c r="E2015" t="s">
        <v>4058</v>
      </c>
      <c r="F2015">
        <v>419000</v>
      </c>
      <c r="G2015">
        <v>2005</v>
      </c>
      <c r="H2015">
        <v>960</v>
      </c>
      <c r="I2015">
        <v>1498</v>
      </c>
      <c r="J2015">
        <v>2</v>
      </c>
      <c r="K2015">
        <v>1.5</v>
      </c>
      <c r="M2015" s="2" t="str">
        <f>HYPERLINK("http://maps.live.com/default.aspx?v=2&amp;lvl=15&amp;sp=Point.47.606063_-122.312466_1525 E Jefferson St&amp;cp=47.606063~-122.312466","Map")</f>
        <v>Map</v>
      </c>
      <c r="N2015" s="2" t="str">
        <f>HYPERLINK("http://i-0.rfimg.us/photo/1/bigphoto/220/28036220_4.jpg","Photo")</f>
        <v>Photo</v>
      </c>
      <c r="AG2015">
        <v>47.606062999999999</v>
      </c>
      <c r="AH2015">
        <v>-122.312466</v>
      </c>
      <c r="AI2015" t="s">
        <v>66</v>
      </c>
      <c r="AJ2015">
        <v>98122</v>
      </c>
      <c r="AN2015">
        <v>407500</v>
      </c>
      <c r="BC2015" s="22">
        <v>39511.807569444441</v>
      </c>
      <c r="BI2015" s="22">
        <v>39549.294907407406</v>
      </c>
      <c r="BL2015">
        <v>8380</v>
      </c>
      <c r="BM2015">
        <v>1530632</v>
      </c>
      <c r="BN2015" t="s">
        <v>2202</v>
      </c>
      <c r="BO2015" s="17">
        <f t="shared" ca="1" si="31"/>
        <v>37.501836458337493</v>
      </c>
      <c r="BP2015" t="b">
        <v>0</v>
      </c>
      <c r="BQ2015">
        <v>1</v>
      </c>
      <c r="BR2015" t="s">
        <v>1686</v>
      </c>
      <c r="BS2015" t="s">
        <v>4050</v>
      </c>
      <c r="BT2015" t="b">
        <v>0</v>
      </c>
      <c r="BU2015" t="s">
        <v>2436</v>
      </c>
      <c r="BV2015" t="s">
        <v>1668</v>
      </c>
      <c r="BW2015">
        <v>1525</v>
      </c>
      <c r="BY2015">
        <v>2068776</v>
      </c>
      <c r="BZ2015" t="s">
        <v>4059</v>
      </c>
      <c r="CA2015">
        <v>1</v>
      </c>
      <c r="CB2015" t="b">
        <v>1</v>
      </c>
      <c r="CC2015">
        <v>0</v>
      </c>
      <c r="CD2015" t="b">
        <v>0</v>
      </c>
      <c r="CE2015" t="b">
        <v>0</v>
      </c>
      <c r="CF2015" t="b">
        <v>0</v>
      </c>
      <c r="CG2015">
        <v>2503936</v>
      </c>
      <c r="CH2015" t="s">
        <v>1681</v>
      </c>
      <c r="CI2015" s="10">
        <v>419000</v>
      </c>
      <c r="CJ2015" s="7">
        <v>39234</v>
      </c>
    </row>
    <row r="2016" spans="1:90">
      <c r="A2016">
        <v>28036226</v>
      </c>
      <c r="B2016" s="2" t="str">
        <f>HYPERLINK("http://www.redfin.com/stingray/do/printable-listing?listing-id=1522145","Active")</f>
        <v>Active</v>
      </c>
      <c r="D2016" t="s">
        <v>66</v>
      </c>
      <c r="E2016" t="s">
        <v>4283</v>
      </c>
      <c r="F2016">
        <v>825000</v>
      </c>
      <c r="G2016">
        <v>2007</v>
      </c>
      <c r="H2016">
        <v>2756</v>
      </c>
      <c r="I2016">
        <v>3840</v>
      </c>
      <c r="J2016">
        <v>5</v>
      </c>
      <c r="K2016">
        <v>3.5</v>
      </c>
      <c r="M2016" s="2" t="str">
        <f>HYPERLINK("http://maps.live.com/default.aspx?v=2&amp;lvl=15&amp;sp=Point.47.612113_-122.299727_1116 25th&amp;cp=47.612113~-122.299727","Map")</f>
        <v>Map</v>
      </c>
      <c r="N2016" s="2" t="str">
        <f>HYPERLINK("http://i-0.rfimg.us/photo/1/bigphoto/226/28036226_0.jpg","Photo")</f>
        <v>Photo</v>
      </c>
      <c r="AG2016">
        <v>47.612113000000001</v>
      </c>
      <c r="AH2016">
        <v>-122.299727</v>
      </c>
      <c r="AI2016" t="s">
        <v>66</v>
      </c>
      <c r="AJ2016">
        <v>98106</v>
      </c>
      <c r="AN2016">
        <v>250000</v>
      </c>
      <c r="BC2016" s="22">
        <v>39508.379421296297</v>
      </c>
      <c r="BI2016" s="22">
        <v>39549.294907407406</v>
      </c>
      <c r="BL2016">
        <v>16500</v>
      </c>
      <c r="BM2016">
        <v>1522145</v>
      </c>
      <c r="BN2016" t="s">
        <v>4282</v>
      </c>
      <c r="BO2016" s="17">
        <f t="shared" ca="1" si="31"/>
        <v>40.929984606482321</v>
      </c>
      <c r="BP2016" t="b">
        <v>0</v>
      </c>
      <c r="BQ2016">
        <v>1</v>
      </c>
      <c r="BS2016" t="s">
        <v>1819</v>
      </c>
      <c r="BT2016" t="b">
        <v>0</v>
      </c>
      <c r="BV2016" t="s">
        <v>1668</v>
      </c>
      <c r="BW2016">
        <v>1116</v>
      </c>
      <c r="BY2016">
        <v>147275</v>
      </c>
      <c r="BZ2016" t="s">
        <v>1701</v>
      </c>
      <c r="CA2016">
        <v>1</v>
      </c>
      <c r="CB2016" t="b">
        <v>1</v>
      </c>
      <c r="CC2016">
        <v>0</v>
      </c>
      <c r="CD2016" t="b">
        <v>0</v>
      </c>
      <c r="CE2016" t="b">
        <v>0</v>
      </c>
      <c r="CF2016" t="b">
        <v>0</v>
      </c>
      <c r="CG2016">
        <v>2459220</v>
      </c>
      <c r="CH2016" t="s">
        <v>1681</v>
      </c>
      <c r="CI2016" s="10">
        <v>825000</v>
      </c>
      <c r="CJ2016" s="7">
        <v>38839</v>
      </c>
    </row>
    <row r="2017" spans="1:88">
      <c r="A2017">
        <v>28036247</v>
      </c>
      <c r="B2017" s="2" t="str">
        <f>HYPERLINK("http://www.redfin.com/stingray/do/printable-listing?listing-id=1522163","Active")</f>
        <v>Active</v>
      </c>
      <c r="D2017" t="s">
        <v>5050</v>
      </c>
      <c r="E2017" t="s">
        <v>5093</v>
      </c>
      <c r="F2017" s="19">
        <v>794800</v>
      </c>
      <c r="G2017">
        <v>1963</v>
      </c>
      <c r="H2017">
        <v>3080</v>
      </c>
      <c r="I2017">
        <v>11280</v>
      </c>
      <c r="J2017">
        <v>5</v>
      </c>
      <c r="K2017">
        <v>2.75</v>
      </c>
      <c r="M2017" s="2" t="str">
        <f>HYPERLINK("http://maps.live.com/default.aspx?v=2&amp;lvl=15&amp;sp=Point.47.614086_-122.165215_325 131st Ave NE&amp;cp=47.614086~-122.165215","Map")</f>
        <v>Map</v>
      </c>
      <c r="N2017" s="2" t="str">
        <f>HYPERLINK("http://i-0.rfimg.us/photo/1/bigphoto/247/28036247_0.jpg","Photo")</f>
        <v>Photo</v>
      </c>
      <c r="AG2017">
        <v>47.614086</v>
      </c>
      <c r="AH2017">
        <v>-122.165215</v>
      </c>
      <c r="AI2017" t="s">
        <v>369</v>
      </c>
      <c r="AJ2017">
        <v>98005</v>
      </c>
      <c r="AN2017">
        <v>140000</v>
      </c>
      <c r="BC2017" s="22">
        <v>39508.390057870369</v>
      </c>
      <c r="BI2017" s="22">
        <v>39549.294907407406</v>
      </c>
      <c r="BL2017">
        <v>15996</v>
      </c>
      <c r="BM2017">
        <v>1522163</v>
      </c>
      <c r="BN2017" t="s">
        <v>1673</v>
      </c>
      <c r="BO2017" s="17">
        <f t="shared" ca="1" si="31"/>
        <v>40.919348032410198</v>
      </c>
      <c r="BP2017" t="b">
        <v>0</v>
      </c>
      <c r="BQ2017">
        <v>1</v>
      </c>
      <c r="BR2017" t="s">
        <v>1667</v>
      </c>
      <c r="BS2017" t="s">
        <v>4521</v>
      </c>
      <c r="BT2017" t="b">
        <v>0</v>
      </c>
      <c r="BV2017" t="s">
        <v>1668</v>
      </c>
      <c r="BW2017">
        <v>325</v>
      </c>
      <c r="BX2017" t="s">
        <v>1738</v>
      </c>
      <c r="BY2017">
        <v>508374</v>
      </c>
      <c r="BZ2017" t="s">
        <v>1672</v>
      </c>
      <c r="CA2017">
        <v>1</v>
      </c>
      <c r="CB2017" t="b">
        <v>1</v>
      </c>
      <c r="CC2017">
        <v>0</v>
      </c>
      <c r="CD2017" t="b">
        <v>0</v>
      </c>
      <c r="CE2017" t="b">
        <v>0</v>
      </c>
      <c r="CF2017" t="b">
        <v>0</v>
      </c>
      <c r="CG2017">
        <v>2736080</v>
      </c>
      <c r="CH2017" t="s">
        <v>1681</v>
      </c>
      <c r="CI2017" s="10">
        <v>799800</v>
      </c>
      <c r="CJ2017" s="7">
        <v>36838</v>
      </c>
    </row>
    <row r="2018" spans="1:88">
      <c r="A2018">
        <v>28036253</v>
      </c>
      <c r="B2018" s="15" t="str">
        <f>HYPERLINK("http://www.redfin.com/stingray/do/printable-listing?listing-id=1522234","Subject To Inspection")</f>
        <v>Subject To Inspection</v>
      </c>
      <c r="D2018" t="s">
        <v>3249</v>
      </c>
      <c r="E2018" t="s">
        <v>3667</v>
      </c>
      <c r="F2018">
        <v>625000</v>
      </c>
      <c r="G2018">
        <v>1926</v>
      </c>
      <c r="H2018">
        <v>2630</v>
      </c>
      <c r="I2018">
        <v>0</v>
      </c>
      <c r="J2018">
        <v>4</v>
      </c>
      <c r="K2018">
        <v>3</v>
      </c>
      <c r="M2018" s="2" t="str">
        <f>HYPERLINK("http://maps.live.com/default.aspx?v=2&amp;lvl=15&amp;sp=Point.47.636456_-122.343041_1919 Dexter Ave N&amp;cp=47.636456~-122.343041","Map")</f>
        <v>Map</v>
      </c>
      <c r="N2018" s="2" t="str">
        <f>HYPERLINK("http://i-0.rfimg.us/photo/1/bigphoto/253/28036253_0.jpg","Photo")</f>
        <v>Photo</v>
      </c>
      <c r="AG2018">
        <v>47.636456000000003</v>
      </c>
      <c r="AH2018">
        <v>-122.343041</v>
      </c>
      <c r="AI2018" t="s">
        <v>66</v>
      </c>
      <c r="AJ2018">
        <v>98109</v>
      </c>
      <c r="AN2018">
        <v>119500</v>
      </c>
      <c r="BC2018" s="22">
        <v>39508.400821759256</v>
      </c>
      <c r="BI2018" s="7">
        <v>39538</v>
      </c>
      <c r="BL2018">
        <v>12500</v>
      </c>
      <c r="BM2018">
        <v>1522234</v>
      </c>
      <c r="BN2018" t="s">
        <v>1725</v>
      </c>
      <c r="BO2018" s="17">
        <f t="shared" ca="1" si="31"/>
        <v>40.908584143522603</v>
      </c>
      <c r="BP2018" t="b">
        <v>0</v>
      </c>
      <c r="BQ2018">
        <v>1</v>
      </c>
      <c r="BR2018" t="s">
        <v>1667</v>
      </c>
      <c r="BS2018" t="s">
        <v>3668</v>
      </c>
      <c r="BT2018" t="b">
        <v>0</v>
      </c>
      <c r="BV2018" t="s">
        <v>1668</v>
      </c>
      <c r="BW2018">
        <v>1919</v>
      </c>
      <c r="BX2018" t="s">
        <v>1712</v>
      </c>
      <c r="BY2018">
        <v>131704</v>
      </c>
      <c r="BZ2018" t="s">
        <v>1713</v>
      </c>
      <c r="CA2018">
        <v>1</v>
      </c>
      <c r="CB2018" t="b">
        <v>1</v>
      </c>
      <c r="CC2018">
        <v>0</v>
      </c>
      <c r="CD2018" t="b">
        <v>0</v>
      </c>
      <c r="CE2018" t="b">
        <v>0</v>
      </c>
      <c r="CF2018" t="b">
        <v>0</v>
      </c>
      <c r="CG2018">
        <v>2417119</v>
      </c>
      <c r="CH2018" t="s">
        <v>1681</v>
      </c>
      <c r="CI2018" s="10">
        <v>625000</v>
      </c>
      <c r="CJ2018" s="7">
        <v>32405</v>
      </c>
    </row>
    <row r="2019" spans="1:88">
      <c r="A2019">
        <v>28036260</v>
      </c>
      <c r="B2019" s="2" t="str">
        <f>HYPERLINK("http://www.redfin.com/stingray/do/printable-listing?listing-id=1522267","Active")</f>
        <v>Active</v>
      </c>
      <c r="D2019" t="s">
        <v>3924</v>
      </c>
      <c r="E2019" t="s">
        <v>4079</v>
      </c>
      <c r="F2019" s="19">
        <v>477000</v>
      </c>
      <c r="G2019">
        <v>1950</v>
      </c>
      <c r="H2019">
        <v>1440</v>
      </c>
      <c r="I2019">
        <v>4800</v>
      </c>
      <c r="J2019">
        <v>3</v>
      </c>
      <c r="K2019">
        <v>2</v>
      </c>
      <c r="M2019" s="2" t="str">
        <f>HYPERLINK("http://maps.live.com/default.aspx?v=2&amp;lvl=15&amp;sp=Point.47.620859_-122.293841_221 30th Ave E&amp;cp=47.620859~-122.293841","Map")</f>
        <v>Map</v>
      </c>
      <c r="N2019" s="2" t="str">
        <f>HYPERLINK("http://i-0.rfimg.us/photo/1/bigphoto/260/28036260_4.jpg","Photo")</f>
        <v>Photo</v>
      </c>
      <c r="AG2019">
        <v>47.620859000000003</v>
      </c>
      <c r="AH2019">
        <v>-122.293841</v>
      </c>
      <c r="AI2019" t="s">
        <v>66</v>
      </c>
      <c r="AJ2019">
        <v>98112</v>
      </c>
      <c r="AN2019">
        <v>61000</v>
      </c>
      <c r="BC2019" s="22">
        <v>39508.41064814815</v>
      </c>
      <c r="BI2019" s="22">
        <v>39549.294907407406</v>
      </c>
      <c r="BL2019">
        <v>9780</v>
      </c>
      <c r="BM2019">
        <v>1522267</v>
      </c>
      <c r="BN2019" t="s">
        <v>1766</v>
      </c>
      <c r="BO2019" s="17">
        <f t="shared" ca="1" si="31"/>
        <v>40.898757754628605</v>
      </c>
      <c r="BP2019" t="b">
        <v>0</v>
      </c>
      <c r="BQ2019">
        <v>1</v>
      </c>
      <c r="BR2019" t="s">
        <v>1667</v>
      </c>
      <c r="BS2019" t="s">
        <v>1818</v>
      </c>
      <c r="BT2019" t="b">
        <v>0</v>
      </c>
      <c r="BV2019" t="s">
        <v>1668</v>
      </c>
      <c r="BW2019">
        <v>221</v>
      </c>
      <c r="BX2019" t="s">
        <v>2436</v>
      </c>
      <c r="BY2019">
        <v>146300</v>
      </c>
      <c r="BZ2019" t="s">
        <v>4080</v>
      </c>
      <c r="CA2019">
        <v>1</v>
      </c>
      <c r="CB2019" t="b">
        <v>1</v>
      </c>
      <c r="CC2019">
        <v>0</v>
      </c>
      <c r="CD2019" t="b">
        <v>0</v>
      </c>
      <c r="CE2019" t="b">
        <v>0</v>
      </c>
      <c r="CF2019" t="b">
        <v>0</v>
      </c>
      <c r="CG2019">
        <v>2429580</v>
      </c>
      <c r="CH2019" t="s">
        <v>1681</v>
      </c>
      <c r="CI2019" s="10">
        <v>489000</v>
      </c>
      <c r="CJ2019" s="7">
        <v>32738</v>
      </c>
    </row>
    <row r="2020" spans="1:88">
      <c r="A2020">
        <v>28036271</v>
      </c>
      <c r="B2020" s="2" t="str">
        <f>HYPERLINK("http://www.redfin.com/stingray/do/printable-listing?listing-id=1522292","Active")</f>
        <v>Active</v>
      </c>
      <c r="D2020" t="s">
        <v>3885</v>
      </c>
      <c r="E2020" t="s">
        <v>5765</v>
      </c>
      <c r="F2020">
        <v>669500</v>
      </c>
      <c r="G2020">
        <v>2000</v>
      </c>
      <c r="H2020">
        <v>3010</v>
      </c>
      <c r="I2020">
        <v>7953</v>
      </c>
      <c r="J2020">
        <v>4</v>
      </c>
      <c r="K2020">
        <v>2.5</v>
      </c>
      <c r="M2020" s="2" t="str">
        <f>HYPERLINK("http://maps.live.com/default.aspx?v=2&amp;lvl=15&amp;sp=Point.47.521899_-122.190033_3315 Aberdeen Ave NE&amp;cp=47.521899~-122.190033","Map")</f>
        <v>Map</v>
      </c>
      <c r="N2020" s="2" t="str">
        <f>HYPERLINK("http://i-0.rfimg.us/photo/1/bigphoto/271/28036271_5.jpg","Photo")</f>
        <v>Photo</v>
      </c>
      <c r="AG2020">
        <v>47.521898999999998</v>
      </c>
      <c r="AH2020">
        <v>-122.190033</v>
      </c>
      <c r="AI2020" t="s">
        <v>1077</v>
      </c>
      <c r="AJ2020">
        <v>98056</v>
      </c>
      <c r="AN2020">
        <v>423500</v>
      </c>
      <c r="BC2020" s="22">
        <v>39508.421400462961</v>
      </c>
      <c r="BI2020" s="22">
        <v>39549.294907407406</v>
      </c>
      <c r="BL2020">
        <v>13390</v>
      </c>
      <c r="BM2020">
        <v>1522292</v>
      </c>
      <c r="BN2020" t="s">
        <v>3121</v>
      </c>
      <c r="BO2020" s="17">
        <f t="shared" ca="1" si="31"/>
        <v>40.888005439817789</v>
      </c>
      <c r="BP2020" t="b">
        <v>0</v>
      </c>
      <c r="BQ2020">
        <v>1</v>
      </c>
      <c r="BR2020" t="s">
        <v>1667</v>
      </c>
      <c r="BS2020" t="s">
        <v>5766</v>
      </c>
      <c r="BT2020" t="b">
        <v>0</v>
      </c>
      <c r="BV2020" t="s">
        <v>1668</v>
      </c>
      <c r="BW2020">
        <v>3315</v>
      </c>
      <c r="BX2020" t="s">
        <v>1738</v>
      </c>
      <c r="BY2020">
        <v>414026</v>
      </c>
      <c r="BZ2020" t="s">
        <v>5767</v>
      </c>
      <c r="CA2020">
        <v>1</v>
      </c>
      <c r="CB2020" t="b">
        <v>1</v>
      </c>
      <c r="CC2020">
        <v>0</v>
      </c>
      <c r="CD2020" t="b">
        <v>0</v>
      </c>
      <c r="CE2020" t="b">
        <v>0</v>
      </c>
      <c r="CF2020" t="b">
        <v>0</v>
      </c>
      <c r="CG2020">
        <v>2937312</v>
      </c>
      <c r="CH2020" t="s">
        <v>1681</v>
      </c>
      <c r="CI2020" s="10">
        <v>669500</v>
      </c>
      <c r="CJ2020" s="7">
        <v>36728</v>
      </c>
    </row>
    <row r="2021" spans="1:88">
      <c r="A2021">
        <v>28036282</v>
      </c>
      <c r="B2021" s="2" t="str">
        <f>HYPERLINK("http://www.redfin.com/stingray/do/printable-listing?listing-id=1560238","Active")</f>
        <v>Active</v>
      </c>
      <c r="D2021" t="s">
        <v>3924</v>
      </c>
      <c r="E2021" t="s">
        <v>4094</v>
      </c>
      <c r="F2021">
        <v>434950</v>
      </c>
      <c r="G2021">
        <v>1997</v>
      </c>
      <c r="H2021">
        <v>1390</v>
      </c>
      <c r="I2021">
        <v>0</v>
      </c>
      <c r="J2021">
        <v>3</v>
      </c>
      <c r="K2021">
        <v>2.5</v>
      </c>
      <c r="M2021" s="2" t="str">
        <f>HYPERLINK("http://maps.live.com/default.aspx?v=2&amp;lvl=15&amp;sp=Point.47.61936_-122.300103_131 25th Ave E nB&amp;cp=47.61936~-122.300103","Map")</f>
        <v>Map</v>
      </c>
      <c r="N2021" s="2" t="str">
        <f>HYPERLINK("http://i-0.rfimg.us/photo/1/bigphoto/282/28036282_1.jpg","Photo")</f>
        <v>Photo</v>
      </c>
      <c r="AG2021">
        <v>47.61936</v>
      </c>
      <c r="AH2021">
        <v>-122.30010299999999</v>
      </c>
      <c r="AI2021" t="s">
        <v>66</v>
      </c>
      <c r="AJ2021">
        <v>98112</v>
      </c>
      <c r="AM2021" t="s">
        <v>1699</v>
      </c>
      <c r="BC2021" s="22">
        <v>39521.576574074075</v>
      </c>
      <c r="BI2021" s="22">
        <v>39549.294907407406</v>
      </c>
      <c r="BL2021">
        <v>8699</v>
      </c>
      <c r="BM2021">
        <v>1560238</v>
      </c>
      <c r="BN2021" t="s">
        <v>1749</v>
      </c>
      <c r="BO2021" s="17">
        <f t="shared" ca="1" si="31"/>
        <v>27.732831828703638</v>
      </c>
      <c r="BP2021" t="b">
        <v>0</v>
      </c>
      <c r="BQ2021">
        <v>1</v>
      </c>
      <c r="BR2021" t="s">
        <v>1667</v>
      </c>
      <c r="BS2021" t="s">
        <v>1819</v>
      </c>
      <c r="BT2021" t="b">
        <v>0</v>
      </c>
      <c r="BV2021" t="s">
        <v>1668</v>
      </c>
      <c r="BW2021">
        <v>131</v>
      </c>
      <c r="BX2021" t="s">
        <v>2436</v>
      </c>
      <c r="BY2021">
        <v>12428453</v>
      </c>
      <c r="BZ2021" t="s">
        <v>4095</v>
      </c>
      <c r="CA2021">
        <v>1</v>
      </c>
      <c r="CB2021" t="b">
        <v>1</v>
      </c>
      <c r="CC2021">
        <v>0</v>
      </c>
      <c r="CD2021" t="b">
        <v>0</v>
      </c>
      <c r="CE2021" t="b">
        <v>0</v>
      </c>
      <c r="CF2021" t="b">
        <v>0</v>
      </c>
      <c r="CG2021">
        <v>15632201</v>
      </c>
      <c r="CH2021" t="s">
        <v>1681</v>
      </c>
      <c r="CI2021" s="10">
        <v>434950</v>
      </c>
    </row>
    <row r="2022" spans="1:88">
      <c r="A2022">
        <v>28036310</v>
      </c>
      <c r="B2022" s="2" t="str">
        <f>HYPERLINK("http://www.redfin.com/stingray/do/printable-listing?listing-id=1522374","Active")</f>
        <v>Active</v>
      </c>
      <c r="D2022" t="s">
        <v>101</v>
      </c>
      <c r="E2022" t="s">
        <v>1633</v>
      </c>
      <c r="F2022">
        <v>975950</v>
      </c>
      <c r="G2022">
        <v>2008</v>
      </c>
      <c r="H2022">
        <v>3050</v>
      </c>
      <c r="I2022">
        <v>6170</v>
      </c>
      <c r="J2022">
        <v>4</v>
      </c>
      <c r="K2022">
        <v>2.75</v>
      </c>
      <c r="M2022" s="2" t="str">
        <f>HYPERLINK("http://maps.live.com/default.aspx?v=2&amp;lvl=15&amp;sp=Point.47.692206_-122.390095_8716 26th Ave NW&amp;cp=47.692206~-122.390095","Map")</f>
        <v>Map</v>
      </c>
      <c r="N2022" s="2" t="str">
        <f>HYPERLINK("http://i-0.rfimg.us/photo/1/bigphoto/310/28036310_0.jpg","Photo")</f>
        <v>Photo</v>
      </c>
      <c r="AG2022">
        <v>47.692205999999999</v>
      </c>
      <c r="AH2022">
        <v>-122.390095</v>
      </c>
      <c r="AI2022" t="s">
        <v>66</v>
      </c>
      <c r="AJ2022">
        <v>98117</v>
      </c>
      <c r="BC2022" s="22">
        <v>39508.452627314815</v>
      </c>
      <c r="BI2022" s="22">
        <v>39549.294907407406</v>
      </c>
      <c r="BL2022">
        <v>19519</v>
      </c>
      <c r="BM2022">
        <v>1522374</v>
      </c>
      <c r="BN2022" t="s">
        <v>1852</v>
      </c>
      <c r="BO2022" s="17">
        <f t="shared" ca="1" si="31"/>
        <v>40.85677870370273</v>
      </c>
      <c r="BP2022" t="b">
        <v>0</v>
      </c>
      <c r="BQ2022">
        <v>1</v>
      </c>
      <c r="BR2022" t="s">
        <v>1667</v>
      </c>
      <c r="BS2022" t="s">
        <v>1769</v>
      </c>
      <c r="BT2022" t="b">
        <v>0</v>
      </c>
      <c r="BV2022" t="s">
        <v>1668</v>
      </c>
      <c r="BW2022">
        <v>8716</v>
      </c>
      <c r="BX2022" t="s">
        <v>1669</v>
      </c>
      <c r="BY2022">
        <v>12421616</v>
      </c>
      <c r="BZ2022" s="21">
        <v>0</v>
      </c>
      <c r="CA2022">
        <v>1</v>
      </c>
      <c r="CB2022" t="b">
        <v>1</v>
      </c>
      <c r="CC2022">
        <v>0</v>
      </c>
      <c r="CD2022" t="b">
        <v>0</v>
      </c>
      <c r="CE2022" t="b">
        <v>0</v>
      </c>
      <c r="CF2022" t="b">
        <v>0</v>
      </c>
      <c r="CG2022">
        <v>15625364</v>
      </c>
      <c r="CH2022" t="s">
        <v>1681</v>
      </c>
      <c r="CI2022" s="10">
        <v>975950</v>
      </c>
    </row>
    <row r="2023" spans="1:88">
      <c r="A2023">
        <v>28036318</v>
      </c>
      <c r="B2023" s="2" t="str">
        <f>HYPERLINK("http://www.redfin.com/stingray/do/printable-listing?listing-id=1522370","Active")</f>
        <v>Active</v>
      </c>
      <c r="D2023" t="s">
        <v>4359</v>
      </c>
      <c r="E2023" t="s">
        <v>4548</v>
      </c>
      <c r="F2023">
        <v>524950</v>
      </c>
      <c r="G2023">
        <v>1976</v>
      </c>
      <c r="H2023">
        <v>1920</v>
      </c>
      <c r="I2023">
        <v>9100</v>
      </c>
      <c r="J2023">
        <v>4</v>
      </c>
      <c r="K2023">
        <v>2.75</v>
      </c>
      <c r="M2023" s="2" t="str">
        <f>HYPERLINK("http://maps.live.com/default.aspx?v=2&amp;lvl=15&amp;sp=Point.47.696713_-122.168474_12834 NE 107&amp;cp=47.696713~-122.168474","Map")</f>
        <v>Map</v>
      </c>
      <c r="N2023" s="2" t="str">
        <f>HYPERLINK("http://i-0.rfimg.us/photo/1/bigphoto/318/28036318_0.jpg","Photo")</f>
        <v>Photo</v>
      </c>
      <c r="AG2023">
        <v>47.696713000000003</v>
      </c>
      <c r="AH2023">
        <v>-122.168474</v>
      </c>
      <c r="AI2023" t="s">
        <v>1058</v>
      </c>
      <c r="AJ2023">
        <v>98033</v>
      </c>
      <c r="AN2023">
        <v>173750</v>
      </c>
      <c r="BC2023" s="22">
        <v>39508.452615740738</v>
      </c>
      <c r="BI2023" s="22">
        <v>39549.294907407406</v>
      </c>
      <c r="BL2023">
        <v>10499</v>
      </c>
      <c r="BM2023">
        <v>1522370</v>
      </c>
      <c r="BN2023" t="s">
        <v>2203</v>
      </c>
      <c r="BO2023" s="17">
        <f t="shared" ca="1" si="31"/>
        <v>40.856790162040852</v>
      </c>
      <c r="BP2023" t="b">
        <v>0</v>
      </c>
      <c r="BQ2023">
        <v>1</v>
      </c>
      <c r="BS2023">
        <v>107</v>
      </c>
      <c r="BT2023" t="b">
        <v>0</v>
      </c>
      <c r="BU2023" t="s">
        <v>1738</v>
      </c>
      <c r="BV2023" t="s">
        <v>1668</v>
      </c>
      <c r="BW2023">
        <v>12834</v>
      </c>
      <c r="BY2023">
        <v>512194</v>
      </c>
      <c r="BZ2023" t="s">
        <v>1741</v>
      </c>
      <c r="CA2023">
        <v>1</v>
      </c>
      <c r="CB2023" t="b">
        <v>1</v>
      </c>
      <c r="CC2023">
        <v>0</v>
      </c>
      <c r="CD2023" t="b">
        <v>0</v>
      </c>
      <c r="CE2023" t="b">
        <v>0</v>
      </c>
      <c r="CF2023" t="b">
        <v>0</v>
      </c>
      <c r="CG2023">
        <v>2650104</v>
      </c>
      <c r="CH2023" t="s">
        <v>1681</v>
      </c>
      <c r="CI2023" s="10">
        <v>524950</v>
      </c>
      <c r="CJ2023" s="7">
        <v>34166</v>
      </c>
    </row>
    <row r="2024" spans="1:88">
      <c r="A2024">
        <v>28036324</v>
      </c>
      <c r="B2024" s="15" t="str">
        <f>HYPERLINK("http://www.redfin.com/stingray/do/printable-listing?listing-id=1522398","Active")</f>
        <v>Active</v>
      </c>
      <c r="D2024" t="s">
        <v>5565</v>
      </c>
      <c r="E2024" t="s">
        <v>5674</v>
      </c>
      <c r="F2024">
        <v>569950</v>
      </c>
      <c r="G2024">
        <v>1967</v>
      </c>
      <c r="H2024">
        <v>2820</v>
      </c>
      <c r="I2024">
        <v>16204</v>
      </c>
      <c r="J2024">
        <v>4</v>
      </c>
      <c r="K2024">
        <v>2.5</v>
      </c>
      <c r="M2024" s="2" t="str">
        <f>HYPERLINK("http://maps.live.com/default.aspx?v=2&amp;lvl=15&amp;sp=Point.47.543065_-122.169335_6625 128th Ave SE&amp;cp=47.543065~-122.169335","Map")</f>
        <v>Map</v>
      </c>
      <c r="N2024" s="2" t="str">
        <f>HYPERLINK("http://i-0.rfimg.us/photo/1/bigphoto/324/28036324_3.jpg","Photo")</f>
        <v>Photo</v>
      </c>
      <c r="AG2024">
        <v>47.543064999999999</v>
      </c>
      <c r="AH2024">
        <v>-122.169335</v>
      </c>
      <c r="AI2024" t="s">
        <v>369</v>
      </c>
      <c r="AJ2024">
        <v>98006</v>
      </c>
      <c r="BC2024" s="22">
        <v>39508.462951388887</v>
      </c>
      <c r="BI2024" s="22">
        <v>39549.294907407406</v>
      </c>
      <c r="BL2024">
        <v>11399</v>
      </c>
      <c r="BM2024">
        <v>1522398</v>
      </c>
      <c r="BN2024" t="s">
        <v>1674</v>
      </c>
      <c r="BO2024" s="17">
        <f t="shared" ca="1" si="31"/>
        <v>40.84645451389224</v>
      </c>
      <c r="BP2024" t="b">
        <v>0</v>
      </c>
      <c r="BQ2024">
        <v>2</v>
      </c>
      <c r="BR2024" t="s">
        <v>1667</v>
      </c>
      <c r="BS2024" t="s">
        <v>4484</v>
      </c>
      <c r="BT2024" t="b">
        <v>0</v>
      </c>
      <c r="BV2024" t="s">
        <v>1668</v>
      </c>
      <c r="BW2024">
        <v>6625</v>
      </c>
      <c r="BX2024" t="s">
        <v>3856</v>
      </c>
      <c r="BY2024">
        <v>415848</v>
      </c>
      <c r="BZ2024" t="s">
        <v>4188</v>
      </c>
      <c r="CA2024">
        <v>1</v>
      </c>
      <c r="CB2024" t="b">
        <v>1</v>
      </c>
      <c r="CC2024">
        <v>0</v>
      </c>
      <c r="CD2024" t="b">
        <v>0</v>
      </c>
      <c r="CE2024" t="b">
        <v>0</v>
      </c>
      <c r="CF2024" t="b">
        <v>0</v>
      </c>
      <c r="CG2024">
        <v>2816615</v>
      </c>
      <c r="CH2024" t="s">
        <v>1681</v>
      </c>
      <c r="CI2024" s="10">
        <v>569950</v>
      </c>
    </row>
    <row r="2025" spans="1:88">
      <c r="A2025">
        <v>28036400</v>
      </c>
      <c r="B2025" s="2" t="str">
        <f>HYPERLINK("http://www.redfin.com/stingray/do/printable-listing?listing-id=1540666","Active")</f>
        <v>Active</v>
      </c>
      <c r="D2025" t="s">
        <v>3249</v>
      </c>
      <c r="E2025" t="s">
        <v>3438</v>
      </c>
      <c r="F2025">
        <v>699000</v>
      </c>
      <c r="G2025">
        <v>1947</v>
      </c>
      <c r="H2025">
        <v>2140</v>
      </c>
      <c r="I2025">
        <v>4566</v>
      </c>
      <c r="J2025">
        <v>3</v>
      </c>
      <c r="K2025">
        <v>2</v>
      </c>
      <c r="M2025" s="2" t="str">
        <f>HYPERLINK("http://maps.live.com/default.aspx?v=2&amp;lvl=15&amp;sp=Point.47.643494_-122.372562_1211 W Bothwell St&amp;cp=47.643494~-122.372562","Map")</f>
        <v>Map</v>
      </c>
      <c r="N2025" s="2" t="str">
        <f>HYPERLINK("http://i-0.rfimg.us/photo/1/bigphoto/400/28036400_1.jpg","Photo")</f>
        <v>Photo</v>
      </c>
      <c r="AG2025">
        <v>47.643493999999997</v>
      </c>
      <c r="AH2025">
        <v>-122.372562</v>
      </c>
      <c r="AI2025" t="s">
        <v>66</v>
      </c>
      <c r="AJ2025">
        <v>98119</v>
      </c>
      <c r="AN2025">
        <v>400000</v>
      </c>
      <c r="BC2025" s="22">
        <v>39514.642824074072</v>
      </c>
      <c r="BI2025" s="22">
        <v>39549.294907407406</v>
      </c>
      <c r="BL2025">
        <v>13980</v>
      </c>
      <c r="BM2025">
        <v>1540666</v>
      </c>
      <c r="BN2025" t="s">
        <v>1678</v>
      </c>
      <c r="BO2025" s="17">
        <f t="shared" ca="1" si="31"/>
        <v>34.666581828707422</v>
      </c>
      <c r="BP2025" t="b">
        <v>0</v>
      </c>
      <c r="BQ2025">
        <v>1</v>
      </c>
      <c r="BR2025" t="s">
        <v>1686</v>
      </c>
      <c r="BS2025" t="s">
        <v>3439</v>
      </c>
      <c r="BT2025" t="b">
        <v>0</v>
      </c>
      <c r="BU2025" t="s">
        <v>2423</v>
      </c>
      <c r="BV2025" t="s">
        <v>1668</v>
      </c>
      <c r="BW2025">
        <v>1211</v>
      </c>
      <c r="BY2025">
        <v>130430</v>
      </c>
      <c r="BZ2025" t="s">
        <v>1704</v>
      </c>
      <c r="CA2025">
        <v>1</v>
      </c>
      <c r="CB2025" t="b">
        <v>1</v>
      </c>
      <c r="CC2025">
        <v>0</v>
      </c>
      <c r="CD2025" t="b">
        <v>0</v>
      </c>
      <c r="CE2025" t="b">
        <v>0</v>
      </c>
      <c r="CF2025" t="b">
        <v>0</v>
      </c>
      <c r="CG2025">
        <v>2991761</v>
      </c>
      <c r="CH2025" t="s">
        <v>1681</v>
      </c>
      <c r="CI2025" s="10">
        <v>699000</v>
      </c>
      <c r="CJ2025" s="7">
        <v>37550</v>
      </c>
    </row>
    <row r="2026" spans="1:88">
      <c r="A2026">
        <v>28036407</v>
      </c>
      <c r="B2026" s="2" t="str">
        <f>HYPERLINK("http://www.redfin.com/stingray/do/printable-listing?listing-id=1522603","Active")</f>
        <v>Active</v>
      </c>
      <c r="D2026" t="s">
        <v>202</v>
      </c>
      <c r="E2026" t="s">
        <v>2988</v>
      </c>
      <c r="F2026" s="19">
        <v>665000</v>
      </c>
      <c r="G2026">
        <v>2003</v>
      </c>
      <c r="H2026">
        <v>2500</v>
      </c>
      <c r="I2026">
        <v>7125</v>
      </c>
      <c r="J2026">
        <v>4</v>
      </c>
      <c r="K2026">
        <v>2</v>
      </c>
      <c r="M2026" s="2" t="str">
        <f>HYPERLINK("http://maps.live.com/default.aspx?v=2&amp;lvl=15&amp;sp=Point.47.709348_-122.312123_11024 15th Ave NE&amp;cp=47.709348~-122.312123","Map")</f>
        <v>Map</v>
      </c>
      <c r="N2026" s="2" t="str">
        <f>HYPERLINK("http://i-0.rfimg.us/photo/1/bigphoto/407/28036407_1.jpg","Photo")</f>
        <v>Photo</v>
      </c>
      <c r="AG2026">
        <v>47.709347999999999</v>
      </c>
      <c r="AH2026">
        <v>-122.312123</v>
      </c>
      <c r="AI2026" t="s">
        <v>66</v>
      </c>
      <c r="AJ2026">
        <v>98125</v>
      </c>
      <c r="AN2026">
        <v>117000</v>
      </c>
      <c r="BC2026" s="22">
        <v>39508.536377314813</v>
      </c>
      <c r="BI2026" s="22">
        <v>39549.294907407406</v>
      </c>
      <c r="BL2026">
        <v>14378</v>
      </c>
      <c r="BM2026">
        <v>1522603</v>
      </c>
      <c r="BN2026" t="s">
        <v>1710</v>
      </c>
      <c r="BO2026" s="17">
        <f t="shared" ca="1" si="31"/>
        <v>40.77302858796611</v>
      </c>
      <c r="BP2026" t="b">
        <v>0</v>
      </c>
      <c r="BQ2026">
        <v>1</v>
      </c>
      <c r="BR2026" t="s">
        <v>1667</v>
      </c>
      <c r="BS2026" t="s">
        <v>1838</v>
      </c>
      <c r="BT2026" t="b">
        <v>0</v>
      </c>
      <c r="BV2026" t="s">
        <v>1668</v>
      </c>
      <c r="BW2026">
        <v>11024</v>
      </c>
      <c r="BX2026" t="s">
        <v>1738</v>
      </c>
      <c r="BY2026">
        <v>116873</v>
      </c>
      <c r="BZ2026" t="s">
        <v>2989</v>
      </c>
      <c r="CA2026">
        <v>1</v>
      </c>
      <c r="CB2026" t="b">
        <v>1</v>
      </c>
      <c r="CC2026">
        <v>0</v>
      </c>
      <c r="CD2026" t="b">
        <v>0</v>
      </c>
      <c r="CE2026" t="b">
        <v>0</v>
      </c>
      <c r="CF2026" t="b">
        <v>0</v>
      </c>
      <c r="CG2026">
        <v>2647321</v>
      </c>
      <c r="CH2026" t="s">
        <v>1681</v>
      </c>
      <c r="CI2026" s="10">
        <v>718888</v>
      </c>
      <c r="CJ2026" s="7">
        <v>35550</v>
      </c>
    </row>
    <row r="2027" spans="1:88">
      <c r="A2027">
        <v>28036419</v>
      </c>
      <c r="B2027" s="15" t="str">
        <f>HYPERLINK("http://www.redfin.com/stingray/do/printable-listing?listing-id=1522653","Subject To Inspection")</f>
        <v>Subject To Inspection</v>
      </c>
      <c r="D2027" t="s">
        <v>2552</v>
      </c>
      <c r="E2027" t="s">
        <v>3391</v>
      </c>
      <c r="F2027">
        <v>1500000</v>
      </c>
      <c r="G2027">
        <v>2004</v>
      </c>
      <c r="H2027">
        <v>3620</v>
      </c>
      <c r="I2027">
        <v>5000</v>
      </c>
      <c r="J2027">
        <v>4</v>
      </c>
      <c r="K2027">
        <v>3.5</v>
      </c>
      <c r="M2027" s="2" t="str">
        <f>HYPERLINK("http://maps.live.com/default.aspx?v=2&amp;lvl=15&amp;sp=Point.47.635612_-122.395381_1810 30th Ave W&amp;cp=47.635612~-122.395381","Map")</f>
        <v>Map</v>
      </c>
      <c r="N2027" s="2" t="str">
        <f>HYPERLINK("http://i-0.rfimg.us/photo/1/bigphoto/419/28036419_2.jpg","Photo")</f>
        <v>Photo</v>
      </c>
      <c r="AG2027">
        <v>47.635612000000002</v>
      </c>
      <c r="AH2027">
        <v>-122.395381</v>
      </c>
      <c r="AI2027" t="s">
        <v>66</v>
      </c>
      <c r="AJ2027">
        <v>98199</v>
      </c>
      <c r="AN2027">
        <v>985000</v>
      </c>
      <c r="BC2027" s="22">
        <v>39508.557986111111</v>
      </c>
      <c r="BI2027" s="7">
        <v>39538</v>
      </c>
      <c r="BL2027">
        <v>30000</v>
      </c>
      <c r="BM2027">
        <v>1522653</v>
      </c>
      <c r="BN2027" t="s">
        <v>1678</v>
      </c>
      <c r="BO2027" s="17">
        <f t="shared" ca="1" si="31"/>
        <v>40.751419791668013</v>
      </c>
      <c r="BP2027" t="b">
        <v>0</v>
      </c>
      <c r="BQ2027">
        <v>1</v>
      </c>
      <c r="BR2027" t="s">
        <v>1667</v>
      </c>
      <c r="BS2027" t="s">
        <v>1818</v>
      </c>
      <c r="BT2027" t="b">
        <v>0</v>
      </c>
      <c r="BV2027" t="s">
        <v>1668</v>
      </c>
      <c r="BW2027">
        <v>1810</v>
      </c>
      <c r="BX2027" t="s">
        <v>2423</v>
      </c>
      <c r="BY2027">
        <v>126498</v>
      </c>
      <c r="BZ2027" t="s">
        <v>1730</v>
      </c>
      <c r="CA2027">
        <v>1</v>
      </c>
      <c r="CB2027" t="b">
        <v>1</v>
      </c>
      <c r="CC2027">
        <v>0</v>
      </c>
      <c r="CD2027" t="b">
        <v>0</v>
      </c>
      <c r="CE2027" t="b">
        <v>0</v>
      </c>
      <c r="CF2027" t="b">
        <v>0</v>
      </c>
      <c r="CG2027">
        <v>2551953</v>
      </c>
      <c r="CH2027" t="s">
        <v>1681</v>
      </c>
      <c r="CI2027" s="10">
        <v>1500000</v>
      </c>
      <c r="CJ2027" s="7">
        <v>38195</v>
      </c>
    </row>
    <row r="2028" spans="1:88">
      <c r="A2028">
        <v>28036427</v>
      </c>
      <c r="B2028" s="2" t="str">
        <f>HYPERLINK("http://www.redfin.com/stingray/do/printable-listing?listing-id=1522688","Active")</f>
        <v>Active</v>
      </c>
      <c r="D2028" t="s">
        <v>5776</v>
      </c>
      <c r="E2028" t="s">
        <v>5778</v>
      </c>
      <c r="F2028">
        <v>745000</v>
      </c>
      <c r="G2028">
        <v>2007</v>
      </c>
      <c r="H2028">
        <v>3180</v>
      </c>
      <c r="I2028">
        <v>5928</v>
      </c>
      <c r="J2028">
        <v>4</v>
      </c>
      <c r="K2028">
        <v>2.5</v>
      </c>
      <c r="M2028" s="2" t="str">
        <f>HYPERLINK("http://maps.live.com/default.aspx?v=2&amp;lvl=15&amp;sp=Point.47.521658_-122.201596_3336 Park Ave N&amp;cp=47.521658~-122.201596","Map")</f>
        <v>Map</v>
      </c>
      <c r="N2028" s="2" t="str">
        <f>HYPERLINK("http://i-0.rfimg.us/photo/1/bigphoto/427/28036427_1.jpg","Photo")</f>
        <v>Photo</v>
      </c>
      <c r="AG2028">
        <v>47.521658000000002</v>
      </c>
      <c r="AH2028">
        <v>-122.201596</v>
      </c>
      <c r="AI2028" t="s">
        <v>1077</v>
      </c>
      <c r="AJ2028">
        <v>98056</v>
      </c>
      <c r="AN2028">
        <v>395000</v>
      </c>
      <c r="BC2028" s="22">
        <v>39508.567685185182</v>
      </c>
      <c r="BI2028" s="22">
        <v>39549.294907407406</v>
      </c>
      <c r="BL2028">
        <v>14900</v>
      </c>
      <c r="BM2028">
        <v>1522688</v>
      </c>
      <c r="BN2028" t="s">
        <v>5777</v>
      </c>
      <c r="BO2028" s="17">
        <f t="shared" ca="1" si="31"/>
        <v>40.741720717596763</v>
      </c>
      <c r="BP2028" t="b">
        <v>0</v>
      </c>
      <c r="BQ2028">
        <v>1</v>
      </c>
      <c r="BR2028" t="s">
        <v>1667</v>
      </c>
      <c r="BS2028" t="s">
        <v>3101</v>
      </c>
      <c r="BT2028" t="b">
        <v>0</v>
      </c>
      <c r="BV2028" t="s">
        <v>1668</v>
      </c>
      <c r="BW2028">
        <v>3336</v>
      </c>
      <c r="BX2028" t="s">
        <v>1712</v>
      </c>
      <c r="BY2028">
        <v>408994</v>
      </c>
      <c r="BZ2028" t="s">
        <v>1836</v>
      </c>
      <c r="CA2028">
        <v>1</v>
      </c>
      <c r="CB2028" t="b">
        <v>1</v>
      </c>
      <c r="CC2028">
        <v>0</v>
      </c>
      <c r="CD2028" t="b">
        <v>0</v>
      </c>
      <c r="CE2028" t="b">
        <v>0</v>
      </c>
      <c r="CF2028" t="b">
        <v>0</v>
      </c>
      <c r="CG2028">
        <v>2606047</v>
      </c>
      <c r="CH2028" t="s">
        <v>1681</v>
      </c>
      <c r="CI2028" s="10">
        <v>745000</v>
      </c>
      <c r="CJ2028" s="7">
        <v>38814</v>
      </c>
    </row>
    <row r="2029" spans="1:88">
      <c r="A2029">
        <v>28036437</v>
      </c>
      <c r="B2029" s="15" t="str">
        <f>HYPERLINK("http://www.redfin.com/stingray/do/printable-listing?listing-id=1522777","Active")</f>
        <v>Active</v>
      </c>
      <c r="D2029" t="s">
        <v>60</v>
      </c>
      <c r="E2029" t="s">
        <v>2143</v>
      </c>
      <c r="F2029">
        <v>459000</v>
      </c>
      <c r="G2029">
        <v>1906</v>
      </c>
      <c r="H2029">
        <v>0</v>
      </c>
      <c r="I2029">
        <v>6120</v>
      </c>
      <c r="J2029">
        <v>2</v>
      </c>
      <c r="K2029">
        <v>1</v>
      </c>
      <c r="M2029" s="2" t="str">
        <f>HYPERLINK("http://maps.live.com/default.aspx?v=2&amp;lvl=15&amp;sp=Point.47.669121_-122.325059_309 NE 56th St&amp;cp=47.669121~-122.325059","Map")</f>
        <v>Map</v>
      </c>
      <c r="N2029" s="2" t="str">
        <f>HYPERLINK("http://i-0.rfimg.us/photo/1/bigphoto/437/28036437_0.jpg","Photo")</f>
        <v>Photo</v>
      </c>
      <c r="AG2029">
        <v>47.669120999999997</v>
      </c>
      <c r="AH2029">
        <v>-122.325059</v>
      </c>
      <c r="AI2029" t="s">
        <v>66</v>
      </c>
      <c r="AJ2029">
        <v>98105</v>
      </c>
      <c r="AN2029">
        <v>319000</v>
      </c>
      <c r="BC2029" s="22">
        <v>39508.611932870372</v>
      </c>
      <c r="BI2029" s="22">
        <v>39549.294907407406</v>
      </c>
      <c r="BL2029">
        <v>9180</v>
      </c>
      <c r="BM2029">
        <v>1522777</v>
      </c>
      <c r="BN2029" t="s">
        <v>1710</v>
      </c>
      <c r="BO2029" s="17">
        <f t="shared" ca="1" si="31"/>
        <v>40.697473148145946</v>
      </c>
      <c r="BP2029" t="b">
        <v>0</v>
      </c>
      <c r="BQ2029">
        <v>2</v>
      </c>
      <c r="BR2029" t="s">
        <v>1686</v>
      </c>
      <c r="BS2029" t="s">
        <v>2467</v>
      </c>
      <c r="BT2029" t="b">
        <v>0</v>
      </c>
      <c r="BU2029" t="s">
        <v>1738</v>
      </c>
      <c r="BV2029" t="s">
        <v>1668</v>
      </c>
      <c r="BW2029">
        <v>309</v>
      </c>
      <c r="BY2029">
        <v>304304</v>
      </c>
      <c r="BZ2029" t="s">
        <v>1672</v>
      </c>
      <c r="CA2029">
        <v>1</v>
      </c>
      <c r="CB2029" t="b">
        <v>1</v>
      </c>
      <c r="CC2029">
        <v>0</v>
      </c>
      <c r="CD2029" t="b">
        <v>0</v>
      </c>
      <c r="CE2029" t="b">
        <v>0</v>
      </c>
      <c r="CF2029" t="b">
        <v>0</v>
      </c>
      <c r="CG2029">
        <v>2828562</v>
      </c>
      <c r="CH2029" t="s">
        <v>1681</v>
      </c>
      <c r="CI2029" s="10">
        <v>459000</v>
      </c>
      <c r="CJ2029" s="7">
        <v>37859</v>
      </c>
    </row>
    <row r="2030" spans="1:88">
      <c r="A2030">
        <v>28036439</v>
      </c>
      <c r="B2030" s="2" t="str">
        <f>HYPERLINK("http://www.redfin.com/stingray/do/printable-listing?listing-id=1535408","Active")</f>
        <v>Active</v>
      </c>
      <c r="D2030" t="s">
        <v>3885</v>
      </c>
      <c r="E2030" t="s">
        <v>5698</v>
      </c>
      <c r="F2030">
        <v>549900</v>
      </c>
      <c r="G2030">
        <v>1990</v>
      </c>
      <c r="H2030">
        <v>3000</v>
      </c>
      <c r="I2030">
        <v>6599</v>
      </c>
      <c r="J2030">
        <v>4</v>
      </c>
      <c r="K2030">
        <v>2.5</v>
      </c>
      <c r="M2030" s="2" t="str">
        <f>HYPERLINK("http://maps.live.com/default.aspx?v=2&amp;lvl=15&amp;sp=Point.47.539817_-122.180592_7002 119th Pl SE&amp;cp=47.539817~-122.180592","Map")</f>
        <v>Map</v>
      </c>
      <c r="N2030" s="2" t="str">
        <f>HYPERLINK("http://i-0.rfimg.us/photo/1/bigphoto/439/28036439_0.jpg","Photo")</f>
        <v>Photo</v>
      </c>
      <c r="AG2030">
        <v>47.539816999999999</v>
      </c>
      <c r="AH2030">
        <v>-122.180592</v>
      </c>
      <c r="AI2030" t="s">
        <v>3885</v>
      </c>
      <c r="AJ2030">
        <v>98056</v>
      </c>
      <c r="AN2030">
        <v>189950</v>
      </c>
      <c r="BC2030" s="22">
        <v>39513.327245370368</v>
      </c>
      <c r="BI2030" s="22">
        <v>39549.294907407406</v>
      </c>
      <c r="BL2030">
        <v>10998</v>
      </c>
      <c r="BM2030">
        <v>1535408</v>
      </c>
      <c r="BN2030" t="s">
        <v>1674</v>
      </c>
      <c r="BO2030" s="17">
        <f t="shared" ca="1" si="31"/>
        <v>35.982160532410489</v>
      </c>
      <c r="BP2030" t="b">
        <v>0</v>
      </c>
      <c r="BQ2030">
        <v>1</v>
      </c>
      <c r="BR2030" t="s">
        <v>1842</v>
      </c>
      <c r="BS2030" t="s">
        <v>4573</v>
      </c>
      <c r="BT2030" t="b">
        <v>0</v>
      </c>
      <c r="BV2030" t="s">
        <v>1668</v>
      </c>
      <c r="BW2030">
        <v>7002</v>
      </c>
      <c r="BX2030" t="s">
        <v>3856</v>
      </c>
      <c r="BY2030">
        <v>413558</v>
      </c>
      <c r="BZ2030" t="s">
        <v>1762</v>
      </c>
      <c r="CA2030">
        <v>1</v>
      </c>
      <c r="CB2030" t="b">
        <v>1</v>
      </c>
      <c r="CC2030">
        <v>0</v>
      </c>
      <c r="CD2030" t="b">
        <v>0</v>
      </c>
      <c r="CE2030" t="b">
        <v>0</v>
      </c>
      <c r="CF2030" t="b">
        <v>0</v>
      </c>
      <c r="CG2030">
        <v>2688182</v>
      </c>
      <c r="CH2030" t="s">
        <v>1681</v>
      </c>
      <c r="CI2030" s="10">
        <v>549900</v>
      </c>
      <c r="CJ2030" s="7">
        <v>32941</v>
      </c>
    </row>
    <row r="2031" spans="1:88">
      <c r="A2031">
        <v>28036462</v>
      </c>
      <c r="B2031" s="2" t="str">
        <f>HYPERLINK("http://www.redfin.com/stingray/do/printable-listing?listing-id=1525267","Active")</f>
        <v>Active</v>
      </c>
      <c r="D2031" t="s">
        <v>2848</v>
      </c>
      <c r="E2031" t="s">
        <v>2987</v>
      </c>
      <c r="F2031" s="19">
        <v>1999999</v>
      </c>
      <c r="G2031">
        <v>1906</v>
      </c>
      <c r="H2031">
        <v>4200</v>
      </c>
      <c r="I2031">
        <v>22913</v>
      </c>
      <c r="J2031">
        <v>5</v>
      </c>
      <c r="K2031">
        <v>3.75</v>
      </c>
      <c r="M2031" s="2" t="str">
        <f>HYPERLINK("http://maps.live.com/default.aspx?v=2&amp;lvl=15&amp;sp=Point.47.715632_-122.257089_12956 Holmes Point Dr NE&amp;cp=47.715632~-122.257089","Map")</f>
        <v>Map</v>
      </c>
      <c r="N2031" s="2" t="str">
        <f>HYPERLINK("http://i-0.rfimg.us/photo/1/bigphoto/462/28036462_2.jpg","Photo")</f>
        <v>Photo</v>
      </c>
      <c r="AG2031">
        <v>47.715631999999999</v>
      </c>
      <c r="AH2031">
        <v>-122.25708899999999</v>
      </c>
      <c r="AI2031" t="s">
        <v>1058</v>
      </c>
      <c r="AJ2031">
        <v>98034</v>
      </c>
      <c r="AN2031">
        <v>1825000</v>
      </c>
      <c r="BC2031" s="22">
        <v>39510.431805555556</v>
      </c>
      <c r="BI2031" s="22">
        <v>39549.294907407406</v>
      </c>
      <c r="BL2031">
        <v>42000</v>
      </c>
      <c r="BM2031">
        <v>1525267</v>
      </c>
      <c r="BN2031" t="s">
        <v>1674</v>
      </c>
      <c r="BO2031" s="17">
        <f t="shared" ca="1" si="31"/>
        <v>38.877600347223051</v>
      </c>
      <c r="BP2031" t="b">
        <v>0</v>
      </c>
      <c r="BQ2031">
        <v>1</v>
      </c>
      <c r="BR2031" t="s">
        <v>1816</v>
      </c>
      <c r="BS2031" t="s">
        <v>2848</v>
      </c>
      <c r="BT2031" t="b">
        <v>0</v>
      </c>
      <c r="BV2031" t="s">
        <v>1668</v>
      </c>
      <c r="BW2031">
        <v>12956</v>
      </c>
      <c r="BX2031" t="s">
        <v>1738</v>
      </c>
      <c r="BY2031">
        <v>279965</v>
      </c>
      <c r="BZ2031" t="s">
        <v>1730</v>
      </c>
      <c r="CA2031">
        <v>1</v>
      </c>
      <c r="CB2031" t="b">
        <v>1</v>
      </c>
      <c r="CC2031">
        <v>0</v>
      </c>
      <c r="CD2031" t="b">
        <v>0</v>
      </c>
      <c r="CE2031" t="b">
        <v>0</v>
      </c>
      <c r="CF2031" t="b">
        <v>0</v>
      </c>
      <c r="CG2031">
        <v>2446975</v>
      </c>
      <c r="CH2031" t="s">
        <v>1681</v>
      </c>
      <c r="CI2031" s="10">
        <v>2100000</v>
      </c>
      <c r="CJ2031" s="7">
        <v>38811</v>
      </c>
    </row>
    <row r="2032" spans="1:88">
      <c r="A2032">
        <v>28036464</v>
      </c>
      <c r="B2032" s="2" t="str">
        <f>HYPERLINK("http://www.redfin.com/stingray/do/printable-listing?listing-id=1522776","Active")</f>
        <v>Active</v>
      </c>
      <c r="D2032" t="s">
        <v>3929</v>
      </c>
      <c r="E2032" t="s">
        <v>6087</v>
      </c>
      <c r="F2032">
        <v>799850</v>
      </c>
      <c r="G2032">
        <v>1998</v>
      </c>
      <c r="H2032">
        <v>5050</v>
      </c>
      <c r="I2032">
        <v>11408</v>
      </c>
      <c r="J2032">
        <v>6</v>
      </c>
      <c r="K2032">
        <v>5</v>
      </c>
      <c r="M2032" s="2" t="str">
        <f>HYPERLINK("http://maps.live.com/default.aspx?v=2&amp;lvl=15&amp;sp=Point.47.494955_-122.162061_748 Vashon Pl NE&amp;cp=47.494955~-122.162061","Map")</f>
        <v>Map</v>
      </c>
      <c r="N2032" s="2" t="str">
        <f>HYPERLINK("http://i-0.rfimg.us/photo/1/bigphoto/464/28036464_0.jpg","Photo")</f>
        <v>Photo</v>
      </c>
      <c r="AG2032">
        <v>47.494954999999997</v>
      </c>
      <c r="AH2032">
        <v>-122.16206099999999</v>
      </c>
      <c r="AI2032" t="s">
        <v>1077</v>
      </c>
      <c r="AJ2032">
        <v>98059</v>
      </c>
      <c r="AN2032">
        <v>490000</v>
      </c>
      <c r="BC2032" s="22">
        <v>39508.611759259256</v>
      </c>
      <c r="BI2032" s="22">
        <v>39549.294907407406</v>
      </c>
      <c r="BL2032">
        <v>15997</v>
      </c>
      <c r="BM2032">
        <v>1522776</v>
      </c>
      <c r="BN2032" t="s">
        <v>1773</v>
      </c>
      <c r="BO2032" s="17">
        <f t="shared" ca="1" si="31"/>
        <v>40.697646643522603</v>
      </c>
      <c r="BP2032" t="b">
        <v>0</v>
      </c>
      <c r="BQ2032">
        <v>1</v>
      </c>
      <c r="BR2032" t="s">
        <v>1842</v>
      </c>
      <c r="BS2032" t="s">
        <v>6088</v>
      </c>
      <c r="BT2032" t="b">
        <v>0</v>
      </c>
      <c r="BV2032" t="s">
        <v>1668</v>
      </c>
      <c r="BW2032">
        <v>748</v>
      </c>
      <c r="BX2032" t="s">
        <v>1738</v>
      </c>
      <c r="BY2032">
        <v>244806</v>
      </c>
      <c r="BZ2032" t="s">
        <v>1672</v>
      </c>
      <c r="CA2032">
        <v>1</v>
      </c>
      <c r="CB2032" t="b">
        <v>1</v>
      </c>
      <c r="CC2032">
        <v>0</v>
      </c>
      <c r="CD2032" t="b">
        <v>0</v>
      </c>
      <c r="CE2032" t="b">
        <v>0</v>
      </c>
      <c r="CF2032" t="b">
        <v>0</v>
      </c>
      <c r="CG2032">
        <v>2351801</v>
      </c>
      <c r="CH2032" t="s">
        <v>1681</v>
      </c>
      <c r="CI2032" s="10">
        <v>799850</v>
      </c>
      <c r="CJ2032" s="7">
        <v>37866</v>
      </c>
    </row>
    <row r="2033" spans="1:90">
      <c r="A2033">
        <v>28036480</v>
      </c>
      <c r="B2033" s="2" t="str">
        <f>HYPERLINK("http://www.redfin.com/stingray/do/printable-listing?listing-id=1522824","Active")</f>
        <v>Active</v>
      </c>
      <c r="D2033" t="s">
        <v>3071</v>
      </c>
      <c r="E2033" t="s">
        <v>4459</v>
      </c>
      <c r="F2033" s="19">
        <v>414990</v>
      </c>
      <c r="G2033">
        <v>1969</v>
      </c>
      <c r="H2033">
        <v>2670</v>
      </c>
      <c r="I2033">
        <v>6098</v>
      </c>
      <c r="J2033">
        <v>4</v>
      </c>
      <c r="K2033">
        <v>2.5</v>
      </c>
      <c r="M2033" s="2" t="str">
        <f>HYPERLINK("http://maps.live.com/default.aspx?v=2&amp;lvl=15&amp;sp=Point.47.720679_-122.218706_13412 91st Pl NE&amp;cp=47.720679~-122.218706","Map")</f>
        <v>Map</v>
      </c>
      <c r="N2033" s="2" t="str">
        <f>HYPERLINK("http://i-0.rfimg.us/photo/1/bigphoto/480/28036480_2.jpg","Photo")</f>
        <v>Photo</v>
      </c>
      <c r="AG2033">
        <v>47.720678999999997</v>
      </c>
      <c r="AH2033">
        <v>-122.218706</v>
      </c>
      <c r="AI2033" t="s">
        <v>1058</v>
      </c>
      <c r="AJ2033">
        <v>98034</v>
      </c>
      <c r="BC2033" s="22">
        <v>39508.63108796296</v>
      </c>
      <c r="BI2033" s="22">
        <v>39549.294907407406</v>
      </c>
      <c r="BL2033">
        <v>8700</v>
      </c>
      <c r="BM2033">
        <v>1522824</v>
      </c>
      <c r="BN2033" t="s">
        <v>3447</v>
      </c>
      <c r="BO2033" s="17">
        <f t="shared" ca="1" si="31"/>
        <v>40.678317939818953</v>
      </c>
      <c r="BP2033" t="b">
        <v>0</v>
      </c>
      <c r="BQ2033">
        <v>1</v>
      </c>
      <c r="BR2033" t="s">
        <v>1842</v>
      </c>
      <c r="BS2033" t="s">
        <v>2818</v>
      </c>
      <c r="BT2033" t="b">
        <v>0</v>
      </c>
      <c r="BV2033" t="s">
        <v>1668</v>
      </c>
      <c r="BW2033">
        <v>13412</v>
      </c>
      <c r="BX2033" t="s">
        <v>1738</v>
      </c>
      <c r="BY2033">
        <v>276981</v>
      </c>
      <c r="BZ2033" t="s">
        <v>4460</v>
      </c>
      <c r="CA2033">
        <v>1</v>
      </c>
      <c r="CB2033" t="b">
        <v>1</v>
      </c>
      <c r="CC2033">
        <v>0</v>
      </c>
      <c r="CD2033" t="b">
        <v>0</v>
      </c>
      <c r="CE2033" t="b">
        <v>0</v>
      </c>
      <c r="CF2033" t="b">
        <v>0</v>
      </c>
      <c r="CG2033">
        <v>2491516</v>
      </c>
      <c r="CH2033" t="s">
        <v>1681</v>
      </c>
      <c r="CI2033" s="10">
        <v>434990</v>
      </c>
    </row>
    <row r="2034" spans="1:90">
      <c r="A2034">
        <v>28036504</v>
      </c>
      <c r="B2034" s="2" t="str">
        <f>HYPERLINK("http://www.redfin.com/stingray/do/printable-listing?listing-id=1522934","Active")</f>
        <v>Active</v>
      </c>
      <c r="D2034" t="s">
        <v>88</v>
      </c>
      <c r="E2034" t="s">
        <v>2582</v>
      </c>
      <c r="F2034" s="19">
        <v>1298000</v>
      </c>
      <c r="G2034">
        <v>2004</v>
      </c>
      <c r="H2034">
        <v>4200</v>
      </c>
      <c r="I2034">
        <v>4500</v>
      </c>
      <c r="J2034">
        <v>5</v>
      </c>
      <c r="K2034">
        <v>3.5</v>
      </c>
      <c r="M2034" s="2" t="str">
        <f>HYPERLINK("http://maps.live.com/default.aspx?v=2&amp;lvl=15&amp;sp=Point.47.665735_-122.359495_5038 BAKER Ave NW&amp;cp=47.665735~-122.359495","Map")</f>
        <v>Map</v>
      </c>
      <c r="N2034" s="2" t="str">
        <f>HYPERLINK("http://i-0.rfimg.us/photo/1/bigphoto/504/28036504_.jpg","Photo")</f>
        <v>Photo</v>
      </c>
      <c r="AG2034">
        <v>47.665734999999998</v>
      </c>
      <c r="AH2034">
        <v>-122.359495</v>
      </c>
      <c r="AI2034" t="s">
        <v>66</v>
      </c>
      <c r="AJ2034">
        <v>98107</v>
      </c>
      <c r="AN2034">
        <v>995000</v>
      </c>
      <c r="BC2034" s="22">
        <v>39508.651701388888</v>
      </c>
      <c r="BI2034" s="22">
        <v>39549.294907407406</v>
      </c>
      <c r="BL2034">
        <v>27000</v>
      </c>
      <c r="BM2034">
        <v>1522934</v>
      </c>
      <c r="BN2034" t="s">
        <v>1710</v>
      </c>
      <c r="BO2034" s="17">
        <f t="shared" ca="1" si="31"/>
        <v>40.657704629629734</v>
      </c>
      <c r="BP2034" t="b">
        <v>0</v>
      </c>
      <c r="BQ2034">
        <v>1</v>
      </c>
      <c r="BR2034" t="s">
        <v>1667</v>
      </c>
      <c r="BS2034" t="s">
        <v>2583</v>
      </c>
      <c r="BT2034" t="b">
        <v>0</v>
      </c>
      <c r="BV2034" t="s">
        <v>1668</v>
      </c>
      <c r="BW2034">
        <v>5038</v>
      </c>
      <c r="BX2034" t="s">
        <v>1669</v>
      </c>
      <c r="BY2034">
        <v>2083803</v>
      </c>
      <c r="CA2034">
        <v>1</v>
      </c>
      <c r="CB2034" t="b">
        <v>1</v>
      </c>
      <c r="CC2034">
        <v>0</v>
      </c>
      <c r="CD2034" t="b">
        <v>0</v>
      </c>
      <c r="CE2034" t="b">
        <v>0</v>
      </c>
      <c r="CF2034" t="b">
        <v>0</v>
      </c>
      <c r="CG2034">
        <v>2776141</v>
      </c>
      <c r="CH2034" t="s">
        <v>1681</v>
      </c>
      <c r="CI2034" s="10">
        <v>1350000</v>
      </c>
      <c r="CJ2034" s="7">
        <v>38474</v>
      </c>
    </row>
    <row r="2035" spans="1:90">
      <c r="A2035">
        <v>28036517</v>
      </c>
      <c r="B2035" s="15" t="str">
        <f>HYPERLINK("http://www.redfin.com/stingray/do/printable-listing?listing-id=1522993","Active")</f>
        <v>Active</v>
      </c>
      <c r="D2035" t="s">
        <v>5078</v>
      </c>
      <c r="E2035" t="s">
        <v>5304</v>
      </c>
      <c r="F2035">
        <v>599000</v>
      </c>
      <c r="G2035">
        <v>1968</v>
      </c>
      <c r="H2035">
        <v>2270</v>
      </c>
      <c r="I2035">
        <v>13770</v>
      </c>
      <c r="J2035">
        <v>4</v>
      </c>
      <c r="K2035">
        <v>2.75</v>
      </c>
      <c r="M2035" s="2" t="str">
        <f>HYPERLINK("http://maps.live.com/default.aspx?v=2&amp;lvl=15&amp;sp=Point.47.61957_-122.138072_1014 151 Pl NE&amp;cp=47.61957~-122.138072","Map")</f>
        <v>Map</v>
      </c>
      <c r="N2035" s="2" t="str">
        <f>HYPERLINK("http://i-0.rfimg.us/photo/1/bigphoto/517/28036517_0.jpg","Photo")</f>
        <v>Photo</v>
      </c>
      <c r="AG2035">
        <v>47.619570000000003</v>
      </c>
      <c r="AH2035">
        <v>-122.13807199999999</v>
      </c>
      <c r="AI2035" t="s">
        <v>369</v>
      </c>
      <c r="AJ2035">
        <v>98007</v>
      </c>
      <c r="AN2035">
        <v>319000</v>
      </c>
      <c r="BC2035" s="22">
        <v>39508.672708333332</v>
      </c>
      <c r="BI2035" s="22">
        <v>39549.294907407406</v>
      </c>
      <c r="BL2035">
        <v>11980</v>
      </c>
      <c r="BM2035">
        <v>1522993</v>
      </c>
      <c r="BN2035" t="s">
        <v>5303</v>
      </c>
      <c r="BO2035" s="17">
        <f t="shared" ca="1" si="31"/>
        <v>40.636697569447279</v>
      </c>
      <c r="BP2035" t="b">
        <v>0</v>
      </c>
      <c r="BQ2035">
        <v>2</v>
      </c>
      <c r="BR2035" t="s">
        <v>1842</v>
      </c>
      <c r="BS2035">
        <v>151</v>
      </c>
      <c r="BT2035" t="b">
        <v>0</v>
      </c>
      <c r="BV2035" t="s">
        <v>1668</v>
      </c>
      <c r="BW2035">
        <v>1014</v>
      </c>
      <c r="BX2035" t="s">
        <v>1738</v>
      </c>
      <c r="BY2035">
        <v>499810</v>
      </c>
      <c r="BZ2035" t="s">
        <v>1676</v>
      </c>
      <c r="CA2035">
        <v>1</v>
      </c>
      <c r="CB2035" t="b">
        <v>1</v>
      </c>
      <c r="CC2035">
        <v>0</v>
      </c>
      <c r="CD2035" t="b">
        <v>0</v>
      </c>
      <c r="CE2035" t="b">
        <v>0</v>
      </c>
      <c r="CF2035" t="b">
        <v>0</v>
      </c>
      <c r="CG2035">
        <v>2395009</v>
      </c>
      <c r="CH2035" t="s">
        <v>1681</v>
      </c>
      <c r="CI2035" s="10">
        <v>599000</v>
      </c>
      <c r="CJ2035" s="7">
        <v>38324</v>
      </c>
    </row>
    <row r="2036" spans="1:90">
      <c r="A2036">
        <v>28036539</v>
      </c>
      <c r="B2036" s="2" t="str">
        <f>HYPERLINK("http://www.redfin.com/stingray/do/printable-listing?listing-id=1523105","Active")</f>
        <v>Active</v>
      </c>
      <c r="D2036" t="s">
        <v>3961</v>
      </c>
      <c r="E2036" t="s">
        <v>3960</v>
      </c>
      <c r="F2036">
        <v>499950</v>
      </c>
      <c r="G2036">
        <v>2008</v>
      </c>
      <c r="H2036">
        <v>2390</v>
      </c>
      <c r="I2036">
        <v>0</v>
      </c>
      <c r="J2036">
        <v>4</v>
      </c>
      <c r="K2036">
        <v>3.25</v>
      </c>
      <c r="M2036" s="2" t="str">
        <f>HYPERLINK("http://maps.live.com/default.aspx?v=2&amp;lvl=15&amp;sp=Point.47.597735_-122.298595_520 26th Ave S&amp;cp=47.597735~-122.298595","Map")</f>
        <v>Map</v>
      </c>
      <c r="N2036" s="2" t="str">
        <f>HYPERLINK("http://i-0.rfimg.us/photo/1/bigphoto/539/28036539_0.jpg","Photo")</f>
        <v>Photo</v>
      </c>
      <c r="AG2036">
        <v>47.597735</v>
      </c>
      <c r="AH2036">
        <v>-122.29859500000001</v>
      </c>
      <c r="AI2036" t="s">
        <v>66</v>
      </c>
      <c r="AJ2036">
        <v>98144</v>
      </c>
      <c r="BC2036" s="22">
        <v>39508.703657407408</v>
      </c>
      <c r="BI2036" s="22">
        <v>39549.294907407406</v>
      </c>
      <c r="BL2036">
        <v>9999</v>
      </c>
      <c r="BM2036">
        <v>1523105</v>
      </c>
      <c r="BN2036" t="s">
        <v>2974</v>
      </c>
      <c r="BO2036" s="17">
        <f t="shared" ca="1" si="31"/>
        <v>40.60574849537079</v>
      </c>
      <c r="BP2036" t="b">
        <v>0</v>
      </c>
      <c r="BQ2036">
        <v>1</v>
      </c>
      <c r="BR2036" t="s">
        <v>1667</v>
      </c>
      <c r="BS2036" t="s">
        <v>1769</v>
      </c>
      <c r="BT2036" t="b">
        <v>0</v>
      </c>
      <c r="BV2036" t="s">
        <v>1668</v>
      </c>
      <c r="BW2036">
        <v>520</v>
      </c>
      <c r="BX2036" t="s">
        <v>1881</v>
      </c>
      <c r="BY2036">
        <v>12425978</v>
      </c>
      <c r="BZ2036" t="s">
        <v>1672</v>
      </c>
      <c r="CA2036">
        <v>1</v>
      </c>
      <c r="CB2036" t="b">
        <v>1</v>
      </c>
      <c r="CC2036">
        <v>0</v>
      </c>
      <c r="CD2036" t="b">
        <v>0</v>
      </c>
      <c r="CE2036" t="b">
        <v>0</v>
      </c>
      <c r="CF2036" t="b">
        <v>0</v>
      </c>
      <c r="CG2036">
        <v>15629726</v>
      </c>
      <c r="CH2036" t="s">
        <v>1681</v>
      </c>
      <c r="CI2036" s="10">
        <v>499950</v>
      </c>
    </row>
    <row r="2037" spans="1:90">
      <c r="A2037">
        <v>28036592</v>
      </c>
      <c r="B2037" s="2" t="str">
        <f>HYPERLINK("http://www.redfin.com/stingray/do/printable-listing?listing-id=1523358","Active")</f>
        <v>Active</v>
      </c>
      <c r="D2037" t="s">
        <v>3249</v>
      </c>
      <c r="E2037" t="s">
        <v>3669</v>
      </c>
      <c r="F2037" s="19">
        <v>499000</v>
      </c>
      <c r="G2037">
        <v>1926</v>
      </c>
      <c r="H2037">
        <v>0</v>
      </c>
      <c r="I2037">
        <v>1680</v>
      </c>
      <c r="J2037">
        <v>2</v>
      </c>
      <c r="K2037">
        <v>1</v>
      </c>
      <c r="M2037" s="2" t="str">
        <f>HYPERLINK("http://maps.live.com/default.aspx?v=2&amp;lvl=15&amp;sp=Point.47.638514_-122.343511_2130 Dexter Ave N&amp;cp=47.638514~-122.343511","Map")</f>
        <v>Map</v>
      </c>
      <c r="N2037" s="2" t="str">
        <f>HYPERLINK("http://i-0.rfimg.us/photo/1/bigphoto/592/28036592_1.jpg","Photo")</f>
        <v>Photo</v>
      </c>
      <c r="AG2037">
        <v>47.638514000000001</v>
      </c>
      <c r="AH2037">
        <v>-122.34351100000001</v>
      </c>
      <c r="AI2037" t="s">
        <v>66</v>
      </c>
      <c r="AJ2037">
        <v>98109</v>
      </c>
      <c r="AN2037">
        <v>215000</v>
      </c>
      <c r="BC2037" s="22">
        <v>39508.848680555559</v>
      </c>
      <c r="BI2037" s="22">
        <v>39549.294907407406</v>
      </c>
      <c r="BL2037">
        <v>10980</v>
      </c>
      <c r="BM2037">
        <v>1523358</v>
      </c>
      <c r="BN2037" t="s">
        <v>1846</v>
      </c>
      <c r="BO2037" s="17">
        <f t="shared" ca="1" si="31"/>
        <v>40.460725347220432</v>
      </c>
      <c r="BP2037" t="b">
        <v>0</v>
      </c>
      <c r="BQ2037">
        <v>1</v>
      </c>
      <c r="BR2037" t="s">
        <v>1667</v>
      </c>
      <c r="BS2037" t="s">
        <v>3668</v>
      </c>
      <c r="BT2037" t="b">
        <v>0</v>
      </c>
      <c r="BV2037" t="s">
        <v>1668</v>
      </c>
      <c r="BW2037">
        <v>2130</v>
      </c>
      <c r="BX2037" t="s">
        <v>1712</v>
      </c>
      <c r="BY2037">
        <v>132192</v>
      </c>
      <c r="BZ2037" t="s">
        <v>3670</v>
      </c>
      <c r="CA2037">
        <v>1</v>
      </c>
      <c r="CB2037" t="b">
        <v>1</v>
      </c>
      <c r="CC2037">
        <v>0</v>
      </c>
      <c r="CD2037" t="b">
        <v>0</v>
      </c>
      <c r="CE2037" t="b">
        <v>0</v>
      </c>
      <c r="CF2037" t="b">
        <v>0</v>
      </c>
      <c r="CG2037">
        <v>2840223</v>
      </c>
      <c r="CH2037" t="s">
        <v>1681</v>
      </c>
      <c r="CI2037" s="10">
        <v>549000</v>
      </c>
      <c r="CJ2037" s="7">
        <v>36816</v>
      </c>
    </row>
    <row r="2038" spans="1:90">
      <c r="A2038">
        <v>28036594</v>
      </c>
      <c r="B2038" s="2" t="str">
        <f>HYPERLINK("http://www.redfin.com/stingray/do/printable-listing?listing-id=1525759","Active")</f>
        <v>Active</v>
      </c>
      <c r="D2038" t="s">
        <v>2552</v>
      </c>
      <c r="E2038" t="s">
        <v>3432</v>
      </c>
      <c r="F2038" s="19">
        <v>1150000</v>
      </c>
      <c r="G2038">
        <v>1936</v>
      </c>
      <c r="H2038">
        <v>3440</v>
      </c>
      <c r="I2038">
        <v>5520</v>
      </c>
      <c r="J2038">
        <v>5</v>
      </c>
      <c r="K2038">
        <v>3.25</v>
      </c>
      <c r="M2038" s="2" t="str">
        <f>HYPERLINK("http://maps.live.com/default.aspx?v=2&amp;lvl=15&amp;sp=Point.47.644744_-122.393328_2801 28th Ave W&amp;cp=47.644744~-122.393328","Map")</f>
        <v>Map</v>
      </c>
      <c r="N2038" s="2" t="str">
        <f>HYPERLINK("http://i-0.rfimg.us/photo/1/bigphoto/594/28036594_0.jpg","Photo")</f>
        <v>Photo</v>
      </c>
      <c r="AG2038">
        <v>47.644744000000003</v>
      </c>
      <c r="AH2038">
        <v>-122.393328</v>
      </c>
      <c r="AI2038" t="s">
        <v>66</v>
      </c>
      <c r="AJ2038">
        <v>98199</v>
      </c>
      <c r="AN2038">
        <v>353000</v>
      </c>
      <c r="BC2038" s="22">
        <v>39510.536643518521</v>
      </c>
      <c r="BI2038" s="22">
        <v>39549.294907407406</v>
      </c>
      <c r="BL2038">
        <v>25000</v>
      </c>
      <c r="BM2038">
        <v>1525759</v>
      </c>
      <c r="BN2038" t="s">
        <v>1680</v>
      </c>
      <c r="BO2038" s="17">
        <f t="shared" ca="1" si="31"/>
        <v>38.772762384258385</v>
      </c>
      <c r="BP2038" t="b">
        <v>0</v>
      </c>
      <c r="BQ2038">
        <v>1</v>
      </c>
      <c r="BR2038" t="s">
        <v>1667</v>
      </c>
      <c r="BS2038" t="s">
        <v>1760</v>
      </c>
      <c r="BT2038" t="b">
        <v>0</v>
      </c>
      <c r="BV2038" t="s">
        <v>1668</v>
      </c>
      <c r="BW2038">
        <v>2801</v>
      </c>
      <c r="BX2038" t="s">
        <v>2423</v>
      </c>
      <c r="BY2038">
        <v>127145</v>
      </c>
      <c r="BZ2038" t="s">
        <v>1672</v>
      </c>
      <c r="CA2038">
        <v>1</v>
      </c>
      <c r="CB2038" t="b">
        <v>1</v>
      </c>
      <c r="CC2038">
        <v>0</v>
      </c>
      <c r="CD2038" t="b">
        <v>0</v>
      </c>
      <c r="CE2038" t="b">
        <v>0</v>
      </c>
      <c r="CF2038" t="b">
        <v>0</v>
      </c>
      <c r="CG2038">
        <v>2751240</v>
      </c>
      <c r="CH2038" t="s">
        <v>1681</v>
      </c>
      <c r="CI2038" s="10">
        <v>1250000</v>
      </c>
      <c r="CJ2038" s="7">
        <v>37585</v>
      </c>
    </row>
    <row r="2039" spans="1:90">
      <c r="A2039">
        <v>28036603</v>
      </c>
      <c r="B2039" s="2" t="str">
        <f>HYPERLINK("http://www.redfin.com/stingray/do/printable-listing?listing-id=1524315","Active")</f>
        <v>Active</v>
      </c>
      <c r="D2039" t="s">
        <v>99</v>
      </c>
      <c r="E2039" t="s">
        <v>330</v>
      </c>
      <c r="F2039">
        <v>299000</v>
      </c>
      <c r="G2039">
        <v>1973</v>
      </c>
      <c r="H2039">
        <v>1470</v>
      </c>
      <c r="I2039">
        <v>5000</v>
      </c>
      <c r="J2039">
        <v>3</v>
      </c>
      <c r="K2039">
        <v>1.5</v>
      </c>
      <c r="M2039" s="2" t="str">
        <f>HYPERLINK("http://maps.live.com/default.aspx?v=2&amp;lvl=15&amp;sp=Point.47.691497_-122.368003_8524 9th Ave NW&amp;cp=47.691497~-122.368003","Map")</f>
        <v>Map</v>
      </c>
      <c r="N2039" s="2" t="str">
        <f>HYPERLINK("http://i-0.rfimg.us/photo/1/bigphoto/603/28036603_2.jpg","Photo")</f>
        <v>Photo</v>
      </c>
      <c r="AG2039">
        <v>47.691496999999998</v>
      </c>
      <c r="AH2039">
        <v>-122.368003</v>
      </c>
      <c r="AI2039" t="s">
        <v>66</v>
      </c>
      <c r="AJ2039">
        <v>98117</v>
      </c>
      <c r="BC2039" s="22">
        <v>39509.713379629633</v>
      </c>
      <c r="BI2039" s="7">
        <v>39518</v>
      </c>
      <c r="BL2039">
        <v>5970</v>
      </c>
      <c r="BM2039">
        <v>1524315</v>
      </c>
      <c r="BN2039" t="s">
        <v>1841</v>
      </c>
      <c r="BO2039" s="17">
        <f t="shared" ca="1" si="31"/>
        <v>39.596026388884638</v>
      </c>
      <c r="BP2039" t="b">
        <v>0</v>
      </c>
      <c r="BQ2039">
        <v>1</v>
      </c>
      <c r="BR2039" t="s">
        <v>1667</v>
      </c>
      <c r="BS2039" t="s">
        <v>1785</v>
      </c>
      <c r="BT2039" t="b">
        <v>0</v>
      </c>
      <c r="BV2039" t="s">
        <v>1668</v>
      </c>
      <c r="BW2039">
        <v>8524</v>
      </c>
      <c r="BX2039" t="s">
        <v>1669</v>
      </c>
      <c r="BY2039">
        <v>100242</v>
      </c>
      <c r="BZ2039" t="s">
        <v>2117</v>
      </c>
      <c r="CA2039">
        <v>1</v>
      </c>
      <c r="CB2039" t="b">
        <v>1</v>
      </c>
      <c r="CC2039">
        <v>0</v>
      </c>
      <c r="CD2039" t="b">
        <v>1</v>
      </c>
      <c r="CE2039" t="b">
        <v>0</v>
      </c>
      <c r="CF2039" t="b">
        <v>0</v>
      </c>
      <c r="CG2039">
        <v>2519545</v>
      </c>
      <c r="CH2039" t="s">
        <v>1681</v>
      </c>
      <c r="CI2039" s="10">
        <v>299000</v>
      </c>
    </row>
    <row r="2040" spans="1:90">
      <c r="A2040">
        <v>28036617</v>
      </c>
      <c r="B2040" s="2" t="str">
        <f>HYPERLINK("http://www.redfin.com/stingray/do/printable-listing?listing-id=1523420","Active")</f>
        <v>Active</v>
      </c>
      <c r="D2040" t="s">
        <v>5153</v>
      </c>
      <c r="E2040" t="s">
        <v>5325</v>
      </c>
      <c r="F2040" s="19">
        <v>449950</v>
      </c>
      <c r="G2040">
        <v>1983</v>
      </c>
      <c r="H2040">
        <v>1390</v>
      </c>
      <c r="I2040">
        <v>7326</v>
      </c>
      <c r="J2040">
        <v>3</v>
      </c>
      <c r="K2040">
        <v>2.25</v>
      </c>
      <c r="M2040" s="2" t="str">
        <f>HYPERLINK("http://maps.live.com/default.aspx?v=2&amp;lvl=15&amp;sp=Point.47.572649_-122.128913_15813 SE Newport Way&amp;cp=47.572649~-122.128913","Map")</f>
        <v>Map</v>
      </c>
      <c r="N2040" s="2" t="str">
        <f>HYPERLINK("http://i-0.rfimg.us/photo/1/bigphoto/617/28036617_0.jpg","Photo")</f>
        <v>Photo</v>
      </c>
      <c r="AG2040">
        <v>47.572648999999998</v>
      </c>
      <c r="AH2040">
        <v>-122.128913</v>
      </c>
      <c r="AI2040" t="s">
        <v>369</v>
      </c>
      <c r="AJ2040">
        <v>98006</v>
      </c>
      <c r="AN2040">
        <v>85000</v>
      </c>
      <c r="BC2040" s="22">
        <v>39508.942118055558</v>
      </c>
      <c r="BI2040" s="22">
        <v>39549.294907407406</v>
      </c>
      <c r="BL2040">
        <v>9199</v>
      </c>
      <c r="BM2040">
        <v>1523420</v>
      </c>
      <c r="BN2040" t="s">
        <v>4915</v>
      </c>
      <c r="BO2040" s="17">
        <f t="shared" ca="1" si="31"/>
        <v>40.367287847220723</v>
      </c>
      <c r="BP2040" t="b">
        <v>0</v>
      </c>
      <c r="BQ2040">
        <v>1</v>
      </c>
      <c r="BR2040" t="s">
        <v>2463</v>
      </c>
      <c r="BS2040" t="s">
        <v>5326</v>
      </c>
      <c r="BT2040" t="b">
        <v>0</v>
      </c>
      <c r="BU2040" t="s">
        <v>3856</v>
      </c>
      <c r="BV2040" t="s">
        <v>1668</v>
      </c>
      <c r="BW2040">
        <v>15813</v>
      </c>
      <c r="BY2040">
        <v>235329</v>
      </c>
      <c r="BZ2040" t="s">
        <v>1743</v>
      </c>
      <c r="CA2040">
        <v>1</v>
      </c>
      <c r="CB2040" t="b">
        <v>1</v>
      </c>
      <c r="CC2040">
        <v>0</v>
      </c>
      <c r="CD2040" t="b">
        <v>0</v>
      </c>
      <c r="CE2040" t="b">
        <v>0</v>
      </c>
      <c r="CF2040" t="b">
        <v>0</v>
      </c>
      <c r="CG2040">
        <v>2383618</v>
      </c>
      <c r="CH2040" t="s">
        <v>1681</v>
      </c>
      <c r="CI2040" s="10">
        <v>459950</v>
      </c>
      <c r="CJ2040" s="7">
        <v>30915</v>
      </c>
      <c r="CL2040" t="s">
        <v>5283</v>
      </c>
    </row>
    <row r="2041" spans="1:90">
      <c r="A2041">
        <v>28036653</v>
      </c>
      <c r="B2041" s="2" t="str">
        <f>HYPERLINK("http://www.redfin.com/stingray/do/printable-listing?listing-id=1523887","Active")</f>
        <v>Active</v>
      </c>
      <c r="D2041" t="s">
        <v>3704</v>
      </c>
      <c r="E2041" t="s">
        <v>4019</v>
      </c>
      <c r="F2041">
        <v>600000</v>
      </c>
      <c r="G2041">
        <v>1900</v>
      </c>
      <c r="H2041">
        <v>1870</v>
      </c>
      <c r="I2041">
        <v>2400</v>
      </c>
      <c r="J2041">
        <v>3</v>
      </c>
      <c r="K2041">
        <v>2</v>
      </c>
      <c r="M2041" s="2" t="str">
        <f>HYPERLINK("http://maps.live.com/default.aspx?v=2&amp;lvl=15&amp;sp=Point.47.617436_-122.309374_1715 E Howell St&amp;cp=47.617436~-122.309374","Map")</f>
        <v>Map</v>
      </c>
      <c r="N2041" s="2" t="str">
        <f>HYPERLINK("http://i-0.rfimg.us/photo/1/bigphoto/653/28036653_2.jpg","Photo")</f>
        <v>Photo</v>
      </c>
      <c r="AG2041">
        <v>47.617435999999998</v>
      </c>
      <c r="AH2041">
        <v>-122.30937400000001</v>
      </c>
      <c r="AI2041" t="s">
        <v>66</v>
      </c>
      <c r="AJ2041">
        <v>98122</v>
      </c>
      <c r="AN2041">
        <v>190000</v>
      </c>
      <c r="BC2041" s="22">
        <v>39509.411898148152</v>
      </c>
      <c r="BI2041" s="22">
        <v>39549.294907407406</v>
      </c>
      <c r="BL2041">
        <v>12000</v>
      </c>
      <c r="BM2041">
        <v>1523887</v>
      </c>
      <c r="BN2041" t="s">
        <v>4018</v>
      </c>
      <c r="BO2041" s="17">
        <f t="shared" ca="1" si="31"/>
        <v>39.897507754627441</v>
      </c>
      <c r="BP2041" t="b">
        <v>0</v>
      </c>
      <c r="BQ2041">
        <v>1</v>
      </c>
      <c r="BR2041" t="s">
        <v>1686</v>
      </c>
      <c r="BS2041" t="s">
        <v>4020</v>
      </c>
      <c r="BT2041" t="b">
        <v>0</v>
      </c>
      <c r="BU2041" t="s">
        <v>2436</v>
      </c>
      <c r="BV2041" t="s">
        <v>1668</v>
      </c>
      <c r="BW2041">
        <v>1715</v>
      </c>
      <c r="BY2041">
        <v>143888</v>
      </c>
      <c r="BZ2041" t="s">
        <v>3145</v>
      </c>
      <c r="CA2041">
        <v>1</v>
      </c>
      <c r="CB2041" t="b">
        <v>1</v>
      </c>
      <c r="CC2041">
        <v>0</v>
      </c>
      <c r="CD2041" t="b">
        <v>0</v>
      </c>
      <c r="CE2041" t="b">
        <v>0</v>
      </c>
      <c r="CF2041" t="b">
        <v>0</v>
      </c>
      <c r="CG2041">
        <v>2924972</v>
      </c>
      <c r="CH2041" t="s">
        <v>1681</v>
      </c>
      <c r="CI2041" s="10">
        <v>600000</v>
      </c>
      <c r="CJ2041" s="7">
        <v>36189</v>
      </c>
    </row>
    <row r="2042" spans="1:90">
      <c r="A2042">
        <v>28036664</v>
      </c>
      <c r="B2042" s="2" t="str">
        <f>HYPERLINK("http://www.redfin.com/stingray/do/printable-listing?listing-id=1526309","Active")</f>
        <v>Active</v>
      </c>
      <c r="D2042" t="s">
        <v>1077</v>
      </c>
      <c r="E2042" t="s">
        <v>6127</v>
      </c>
      <c r="F2042">
        <v>355000</v>
      </c>
      <c r="G2042">
        <v>1969</v>
      </c>
      <c r="H2042">
        <v>1620</v>
      </c>
      <c r="I2042">
        <v>7405</v>
      </c>
      <c r="J2042">
        <v>3</v>
      </c>
      <c r="K2042">
        <v>2.5</v>
      </c>
      <c r="M2042" s="2" t="str">
        <f>HYPERLINK("http://maps.live.com/default.aspx?v=2&amp;lvl=15&amp;sp=Point.47.507997_-122.161147_1802 Whitman Ave NE&amp;cp=47.507997~-122.161147","Map")</f>
        <v>Map</v>
      </c>
      <c r="N2042" s="2" t="str">
        <f>HYPERLINK("http://i-0.rfimg.us/photo/1/bigphoto/664/28036664_0.jpg","Photo")</f>
        <v>Photo</v>
      </c>
      <c r="AG2042">
        <v>47.507997000000003</v>
      </c>
      <c r="AH2042">
        <v>-122.161147</v>
      </c>
      <c r="AI2042" t="s">
        <v>1077</v>
      </c>
      <c r="AJ2042">
        <v>98059</v>
      </c>
      <c r="AN2042">
        <v>309000</v>
      </c>
      <c r="BC2042" s="22">
        <v>39510.641736111109</v>
      </c>
      <c r="BI2042" s="22">
        <v>39549.294907407406</v>
      </c>
      <c r="BL2042">
        <v>7100</v>
      </c>
      <c r="BM2042">
        <v>1526309</v>
      </c>
      <c r="BN2042" t="s">
        <v>4815</v>
      </c>
      <c r="BO2042" s="17">
        <f t="shared" ca="1" si="31"/>
        <v>38.66766979167005</v>
      </c>
      <c r="BP2042" t="b">
        <v>0</v>
      </c>
      <c r="BQ2042">
        <v>1</v>
      </c>
      <c r="BR2042" t="s">
        <v>1667</v>
      </c>
      <c r="BS2042" t="s">
        <v>2811</v>
      </c>
      <c r="BT2042" t="b">
        <v>0</v>
      </c>
      <c r="BV2042" t="s">
        <v>1668</v>
      </c>
      <c r="BW2042">
        <v>1802</v>
      </c>
      <c r="BX2042" t="s">
        <v>1738</v>
      </c>
      <c r="BY2042">
        <v>410531</v>
      </c>
      <c r="BZ2042" t="s">
        <v>1672</v>
      </c>
      <c r="CA2042">
        <v>1</v>
      </c>
      <c r="CB2042" t="b">
        <v>1</v>
      </c>
      <c r="CC2042">
        <v>0</v>
      </c>
      <c r="CD2042" t="b">
        <v>0</v>
      </c>
      <c r="CE2042" t="b">
        <v>0</v>
      </c>
      <c r="CF2042" t="b">
        <v>0</v>
      </c>
      <c r="CG2042">
        <v>2914728</v>
      </c>
      <c r="CH2042" t="s">
        <v>1681</v>
      </c>
      <c r="CI2042" s="10">
        <v>355000</v>
      </c>
      <c r="CJ2042" s="7">
        <v>38709</v>
      </c>
    </row>
    <row r="2043" spans="1:90">
      <c r="A2043">
        <v>28036699</v>
      </c>
      <c r="B2043" s="2" t="str">
        <f>HYPERLINK("http://www.redfin.com/stingray/do/printable-listing?listing-id=1539237","Subject To Inspection")</f>
        <v>Subject To Inspection</v>
      </c>
      <c r="D2043" t="s">
        <v>369</v>
      </c>
      <c r="E2043" t="s">
        <v>5202</v>
      </c>
      <c r="F2043">
        <v>424000</v>
      </c>
      <c r="G2043">
        <v>1959</v>
      </c>
      <c r="H2043">
        <v>1280</v>
      </c>
      <c r="I2043">
        <v>8400</v>
      </c>
      <c r="J2043">
        <v>3</v>
      </c>
      <c r="K2043">
        <v>2</v>
      </c>
      <c r="M2043" s="2" t="str">
        <f>HYPERLINK("http://maps.live.com/default.aspx?v=2&amp;lvl=15&amp;sp=Point.47.611808_-122.129488_15740 NE 1st St&amp;cp=47.611808~-122.129488","Map")</f>
        <v>Map</v>
      </c>
      <c r="N2043" s="2" t="str">
        <f>HYPERLINK("http://i-0.rfimg.us/photo/1/bigphoto/699/28036699_0.jpg","Photo")</f>
        <v>Photo</v>
      </c>
      <c r="AG2043">
        <v>47.611808000000003</v>
      </c>
      <c r="AH2043">
        <v>-122.12948799999999</v>
      </c>
      <c r="AI2043" t="s">
        <v>369</v>
      </c>
      <c r="AJ2043">
        <v>98008</v>
      </c>
      <c r="AN2043">
        <v>247000</v>
      </c>
      <c r="BC2043" s="22">
        <v>39514.400810185187</v>
      </c>
      <c r="BI2043" s="7">
        <v>39530</v>
      </c>
      <c r="BL2043">
        <v>8480</v>
      </c>
      <c r="BM2043">
        <v>1539237</v>
      </c>
      <c r="BN2043" t="s">
        <v>1768</v>
      </c>
      <c r="BO2043" s="17">
        <f t="shared" ca="1" si="31"/>
        <v>34.908595717592107</v>
      </c>
      <c r="BP2043" t="b">
        <v>0</v>
      </c>
      <c r="BQ2043">
        <v>2</v>
      </c>
      <c r="BR2043" t="s">
        <v>1686</v>
      </c>
      <c r="BS2043" t="s">
        <v>1822</v>
      </c>
      <c r="BT2043" t="b">
        <v>0</v>
      </c>
      <c r="BU2043" t="s">
        <v>1738</v>
      </c>
      <c r="BV2043" t="s">
        <v>1668</v>
      </c>
      <c r="BW2043">
        <v>15740</v>
      </c>
      <c r="BY2043">
        <v>500617</v>
      </c>
      <c r="BZ2043" t="s">
        <v>1745</v>
      </c>
      <c r="CA2043">
        <v>1</v>
      </c>
      <c r="CB2043" t="b">
        <v>1</v>
      </c>
      <c r="CC2043">
        <v>0</v>
      </c>
      <c r="CD2043" t="b">
        <v>0</v>
      </c>
      <c r="CE2043" t="b">
        <v>0</v>
      </c>
      <c r="CF2043" t="b">
        <v>0</v>
      </c>
      <c r="CG2043">
        <v>2441803</v>
      </c>
      <c r="CH2043" t="s">
        <v>1681</v>
      </c>
      <c r="CI2043" s="10">
        <v>424000</v>
      </c>
      <c r="CJ2043" s="7">
        <v>37575</v>
      </c>
    </row>
    <row r="2044" spans="1:90">
      <c r="A2044">
        <v>28036701</v>
      </c>
      <c r="B2044" s="2" t="str">
        <f>HYPERLINK("http://www.redfin.com/stingray/do/printable-listing?listing-id=1523951","Active")</f>
        <v>Active</v>
      </c>
      <c r="D2044" t="s">
        <v>4777</v>
      </c>
      <c r="E2044" t="s">
        <v>4981</v>
      </c>
      <c r="F2044">
        <v>999950</v>
      </c>
      <c r="G2044">
        <v>1962</v>
      </c>
      <c r="H2044">
        <v>2450</v>
      </c>
      <c r="I2044">
        <v>8710</v>
      </c>
      <c r="J2044">
        <v>4</v>
      </c>
      <c r="K2044">
        <v>2.5</v>
      </c>
      <c r="M2044" s="2" t="str">
        <f>HYPERLINK("http://maps.live.com/default.aspx?v=2&amp;lvl=15&amp;sp=Point.47.650784_-122.199142_10504 NE 45th&amp;cp=47.650784~-122.199142","Map")</f>
        <v>Map</v>
      </c>
      <c r="N2044" s="2" t="str">
        <f>HYPERLINK("http://i-0.rfimg.us/photo/1/bigphoto/701/28036701_0.jpg","Photo")</f>
        <v>Photo</v>
      </c>
      <c r="AG2044">
        <v>47.650784000000002</v>
      </c>
      <c r="AH2044">
        <v>-122.19914199999999</v>
      </c>
      <c r="AI2044" t="s">
        <v>1058</v>
      </c>
      <c r="AJ2044">
        <v>98033</v>
      </c>
      <c r="AN2044">
        <v>683000</v>
      </c>
      <c r="BC2044" s="22">
        <v>39509.452187499999</v>
      </c>
      <c r="BI2044" s="22">
        <v>39549.294907407406</v>
      </c>
      <c r="BL2044">
        <v>19999</v>
      </c>
      <c r="BM2044">
        <v>1523951</v>
      </c>
      <c r="BN2044" t="s">
        <v>1715</v>
      </c>
      <c r="BO2044" s="17">
        <f t="shared" ca="1" si="31"/>
        <v>39.857218402779836</v>
      </c>
      <c r="BP2044" t="b">
        <v>0</v>
      </c>
      <c r="BQ2044">
        <v>1</v>
      </c>
      <c r="BS2044" t="s">
        <v>2667</v>
      </c>
      <c r="BT2044" t="b">
        <v>0</v>
      </c>
      <c r="BU2044" t="s">
        <v>1738</v>
      </c>
      <c r="BV2044" t="s">
        <v>1668</v>
      </c>
      <c r="BW2044">
        <v>10504</v>
      </c>
      <c r="BY2044">
        <v>460505</v>
      </c>
      <c r="BZ2044" t="s">
        <v>1670</v>
      </c>
      <c r="CA2044">
        <v>1</v>
      </c>
      <c r="CB2044" t="b">
        <v>1</v>
      </c>
      <c r="CC2044">
        <v>0</v>
      </c>
      <c r="CD2044" t="b">
        <v>0</v>
      </c>
      <c r="CE2044" t="b">
        <v>0</v>
      </c>
      <c r="CF2044" t="b">
        <v>0</v>
      </c>
      <c r="CG2044">
        <v>2737263</v>
      </c>
      <c r="CH2044" t="s">
        <v>1681</v>
      </c>
      <c r="CI2044" s="10">
        <v>999950</v>
      </c>
      <c r="CJ2044" s="7">
        <v>38306</v>
      </c>
    </row>
    <row r="2045" spans="1:90">
      <c r="A2045">
        <v>28036724</v>
      </c>
      <c r="B2045" s="15" t="str">
        <f>HYPERLINK("http://www.redfin.com/stingray/do/printable-listing?listing-id=1524016","Subject To Inspection")</f>
        <v>Subject To Inspection</v>
      </c>
      <c r="D2045" t="s">
        <v>192</v>
      </c>
      <c r="E2045" t="s">
        <v>2657</v>
      </c>
      <c r="F2045">
        <v>610000</v>
      </c>
      <c r="G2045">
        <v>1973</v>
      </c>
      <c r="H2045">
        <v>3000</v>
      </c>
      <c r="I2045">
        <v>8320</v>
      </c>
      <c r="J2045">
        <v>3</v>
      </c>
      <c r="K2045">
        <v>1.75</v>
      </c>
      <c r="M2045" s="2" t="str">
        <f>HYPERLINK("http://maps.live.com/default.aspx?v=2&amp;lvl=15&amp;sp=Point.47.689964_-122.327886_105 85th St NE&amp;cp=47.689964~-122.327886","Map")</f>
        <v>Map</v>
      </c>
      <c r="N2045" s="2" t="str">
        <f>HYPERLINK("http://i-0.rfimg.us/photo/1/bigphoto/724/28036724_2.jpg","Photo")</f>
        <v>Photo</v>
      </c>
      <c r="AG2045">
        <v>47.689964000000003</v>
      </c>
      <c r="AH2045">
        <v>-122.32788600000001</v>
      </c>
      <c r="AI2045" t="s">
        <v>66</v>
      </c>
      <c r="AJ2045">
        <v>98115</v>
      </c>
      <c r="BC2045" s="22">
        <v>39509.493946759256</v>
      </c>
      <c r="BI2045" s="7">
        <v>39542</v>
      </c>
      <c r="BL2045">
        <v>12200</v>
      </c>
      <c r="BM2045">
        <v>1524016</v>
      </c>
      <c r="BN2045" t="s">
        <v>1674</v>
      </c>
      <c r="BO2045" s="17">
        <f t="shared" ca="1" si="31"/>
        <v>39.815459259261843</v>
      </c>
      <c r="BP2045" t="b">
        <v>0</v>
      </c>
      <c r="BQ2045">
        <v>1</v>
      </c>
      <c r="BR2045" t="s">
        <v>1686</v>
      </c>
      <c r="BS2045" t="s">
        <v>1827</v>
      </c>
      <c r="BT2045" t="b">
        <v>0</v>
      </c>
      <c r="BU2045" t="s">
        <v>1738</v>
      </c>
      <c r="BV2045" t="s">
        <v>1668</v>
      </c>
      <c r="BW2045">
        <v>105</v>
      </c>
      <c r="BX2045" t="s">
        <v>1738</v>
      </c>
      <c r="BY2045">
        <v>108476</v>
      </c>
      <c r="BZ2045" t="s">
        <v>2658</v>
      </c>
      <c r="CA2045">
        <v>1</v>
      </c>
      <c r="CB2045" t="b">
        <v>1</v>
      </c>
      <c r="CC2045">
        <v>0</v>
      </c>
      <c r="CD2045" t="b">
        <v>0</v>
      </c>
      <c r="CE2045" t="b">
        <v>0</v>
      </c>
      <c r="CF2045" t="b">
        <v>0</v>
      </c>
      <c r="CG2045">
        <v>2889636</v>
      </c>
      <c r="CH2045" t="s">
        <v>1681</v>
      </c>
      <c r="CI2045" s="10">
        <v>610000</v>
      </c>
    </row>
    <row r="2046" spans="1:90">
      <c r="A2046">
        <v>28036727</v>
      </c>
      <c r="B2046" s="2" t="str">
        <f>HYPERLINK("http://www.redfin.com/stingray/do/printable-listing?listing-id=1539932","Active")</f>
        <v>Active</v>
      </c>
      <c r="D2046" t="s">
        <v>60</v>
      </c>
      <c r="E2046" t="s">
        <v>2644</v>
      </c>
      <c r="F2046">
        <v>569950</v>
      </c>
      <c r="G2046">
        <v>1987</v>
      </c>
      <c r="H2046">
        <v>1720</v>
      </c>
      <c r="I2046">
        <v>0</v>
      </c>
      <c r="J2046">
        <v>3</v>
      </c>
      <c r="K2046">
        <v>2.5</v>
      </c>
      <c r="M2046" s="2" t="str">
        <f>HYPERLINK("http://maps.live.com/default.aspx?v=2&amp;lvl=15&amp;sp=Point.47.675569_-122.349191_714 N 64 St&amp;cp=47.675569~-122.349191","Map")</f>
        <v>Map</v>
      </c>
      <c r="N2046" s="2" t="str">
        <f>HYPERLINK("http://i-0.rfimg.us/photo/1/bigphoto/727/28036727_0.jpg","Photo")</f>
        <v>Photo</v>
      </c>
      <c r="AG2046">
        <v>47.675569000000003</v>
      </c>
      <c r="AH2046">
        <v>-122.349191</v>
      </c>
      <c r="AI2046" t="s">
        <v>66</v>
      </c>
      <c r="AJ2046">
        <v>98103</v>
      </c>
      <c r="AN2046">
        <v>380500</v>
      </c>
      <c r="BC2046" s="22">
        <v>39514.547951388886</v>
      </c>
      <c r="BI2046" s="22">
        <v>39549.294907407406</v>
      </c>
      <c r="BL2046">
        <v>11399</v>
      </c>
      <c r="BM2046">
        <v>1539932</v>
      </c>
      <c r="BN2046" t="s">
        <v>1817</v>
      </c>
      <c r="BO2046" s="17">
        <f t="shared" ca="1" si="31"/>
        <v>34.761454629631771</v>
      </c>
      <c r="BP2046" t="b">
        <v>0</v>
      </c>
      <c r="BQ2046">
        <v>1</v>
      </c>
      <c r="BR2046" t="s">
        <v>1686</v>
      </c>
      <c r="BS2046">
        <v>64</v>
      </c>
      <c r="BT2046" t="b">
        <v>0</v>
      </c>
      <c r="BU2046" t="s">
        <v>1712</v>
      </c>
      <c r="BV2046" t="s">
        <v>1668</v>
      </c>
      <c r="BW2046">
        <v>714</v>
      </c>
      <c r="BY2046">
        <v>299117</v>
      </c>
      <c r="BZ2046" t="s">
        <v>1670</v>
      </c>
      <c r="CA2046">
        <v>1</v>
      </c>
      <c r="CB2046" t="b">
        <v>1</v>
      </c>
      <c r="CC2046">
        <v>0</v>
      </c>
      <c r="CD2046" t="b">
        <v>0</v>
      </c>
      <c r="CE2046" t="b">
        <v>0</v>
      </c>
      <c r="CF2046" t="b">
        <v>0</v>
      </c>
      <c r="CG2046">
        <v>2477451</v>
      </c>
      <c r="CH2046" t="s">
        <v>1681</v>
      </c>
      <c r="CI2046" s="10">
        <v>569950</v>
      </c>
      <c r="CJ2046" s="7">
        <v>37764</v>
      </c>
    </row>
    <row r="2047" spans="1:90">
      <c r="A2047">
        <v>28036741</v>
      </c>
      <c r="B2047" s="2" t="str">
        <f>HYPERLINK("http://www.redfin.com/stingray/do/printable-listing?listing-id=1538056","Active")</f>
        <v>Active</v>
      </c>
      <c r="D2047" t="s">
        <v>3249</v>
      </c>
      <c r="E2047" t="s">
        <v>3408</v>
      </c>
      <c r="F2047" s="19">
        <v>679000</v>
      </c>
      <c r="G2047">
        <v>1979</v>
      </c>
      <c r="H2047">
        <v>0</v>
      </c>
      <c r="I2047">
        <v>6000</v>
      </c>
      <c r="J2047">
        <v>3</v>
      </c>
      <c r="K2047">
        <v>2.25</v>
      </c>
      <c r="M2047" s="2" t="str">
        <f>HYPERLINK("http://maps.live.com/default.aspx?v=2&amp;lvl=15&amp;sp=Point.47.650643_-122.373211_3406 13 Ave W&amp;cp=47.650643~-122.373211","Map")</f>
        <v>Map</v>
      </c>
      <c r="N2047" s="2" t="str">
        <f>HYPERLINK("http://i-0.rfimg.us/photo/1/bigphoto/741/28036741_1.jpg","Photo")</f>
        <v>Photo</v>
      </c>
      <c r="AG2047">
        <v>47.650643000000002</v>
      </c>
      <c r="AH2047">
        <v>-122.373211</v>
      </c>
      <c r="AI2047" t="s">
        <v>66</v>
      </c>
      <c r="AJ2047">
        <v>98119</v>
      </c>
      <c r="AN2047">
        <v>279000</v>
      </c>
      <c r="BC2047" s="22">
        <v>39514.344907407409</v>
      </c>
      <c r="BI2047" s="22">
        <v>39549.294907407406</v>
      </c>
      <c r="BL2047">
        <v>13900</v>
      </c>
      <c r="BM2047">
        <v>1538056</v>
      </c>
      <c r="BN2047" t="s">
        <v>1700</v>
      </c>
      <c r="BO2047" s="17">
        <f t="shared" ca="1" si="31"/>
        <v>34.964498495370208</v>
      </c>
      <c r="BP2047" t="b">
        <v>0</v>
      </c>
      <c r="BQ2047">
        <v>1</v>
      </c>
      <c r="BR2047" t="s">
        <v>1667</v>
      </c>
      <c r="BS2047">
        <v>13</v>
      </c>
      <c r="BT2047" t="b">
        <v>0</v>
      </c>
      <c r="BV2047" t="s">
        <v>1668</v>
      </c>
      <c r="BW2047">
        <v>3406</v>
      </c>
      <c r="BX2047" t="s">
        <v>2423</v>
      </c>
      <c r="BY2047">
        <v>129563</v>
      </c>
      <c r="BZ2047" t="s">
        <v>3409</v>
      </c>
      <c r="CA2047">
        <v>1</v>
      </c>
      <c r="CB2047" t="b">
        <v>1</v>
      </c>
      <c r="CC2047">
        <v>0</v>
      </c>
      <c r="CD2047" t="b">
        <v>0</v>
      </c>
      <c r="CE2047" t="b">
        <v>0</v>
      </c>
      <c r="CF2047" t="b">
        <v>0</v>
      </c>
      <c r="CG2047">
        <v>2914706</v>
      </c>
      <c r="CH2047" t="s">
        <v>1681</v>
      </c>
      <c r="CI2047" s="10">
        <v>695000</v>
      </c>
      <c r="CJ2047" s="7">
        <v>35713</v>
      </c>
    </row>
    <row r="2048" spans="1:90">
      <c r="A2048">
        <v>28036752</v>
      </c>
      <c r="B2048" s="2" t="str">
        <f>HYPERLINK("http://www.redfin.com/stingray/do/printable-listing?listing-id=1524025","Active")</f>
        <v>Active</v>
      </c>
      <c r="D2048" t="s">
        <v>5139</v>
      </c>
      <c r="E2048" t="s">
        <v>5182</v>
      </c>
      <c r="F2048">
        <v>1149000</v>
      </c>
      <c r="G2048">
        <v>2007</v>
      </c>
      <c r="H2048">
        <v>2785</v>
      </c>
      <c r="I2048">
        <v>10800</v>
      </c>
      <c r="J2048">
        <v>4</v>
      </c>
      <c r="K2048">
        <v>2.5</v>
      </c>
      <c r="M2048" s="2" t="str">
        <f>HYPERLINK("http://maps.live.com/default.aspx?v=2&amp;lvl=15&amp;sp=Point.47.571511_-122.224632_4151 86th Ave SE&amp;cp=47.571511~-122.224632","Map")</f>
        <v>Map</v>
      </c>
      <c r="N2048" s="2" t="str">
        <f>HYPERLINK("http://i-0.rfimg.us/photo/1/bigphoto/752/28036752_.jpg","Photo")</f>
        <v>Photo</v>
      </c>
      <c r="AG2048">
        <v>47.571511000000001</v>
      </c>
      <c r="AH2048">
        <v>-122.224632</v>
      </c>
      <c r="AI2048" t="s">
        <v>5139</v>
      </c>
      <c r="AJ2048">
        <v>98040</v>
      </c>
      <c r="AN2048">
        <v>561000</v>
      </c>
      <c r="BC2048" s="22">
        <v>39509.504432870373</v>
      </c>
      <c r="BI2048" s="22">
        <v>39549.294907407406</v>
      </c>
      <c r="BL2048">
        <v>22980</v>
      </c>
      <c r="BM2048">
        <v>1524025</v>
      </c>
      <c r="BN2048" t="s">
        <v>3611</v>
      </c>
      <c r="BO2048" s="17">
        <f t="shared" ca="1" si="31"/>
        <v>39.804973032405542</v>
      </c>
      <c r="BP2048" t="b">
        <v>0</v>
      </c>
      <c r="BQ2048">
        <v>1</v>
      </c>
      <c r="BR2048" t="s">
        <v>1667</v>
      </c>
      <c r="BS2048" t="s">
        <v>2866</v>
      </c>
      <c r="BT2048" t="b">
        <v>0</v>
      </c>
      <c r="BV2048" t="s">
        <v>1668</v>
      </c>
      <c r="BW2048">
        <v>4151</v>
      </c>
      <c r="BX2048" t="s">
        <v>3856</v>
      </c>
      <c r="BY2048">
        <v>255235</v>
      </c>
      <c r="CA2048">
        <v>1</v>
      </c>
      <c r="CB2048" t="b">
        <v>1</v>
      </c>
      <c r="CC2048">
        <v>0</v>
      </c>
      <c r="CD2048" t="b">
        <v>0</v>
      </c>
      <c r="CE2048" t="b">
        <v>0</v>
      </c>
      <c r="CF2048" t="b">
        <v>0</v>
      </c>
      <c r="CG2048">
        <v>2684516</v>
      </c>
      <c r="CH2048" t="s">
        <v>1681</v>
      </c>
      <c r="CI2048" s="10">
        <v>1149000</v>
      </c>
      <c r="CJ2048" s="7">
        <v>38702</v>
      </c>
    </row>
    <row r="2049" spans="1:90">
      <c r="A2049">
        <v>28036753</v>
      </c>
      <c r="B2049" s="2" t="str">
        <f>HYPERLINK("http://www.redfin.com/stingray/do/printable-listing?listing-id=1525528","Subject To Inspection")</f>
        <v>Subject To Inspection</v>
      </c>
      <c r="D2049" t="s">
        <v>3966</v>
      </c>
      <c r="E2049" t="s">
        <v>3965</v>
      </c>
      <c r="F2049">
        <v>599000</v>
      </c>
      <c r="G2049">
        <v>1906</v>
      </c>
      <c r="H2049">
        <v>1780</v>
      </c>
      <c r="I2049">
        <v>4400</v>
      </c>
      <c r="J2049">
        <v>3</v>
      </c>
      <c r="K2049">
        <v>1.5</v>
      </c>
      <c r="M2049" s="2" t="str">
        <f>HYPERLINK("http://maps.live.com/default.aspx?v=2&amp;lvl=15&amp;sp=Point.47.611287_-122.292262_928 31st Ave&amp;cp=47.611287~-122.292262","Map")</f>
        <v>Map</v>
      </c>
      <c r="N2049" s="2" t="str">
        <f>HYPERLINK("http://i-0.rfimg.us/photo/1/bigphoto/753/28036753_1.jpg","Photo")</f>
        <v>Photo</v>
      </c>
      <c r="AG2049">
        <v>47.611286999999997</v>
      </c>
      <c r="AH2049">
        <v>-122.29226199999999</v>
      </c>
      <c r="AI2049" t="s">
        <v>66</v>
      </c>
      <c r="AJ2049">
        <v>98122</v>
      </c>
      <c r="AN2049">
        <v>424000</v>
      </c>
      <c r="BC2049" s="22">
        <v>39510.484849537039</v>
      </c>
      <c r="BI2049" s="7">
        <v>39536</v>
      </c>
      <c r="BL2049">
        <v>11980</v>
      </c>
      <c r="BM2049">
        <v>1525528</v>
      </c>
      <c r="BN2049" t="s">
        <v>1674</v>
      </c>
      <c r="BO2049" s="17">
        <f t="shared" ca="1" si="31"/>
        <v>38.824556365740136</v>
      </c>
      <c r="BP2049" t="b">
        <v>0</v>
      </c>
      <c r="BQ2049">
        <v>2</v>
      </c>
      <c r="BR2049" t="s">
        <v>1667</v>
      </c>
      <c r="BS2049" t="s">
        <v>1732</v>
      </c>
      <c r="BT2049" t="b">
        <v>0</v>
      </c>
      <c r="BV2049" t="s">
        <v>1668</v>
      </c>
      <c r="BW2049">
        <v>928</v>
      </c>
      <c r="BY2049">
        <v>147054</v>
      </c>
      <c r="BZ2049" t="s">
        <v>2200</v>
      </c>
      <c r="CA2049">
        <v>1</v>
      </c>
      <c r="CB2049" t="b">
        <v>1</v>
      </c>
      <c r="CC2049">
        <v>0</v>
      </c>
      <c r="CD2049" t="b">
        <v>0</v>
      </c>
      <c r="CE2049" t="b">
        <v>0</v>
      </c>
      <c r="CF2049" t="b">
        <v>0</v>
      </c>
      <c r="CG2049">
        <v>2445730</v>
      </c>
      <c r="CH2049" t="s">
        <v>1681</v>
      </c>
      <c r="CI2049" s="10">
        <v>599000</v>
      </c>
      <c r="CJ2049" s="7">
        <v>37677</v>
      </c>
    </row>
    <row r="2050" spans="1:90">
      <c r="A2050">
        <v>28036755</v>
      </c>
      <c r="B2050" s="2" t="str">
        <f>HYPERLINK("http://www.redfin.com/stingray/do/printable-listing?listing-id=1524046","Active")</f>
        <v>Active</v>
      </c>
      <c r="D2050" t="s">
        <v>3249</v>
      </c>
      <c r="E2050" t="s">
        <v>4345</v>
      </c>
      <c r="F2050">
        <v>739000</v>
      </c>
      <c r="G2050">
        <v>1924</v>
      </c>
      <c r="H2050">
        <v>2400</v>
      </c>
      <c r="I2050">
        <v>3520</v>
      </c>
      <c r="J2050">
        <v>4</v>
      </c>
      <c r="K2050">
        <v>4</v>
      </c>
      <c r="M2050" s="2" t="str">
        <f>HYPERLINK("http://maps.live.com/default.aspx?v=2&amp;lvl=15&amp;sp=Point.47.629509_-122.345913_1116 Taylor Ave N&amp;cp=47.629509~-122.345913","Map")</f>
        <v>Map</v>
      </c>
      <c r="N2050" s="2" t="str">
        <f>HYPERLINK("http://i-0.rfimg.us/photo/1/bigphoto/755/28036755_1.jpg","Photo")</f>
        <v>Photo</v>
      </c>
      <c r="AG2050">
        <v>47.629508999999999</v>
      </c>
      <c r="AH2050">
        <v>-122.345913</v>
      </c>
      <c r="AI2050" t="s">
        <v>66</v>
      </c>
      <c r="AJ2050">
        <v>98109</v>
      </c>
      <c r="AN2050">
        <v>654000</v>
      </c>
      <c r="BC2050" s="22">
        <v>39509.515648148146</v>
      </c>
      <c r="BI2050" s="22">
        <v>39549.294907407406</v>
      </c>
      <c r="BL2050">
        <v>14780</v>
      </c>
      <c r="BM2050">
        <v>1524046</v>
      </c>
      <c r="BN2050" t="s">
        <v>1710</v>
      </c>
      <c r="BO2050" s="17">
        <f t="shared" ref="BO2050:BO2113" ca="1" si="32">NOW()-BC2050</f>
        <v>39.793757754632679</v>
      </c>
      <c r="BP2050" t="b">
        <v>0</v>
      </c>
      <c r="BQ2050">
        <v>1</v>
      </c>
      <c r="BR2050" t="s">
        <v>1667</v>
      </c>
      <c r="BS2050" t="s">
        <v>3054</v>
      </c>
      <c r="BT2050" t="b">
        <v>0</v>
      </c>
      <c r="BV2050" t="s">
        <v>1668</v>
      </c>
      <c r="BW2050">
        <v>1116</v>
      </c>
      <c r="BX2050" t="s">
        <v>1712</v>
      </c>
      <c r="BY2050">
        <v>132106</v>
      </c>
      <c r="BZ2050" t="s">
        <v>4346</v>
      </c>
      <c r="CA2050">
        <v>1</v>
      </c>
      <c r="CB2050" t="b">
        <v>1</v>
      </c>
      <c r="CC2050">
        <v>0</v>
      </c>
      <c r="CD2050" t="b">
        <v>0</v>
      </c>
      <c r="CE2050" t="b">
        <v>0</v>
      </c>
      <c r="CF2050" t="b">
        <v>0</v>
      </c>
      <c r="CG2050">
        <v>2527772</v>
      </c>
      <c r="CH2050" t="s">
        <v>1681</v>
      </c>
      <c r="CI2050" s="10">
        <v>739000</v>
      </c>
      <c r="CJ2050" s="7">
        <v>38443</v>
      </c>
    </row>
    <row r="2051" spans="1:90">
      <c r="A2051">
        <v>28036761</v>
      </c>
      <c r="B2051" s="2" t="str">
        <f>HYPERLINK("http://www.redfin.com/stingray/do/printable-listing?listing-id=1524610","Active")</f>
        <v>Active</v>
      </c>
      <c r="D2051" t="s">
        <v>1058</v>
      </c>
      <c r="E2051" t="s">
        <v>4607</v>
      </c>
      <c r="F2051">
        <v>579500</v>
      </c>
      <c r="G2051">
        <v>1962</v>
      </c>
      <c r="H2051">
        <v>2100</v>
      </c>
      <c r="I2051">
        <v>0</v>
      </c>
      <c r="J2051">
        <v>4</v>
      </c>
      <c r="K2051">
        <v>2</v>
      </c>
      <c r="M2051" s="2" t="str">
        <f>HYPERLINK("http://maps.live.com/default.aspx?v=2&amp;lvl=15&amp;sp=Point.47.710866_-122.213519_12238 95 Pl NE&amp;cp=47.710866~-122.213519","Map")</f>
        <v>Map</v>
      </c>
      <c r="N2051" s="2" t="str">
        <f>HYPERLINK("http://i-0.rfimg.us/photo/1/bigphoto/761/28036761_1.jpg","Photo")</f>
        <v>Photo</v>
      </c>
      <c r="AG2051">
        <v>47.710866000000003</v>
      </c>
      <c r="AH2051">
        <v>-122.21351900000001</v>
      </c>
      <c r="AI2051" t="s">
        <v>1058</v>
      </c>
      <c r="AJ2051">
        <v>98034</v>
      </c>
      <c r="AN2051">
        <v>340000</v>
      </c>
      <c r="BC2051" s="22">
        <v>39510.004467592589</v>
      </c>
      <c r="BI2051" s="22">
        <v>39549.294907407406</v>
      </c>
      <c r="BL2051">
        <v>11590</v>
      </c>
      <c r="BM2051">
        <v>1524610</v>
      </c>
      <c r="BN2051" t="s">
        <v>1680</v>
      </c>
      <c r="BO2051" s="17">
        <f t="shared" ca="1" si="32"/>
        <v>39.304938310189755</v>
      </c>
      <c r="BP2051" t="b">
        <v>0</v>
      </c>
      <c r="BQ2051">
        <v>1</v>
      </c>
      <c r="BR2051" t="s">
        <v>1842</v>
      </c>
      <c r="BS2051">
        <v>95</v>
      </c>
      <c r="BT2051" t="b">
        <v>0</v>
      </c>
      <c r="BV2051" t="s">
        <v>1668</v>
      </c>
      <c r="BW2051">
        <v>12238</v>
      </c>
      <c r="BX2051" t="s">
        <v>1738</v>
      </c>
      <c r="BY2051">
        <v>280736</v>
      </c>
      <c r="BZ2051" t="s">
        <v>2646</v>
      </c>
      <c r="CA2051">
        <v>1</v>
      </c>
      <c r="CB2051" t="b">
        <v>1</v>
      </c>
      <c r="CC2051">
        <v>0</v>
      </c>
      <c r="CD2051" t="b">
        <v>0</v>
      </c>
      <c r="CE2051" t="b">
        <v>0</v>
      </c>
      <c r="CF2051" t="b">
        <v>0</v>
      </c>
      <c r="CG2051">
        <v>2517998</v>
      </c>
      <c r="CH2051" t="s">
        <v>1681</v>
      </c>
      <c r="CI2051" s="10">
        <v>579500</v>
      </c>
      <c r="CJ2051" s="7">
        <v>38512</v>
      </c>
    </row>
    <row r="2052" spans="1:90">
      <c r="A2052">
        <v>28036770</v>
      </c>
      <c r="B2052" s="2" t="str">
        <f>HYPERLINK("http://www.redfin.com/stingray/do/printable-listing?listing-id=1525148","Active")</f>
        <v>Active</v>
      </c>
      <c r="D2052" t="s">
        <v>3961</v>
      </c>
      <c r="E2052" t="s">
        <v>4214</v>
      </c>
      <c r="F2052">
        <v>985000</v>
      </c>
      <c r="G2052">
        <v>1936</v>
      </c>
      <c r="H2052">
        <v>2280</v>
      </c>
      <c r="I2052">
        <v>4532</v>
      </c>
      <c r="J2052">
        <v>3</v>
      </c>
      <c r="K2052">
        <v>2</v>
      </c>
      <c r="M2052" s="2" t="str">
        <f>HYPERLINK("http://maps.live.com/default.aspx?v=2&amp;lvl=15&amp;sp=Point.47.606156_-122.285337_3702 E Jefferson St&amp;cp=47.606156~-122.285337","Map")</f>
        <v>Map</v>
      </c>
      <c r="N2052" s="2" t="str">
        <f>HYPERLINK("http://i-0.rfimg.us/photo/1/bigphoto/770/28036770_2.jpg","Photo")</f>
        <v>Photo</v>
      </c>
      <c r="AG2052">
        <v>47.606155999999999</v>
      </c>
      <c r="AH2052">
        <v>-122.285337</v>
      </c>
      <c r="AI2052" t="s">
        <v>66</v>
      </c>
      <c r="AJ2052">
        <v>98122</v>
      </c>
      <c r="AN2052">
        <v>615000</v>
      </c>
      <c r="BC2052" s="22">
        <v>39510.401921296296</v>
      </c>
      <c r="BI2052" s="22">
        <v>39549.294907407406</v>
      </c>
      <c r="BL2052">
        <v>19700</v>
      </c>
      <c r="BM2052">
        <v>1525148</v>
      </c>
      <c r="BN2052" t="s">
        <v>4132</v>
      </c>
      <c r="BO2052" s="17">
        <f t="shared" ca="1" si="32"/>
        <v>38.907484606483195</v>
      </c>
      <c r="BP2052" t="b">
        <v>0</v>
      </c>
      <c r="BQ2052">
        <v>1</v>
      </c>
      <c r="BR2052" t="s">
        <v>1686</v>
      </c>
      <c r="BS2052" t="s">
        <v>4050</v>
      </c>
      <c r="BT2052" t="b">
        <v>0</v>
      </c>
      <c r="BU2052" t="s">
        <v>2436</v>
      </c>
      <c r="BV2052" t="s">
        <v>1668</v>
      </c>
      <c r="BW2052">
        <v>3702</v>
      </c>
      <c r="BY2052">
        <v>141128</v>
      </c>
      <c r="BZ2052" t="s">
        <v>4215</v>
      </c>
      <c r="CA2052">
        <v>1</v>
      </c>
      <c r="CB2052" t="b">
        <v>1</v>
      </c>
      <c r="CC2052">
        <v>0</v>
      </c>
      <c r="CD2052" t="b">
        <v>0</v>
      </c>
      <c r="CE2052" t="b">
        <v>0</v>
      </c>
      <c r="CF2052" t="b">
        <v>0</v>
      </c>
      <c r="CG2052">
        <v>2445708</v>
      </c>
      <c r="CH2052" t="s">
        <v>1681</v>
      </c>
      <c r="CI2052" s="10">
        <v>985000</v>
      </c>
      <c r="CJ2052" s="7">
        <v>37417</v>
      </c>
      <c r="CL2052" t="s">
        <v>6362</v>
      </c>
    </row>
    <row r="2053" spans="1:90">
      <c r="A2053">
        <v>28036781</v>
      </c>
      <c r="B2053" s="2" t="str">
        <f>HYPERLINK("http://www.redfin.com/stingray/do/printable-listing?listing-id=1525297","Active")</f>
        <v>Active</v>
      </c>
      <c r="D2053" t="s">
        <v>983</v>
      </c>
      <c r="E2053" t="s">
        <v>3031</v>
      </c>
      <c r="F2053" s="19">
        <v>600000</v>
      </c>
      <c r="G2053">
        <v>1954</v>
      </c>
      <c r="H2053">
        <v>0</v>
      </c>
      <c r="I2053">
        <v>0</v>
      </c>
      <c r="J2053">
        <v>3</v>
      </c>
      <c r="K2053">
        <v>2</v>
      </c>
      <c r="M2053" s="2" t="str">
        <f>HYPERLINK("http://maps.live.com/default.aspx?v=2&amp;lvl=15&amp;sp=Point.47.694876_-122.275262_9216 Sand Point Way NE&amp;cp=47.694876~-122.275262","Map")</f>
        <v>Map</v>
      </c>
      <c r="N2053" s="2" t="str">
        <f>HYPERLINK("http://i-0.rfimg.us/photo/1/bigphoto/781/28036781_0.jpg","Photo")</f>
        <v>Photo</v>
      </c>
      <c r="AG2053">
        <v>47.694876000000001</v>
      </c>
      <c r="AH2053">
        <v>-122.275262</v>
      </c>
      <c r="AI2053" t="s">
        <v>66</v>
      </c>
      <c r="AJ2053">
        <v>98115</v>
      </c>
      <c r="AN2053">
        <v>115000</v>
      </c>
      <c r="BC2053" s="22">
        <v>39510.443009259259</v>
      </c>
      <c r="BI2053" s="22">
        <v>39549.294907407406</v>
      </c>
      <c r="BL2053">
        <v>12400</v>
      </c>
      <c r="BM2053">
        <v>1525297</v>
      </c>
      <c r="BN2053" t="s">
        <v>1678</v>
      </c>
      <c r="BO2053" s="17">
        <f t="shared" ca="1" si="32"/>
        <v>38.866396643519693</v>
      </c>
      <c r="BP2053" t="b">
        <v>0</v>
      </c>
      <c r="BQ2053">
        <v>1</v>
      </c>
      <c r="BR2053" t="s">
        <v>2463</v>
      </c>
      <c r="BS2053" t="s">
        <v>1129</v>
      </c>
      <c r="BT2053" t="b">
        <v>0</v>
      </c>
      <c r="BV2053" t="s">
        <v>1668</v>
      </c>
      <c r="BW2053">
        <v>9216</v>
      </c>
      <c r="BX2053" t="s">
        <v>1738</v>
      </c>
      <c r="BY2053">
        <v>319931</v>
      </c>
      <c r="BZ2053" t="s">
        <v>1747</v>
      </c>
      <c r="CA2053">
        <v>1</v>
      </c>
      <c r="CB2053" t="b">
        <v>1</v>
      </c>
      <c r="CC2053">
        <v>0</v>
      </c>
      <c r="CD2053" t="b">
        <v>1</v>
      </c>
      <c r="CE2053" t="b">
        <v>0</v>
      </c>
      <c r="CF2053" t="b">
        <v>0</v>
      </c>
      <c r="CG2053">
        <v>2705264</v>
      </c>
      <c r="CH2053" t="s">
        <v>1681</v>
      </c>
      <c r="CI2053" s="10">
        <v>620000</v>
      </c>
      <c r="CJ2053" s="7">
        <v>33003</v>
      </c>
    </row>
    <row r="2054" spans="1:90">
      <c r="A2054">
        <v>28036796</v>
      </c>
      <c r="B2054" s="2" t="str">
        <f>HYPERLINK("http://www.redfin.com/stingray/do/printable-listing?listing-id=1524168","Active")</f>
        <v>Active</v>
      </c>
      <c r="D2054" t="s">
        <v>192</v>
      </c>
      <c r="E2054" t="s">
        <v>3107</v>
      </c>
      <c r="F2054">
        <v>525000</v>
      </c>
      <c r="G2054">
        <v>1908</v>
      </c>
      <c r="H2054">
        <v>1740</v>
      </c>
      <c r="I2054">
        <v>5100</v>
      </c>
      <c r="J2054">
        <v>3</v>
      </c>
      <c r="K2054">
        <v>1.5</v>
      </c>
      <c r="M2054" s="2" t="str">
        <f>HYPERLINK("http://maps.live.com/default.aspx?v=2&amp;lvl=15&amp;sp=Point.47.686986_-122.320504_558 NE 80th St&amp;cp=47.686986~-122.320504","Map")</f>
        <v>Map</v>
      </c>
      <c r="N2054" s="2" t="str">
        <f>HYPERLINK("http://i-0.rfimg.us/photo/1/bigphoto/796/28036796_6.jpg","Photo")</f>
        <v>Photo</v>
      </c>
      <c r="AG2054">
        <v>47.686985999999997</v>
      </c>
      <c r="AH2054">
        <v>-122.320504</v>
      </c>
      <c r="AI2054" t="s">
        <v>66</v>
      </c>
      <c r="AJ2054">
        <v>98115</v>
      </c>
      <c r="AN2054">
        <v>148950</v>
      </c>
      <c r="BC2054" s="22">
        <v>39509.598773148151</v>
      </c>
      <c r="BI2054" s="7">
        <v>39532</v>
      </c>
      <c r="BL2054">
        <v>10500</v>
      </c>
      <c r="BM2054">
        <v>1524168</v>
      </c>
      <c r="BN2054" t="s">
        <v>1702</v>
      </c>
      <c r="BO2054" s="17">
        <f t="shared" ca="1" si="32"/>
        <v>39.710632754628023</v>
      </c>
      <c r="BP2054" t="b">
        <v>0</v>
      </c>
      <c r="BQ2054">
        <v>1</v>
      </c>
      <c r="BR2054" t="s">
        <v>1686</v>
      </c>
      <c r="BS2054" t="s">
        <v>1711</v>
      </c>
      <c r="BT2054" t="b">
        <v>0</v>
      </c>
      <c r="BU2054" t="s">
        <v>1738</v>
      </c>
      <c r="BV2054" t="s">
        <v>1668</v>
      </c>
      <c r="BW2054">
        <v>558</v>
      </c>
      <c r="BY2054">
        <v>108422</v>
      </c>
      <c r="BZ2054" t="s">
        <v>3108</v>
      </c>
      <c r="CA2054">
        <v>1</v>
      </c>
      <c r="CB2054" t="b">
        <v>1</v>
      </c>
      <c r="CC2054">
        <v>0</v>
      </c>
      <c r="CD2054" t="b">
        <v>0</v>
      </c>
      <c r="CE2054" t="b">
        <v>0</v>
      </c>
      <c r="CF2054" t="b">
        <v>0</v>
      </c>
      <c r="CG2054">
        <v>2374346</v>
      </c>
      <c r="CH2054" t="s">
        <v>1681</v>
      </c>
      <c r="CI2054" s="10">
        <v>525000</v>
      </c>
      <c r="CJ2054" s="7">
        <v>35256</v>
      </c>
    </row>
    <row r="2055" spans="1:90">
      <c r="A2055">
        <v>28036801</v>
      </c>
      <c r="B2055" s="2" t="str">
        <f>HYPERLINK("http://www.redfin.com/stingray/do/printable-listing?listing-id=1524166","Active")</f>
        <v>Active</v>
      </c>
      <c r="D2055" t="s">
        <v>63</v>
      </c>
      <c r="E2055" t="s">
        <v>1241</v>
      </c>
      <c r="F2055">
        <v>695000</v>
      </c>
      <c r="G2055">
        <v>1912</v>
      </c>
      <c r="H2055">
        <v>1940</v>
      </c>
      <c r="I2055">
        <v>3000</v>
      </c>
      <c r="J2055">
        <v>3</v>
      </c>
      <c r="K2055">
        <v>2.75</v>
      </c>
      <c r="M2055" s="2" t="str">
        <f>HYPERLINK("http://maps.live.com/default.aspx?v=2&amp;lvl=15&amp;sp=Point.47.682004_-122.364003_612 NW 73rd St&amp;cp=47.682004~-122.364003","Map")</f>
        <v>Map</v>
      </c>
      <c r="N2055" s="2" t="str">
        <f>HYPERLINK("http://i-0.rfimg.us/photo/1/bigphoto/801/28036801_0.jpg","Photo")</f>
        <v>Photo</v>
      </c>
      <c r="AG2055">
        <v>47.682003999999999</v>
      </c>
      <c r="AH2055">
        <v>-122.364003</v>
      </c>
      <c r="AI2055" t="s">
        <v>66</v>
      </c>
      <c r="AJ2055">
        <v>98117</v>
      </c>
      <c r="AN2055">
        <v>207000</v>
      </c>
      <c r="BC2055" s="22">
        <v>39509.598761574074</v>
      </c>
      <c r="BI2055" s="22">
        <v>39549.294907407406</v>
      </c>
      <c r="BL2055">
        <v>13900</v>
      </c>
      <c r="BM2055">
        <v>1524166</v>
      </c>
      <c r="BN2055" t="s">
        <v>1680</v>
      </c>
      <c r="BO2055" s="17">
        <f t="shared" ca="1" si="32"/>
        <v>39.71064444444346</v>
      </c>
      <c r="BP2055" t="b">
        <v>0</v>
      </c>
      <c r="BQ2055">
        <v>1</v>
      </c>
      <c r="BR2055" t="s">
        <v>1686</v>
      </c>
      <c r="BS2055" t="s">
        <v>1828</v>
      </c>
      <c r="BT2055" t="b">
        <v>0</v>
      </c>
      <c r="BU2055" t="s">
        <v>1669</v>
      </c>
      <c r="BV2055" t="s">
        <v>1668</v>
      </c>
      <c r="BW2055">
        <v>612</v>
      </c>
      <c r="BY2055">
        <v>495836</v>
      </c>
      <c r="BZ2055" t="s">
        <v>1713</v>
      </c>
      <c r="CA2055">
        <v>1</v>
      </c>
      <c r="CB2055" t="b">
        <v>1</v>
      </c>
      <c r="CC2055">
        <v>0</v>
      </c>
      <c r="CD2055" t="b">
        <v>0</v>
      </c>
      <c r="CE2055" t="b">
        <v>0</v>
      </c>
      <c r="CF2055" t="b">
        <v>0</v>
      </c>
      <c r="CG2055">
        <v>2708779</v>
      </c>
      <c r="CH2055" t="s">
        <v>1681</v>
      </c>
      <c r="CI2055" s="10">
        <v>695000</v>
      </c>
      <c r="CJ2055" s="7">
        <v>36865</v>
      </c>
      <c r="CK2055" t="s">
        <v>1991</v>
      </c>
    </row>
    <row r="2056" spans="1:90">
      <c r="A2056">
        <v>28036842</v>
      </c>
      <c r="B2056" s="2" t="str">
        <f>HYPERLINK("http://www.redfin.com/stingray/do/printable-listing?listing-id=1524271","Active")</f>
        <v>Active</v>
      </c>
      <c r="D2056" t="s">
        <v>213</v>
      </c>
      <c r="E2056" t="s">
        <v>2837</v>
      </c>
      <c r="F2056" s="19">
        <v>1150000</v>
      </c>
      <c r="G2056">
        <v>1950</v>
      </c>
      <c r="H2056">
        <v>3600</v>
      </c>
      <c r="I2056">
        <v>35284</v>
      </c>
      <c r="J2056">
        <v>4</v>
      </c>
      <c r="K2056">
        <v>2.5</v>
      </c>
      <c r="M2056" s="2" t="str">
        <f>HYPERLINK("http://maps.live.com/default.aspx?v=2&amp;lvl=15&amp;sp=Point.47.715034_-122.278543_11748 Lakeside Ave NE&amp;cp=47.715034~-122.278543","Map")</f>
        <v>Map</v>
      </c>
      <c r="N2056" s="2" t="str">
        <f>HYPERLINK("http://i-0.rfimg.us/photo/1/bigphoto/842/28036842_3.jpg","Photo")</f>
        <v>Photo</v>
      </c>
      <c r="AG2056">
        <v>47.715034000000003</v>
      </c>
      <c r="AH2056">
        <v>-122.278543</v>
      </c>
      <c r="AI2056" t="s">
        <v>66</v>
      </c>
      <c r="AJ2056">
        <v>98125</v>
      </c>
      <c r="AN2056">
        <v>390000</v>
      </c>
      <c r="BC2056" s="22">
        <v>39509.692453703705</v>
      </c>
      <c r="BI2056" s="22">
        <v>39549.294907407406</v>
      </c>
      <c r="BL2056">
        <v>24000</v>
      </c>
      <c r="BM2056">
        <v>1524271</v>
      </c>
      <c r="BN2056" t="s">
        <v>2836</v>
      </c>
      <c r="BO2056" s="17">
        <f t="shared" ca="1" si="32"/>
        <v>39.616952199074149</v>
      </c>
      <c r="BP2056" t="b">
        <v>0</v>
      </c>
      <c r="BQ2056">
        <v>1</v>
      </c>
      <c r="BR2056" t="s">
        <v>1667</v>
      </c>
      <c r="BS2056" t="s">
        <v>2838</v>
      </c>
      <c r="BT2056" t="b">
        <v>0</v>
      </c>
      <c r="BV2056" t="s">
        <v>1668</v>
      </c>
      <c r="BW2056">
        <v>11748</v>
      </c>
      <c r="BX2056" t="s">
        <v>1738</v>
      </c>
      <c r="BY2056">
        <v>319710</v>
      </c>
      <c r="BZ2056" t="s">
        <v>2839</v>
      </c>
      <c r="CA2056">
        <v>1</v>
      </c>
      <c r="CB2056" t="b">
        <v>1</v>
      </c>
      <c r="CC2056">
        <v>0</v>
      </c>
      <c r="CD2056" t="b">
        <v>0</v>
      </c>
      <c r="CE2056" t="b">
        <v>0</v>
      </c>
      <c r="CF2056" t="b">
        <v>0</v>
      </c>
      <c r="CG2056">
        <v>2571723</v>
      </c>
      <c r="CH2056" t="s">
        <v>1681</v>
      </c>
      <c r="CI2056" s="10">
        <v>1200000</v>
      </c>
      <c r="CJ2056" s="7">
        <v>34817</v>
      </c>
    </row>
    <row r="2057" spans="1:90">
      <c r="A2057">
        <v>28036850</v>
      </c>
      <c r="B2057" s="2" t="str">
        <f>HYPERLINK("http://www.redfin.com/stingray/do/printable-listing?listing-id=1524307","Active")</f>
        <v>Active</v>
      </c>
      <c r="D2057" t="s">
        <v>6490</v>
      </c>
      <c r="E2057" t="s">
        <v>6489</v>
      </c>
      <c r="F2057">
        <v>721600</v>
      </c>
      <c r="G2057">
        <v>1938</v>
      </c>
      <c r="H2057">
        <v>3280</v>
      </c>
      <c r="I2057">
        <v>216058</v>
      </c>
      <c r="J2057">
        <v>3</v>
      </c>
      <c r="K2057">
        <v>1</v>
      </c>
      <c r="M2057" s="2" t="str">
        <f>HYPERLINK("http://maps.live.com/default.aspx?v=2&amp;lvl=15&amp;sp=adr.37202 28th Ave S nLot 1 (Unable to map),98003","Map")</f>
        <v>Map</v>
      </c>
      <c r="N2057" s="2" t="str">
        <f>HYPERLINK("http://i-0.rfimg.us/photo/1/bigphoto/850/28036850_0.jpg","Photo")</f>
        <v>Photo</v>
      </c>
      <c r="AI2057" t="s">
        <v>6487</v>
      </c>
      <c r="AJ2057">
        <v>98003</v>
      </c>
      <c r="AM2057" t="s">
        <v>6004</v>
      </c>
      <c r="BC2057" s="22">
        <v>39509.702615740738</v>
      </c>
      <c r="BI2057" s="22">
        <v>39549.294907407406</v>
      </c>
      <c r="BL2057">
        <v>14432</v>
      </c>
      <c r="BM2057">
        <v>1524307</v>
      </c>
      <c r="BN2057" t="s">
        <v>6488</v>
      </c>
      <c r="BO2057" s="17">
        <f t="shared" ca="1" si="32"/>
        <v>39.606790162040852</v>
      </c>
      <c r="BP2057" t="b">
        <v>0</v>
      </c>
      <c r="BQ2057">
        <v>1</v>
      </c>
      <c r="BR2057" t="s">
        <v>1667</v>
      </c>
      <c r="BS2057" t="s">
        <v>1760</v>
      </c>
      <c r="BT2057" t="b">
        <v>0</v>
      </c>
      <c r="BV2057" t="s">
        <v>1668</v>
      </c>
      <c r="BW2057">
        <v>37202</v>
      </c>
      <c r="BX2057" t="s">
        <v>1881</v>
      </c>
      <c r="BY2057">
        <v>0</v>
      </c>
      <c r="BZ2057" t="s">
        <v>1696</v>
      </c>
      <c r="CA2057">
        <v>1</v>
      </c>
      <c r="CB2057" t="b">
        <v>1</v>
      </c>
      <c r="CC2057">
        <v>0</v>
      </c>
      <c r="CD2057" t="b">
        <v>0</v>
      </c>
      <c r="CE2057" t="b">
        <v>0</v>
      </c>
      <c r="CF2057" t="b">
        <v>0</v>
      </c>
      <c r="CG2057" t="s">
        <v>1870</v>
      </c>
      <c r="CH2057" t="s">
        <v>1681</v>
      </c>
      <c r="CI2057" s="10">
        <v>721600</v>
      </c>
    </row>
    <row r="2058" spans="1:90">
      <c r="A2058">
        <v>28036874</v>
      </c>
      <c r="B2058" s="2" t="str">
        <f>HYPERLINK("http://www.redfin.com/stingray/do/printable-listing?listing-id=1524986","Active")</f>
        <v>Active</v>
      </c>
      <c r="D2058" t="s">
        <v>5140</v>
      </c>
      <c r="E2058" t="s">
        <v>5138</v>
      </c>
      <c r="F2058">
        <v>995000</v>
      </c>
      <c r="G2058">
        <v>1974</v>
      </c>
      <c r="H2058">
        <v>2540</v>
      </c>
      <c r="I2058">
        <v>10050</v>
      </c>
      <c r="J2058">
        <v>4</v>
      </c>
      <c r="K2058">
        <v>2.5</v>
      </c>
      <c r="M2058" s="2" t="str">
        <f>HYPERLINK("http://maps.live.com/default.aspx?v=2&amp;lvl=15&amp;sp=Point.47.578879_-122.225973_8411 SE 35th St&amp;cp=47.578879~-122.225973","Map")</f>
        <v>Map</v>
      </c>
      <c r="N2058" s="2" t="str">
        <f>HYPERLINK("http://i-0.rfimg.us/photo/1/bigphoto/874/28036874_0.jpg","Photo")</f>
        <v>Photo</v>
      </c>
      <c r="AG2058">
        <v>47.578879000000001</v>
      </c>
      <c r="AH2058">
        <v>-122.225973</v>
      </c>
      <c r="AI2058" t="s">
        <v>5139</v>
      </c>
      <c r="AJ2058">
        <v>98040</v>
      </c>
      <c r="AN2058">
        <v>295000</v>
      </c>
      <c r="BC2058" s="22">
        <v>39510.347881944443</v>
      </c>
      <c r="BI2058" s="22">
        <v>39549.294907407406</v>
      </c>
      <c r="BL2058">
        <v>19900</v>
      </c>
      <c r="BM2058">
        <v>1524986</v>
      </c>
      <c r="BN2058" t="s">
        <v>1674</v>
      </c>
      <c r="BO2058" s="17">
        <f t="shared" ca="1" si="32"/>
        <v>38.961523958336329</v>
      </c>
      <c r="BP2058" t="b">
        <v>0</v>
      </c>
      <c r="BQ2058">
        <v>1</v>
      </c>
      <c r="BR2058" t="s">
        <v>1686</v>
      </c>
      <c r="BS2058" t="s">
        <v>2920</v>
      </c>
      <c r="BT2058" t="b">
        <v>0</v>
      </c>
      <c r="BU2058" t="s">
        <v>3856</v>
      </c>
      <c r="BV2058" t="s">
        <v>1668</v>
      </c>
      <c r="BW2058">
        <v>8411</v>
      </c>
      <c r="BY2058">
        <v>254942</v>
      </c>
      <c r="BZ2058" t="s">
        <v>1672</v>
      </c>
      <c r="CA2058">
        <v>1</v>
      </c>
      <c r="CB2058" t="b">
        <v>1</v>
      </c>
      <c r="CC2058">
        <v>0</v>
      </c>
      <c r="CD2058" t="b">
        <v>0</v>
      </c>
      <c r="CE2058" t="b">
        <v>0</v>
      </c>
      <c r="CF2058" t="b">
        <v>0</v>
      </c>
      <c r="CG2058">
        <v>2513624</v>
      </c>
      <c r="CH2058" t="s">
        <v>1681</v>
      </c>
      <c r="CI2058" s="10">
        <v>995000</v>
      </c>
      <c r="CJ2058" s="7">
        <v>33830</v>
      </c>
    </row>
    <row r="2059" spans="1:90">
      <c r="A2059">
        <v>28036929</v>
      </c>
      <c r="B2059" s="15" t="str">
        <f>HYPERLINK("http://www.redfin.com/stingray/do/printable-listing?listing-id=1529833","Subject To Inspection")</f>
        <v>Subject To Inspection</v>
      </c>
      <c r="D2059" t="s">
        <v>2745</v>
      </c>
      <c r="E2059" t="s">
        <v>2162</v>
      </c>
      <c r="F2059">
        <v>500000</v>
      </c>
      <c r="G2059">
        <v>1954</v>
      </c>
      <c r="H2059">
        <v>1590</v>
      </c>
      <c r="I2059">
        <v>7310</v>
      </c>
      <c r="J2059">
        <v>3</v>
      </c>
      <c r="K2059">
        <v>1.5</v>
      </c>
      <c r="M2059" s="2" t="str">
        <f>HYPERLINK("http://maps.live.com/default.aspx?v=2&amp;lvl=15&amp;sp=Point.47.706687_-122.369792_10550 11th Ave NW&amp;cp=47.706687~-122.369792","Map")</f>
        <v>Map</v>
      </c>
      <c r="N2059" s="2" t="str">
        <f>HYPERLINK("http://i-0.rfimg.us/photo/1/bigphoto/929/28036929_0.jpg","Photo")</f>
        <v>Photo</v>
      </c>
      <c r="AG2059">
        <v>47.706687000000002</v>
      </c>
      <c r="AH2059">
        <v>-122.369792</v>
      </c>
      <c r="AI2059" t="s">
        <v>66</v>
      </c>
      <c r="AJ2059">
        <v>98177</v>
      </c>
      <c r="BC2059" s="22">
        <v>39511.656180555554</v>
      </c>
      <c r="BI2059" s="7">
        <v>39539</v>
      </c>
      <c r="BL2059">
        <v>10000</v>
      </c>
      <c r="BM2059">
        <v>1529833</v>
      </c>
      <c r="BN2059" t="s">
        <v>1678</v>
      </c>
      <c r="BO2059" s="17">
        <f t="shared" ca="1" si="32"/>
        <v>37.653225347225089</v>
      </c>
      <c r="BP2059" t="b">
        <v>0</v>
      </c>
      <c r="BQ2059">
        <v>1</v>
      </c>
      <c r="BR2059" t="s">
        <v>1667</v>
      </c>
      <c r="BS2059" t="s">
        <v>1792</v>
      </c>
      <c r="BT2059" t="b">
        <v>0</v>
      </c>
      <c r="BV2059" t="s">
        <v>1668</v>
      </c>
      <c r="BW2059">
        <v>10550</v>
      </c>
      <c r="BX2059" t="s">
        <v>1669</v>
      </c>
      <c r="BY2059">
        <v>95894</v>
      </c>
      <c r="BZ2059" t="s">
        <v>1713</v>
      </c>
      <c r="CA2059">
        <v>1</v>
      </c>
      <c r="CB2059" t="b">
        <v>1</v>
      </c>
      <c r="CC2059">
        <v>0</v>
      </c>
      <c r="CD2059" t="b">
        <v>0</v>
      </c>
      <c r="CE2059" t="b">
        <v>0</v>
      </c>
      <c r="CF2059" t="b">
        <v>0</v>
      </c>
      <c r="CG2059">
        <v>2795576</v>
      </c>
      <c r="CH2059" t="s">
        <v>1681</v>
      </c>
      <c r="CI2059" s="10">
        <v>500000</v>
      </c>
    </row>
    <row r="2060" spans="1:90">
      <c r="A2060">
        <v>28036951</v>
      </c>
      <c r="B2060" s="2" t="str">
        <f>HYPERLINK("http://www.redfin.com/stingray/do/printable-listing?listing-id=1539738","Active")</f>
        <v>Active</v>
      </c>
      <c r="D2060" t="s">
        <v>5195</v>
      </c>
      <c r="E2060" t="s">
        <v>5253</v>
      </c>
      <c r="F2060" s="19">
        <v>564900</v>
      </c>
      <c r="G2060">
        <v>1972</v>
      </c>
      <c r="H2060">
        <v>2570</v>
      </c>
      <c r="I2060">
        <v>8670</v>
      </c>
      <c r="J2060">
        <v>4</v>
      </c>
      <c r="K2060">
        <v>2.5</v>
      </c>
      <c r="M2060" s="2" t="str">
        <f>HYPERLINK("http://maps.live.com/default.aspx?v=2&amp;lvl=15&amp;sp=Point.47.581824_-122.1172_16617 SE 31st St&amp;cp=47.581824~-122.1172","Map")</f>
        <v>Map</v>
      </c>
      <c r="N2060" s="2" t="str">
        <f>HYPERLINK("http://i-0.rfimg.us/photo/1/bigphoto/951/28036951_0.jpg","Photo")</f>
        <v>Photo</v>
      </c>
      <c r="AG2060">
        <v>47.581823999999997</v>
      </c>
      <c r="AH2060">
        <v>-122.1172</v>
      </c>
      <c r="AI2060" t="s">
        <v>369</v>
      </c>
      <c r="AJ2060">
        <v>98008</v>
      </c>
      <c r="AN2060">
        <v>510000</v>
      </c>
      <c r="BC2060" s="22">
        <v>39514.50681712963</v>
      </c>
      <c r="BI2060" s="22">
        <v>39549.294907407406</v>
      </c>
      <c r="BL2060">
        <v>11500</v>
      </c>
      <c r="BM2060">
        <v>1539738</v>
      </c>
      <c r="BN2060" t="s">
        <v>2203</v>
      </c>
      <c r="BO2060" s="17">
        <f t="shared" ca="1" si="32"/>
        <v>34.802588773149182</v>
      </c>
      <c r="BP2060" t="b">
        <v>0</v>
      </c>
      <c r="BQ2060">
        <v>1</v>
      </c>
      <c r="BR2060" t="s">
        <v>1686</v>
      </c>
      <c r="BS2060" t="s">
        <v>1732</v>
      </c>
      <c r="BT2060" t="b">
        <v>0</v>
      </c>
      <c r="BU2060" t="s">
        <v>3856</v>
      </c>
      <c r="BV2060" t="s">
        <v>1668</v>
      </c>
      <c r="BW2060">
        <v>16617</v>
      </c>
      <c r="BY2060">
        <v>429573</v>
      </c>
      <c r="BZ2060" t="s">
        <v>5254</v>
      </c>
      <c r="CA2060">
        <v>1</v>
      </c>
      <c r="CB2060" t="b">
        <v>1</v>
      </c>
      <c r="CC2060">
        <v>0</v>
      </c>
      <c r="CD2060" t="b">
        <v>0</v>
      </c>
      <c r="CE2060" t="b">
        <v>0</v>
      </c>
      <c r="CF2060" t="b">
        <v>0</v>
      </c>
      <c r="CG2060">
        <v>2939219</v>
      </c>
      <c r="CH2060" t="s">
        <v>1681</v>
      </c>
      <c r="CI2060" s="10">
        <v>575000</v>
      </c>
      <c r="CJ2060" s="7">
        <v>38632</v>
      </c>
    </row>
    <row r="2061" spans="1:90">
      <c r="A2061">
        <v>28036962</v>
      </c>
      <c r="B2061" s="15" t="str">
        <f>HYPERLINK("http://www.redfin.com/stingray/do/printable-listing?listing-id=1525225","Subject To Inspection")</f>
        <v>Subject To Inspection</v>
      </c>
      <c r="D2061" t="s">
        <v>99</v>
      </c>
      <c r="E2061" t="s">
        <v>1808</v>
      </c>
      <c r="F2061" s="19">
        <v>334000</v>
      </c>
      <c r="G2061">
        <v>1947</v>
      </c>
      <c r="H2061">
        <v>1490</v>
      </c>
      <c r="I2061">
        <v>5400</v>
      </c>
      <c r="J2061">
        <v>3</v>
      </c>
      <c r="K2061">
        <v>1.75</v>
      </c>
      <c r="M2061" s="2" t="str">
        <f>HYPERLINK("http://maps.live.com/default.aspx?v=2&amp;lvl=15&amp;sp=Point.47.696973_-122.372357_9230 13th Ave NW&amp;cp=47.696973~-122.372357","Map")</f>
        <v>Map</v>
      </c>
      <c r="N2061" s="2" t="str">
        <f>HYPERLINK("http://i-0.rfimg.us/photo/1/bigphoto/962/28036962_0.jpg","Photo")</f>
        <v>Photo</v>
      </c>
      <c r="AG2061">
        <v>47.696973</v>
      </c>
      <c r="AH2061">
        <v>-122.37235699999999</v>
      </c>
      <c r="AI2061" t="s">
        <v>66</v>
      </c>
      <c r="AJ2061">
        <v>98117</v>
      </c>
      <c r="BC2061" s="22">
        <v>39510.422002314815</v>
      </c>
      <c r="BI2061" s="22">
        <v>39549.294907407406</v>
      </c>
      <c r="BL2061">
        <v>7180</v>
      </c>
      <c r="BM2061">
        <v>1525225</v>
      </c>
      <c r="BN2061" t="s">
        <v>1678</v>
      </c>
      <c r="BO2061" s="17">
        <f t="shared" ca="1" si="32"/>
        <v>38.887403703702148</v>
      </c>
      <c r="BP2061" t="b">
        <v>0</v>
      </c>
      <c r="BQ2061">
        <v>1</v>
      </c>
      <c r="BR2061" t="s">
        <v>1667</v>
      </c>
      <c r="BS2061" t="s">
        <v>1809</v>
      </c>
      <c r="BT2061" t="b">
        <v>0</v>
      </c>
      <c r="BV2061" t="s">
        <v>1668</v>
      </c>
      <c r="BW2061">
        <v>9230</v>
      </c>
      <c r="BX2061" t="s">
        <v>1669</v>
      </c>
      <c r="BY2061">
        <v>96966</v>
      </c>
      <c r="BZ2061" t="s">
        <v>1672</v>
      </c>
      <c r="CA2061">
        <v>1</v>
      </c>
      <c r="CB2061" t="b">
        <v>1</v>
      </c>
      <c r="CC2061">
        <v>0</v>
      </c>
      <c r="CD2061" t="b">
        <v>0</v>
      </c>
      <c r="CE2061" t="b">
        <v>1</v>
      </c>
      <c r="CF2061" t="b">
        <v>0</v>
      </c>
      <c r="CG2061">
        <v>2501446</v>
      </c>
      <c r="CH2061" t="s">
        <v>1681</v>
      </c>
      <c r="CI2061" s="10">
        <v>359000</v>
      </c>
    </row>
    <row r="2062" spans="1:90">
      <c r="A2062">
        <v>28036972</v>
      </c>
      <c r="B2062" s="15" t="str">
        <f>HYPERLINK("http://www.redfin.com/stingray/do/printable-listing?listing-id=1525080","Subject To Inspection")</f>
        <v>Subject To Inspection</v>
      </c>
      <c r="D2062" t="s">
        <v>63</v>
      </c>
      <c r="E2062" t="s">
        <v>2106</v>
      </c>
      <c r="F2062">
        <v>625000</v>
      </c>
      <c r="G2062">
        <v>1953</v>
      </c>
      <c r="H2062">
        <v>2040</v>
      </c>
      <c r="I2062">
        <v>3880</v>
      </c>
      <c r="J2062">
        <v>3</v>
      </c>
      <c r="K2062">
        <v>1.75</v>
      </c>
      <c r="M2062" s="2" t="str">
        <f>HYPERLINK("http://maps.live.com/default.aspx?v=2&amp;lvl=15&amp;sp=Point.47.683476_-122.392232_7509 Earl Ave&amp;cp=47.683476~-122.392232","Map")</f>
        <v>Map</v>
      </c>
      <c r="N2062" s="2" t="str">
        <f>HYPERLINK("http://i-0.rfimg.us/photo/1/bigphoto/972/28036972_1.jpg","Photo")</f>
        <v>Photo</v>
      </c>
      <c r="AG2062">
        <v>47.683475999999999</v>
      </c>
      <c r="AH2062">
        <v>-122.39223200000001</v>
      </c>
      <c r="AI2062" t="s">
        <v>66</v>
      </c>
      <c r="AJ2062">
        <v>98117</v>
      </c>
      <c r="AN2062">
        <v>490000</v>
      </c>
      <c r="BC2062" s="22">
        <v>39510.389814814815</v>
      </c>
      <c r="BI2062" s="22">
        <v>39549.294907407406</v>
      </c>
      <c r="BL2062">
        <v>12500</v>
      </c>
      <c r="BM2062">
        <v>1525080</v>
      </c>
      <c r="BN2062" t="s">
        <v>1700</v>
      </c>
      <c r="BO2062" s="17">
        <f t="shared" ca="1" si="32"/>
        <v>38.919591203703021</v>
      </c>
      <c r="BP2062" t="b">
        <v>0</v>
      </c>
      <c r="BQ2062">
        <v>1</v>
      </c>
      <c r="BR2062" t="s">
        <v>1667</v>
      </c>
      <c r="BS2062" t="s">
        <v>1754</v>
      </c>
      <c r="BT2062" t="b">
        <v>0</v>
      </c>
      <c r="BV2062" t="s">
        <v>1668</v>
      </c>
      <c r="BW2062">
        <v>7509</v>
      </c>
      <c r="BX2062" t="s">
        <v>1669</v>
      </c>
      <c r="BY2062">
        <v>164891</v>
      </c>
      <c r="BZ2062" t="s">
        <v>1861</v>
      </c>
      <c r="CA2062">
        <v>1</v>
      </c>
      <c r="CB2062" t="b">
        <v>1</v>
      </c>
      <c r="CC2062">
        <v>0</v>
      </c>
      <c r="CD2062" t="b">
        <v>0</v>
      </c>
      <c r="CE2062" t="b">
        <v>1</v>
      </c>
      <c r="CF2062" t="b">
        <v>0</v>
      </c>
      <c r="CG2062">
        <v>2787661</v>
      </c>
      <c r="CH2062" t="s">
        <v>1681</v>
      </c>
      <c r="CI2062" s="10">
        <v>625000</v>
      </c>
      <c r="CJ2062" s="7">
        <v>39181</v>
      </c>
    </row>
    <row r="2063" spans="1:90">
      <c r="A2063">
        <v>28036974</v>
      </c>
      <c r="B2063" s="2" t="str">
        <f>HYPERLINK("http://www.redfin.com/stingray/do/printable-listing?listing-id=1525003","Active")</f>
        <v>Active</v>
      </c>
      <c r="D2063" t="s">
        <v>4974</v>
      </c>
      <c r="E2063" t="s">
        <v>5096</v>
      </c>
      <c r="F2063" s="19">
        <v>749000</v>
      </c>
      <c r="G2063">
        <v>1920</v>
      </c>
      <c r="H2063">
        <v>1210</v>
      </c>
      <c r="I2063">
        <v>10920</v>
      </c>
      <c r="J2063">
        <v>3</v>
      </c>
      <c r="K2063">
        <v>1</v>
      </c>
      <c r="M2063" s="2" t="str">
        <f>HYPERLINK("http://maps.live.com/default.aspx?v=2&amp;lvl=15&amp;sp=Point.47.625076_-122.19595_1616 108th Ave NE&amp;cp=47.625076~-122.19595","Map")</f>
        <v>Map</v>
      </c>
      <c r="N2063" s="2" t="str">
        <f>HYPERLINK("http://i-0.rfimg.us/photo/1/bigphoto/974/28036974_0.jpg","Photo")</f>
        <v>Photo</v>
      </c>
      <c r="AG2063">
        <v>47.625076</v>
      </c>
      <c r="AH2063">
        <v>-122.19595</v>
      </c>
      <c r="AI2063" t="s">
        <v>369</v>
      </c>
      <c r="AJ2063">
        <v>98004</v>
      </c>
      <c r="BC2063" s="22">
        <v>39510.358923611115</v>
      </c>
      <c r="BI2063" s="22">
        <v>39549.294907407406</v>
      </c>
      <c r="BL2063">
        <v>15900</v>
      </c>
      <c r="BM2063">
        <v>1525003</v>
      </c>
      <c r="BN2063" t="s">
        <v>1768</v>
      </c>
      <c r="BO2063" s="17">
        <f t="shared" ca="1" si="32"/>
        <v>38.95048229166423</v>
      </c>
      <c r="BP2063" t="b">
        <v>0</v>
      </c>
      <c r="BQ2063">
        <v>1</v>
      </c>
      <c r="BR2063" t="s">
        <v>1667</v>
      </c>
      <c r="BS2063" t="s">
        <v>4355</v>
      </c>
      <c r="BT2063" t="b">
        <v>0</v>
      </c>
      <c r="BV2063" t="s">
        <v>1668</v>
      </c>
      <c r="BW2063">
        <v>1616</v>
      </c>
      <c r="BX2063" t="s">
        <v>1738</v>
      </c>
      <c r="BY2063">
        <v>506398</v>
      </c>
      <c r="BZ2063" t="s">
        <v>1743</v>
      </c>
      <c r="CA2063">
        <v>1</v>
      </c>
      <c r="CB2063" t="b">
        <v>1</v>
      </c>
      <c r="CC2063">
        <v>0</v>
      </c>
      <c r="CD2063" t="b">
        <v>0</v>
      </c>
      <c r="CE2063" t="b">
        <v>0</v>
      </c>
      <c r="CF2063" t="b">
        <v>0</v>
      </c>
      <c r="CG2063">
        <v>2901607</v>
      </c>
      <c r="CH2063" t="s">
        <v>1681</v>
      </c>
      <c r="CI2063" s="10">
        <v>795000</v>
      </c>
    </row>
    <row r="2064" spans="1:90">
      <c r="A2064">
        <v>28036983</v>
      </c>
      <c r="B2064" s="2" t="str">
        <f>HYPERLINK("http://www.redfin.com/stingray/do/printable-listing?listing-id=1525830","Active")</f>
        <v>Active</v>
      </c>
      <c r="D2064" t="s">
        <v>207</v>
      </c>
      <c r="E2064" t="s">
        <v>3218</v>
      </c>
      <c r="F2064">
        <v>574950</v>
      </c>
      <c r="G2064">
        <v>1927</v>
      </c>
      <c r="H2064">
        <v>2320</v>
      </c>
      <c r="I2064">
        <v>0</v>
      </c>
      <c r="J2064">
        <v>3</v>
      </c>
      <c r="K2064">
        <v>1</v>
      </c>
      <c r="M2064" s="2" t="str">
        <f>HYPERLINK("http://maps.live.com/default.aspx?v=2&amp;lvl=15&amp;sp=Point.47.663712_-122.289858_4736 35th Ave NE&amp;cp=47.663712~-122.289858","Map")</f>
        <v>Map</v>
      </c>
      <c r="N2064" s="2" t="str">
        <f>HYPERLINK("http://i-0.rfimg.us/photo/1/bigphoto/983/28036983_0.jpg","Photo")</f>
        <v>Photo</v>
      </c>
      <c r="AG2064">
        <v>47.663711999999997</v>
      </c>
      <c r="AH2064">
        <v>-122.289858</v>
      </c>
      <c r="AI2064" t="s">
        <v>66</v>
      </c>
      <c r="AJ2064">
        <v>98105</v>
      </c>
      <c r="AN2064">
        <v>499000</v>
      </c>
      <c r="BC2064" s="22">
        <v>39510.547951388886</v>
      </c>
      <c r="BI2064" s="22">
        <v>39549.294907407406</v>
      </c>
      <c r="BL2064">
        <v>11499</v>
      </c>
      <c r="BM2064">
        <v>1525830</v>
      </c>
      <c r="BN2064" t="s">
        <v>1710</v>
      </c>
      <c r="BO2064" s="17">
        <f t="shared" ca="1" si="32"/>
        <v>38.761454513893113</v>
      </c>
      <c r="BP2064" t="b">
        <v>0</v>
      </c>
      <c r="BQ2064">
        <v>1</v>
      </c>
      <c r="BR2064" t="s">
        <v>1667</v>
      </c>
      <c r="BS2064" t="s">
        <v>2920</v>
      </c>
      <c r="BT2064" t="b">
        <v>0</v>
      </c>
      <c r="BV2064" t="s">
        <v>1668</v>
      </c>
      <c r="BW2064">
        <v>4736</v>
      </c>
      <c r="BX2064" t="s">
        <v>1738</v>
      </c>
      <c r="BY2064">
        <v>313778</v>
      </c>
      <c r="BZ2064" t="s">
        <v>1672</v>
      </c>
      <c r="CA2064">
        <v>1</v>
      </c>
      <c r="CB2064" t="b">
        <v>1</v>
      </c>
      <c r="CC2064">
        <v>0</v>
      </c>
      <c r="CD2064" t="b">
        <v>0</v>
      </c>
      <c r="CE2064" t="b">
        <v>0</v>
      </c>
      <c r="CF2064" t="b">
        <v>0</v>
      </c>
      <c r="CG2064">
        <v>2620133</v>
      </c>
      <c r="CH2064" t="s">
        <v>1681</v>
      </c>
      <c r="CI2064" s="10">
        <v>574950</v>
      </c>
      <c r="CJ2064" s="7">
        <v>38700</v>
      </c>
    </row>
    <row r="2065" spans="1:88">
      <c r="A2065">
        <v>28036987</v>
      </c>
      <c r="B2065" s="15" t="str">
        <f>HYPERLINK("http://www.redfin.com/stingray/do/printable-listing?listing-id=1529375","Active")</f>
        <v>Active</v>
      </c>
      <c r="D2065" t="s">
        <v>194</v>
      </c>
      <c r="E2065" t="s">
        <v>3025</v>
      </c>
      <c r="F2065">
        <v>689000</v>
      </c>
      <c r="G2065">
        <v>1941</v>
      </c>
      <c r="H2065">
        <v>2700</v>
      </c>
      <c r="I2065">
        <v>12546</v>
      </c>
      <c r="J2065">
        <v>3</v>
      </c>
      <c r="K2065">
        <v>1.75</v>
      </c>
      <c r="M2065" s="2" t="str">
        <f>HYPERLINK("http://maps.live.com/default.aspx?v=2&amp;lvl=15&amp;sp=Point.47.695598_-122.279698_9220 45th Ave NE&amp;cp=47.695598~-122.279698","Map")</f>
        <v>Map</v>
      </c>
      <c r="N2065" s="2" t="str">
        <f>HYPERLINK("http://i-0.rfimg.us/photo/1/bigphoto/987/28036987_1.jpg","Photo")</f>
        <v>Photo</v>
      </c>
      <c r="AG2065">
        <v>47.695597999999997</v>
      </c>
      <c r="AH2065">
        <v>-122.279698</v>
      </c>
      <c r="AI2065" t="s">
        <v>66</v>
      </c>
      <c r="AJ2065">
        <v>98115</v>
      </c>
      <c r="AN2065">
        <v>475000</v>
      </c>
      <c r="BC2065" s="22">
        <v>39511.558125000003</v>
      </c>
      <c r="BI2065" s="22">
        <v>39549.294907407406</v>
      </c>
      <c r="BL2065">
        <v>13780</v>
      </c>
      <c r="BM2065">
        <v>1529375</v>
      </c>
      <c r="BN2065" t="s">
        <v>1786</v>
      </c>
      <c r="BO2065" s="17">
        <f t="shared" ca="1" si="32"/>
        <v>37.751280902775761</v>
      </c>
      <c r="BP2065" t="b">
        <v>0</v>
      </c>
      <c r="BQ2065">
        <v>1</v>
      </c>
      <c r="BR2065" t="s">
        <v>1667</v>
      </c>
      <c r="BS2065" t="s">
        <v>2667</v>
      </c>
      <c r="BT2065" t="b">
        <v>0</v>
      </c>
      <c r="BV2065" t="s">
        <v>1668</v>
      </c>
      <c r="BW2065">
        <v>9220</v>
      </c>
      <c r="BX2065" t="s">
        <v>1738</v>
      </c>
      <c r="BY2065">
        <v>113760</v>
      </c>
      <c r="BZ2065" t="s">
        <v>1704</v>
      </c>
      <c r="CA2065">
        <v>1</v>
      </c>
      <c r="CB2065" t="b">
        <v>1</v>
      </c>
      <c r="CC2065">
        <v>0</v>
      </c>
      <c r="CD2065" t="b">
        <v>0</v>
      </c>
      <c r="CE2065" t="b">
        <v>0</v>
      </c>
      <c r="CF2065" t="b">
        <v>0</v>
      </c>
      <c r="CG2065">
        <v>2912605</v>
      </c>
      <c r="CH2065" t="s">
        <v>1681</v>
      </c>
      <c r="CI2065" s="10">
        <v>689000</v>
      </c>
      <c r="CJ2065" s="7">
        <v>39122</v>
      </c>
    </row>
    <row r="2066" spans="1:88">
      <c r="A2066">
        <v>28036997</v>
      </c>
      <c r="B2066" s="2" t="str">
        <f>HYPERLINK("http://www.redfin.com/stingray/do/printable-listing?listing-id=1541087","Active")</f>
        <v>Active</v>
      </c>
      <c r="D2066" t="s">
        <v>1238</v>
      </c>
      <c r="E2066" t="s">
        <v>3700</v>
      </c>
      <c r="F2066">
        <v>1089000</v>
      </c>
      <c r="G2066">
        <v>1926</v>
      </c>
      <c r="H2066">
        <v>3120</v>
      </c>
      <c r="I2066">
        <v>3792</v>
      </c>
      <c r="J2066">
        <v>4</v>
      </c>
      <c r="K2066">
        <v>2.25</v>
      </c>
      <c r="M2066" s="2" t="str">
        <f>HYPERLINK("http://maps.live.com/default.aspx?v=2&amp;lvl=15&amp;sp=Point.47.633636_-122.30393_1615 22nd Ave E&amp;cp=47.633636~-122.30393","Map")</f>
        <v>Map</v>
      </c>
      <c r="N2066" s="2" t="str">
        <f>HYPERLINK("http://i-0.rfimg.us/photo/1/bigphoto/997/28036997_0.jpg","Photo")</f>
        <v>Photo</v>
      </c>
      <c r="AG2066">
        <v>47.633636000000003</v>
      </c>
      <c r="AH2066">
        <v>-122.30392999999999</v>
      </c>
      <c r="AI2066" t="s">
        <v>66</v>
      </c>
      <c r="AJ2066">
        <v>98112</v>
      </c>
      <c r="AN2066">
        <v>975000</v>
      </c>
      <c r="BC2066" s="22">
        <v>39514.715532407405</v>
      </c>
      <c r="BI2066" s="22">
        <v>39549.294907407406</v>
      </c>
      <c r="BL2066">
        <v>21780</v>
      </c>
      <c r="BM2066">
        <v>1541087</v>
      </c>
      <c r="BN2066" t="s">
        <v>1715</v>
      </c>
      <c r="BO2066" s="17">
        <f t="shared" ca="1" si="32"/>
        <v>34.593873495374282</v>
      </c>
      <c r="BP2066" t="b">
        <v>0</v>
      </c>
      <c r="BQ2066">
        <v>1</v>
      </c>
      <c r="BR2066" t="s">
        <v>1667</v>
      </c>
      <c r="BS2066" t="s">
        <v>1692</v>
      </c>
      <c r="BT2066" t="b">
        <v>0</v>
      </c>
      <c r="BV2066" t="s">
        <v>1668</v>
      </c>
      <c r="BW2066">
        <v>1615</v>
      </c>
      <c r="BX2066" t="s">
        <v>2436</v>
      </c>
      <c r="BY2066">
        <v>137099</v>
      </c>
      <c r="BZ2066" t="s">
        <v>1672</v>
      </c>
      <c r="CA2066">
        <v>1</v>
      </c>
      <c r="CB2066" t="b">
        <v>1</v>
      </c>
      <c r="CC2066">
        <v>0</v>
      </c>
      <c r="CD2066" t="b">
        <v>0</v>
      </c>
      <c r="CE2066" t="b">
        <v>0</v>
      </c>
      <c r="CF2066" t="b">
        <v>0</v>
      </c>
      <c r="CG2066">
        <v>2643609</v>
      </c>
      <c r="CH2066" t="s">
        <v>1681</v>
      </c>
      <c r="CI2066" s="10">
        <v>1089000</v>
      </c>
      <c r="CJ2066" s="7">
        <v>38929</v>
      </c>
    </row>
    <row r="2067" spans="1:88">
      <c r="A2067">
        <v>28037006</v>
      </c>
      <c r="B2067" s="2" t="str">
        <f>HYPERLINK("http://www.redfin.com/stingray/do/printable-listing?listing-id=1526768","Active")</f>
        <v>Active</v>
      </c>
      <c r="D2067" t="s">
        <v>3249</v>
      </c>
      <c r="E2067" t="s">
        <v>3591</v>
      </c>
      <c r="F2067" s="19">
        <v>1799000</v>
      </c>
      <c r="G2067">
        <v>2005</v>
      </c>
      <c r="H2067">
        <v>3000</v>
      </c>
      <c r="I2067">
        <v>3050</v>
      </c>
      <c r="J2067">
        <v>3</v>
      </c>
      <c r="K2067">
        <v>3</v>
      </c>
      <c r="M2067" s="2" t="str">
        <f>HYPERLINK("http://maps.live.com/default.aspx?v=2&amp;lvl=15&amp;sp=Point.47.631263_-122.363312_501 W Lee&amp;cp=47.631263~-122.363312","Map")</f>
        <v>Map</v>
      </c>
      <c r="N2067" s="2" t="str">
        <f>HYPERLINK("http://i-0.rfimg.us/photo/1/bigphoto/006/28037006_0.jpg","Photo")</f>
        <v>Photo</v>
      </c>
      <c r="AG2067">
        <v>47.631262999999997</v>
      </c>
      <c r="AH2067">
        <v>-122.36331199999999</v>
      </c>
      <c r="AI2067" t="s">
        <v>66</v>
      </c>
      <c r="AJ2067">
        <v>98119</v>
      </c>
      <c r="AN2067">
        <v>83450</v>
      </c>
      <c r="BC2067" s="22">
        <v>39510.746377314812</v>
      </c>
      <c r="BI2067" s="22">
        <v>39549.294907407406</v>
      </c>
      <c r="BL2067">
        <v>37980</v>
      </c>
      <c r="BM2067">
        <v>1526768</v>
      </c>
      <c r="BN2067" t="s">
        <v>1678</v>
      </c>
      <c r="BO2067" s="17">
        <f t="shared" ca="1" si="32"/>
        <v>38.563028587966983</v>
      </c>
      <c r="BP2067" t="b">
        <v>0</v>
      </c>
      <c r="BQ2067">
        <v>1</v>
      </c>
      <c r="BS2067" t="s">
        <v>3567</v>
      </c>
      <c r="BT2067" t="b">
        <v>0</v>
      </c>
      <c r="BU2067" t="s">
        <v>2423</v>
      </c>
      <c r="BV2067" t="s">
        <v>1668</v>
      </c>
      <c r="BW2067">
        <v>501</v>
      </c>
      <c r="BY2067">
        <v>135127</v>
      </c>
      <c r="BZ2067" t="s">
        <v>1672</v>
      </c>
      <c r="CA2067">
        <v>1</v>
      </c>
      <c r="CB2067" t="b">
        <v>1</v>
      </c>
      <c r="CC2067">
        <v>0</v>
      </c>
      <c r="CD2067" t="b">
        <v>0</v>
      </c>
      <c r="CE2067" t="b">
        <v>0</v>
      </c>
      <c r="CF2067" t="b">
        <v>0</v>
      </c>
      <c r="CG2067">
        <v>2684424</v>
      </c>
      <c r="CH2067" t="s">
        <v>1681</v>
      </c>
      <c r="CI2067" s="10">
        <v>1899000</v>
      </c>
      <c r="CJ2067" s="7">
        <v>36510</v>
      </c>
    </row>
    <row r="2068" spans="1:88">
      <c r="A2068">
        <v>28037014</v>
      </c>
      <c r="B2068" s="2" t="str">
        <f>HYPERLINK("http://www.redfin.com/stingray/do/printable-listing?listing-id=1542489","Active")</f>
        <v>Active</v>
      </c>
      <c r="D2068" t="s">
        <v>4611</v>
      </c>
      <c r="E2068" t="s">
        <v>5305</v>
      </c>
      <c r="F2068" s="19">
        <v>429888</v>
      </c>
      <c r="G2068">
        <v>1959</v>
      </c>
      <c r="H2068">
        <v>1500</v>
      </c>
      <c r="I2068">
        <v>7590</v>
      </c>
      <c r="J2068">
        <v>3</v>
      </c>
      <c r="K2068">
        <v>1.5</v>
      </c>
      <c r="M2068" s="2" t="str">
        <f>HYPERLINK("http://maps.live.com/default.aspx?v=2&amp;lvl=15&amp;sp=Point.47.622582_-122.120698_1358 164th Pl NE&amp;cp=47.622582~-122.120698","Map")</f>
        <v>Map</v>
      </c>
      <c r="N2068" s="2" t="str">
        <f>HYPERLINK("http://i-0.rfimg.us/photo/1/bigphoto/014/28037014_1.jpg","Photo")</f>
        <v>Photo</v>
      </c>
      <c r="AG2068">
        <v>47.622582000000001</v>
      </c>
      <c r="AH2068">
        <v>-122.120698</v>
      </c>
      <c r="AI2068" t="s">
        <v>369</v>
      </c>
      <c r="AJ2068">
        <v>98008</v>
      </c>
      <c r="BC2068" s="22">
        <v>39515.306296296294</v>
      </c>
      <c r="BI2068" s="22">
        <v>39549.294907407406</v>
      </c>
      <c r="BL2068">
        <v>8695</v>
      </c>
      <c r="BM2068">
        <v>1542489</v>
      </c>
      <c r="BN2068" t="s">
        <v>1700</v>
      </c>
      <c r="BO2068" s="17">
        <f t="shared" ca="1" si="32"/>
        <v>34.003109606484941</v>
      </c>
      <c r="BP2068" t="b">
        <v>0</v>
      </c>
      <c r="BQ2068">
        <v>1</v>
      </c>
      <c r="BR2068" t="s">
        <v>1842</v>
      </c>
      <c r="BS2068" t="s">
        <v>5306</v>
      </c>
      <c r="BT2068" t="b">
        <v>0</v>
      </c>
      <c r="BV2068" t="s">
        <v>1668</v>
      </c>
      <c r="BW2068">
        <v>1358</v>
      </c>
      <c r="BX2068" t="s">
        <v>1738</v>
      </c>
      <c r="BY2068">
        <v>501610</v>
      </c>
      <c r="BZ2068" t="s">
        <v>1836</v>
      </c>
      <c r="CA2068">
        <v>1</v>
      </c>
      <c r="CB2068" t="b">
        <v>1</v>
      </c>
      <c r="CC2068">
        <v>0</v>
      </c>
      <c r="CD2068" t="b">
        <v>0</v>
      </c>
      <c r="CE2068" t="b">
        <v>0</v>
      </c>
      <c r="CF2068" t="b">
        <v>0</v>
      </c>
      <c r="CG2068">
        <v>2648603</v>
      </c>
      <c r="CH2068" t="s">
        <v>1681</v>
      </c>
      <c r="CI2068" s="10">
        <v>434755</v>
      </c>
    </row>
    <row r="2069" spans="1:88">
      <c r="A2069">
        <v>28037034</v>
      </c>
      <c r="B2069" s="2" t="str">
        <f>HYPERLINK("http://www.redfin.com/stingray/do/printable-listing?listing-id=1536345","Active")</f>
        <v>Active</v>
      </c>
      <c r="D2069" t="s">
        <v>5291</v>
      </c>
      <c r="E2069" t="s">
        <v>5961</v>
      </c>
      <c r="F2069">
        <v>1198800</v>
      </c>
      <c r="G2069">
        <v>1978</v>
      </c>
      <c r="H2069">
        <v>5010</v>
      </c>
      <c r="I2069">
        <v>49223</v>
      </c>
      <c r="J2069">
        <v>4</v>
      </c>
      <c r="K2069">
        <v>3.25</v>
      </c>
      <c r="M2069" s="2" t="str">
        <f>HYPERLINK("http://maps.live.com/default.aspx?v=2&amp;lvl=15&amp;sp=Point.47.548883_-122.092476_18524 SE 60th&amp;cp=47.548883~-122.092476","Map")</f>
        <v>Map</v>
      </c>
      <c r="N2069" s="2" t="str">
        <f>HYPERLINK("http://i-0.rfimg.us/photo/1/bigphoto/034/28037034_0.jpg","Photo")</f>
        <v>Photo</v>
      </c>
      <c r="AG2069">
        <v>47.548882999999996</v>
      </c>
      <c r="AH2069">
        <v>-122.092476</v>
      </c>
      <c r="AI2069" t="s">
        <v>5280</v>
      </c>
      <c r="AJ2069">
        <v>98027</v>
      </c>
      <c r="BC2069" s="22">
        <v>39513.557372685187</v>
      </c>
      <c r="BI2069" s="22">
        <v>39549.294907407406</v>
      </c>
      <c r="BL2069">
        <v>23976</v>
      </c>
      <c r="BM2069">
        <v>1536345</v>
      </c>
      <c r="BN2069" t="s">
        <v>1768</v>
      </c>
      <c r="BO2069" s="17">
        <f t="shared" ca="1" si="32"/>
        <v>35.752033217591816</v>
      </c>
      <c r="BP2069" t="b">
        <v>0</v>
      </c>
      <c r="BQ2069">
        <v>1</v>
      </c>
      <c r="BS2069" t="s">
        <v>2417</v>
      </c>
      <c r="BT2069" t="b">
        <v>0</v>
      </c>
      <c r="BU2069" t="s">
        <v>3856</v>
      </c>
      <c r="BV2069" t="s">
        <v>1668</v>
      </c>
      <c r="BW2069">
        <v>18524</v>
      </c>
      <c r="BY2069">
        <v>418714</v>
      </c>
      <c r="BZ2069" t="s">
        <v>1670</v>
      </c>
      <c r="CA2069">
        <v>1</v>
      </c>
      <c r="CB2069" t="b">
        <v>1</v>
      </c>
      <c r="CC2069">
        <v>0</v>
      </c>
      <c r="CD2069" t="b">
        <v>0</v>
      </c>
      <c r="CE2069" t="b">
        <v>0</v>
      </c>
      <c r="CF2069" t="b">
        <v>0</v>
      </c>
      <c r="CG2069">
        <v>2455468</v>
      </c>
      <c r="CH2069" t="s">
        <v>1681</v>
      </c>
      <c r="CI2069" s="10">
        <v>1198800</v>
      </c>
    </row>
    <row r="2070" spans="1:88">
      <c r="A2070">
        <v>28037108</v>
      </c>
      <c r="B2070" s="2" t="str">
        <f>HYPERLINK("http://www.redfin.com/stingray/do/printable-listing?listing-id=1526116","Active")</f>
        <v>Active</v>
      </c>
      <c r="D2070" t="s">
        <v>2848</v>
      </c>
      <c r="E2070" t="s">
        <v>3049</v>
      </c>
      <c r="F2070">
        <v>3750000</v>
      </c>
      <c r="G2070">
        <v>1936</v>
      </c>
      <c r="H2070">
        <v>1100</v>
      </c>
      <c r="I2070">
        <v>42253</v>
      </c>
      <c r="J2070">
        <v>3</v>
      </c>
      <c r="K2070">
        <v>1</v>
      </c>
      <c r="M2070" s="2" t="str">
        <f>HYPERLINK("http://maps.live.com/default.aspx?v=2&amp;lvl=15&amp;sp=Point.47.720892_-122.259579_13263 Holmes Pt Dr NE&amp;cp=47.720892~-122.259579","Map")</f>
        <v>Map</v>
      </c>
      <c r="N2070" s="2" t="str">
        <f>HYPERLINK("http://i-0.rfimg.us/photo/1/bigphoto/108/28037108_1.jpg","Photo")</f>
        <v>Photo</v>
      </c>
      <c r="AG2070">
        <v>47.720891999999999</v>
      </c>
      <c r="AH2070">
        <v>-122.259579</v>
      </c>
      <c r="AI2070" t="s">
        <v>1058</v>
      </c>
      <c r="AJ2070">
        <v>98034</v>
      </c>
      <c r="BC2070" s="22">
        <v>39510.610960648148</v>
      </c>
      <c r="BI2070" s="22">
        <v>39549.294907407406</v>
      </c>
      <c r="BL2070">
        <v>75000</v>
      </c>
      <c r="BM2070">
        <v>1526116</v>
      </c>
      <c r="BN2070" t="s">
        <v>3048</v>
      </c>
      <c r="BO2070" s="17">
        <f t="shared" ca="1" si="32"/>
        <v>38.698445254631224</v>
      </c>
      <c r="BP2070" t="b">
        <v>0</v>
      </c>
      <c r="BQ2070">
        <v>1</v>
      </c>
      <c r="BR2070" t="s">
        <v>1816</v>
      </c>
      <c r="BS2070" t="s">
        <v>2967</v>
      </c>
      <c r="BT2070" t="b">
        <v>0</v>
      </c>
      <c r="BV2070" t="s">
        <v>1668</v>
      </c>
      <c r="BW2070">
        <v>13263</v>
      </c>
      <c r="BX2070" t="s">
        <v>1738</v>
      </c>
      <c r="BY2070">
        <v>282048</v>
      </c>
      <c r="BZ2070" t="s">
        <v>1679</v>
      </c>
      <c r="CA2070">
        <v>1</v>
      </c>
      <c r="CB2070" t="b">
        <v>1</v>
      </c>
      <c r="CC2070">
        <v>0</v>
      </c>
      <c r="CD2070" t="b">
        <v>0</v>
      </c>
      <c r="CE2070" t="b">
        <v>0</v>
      </c>
      <c r="CF2070" t="b">
        <v>0</v>
      </c>
      <c r="CG2070">
        <v>2391307</v>
      </c>
      <c r="CH2070" t="s">
        <v>1681</v>
      </c>
      <c r="CI2070" s="10">
        <v>3750000</v>
      </c>
    </row>
    <row r="2071" spans="1:88">
      <c r="A2071">
        <v>28037121</v>
      </c>
      <c r="B2071" s="2" t="str">
        <f>HYPERLINK("http://www.redfin.com/stingray/do/printable-listing?listing-id=1529830","Active")</f>
        <v>Active</v>
      </c>
      <c r="D2071" t="s">
        <v>3089</v>
      </c>
      <c r="E2071" t="s">
        <v>3808</v>
      </c>
      <c r="F2071">
        <v>1499950</v>
      </c>
      <c r="G2071">
        <v>1971</v>
      </c>
      <c r="H2071">
        <v>4200</v>
      </c>
      <c r="I2071">
        <v>8510</v>
      </c>
      <c r="J2071">
        <v>5</v>
      </c>
      <c r="K2071">
        <v>3.5</v>
      </c>
      <c r="M2071" s="2" t="str">
        <f>HYPERLINK("http://maps.live.com/default.aspx?v=2&amp;lvl=15&amp;sp=Point.47.657791_-122.285851_3930 NE Belvoir Pl&amp;cp=47.657791~-122.285851","Map")</f>
        <v>Map</v>
      </c>
      <c r="N2071" s="2" t="str">
        <f>HYPERLINK("http://i-0.rfimg.us/photo/1/bigphoto/121/28037121_1.jpg","Photo")</f>
        <v>Photo</v>
      </c>
      <c r="AG2071">
        <v>47.657791000000003</v>
      </c>
      <c r="AH2071">
        <v>-122.28585099999999</v>
      </c>
      <c r="AI2071" t="s">
        <v>66</v>
      </c>
      <c r="AJ2071">
        <v>98105</v>
      </c>
      <c r="AN2071">
        <v>835000</v>
      </c>
      <c r="BC2071" s="22">
        <v>39511.655844907407</v>
      </c>
      <c r="BI2071" s="22">
        <v>39549.294907407406</v>
      </c>
      <c r="BL2071">
        <v>29999</v>
      </c>
      <c r="BM2071">
        <v>1529830</v>
      </c>
      <c r="BN2071" t="s">
        <v>1710</v>
      </c>
      <c r="BO2071" s="17">
        <f t="shared" ca="1" si="32"/>
        <v>37.653560995371663</v>
      </c>
      <c r="BP2071" t="b">
        <v>0</v>
      </c>
      <c r="BQ2071">
        <v>1</v>
      </c>
      <c r="BR2071" t="s">
        <v>1842</v>
      </c>
      <c r="BS2071" t="s">
        <v>3809</v>
      </c>
      <c r="BT2071" t="b">
        <v>0</v>
      </c>
      <c r="BU2071" t="s">
        <v>1738</v>
      </c>
      <c r="BV2071" t="s">
        <v>1668</v>
      </c>
      <c r="BW2071">
        <v>3930</v>
      </c>
      <c r="BY2071">
        <v>122597</v>
      </c>
      <c r="BZ2071" t="s">
        <v>1709</v>
      </c>
      <c r="CA2071">
        <v>1</v>
      </c>
      <c r="CB2071" t="b">
        <v>1</v>
      </c>
      <c r="CC2071">
        <v>0</v>
      </c>
      <c r="CD2071" t="b">
        <v>0</v>
      </c>
      <c r="CE2071" t="b">
        <v>0</v>
      </c>
      <c r="CF2071" t="b">
        <v>0</v>
      </c>
      <c r="CG2071">
        <v>2856379</v>
      </c>
      <c r="CH2071" t="s">
        <v>1681</v>
      </c>
      <c r="CI2071" s="10">
        <v>1499950</v>
      </c>
      <c r="CJ2071" s="7">
        <v>37895</v>
      </c>
    </row>
    <row r="2072" spans="1:88">
      <c r="A2072">
        <v>28037123</v>
      </c>
      <c r="B2072" s="2" t="str">
        <f>HYPERLINK("http://www.redfin.com/stingray/do/printable-listing?listing-id=1525408","Active")</f>
        <v>Active</v>
      </c>
      <c r="D2072" t="s">
        <v>192</v>
      </c>
      <c r="E2072" t="s">
        <v>3024</v>
      </c>
      <c r="F2072" s="19">
        <v>495000</v>
      </c>
      <c r="G2072">
        <v>1940</v>
      </c>
      <c r="H2072">
        <v>2062</v>
      </c>
      <c r="I2072">
        <v>4095</v>
      </c>
      <c r="J2072">
        <v>4</v>
      </c>
      <c r="K2072">
        <v>1.75</v>
      </c>
      <c r="M2072" s="2" t="str">
        <f>HYPERLINK("http://maps.live.com/default.aspx?v=2&amp;lvl=15&amp;sp=Point.47.698066_-122.320071_9510 8th Ave NE&amp;cp=47.698066~-122.320071","Map")</f>
        <v>Map</v>
      </c>
      <c r="N2072" s="2" t="str">
        <f>HYPERLINK("http://i-0.rfimg.us/photo/1/bigphoto/123/28037123_1.jpg","Photo")</f>
        <v>Photo</v>
      </c>
      <c r="AG2072">
        <v>47.698065999999997</v>
      </c>
      <c r="AH2072">
        <v>-122.320071</v>
      </c>
      <c r="AI2072" t="s">
        <v>66</v>
      </c>
      <c r="AJ2072">
        <v>98203</v>
      </c>
      <c r="AN2072">
        <v>182731</v>
      </c>
      <c r="BC2072" s="22">
        <v>39510.464375000003</v>
      </c>
      <c r="BI2072" s="22">
        <v>39549.294907407406</v>
      </c>
      <c r="BL2072">
        <v>10100</v>
      </c>
      <c r="BM2072">
        <v>1525408</v>
      </c>
      <c r="BN2072" t="s">
        <v>3023</v>
      </c>
      <c r="BO2072" s="17">
        <f t="shared" ca="1" si="32"/>
        <v>38.845030902775761</v>
      </c>
      <c r="BP2072" t="b">
        <v>0</v>
      </c>
      <c r="BQ2072">
        <v>1</v>
      </c>
      <c r="BR2072" t="s">
        <v>1667</v>
      </c>
      <c r="BS2072" t="s">
        <v>1723</v>
      </c>
      <c r="BT2072" t="b">
        <v>0</v>
      </c>
      <c r="BV2072" t="s">
        <v>1668</v>
      </c>
      <c r="BW2072">
        <v>9510</v>
      </c>
      <c r="BX2072" t="s">
        <v>1738</v>
      </c>
      <c r="BY2072">
        <v>109019</v>
      </c>
      <c r="BZ2072" t="s">
        <v>1677</v>
      </c>
      <c r="CA2072">
        <v>1</v>
      </c>
      <c r="CB2072" t="b">
        <v>1</v>
      </c>
      <c r="CC2072">
        <v>0</v>
      </c>
      <c r="CD2072" t="b">
        <v>0</v>
      </c>
      <c r="CE2072" t="b">
        <v>0</v>
      </c>
      <c r="CF2072" t="b">
        <v>0</v>
      </c>
      <c r="CG2072">
        <v>2637816</v>
      </c>
      <c r="CH2072" t="s">
        <v>1681</v>
      </c>
      <c r="CI2072" s="10">
        <v>505000</v>
      </c>
      <c r="CJ2072" s="7">
        <v>38684</v>
      </c>
    </row>
    <row r="2073" spans="1:88">
      <c r="A2073">
        <v>28037131</v>
      </c>
      <c r="B2073" s="2" t="str">
        <f>HYPERLINK("http://www.redfin.com/stingray/do/printable-listing?listing-id=1527678","Active")</f>
        <v>Active</v>
      </c>
      <c r="D2073" t="s">
        <v>3961</v>
      </c>
      <c r="E2073" t="s">
        <v>4172</v>
      </c>
      <c r="F2073">
        <v>485000</v>
      </c>
      <c r="G2073">
        <v>1905</v>
      </c>
      <c r="H2073">
        <v>2360</v>
      </c>
      <c r="I2073">
        <v>4480</v>
      </c>
      <c r="J2073">
        <v>3</v>
      </c>
      <c r="K2073">
        <v>2</v>
      </c>
      <c r="M2073" s="2" t="str">
        <f>HYPERLINK("http://maps.live.com/default.aspx?v=2&amp;lvl=15&amp;sp=Point.47.597725_-122.306937_1846 S Weller St&amp;cp=47.597725~-122.306937","Map")</f>
        <v>Map</v>
      </c>
      <c r="N2073" s="2" t="str">
        <f>HYPERLINK("http://i-0.rfimg.us/photo/1/bigphoto/131/28037131_1.jpg","Photo")</f>
        <v>Photo</v>
      </c>
      <c r="AG2073">
        <v>47.597724999999997</v>
      </c>
      <c r="AH2073">
        <v>-122.306937</v>
      </c>
      <c r="AI2073" t="s">
        <v>66</v>
      </c>
      <c r="AJ2073">
        <v>98144</v>
      </c>
      <c r="AN2073">
        <v>439500</v>
      </c>
      <c r="BC2073" s="22">
        <v>39510.942743055559</v>
      </c>
      <c r="BI2073" s="22">
        <v>39549.294907407406</v>
      </c>
      <c r="BL2073">
        <v>9700</v>
      </c>
      <c r="BM2073">
        <v>1527678</v>
      </c>
      <c r="BN2073" t="s">
        <v>1680</v>
      </c>
      <c r="BO2073" s="17">
        <f t="shared" ca="1" si="32"/>
        <v>38.366662847220141</v>
      </c>
      <c r="BP2073" t="b">
        <v>0</v>
      </c>
      <c r="BQ2073">
        <v>1</v>
      </c>
      <c r="BR2073" t="s">
        <v>1686</v>
      </c>
      <c r="BS2073" t="s">
        <v>4173</v>
      </c>
      <c r="BT2073" t="b">
        <v>0</v>
      </c>
      <c r="BU2073" t="s">
        <v>1881</v>
      </c>
      <c r="BV2073" t="s">
        <v>1668</v>
      </c>
      <c r="BW2073">
        <v>1846</v>
      </c>
      <c r="BY2073">
        <v>143256</v>
      </c>
      <c r="BZ2073" t="s">
        <v>4174</v>
      </c>
      <c r="CA2073">
        <v>1</v>
      </c>
      <c r="CB2073" t="b">
        <v>1</v>
      </c>
      <c r="CC2073">
        <v>0</v>
      </c>
      <c r="CD2073" t="b">
        <v>0</v>
      </c>
      <c r="CE2073" t="b">
        <v>0</v>
      </c>
      <c r="CF2073" t="b">
        <v>0</v>
      </c>
      <c r="CG2073">
        <v>2648786</v>
      </c>
      <c r="CH2073" t="s">
        <v>1681</v>
      </c>
      <c r="CI2073" s="10">
        <v>485000</v>
      </c>
      <c r="CJ2073" s="7">
        <v>39112</v>
      </c>
    </row>
    <row r="2074" spans="1:88">
      <c r="A2074">
        <v>28037135</v>
      </c>
      <c r="B2074" s="2" t="str">
        <f>HYPERLINK("http://www.redfin.com/stingray/do/printable-listing?listing-id=1525873","Active")</f>
        <v>Active</v>
      </c>
      <c r="D2074" t="s">
        <v>5565</v>
      </c>
      <c r="E2074" t="s">
        <v>5822</v>
      </c>
      <c r="F2074">
        <v>588800</v>
      </c>
      <c r="G2074">
        <v>1963</v>
      </c>
      <c r="H2074">
        <v>3060</v>
      </c>
      <c r="I2074">
        <v>9200</v>
      </c>
      <c r="J2074">
        <v>5</v>
      </c>
      <c r="K2074">
        <v>2.75</v>
      </c>
      <c r="M2074" s="2" t="str">
        <f>HYPERLINK("http://maps.live.com/default.aspx?v=2&amp;lvl=15&amp;sp=Point.47.548399_-122.177385_12210 SE 61 St&amp;cp=47.548399~-122.177385","Map")</f>
        <v>Map</v>
      </c>
      <c r="N2074" s="2" t="str">
        <f>HYPERLINK("http://i-0.rfimg.us/photo/1/bigphoto/135/28037135_3.jpg","Photo")</f>
        <v>Photo</v>
      </c>
      <c r="AG2074">
        <v>47.548399000000003</v>
      </c>
      <c r="AH2074">
        <v>-122.177385</v>
      </c>
      <c r="AI2074" t="s">
        <v>369</v>
      </c>
      <c r="AJ2074">
        <v>98006</v>
      </c>
      <c r="AN2074">
        <v>158000</v>
      </c>
      <c r="BC2074" s="22">
        <v>39510.557268518518</v>
      </c>
      <c r="BI2074" s="22">
        <v>39549.294907407406</v>
      </c>
      <c r="BL2074">
        <v>11776</v>
      </c>
      <c r="BM2074">
        <v>1525873</v>
      </c>
      <c r="BN2074" t="s">
        <v>4563</v>
      </c>
      <c r="BO2074" s="17">
        <f t="shared" ca="1" si="32"/>
        <v>38.752137384261005</v>
      </c>
      <c r="BP2074" t="b">
        <v>0</v>
      </c>
      <c r="BQ2074">
        <v>1</v>
      </c>
      <c r="BR2074" t="s">
        <v>1686</v>
      </c>
      <c r="BS2074">
        <v>61</v>
      </c>
      <c r="BT2074" t="b">
        <v>0</v>
      </c>
      <c r="BU2074" t="s">
        <v>3856</v>
      </c>
      <c r="BV2074" t="s">
        <v>1668</v>
      </c>
      <c r="BW2074">
        <v>12210</v>
      </c>
      <c r="BY2074">
        <v>416580</v>
      </c>
      <c r="BZ2074" t="s">
        <v>4313</v>
      </c>
      <c r="CA2074">
        <v>1</v>
      </c>
      <c r="CB2074" t="b">
        <v>1</v>
      </c>
      <c r="CC2074">
        <v>0</v>
      </c>
      <c r="CD2074" t="b">
        <v>0</v>
      </c>
      <c r="CE2074" t="b">
        <v>0</v>
      </c>
      <c r="CF2074" t="b">
        <v>0</v>
      </c>
      <c r="CG2074">
        <v>2645638</v>
      </c>
      <c r="CH2074" t="s">
        <v>1681</v>
      </c>
      <c r="CI2074" s="10">
        <v>588800</v>
      </c>
      <c r="CJ2074" s="7">
        <v>33795</v>
      </c>
    </row>
    <row r="2075" spans="1:88">
      <c r="A2075">
        <v>28037148</v>
      </c>
      <c r="B2075" s="2" t="str">
        <f>HYPERLINK("http://www.redfin.com/stingray/do/printable-listing?listing-id=1528991","Active")</f>
        <v>Active</v>
      </c>
      <c r="D2075" t="s">
        <v>3066</v>
      </c>
      <c r="E2075" t="s">
        <v>4682</v>
      </c>
      <c r="F2075">
        <v>519950</v>
      </c>
      <c r="G2075">
        <v>1989</v>
      </c>
      <c r="H2075">
        <v>1530</v>
      </c>
      <c r="I2075">
        <v>7346</v>
      </c>
      <c r="J2075">
        <v>3</v>
      </c>
      <c r="K2075">
        <v>2.5</v>
      </c>
      <c r="M2075" s="2" t="str">
        <f>HYPERLINK("http://maps.live.com/default.aspx?v=2&amp;lvl=15&amp;sp=Point.47.685023_-122.172652_12605 NE 94th Way&amp;cp=47.685023~-122.172652","Map")</f>
        <v>Map</v>
      </c>
      <c r="N2075" s="2" t="str">
        <f>HYPERLINK("http://i-0.rfimg.us/photo/1/bigphoto/148/28037148_1.jpg","Photo")</f>
        <v>Photo</v>
      </c>
      <c r="AG2075">
        <v>47.685023000000001</v>
      </c>
      <c r="AH2075">
        <v>-122.172652</v>
      </c>
      <c r="AI2075" t="s">
        <v>1058</v>
      </c>
      <c r="AJ2075">
        <v>98033</v>
      </c>
      <c r="AN2075">
        <v>249500</v>
      </c>
      <c r="BC2075" s="22">
        <v>39511.505995370368</v>
      </c>
      <c r="BI2075" s="22">
        <v>39549.294907407406</v>
      </c>
      <c r="BL2075">
        <v>10399</v>
      </c>
      <c r="BM2075">
        <v>1528991</v>
      </c>
      <c r="BN2075" t="s">
        <v>1768</v>
      </c>
      <c r="BO2075" s="17">
        <f t="shared" ca="1" si="32"/>
        <v>37.803410532411363</v>
      </c>
      <c r="BP2075" t="b">
        <v>0</v>
      </c>
      <c r="BQ2075">
        <v>1</v>
      </c>
      <c r="BR2075" t="s">
        <v>2463</v>
      </c>
      <c r="BS2075" t="s">
        <v>2716</v>
      </c>
      <c r="BT2075" t="b">
        <v>0</v>
      </c>
      <c r="BU2075" t="s">
        <v>1738</v>
      </c>
      <c r="BV2075" t="s">
        <v>1668</v>
      </c>
      <c r="BW2075">
        <v>12605</v>
      </c>
      <c r="BY2075">
        <v>511374</v>
      </c>
      <c r="BZ2075" t="s">
        <v>1742</v>
      </c>
      <c r="CA2075">
        <v>1</v>
      </c>
      <c r="CB2075" t="b">
        <v>1</v>
      </c>
      <c r="CC2075">
        <v>0</v>
      </c>
      <c r="CD2075" t="b">
        <v>0</v>
      </c>
      <c r="CE2075" t="b">
        <v>0</v>
      </c>
      <c r="CF2075" t="b">
        <v>0</v>
      </c>
      <c r="CG2075">
        <v>2513110</v>
      </c>
      <c r="CH2075" t="s">
        <v>1681</v>
      </c>
      <c r="CI2075" s="10">
        <v>519950</v>
      </c>
      <c r="CJ2075" s="7">
        <v>36383</v>
      </c>
    </row>
    <row r="2076" spans="1:88">
      <c r="A2076">
        <v>28037150</v>
      </c>
      <c r="B2076" s="2" t="str">
        <f>HYPERLINK("http://www.redfin.com/stingray/do/printable-listing?listing-id=1544498","Subject To Inspection")</f>
        <v>Subject To Inspection</v>
      </c>
      <c r="D2076" t="s">
        <v>5565</v>
      </c>
      <c r="E2076" t="s">
        <v>5710</v>
      </c>
      <c r="F2076">
        <v>398500</v>
      </c>
      <c r="G2076">
        <v>1986</v>
      </c>
      <c r="H2076">
        <v>1414</v>
      </c>
      <c r="I2076">
        <v>2175</v>
      </c>
      <c r="J2076">
        <v>2</v>
      </c>
      <c r="K2076">
        <v>2.5</v>
      </c>
      <c r="M2076" s="2" t="str">
        <f>HYPERLINK("http://maps.live.com/default.aspx?v=2&amp;lvl=15&amp;sp=Point.47.542363_-122.188403_6725 113th Pl SE&amp;cp=47.542363~-122.188403","Map")</f>
        <v>Map</v>
      </c>
      <c r="N2076" s="2" t="str">
        <f>HYPERLINK("http://i-0.rfimg.us/photo/1/bigphoto/150/28037150_1.jpg","Photo")</f>
        <v>Photo</v>
      </c>
      <c r="AG2076">
        <v>47.542363000000002</v>
      </c>
      <c r="AH2076">
        <v>-122.18840299999999</v>
      </c>
      <c r="AI2076" t="s">
        <v>369</v>
      </c>
      <c r="AJ2076">
        <v>98006</v>
      </c>
      <c r="BC2076" s="22">
        <v>39516.775416666664</v>
      </c>
      <c r="BI2076" s="7">
        <v>39533</v>
      </c>
      <c r="BL2076">
        <v>7970</v>
      </c>
      <c r="BM2076">
        <v>1544498</v>
      </c>
      <c r="BN2076" t="s">
        <v>1768</v>
      </c>
      <c r="BO2076" s="17">
        <f t="shared" ca="1" si="32"/>
        <v>32.533989236115303</v>
      </c>
      <c r="BP2076" t="b">
        <v>0</v>
      </c>
      <c r="BQ2076">
        <v>2</v>
      </c>
      <c r="BR2076" t="s">
        <v>1842</v>
      </c>
      <c r="BS2076" t="s">
        <v>4394</v>
      </c>
      <c r="BT2076" t="b">
        <v>0</v>
      </c>
      <c r="BV2076" t="s">
        <v>1668</v>
      </c>
      <c r="BW2076">
        <v>6725</v>
      </c>
      <c r="BX2076" t="s">
        <v>3856</v>
      </c>
      <c r="BY2076">
        <v>12425307</v>
      </c>
      <c r="BZ2076" t="s">
        <v>1704</v>
      </c>
      <c r="CA2076">
        <v>1</v>
      </c>
      <c r="CB2076" t="b">
        <v>1</v>
      </c>
      <c r="CC2076">
        <v>0</v>
      </c>
      <c r="CD2076" t="b">
        <v>0</v>
      </c>
      <c r="CE2076" t="b">
        <v>0</v>
      </c>
      <c r="CF2076" t="b">
        <v>0</v>
      </c>
      <c r="CG2076">
        <v>15629055</v>
      </c>
      <c r="CH2076" t="s">
        <v>1681</v>
      </c>
      <c r="CI2076" s="10">
        <v>398500</v>
      </c>
    </row>
    <row r="2077" spans="1:88">
      <c r="A2077">
        <v>28037198</v>
      </c>
      <c r="B2077" s="2" t="str">
        <f>HYPERLINK("http://www.redfin.com/stingray/do/printable-listing?listing-id=1525526","Active")</f>
        <v>Active</v>
      </c>
      <c r="D2077" t="s">
        <v>3066</v>
      </c>
      <c r="E2077" t="s">
        <v>5021</v>
      </c>
      <c r="F2077">
        <v>809500</v>
      </c>
      <c r="G2077">
        <v>2008</v>
      </c>
      <c r="H2077">
        <v>2621</v>
      </c>
      <c r="I2077">
        <v>14955</v>
      </c>
      <c r="J2077">
        <v>3</v>
      </c>
      <c r="K2077">
        <v>2.5</v>
      </c>
      <c r="M2077" s="2" t="str">
        <f>HYPERLINK("http://maps.live.com/default.aspx?v=2&amp;lvl=15&amp;sp=adr.12300 102nd Ln (Unable to map),98005","Map")</f>
        <v>Map</v>
      </c>
      <c r="N2077" s="2" t="str">
        <f>HYPERLINK("http://i-0.rfimg.us/photo/1/bigphoto/198/28037198_0.jpg","Photo")</f>
        <v>Photo</v>
      </c>
      <c r="AI2077" t="s">
        <v>1058</v>
      </c>
      <c r="AJ2077">
        <v>98005</v>
      </c>
      <c r="BC2077" s="22">
        <v>39510.484837962962</v>
      </c>
      <c r="BI2077" s="22">
        <v>39549.294907407406</v>
      </c>
      <c r="BL2077">
        <v>16190</v>
      </c>
      <c r="BM2077">
        <v>1525526</v>
      </c>
      <c r="BN2077" t="s">
        <v>1674</v>
      </c>
      <c r="BO2077" s="17">
        <f t="shared" ca="1" si="32"/>
        <v>38.824567939816916</v>
      </c>
      <c r="BP2077" t="b">
        <v>0</v>
      </c>
      <c r="BQ2077">
        <v>1</v>
      </c>
      <c r="BR2077" t="s">
        <v>2963</v>
      </c>
      <c r="BS2077" t="s">
        <v>5020</v>
      </c>
      <c r="BT2077" t="b">
        <v>0</v>
      </c>
      <c r="BV2077" t="s">
        <v>1668</v>
      </c>
      <c r="BW2077">
        <v>12300</v>
      </c>
      <c r="BY2077">
        <v>0</v>
      </c>
      <c r="BZ2077" t="s">
        <v>1801</v>
      </c>
      <c r="CA2077">
        <v>1</v>
      </c>
      <c r="CB2077" t="b">
        <v>1</v>
      </c>
      <c r="CC2077">
        <v>0</v>
      </c>
      <c r="CD2077" t="b">
        <v>0</v>
      </c>
      <c r="CE2077" t="b">
        <v>0</v>
      </c>
      <c r="CF2077" t="b">
        <v>0</v>
      </c>
      <c r="CG2077" t="s">
        <v>1870</v>
      </c>
      <c r="CH2077" t="s">
        <v>1681</v>
      </c>
      <c r="CI2077" s="10">
        <v>809500</v>
      </c>
    </row>
    <row r="2078" spans="1:88">
      <c r="A2078">
        <v>28037233</v>
      </c>
      <c r="B2078" s="2" t="str">
        <f>HYPERLINK("http://www.redfin.com/stingray/do/printable-listing?listing-id=1525651","Active")</f>
        <v>Active</v>
      </c>
      <c r="D2078" t="s">
        <v>101</v>
      </c>
      <c r="E2078" t="s">
        <v>1759</v>
      </c>
      <c r="F2078" s="19">
        <v>499000</v>
      </c>
      <c r="G2078">
        <v>1952</v>
      </c>
      <c r="H2078">
        <v>0</v>
      </c>
      <c r="I2078">
        <v>0</v>
      </c>
      <c r="J2078">
        <v>3</v>
      </c>
      <c r="K2078">
        <v>1.75</v>
      </c>
      <c r="M2078" s="2" t="str">
        <f>HYPERLINK("http://maps.live.com/default.aspx?v=2&amp;lvl=15&amp;sp=Point.47.694436_-122.393245_9007 28th Ave NW&amp;cp=47.694436~-122.393245","Map")</f>
        <v>Map</v>
      </c>
      <c r="N2078" s="2" t="str">
        <f>HYPERLINK("http://i-0.rfimg.us/photo/1/bigphoto/233/28037233_0.jpg","Photo")</f>
        <v>Photo</v>
      </c>
      <c r="AG2078">
        <v>47.694436000000003</v>
      </c>
      <c r="AH2078">
        <v>-122.39324499999999</v>
      </c>
      <c r="AI2078" t="s">
        <v>66</v>
      </c>
      <c r="AJ2078">
        <v>98117</v>
      </c>
      <c r="AN2078">
        <v>126000</v>
      </c>
      <c r="BC2078" s="22">
        <v>39510.516134259262</v>
      </c>
      <c r="BI2078" s="22">
        <v>39546.925937499997</v>
      </c>
      <c r="BL2078">
        <v>10599</v>
      </c>
      <c r="BM2078">
        <v>1525651</v>
      </c>
      <c r="BN2078" t="s">
        <v>1710</v>
      </c>
      <c r="BO2078" s="17">
        <f t="shared" ca="1" si="32"/>
        <v>38.793271759255731</v>
      </c>
      <c r="BP2078" t="b">
        <v>0</v>
      </c>
      <c r="BQ2078">
        <v>1</v>
      </c>
      <c r="BR2078" t="s">
        <v>1667</v>
      </c>
      <c r="BS2078" t="s">
        <v>1760</v>
      </c>
      <c r="BT2078" t="b">
        <v>0</v>
      </c>
      <c r="BV2078" t="s">
        <v>1668</v>
      </c>
      <c r="BW2078">
        <v>9007</v>
      </c>
      <c r="BX2078" t="s">
        <v>1669</v>
      </c>
      <c r="BY2078">
        <v>289842</v>
      </c>
      <c r="BZ2078" t="s">
        <v>1672</v>
      </c>
      <c r="CA2078">
        <v>1</v>
      </c>
      <c r="CB2078" t="b">
        <v>1</v>
      </c>
      <c r="CC2078">
        <v>0</v>
      </c>
      <c r="CD2078" t="b">
        <v>0</v>
      </c>
      <c r="CE2078" t="b">
        <v>1</v>
      </c>
      <c r="CF2078" t="b">
        <v>0</v>
      </c>
      <c r="CG2078">
        <v>2904897</v>
      </c>
      <c r="CH2078" t="s">
        <v>1681</v>
      </c>
      <c r="CI2078" s="10">
        <v>529950</v>
      </c>
      <c r="CJ2078" s="7">
        <v>32251</v>
      </c>
    </row>
    <row r="2079" spans="1:88">
      <c r="A2079">
        <v>28037259</v>
      </c>
      <c r="B2079" s="2" t="str">
        <f>HYPERLINK("http://www.redfin.com/stingray/do/printable-listing?listing-id=1525647","Active")</f>
        <v>Active</v>
      </c>
      <c r="D2079" t="s">
        <v>218</v>
      </c>
      <c r="E2079" t="s">
        <v>3156</v>
      </c>
      <c r="F2079">
        <v>698000</v>
      </c>
      <c r="G2079">
        <v>1928</v>
      </c>
      <c r="H2079">
        <v>2230</v>
      </c>
      <c r="I2079">
        <v>4600</v>
      </c>
      <c r="J2079">
        <v>3</v>
      </c>
      <c r="K2079">
        <v>1.5</v>
      </c>
      <c r="M2079" s="2" t="str">
        <f>HYPERLINK("http://maps.live.com/default.aspx?v=2&amp;lvl=15&amp;sp=Point.47.673159_-122.302559_2276 NE 61st St&amp;cp=47.673159~-122.302559","Map")</f>
        <v>Map</v>
      </c>
      <c r="N2079" s="2" t="str">
        <f>HYPERLINK("http://i-0.rfimg.us/photo/1/bigphoto/259/28037259_4.jpg","Photo")</f>
        <v>Photo</v>
      </c>
      <c r="AG2079">
        <v>47.673158999999998</v>
      </c>
      <c r="AH2079">
        <v>-122.302559</v>
      </c>
      <c r="AI2079" t="s">
        <v>66</v>
      </c>
      <c r="AJ2079">
        <v>98115</v>
      </c>
      <c r="AN2079">
        <v>508000</v>
      </c>
      <c r="BC2079" s="22">
        <v>39510.515763888892</v>
      </c>
      <c r="BI2079" s="7">
        <v>39538</v>
      </c>
      <c r="BL2079">
        <v>13960</v>
      </c>
      <c r="BM2079">
        <v>1525647</v>
      </c>
      <c r="BN2079" t="s">
        <v>1690</v>
      </c>
      <c r="BO2079" s="17">
        <f t="shared" ca="1" si="32"/>
        <v>38.793642013886711</v>
      </c>
      <c r="BP2079" t="b">
        <v>0</v>
      </c>
      <c r="BQ2079">
        <v>1</v>
      </c>
      <c r="BR2079" t="s">
        <v>1686</v>
      </c>
      <c r="BS2079" t="s">
        <v>2431</v>
      </c>
      <c r="BT2079" t="b">
        <v>0</v>
      </c>
      <c r="BU2079" t="s">
        <v>1738</v>
      </c>
      <c r="BV2079" t="s">
        <v>1668</v>
      </c>
      <c r="BW2079">
        <v>2276</v>
      </c>
      <c r="BY2079">
        <v>307812</v>
      </c>
      <c r="BZ2079" t="s">
        <v>3157</v>
      </c>
      <c r="CA2079">
        <v>1</v>
      </c>
      <c r="CB2079" t="b">
        <v>1</v>
      </c>
      <c r="CC2079">
        <v>0</v>
      </c>
      <c r="CD2079" t="b">
        <v>0</v>
      </c>
      <c r="CE2079" t="b">
        <v>0</v>
      </c>
      <c r="CF2079" t="b">
        <v>0</v>
      </c>
      <c r="CG2079">
        <v>2660289</v>
      </c>
      <c r="CH2079" t="s">
        <v>1681</v>
      </c>
      <c r="CI2079" s="10">
        <v>698000</v>
      </c>
      <c r="CJ2079" s="7">
        <v>37777</v>
      </c>
    </row>
    <row r="2080" spans="1:88">
      <c r="A2080">
        <v>28037307</v>
      </c>
      <c r="B2080" s="15" t="str">
        <f>HYPERLINK("http://www.redfin.com/stingray/do/printable-listing?listing-id=1525762","Subject To Inspection")</f>
        <v>Subject To Inspection</v>
      </c>
      <c r="D2080" t="s">
        <v>99</v>
      </c>
      <c r="E2080" t="s">
        <v>2163</v>
      </c>
      <c r="F2080">
        <v>539950</v>
      </c>
      <c r="G2080">
        <v>1949</v>
      </c>
      <c r="H2080">
        <v>1770</v>
      </c>
      <c r="I2080">
        <v>6804</v>
      </c>
      <c r="J2080">
        <v>3</v>
      </c>
      <c r="K2080">
        <v>1.75</v>
      </c>
      <c r="M2080" s="2" t="str">
        <f>HYPERLINK("http://maps.live.com/default.aspx?v=2&amp;lvl=15&amp;sp=Point.47.703817_-122.373128_10313 13th Ave NW&amp;cp=47.703817~-122.373128","Map")</f>
        <v>Map</v>
      </c>
      <c r="N2080" s="2" t="str">
        <f>HYPERLINK("http://i-0.rfimg.us/photo/1/bigphoto/307/28037307_0.jpg","Photo")</f>
        <v>Photo</v>
      </c>
      <c r="AG2080">
        <v>47.703817000000001</v>
      </c>
      <c r="AH2080">
        <v>-122.37312799999999</v>
      </c>
      <c r="AI2080" t="s">
        <v>66</v>
      </c>
      <c r="AJ2080">
        <v>98177</v>
      </c>
      <c r="BC2080" s="22">
        <v>39510.536678240744</v>
      </c>
      <c r="BI2080" s="7">
        <v>39542</v>
      </c>
      <c r="BL2080">
        <v>10799</v>
      </c>
      <c r="BM2080">
        <v>1525762</v>
      </c>
      <c r="BN2080" t="s">
        <v>1685</v>
      </c>
      <c r="BO2080" s="17">
        <f t="shared" ca="1" si="32"/>
        <v>38.772727662035322</v>
      </c>
      <c r="BP2080" t="b">
        <v>0</v>
      </c>
      <c r="BQ2080">
        <v>1</v>
      </c>
      <c r="BR2080" t="s">
        <v>1667</v>
      </c>
      <c r="BS2080" t="s">
        <v>1809</v>
      </c>
      <c r="BT2080" t="b">
        <v>0</v>
      </c>
      <c r="BV2080" t="s">
        <v>1668</v>
      </c>
      <c r="BW2080">
        <v>10313</v>
      </c>
      <c r="BX2080" t="s">
        <v>1669</v>
      </c>
      <c r="BY2080">
        <v>96081</v>
      </c>
      <c r="BZ2080" t="s">
        <v>1672</v>
      </c>
      <c r="CA2080">
        <v>1</v>
      </c>
      <c r="CB2080" t="b">
        <v>1</v>
      </c>
      <c r="CC2080">
        <v>0</v>
      </c>
      <c r="CD2080" t="b">
        <v>0</v>
      </c>
      <c r="CE2080" t="b">
        <v>0</v>
      </c>
      <c r="CF2080" t="b">
        <v>0</v>
      </c>
      <c r="CG2080">
        <v>2428020</v>
      </c>
      <c r="CH2080" t="s">
        <v>1681</v>
      </c>
      <c r="CI2080" s="10">
        <v>539950</v>
      </c>
    </row>
    <row r="2081" spans="1:90">
      <c r="A2081">
        <v>28037333</v>
      </c>
      <c r="B2081" s="2" t="str">
        <f>HYPERLINK("http://www.redfin.com/stingray/do/printable-listing?listing-id=1525875","Active")</f>
        <v>Active</v>
      </c>
      <c r="D2081" t="s">
        <v>369</v>
      </c>
      <c r="E2081" t="s">
        <v>5837</v>
      </c>
      <c r="F2081">
        <v>650000</v>
      </c>
      <c r="G2081">
        <v>1974</v>
      </c>
      <c r="H2081">
        <v>2350</v>
      </c>
      <c r="I2081">
        <v>10080</v>
      </c>
      <c r="J2081">
        <v>4</v>
      </c>
      <c r="K2081">
        <v>2.25</v>
      </c>
      <c r="M2081" s="2" t="str">
        <f>HYPERLINK("http://maps.live.com/default.aspx?v=2&amp;lvl=15&amp;sp=Point.47.559107_-122.147568_14411 SE 49th St&amp;cp=47.559107~-122.147568","Map")</f>
        <v>Map</v>
      </c>
      <c r="N2081" s="2" t="str">
        <f>HYPERLINK("http://i-0.rfimg.us/photo/1/bigphoto/333/28037333_1.jpg","Photo")</f>
        <v>Photo</v>
      </c>
      <c r="AG2081">
        <v>47.559106999999997</v>
      </c>
      <c r="AH2081">
        <v>-122.14756800000001</v>
      </c>
      <c r="AI2081" t="s">
        <v>369</v>
      </c>
      <c r="AJ2081">
        <v>98006</v>
      </c>
      <c r="AN2081">
        <v>319000</v>
      </c>
      <c r="BC2081" s="22">
        <v>39510.557314814818</v>
      </c>
      <c r="BI2081" s="22">
        <v>39549.294907407406</v>
      </c>
      <c r="BL2081">
        <v>13000</v>
      </c>
      <c r="BM2081">
        <v>1525875</v>
      </c>
      <c r="BN2081" t="s">
        <v>1823</v>
      </c>
      <c r="BO2081" s="17">
        <f t="shared" ca="1" si="32"/>
        <v>38.752091087961162</v>
      </c>
      <c r="BP2081" t="b">
        <v>0</v>
      </c>
      <c r="BQ2081">
        <v>1</v>
      </c>
      <c r="BR2081" t="s">
        <v>1686</v>
      </c>
      <c r="BS2081" t="s">
        <v>2446</v>
      </c>
      <c r="BT2081" t="b">
        <v>0</v>
      </c>
      <c r="BU2081" t="s">
        <v>3856</v>
      </c>
      <c r="BV2081" t="s">
        <v>1668</v>
      </c>
      <c r="BW2081">
        <v>14411</v>
      </c>
      <c r="BY2081">
        <v>236886</v>
      </c>
      <c r="BZ2081" t="s">
        <v>1756</v>
      </c>
      <c r="CA2081">
        <v>1</v>
      </c>
      <c r="CB2081" t="b">
        <v>1</v>
      </c>
      <c r="CC2081">
        <v>0</v>
      </c>
      <c r="CD2081" t="b">
        <v>0</v>
      </c>
      <c r="CE2081" t="b">
        <v>0</v>
      </c>
      <c r="CF2081" t="b">
        <v>0</v>
      </c>
      <c r="CG2081">
        <v>2442444</v>
      </c>
      <c r="CH2081" t="s">
        <v>1681</v>
      </c>
      <c r="CI2081" s="10">
        <v>650000</v>
      </c>
      <c r="CJ2081" s="7">
        <v>37764</v>
      </c>
    </row>
    <row r="2082" spans="1:90">
      <c r="A2082">
        <v>28037339</v>
      </c>
      <c r="B2082" s="2" t="str">
        <f>HYPERLINK("http://www.redfin.com/stingray/do/printable-listing?listing-id=1536168","Active")</f>
        <v>Active</v>
      </c>
      <c r="D2082" t="s">
        <v>3885</v>
      </c>
      <c r="E2082" t="s">
        <v>5971</v>
      </c>
      <c r="F2082">
        <v>479000</v>
      </c>
      <c r="G2082">
        <v>1976</v>
      </c>
      <c r="H2082">
        <v>1890</v>
      </c>
      <c r="I2082">
        <v>9404</v>
      </c>
      <c r="J2082">
        <v>3</v>
      </c>
      <c r="K2082">
        <v>2.25</v>
      </c>
      <c r="M2082" s="2" t="str">
        <f>HYPERLINK("http://maps.live.com/default.aspx?v=2&amp;lvl=15&amp;sp=Point.47.535556_-122.170643_12715 SE 74th St&amp;cp=47.535556~-122.170643","Map")</f>
        <v>Map</v>
      </c>
      <c r="N2082" s="2" t="str">
        <f>HYPERLINK("http://i-0.rfimg.us/photo/1/bigphoto/339/28037339_1.jpg","Photo")</f>
        <v>Photo</v>
      </c>
      <c r="AG2082">
        <v>47.535556</v>
      </c>
      <c r="AH2082">
        <v>-122.170643</v>
      </c>
      <c r="AI2082" t="s">
        <v>3885</v>
      </c>
      <c r="AJ2082">
        <v>98056</v>
      </c>
      <c r="AN2082">
        <v>169000</v>
      </c>
      <c r="BC2082" s="22">
        <v>39513.515300925923</v>
      </c>
      <c r="BI2082" s="22">
        <v>39549.294907407406</v>
      </c>
      <c r="BL2082">
        <v>9580</v>
      </c>
      <c r="BM2082">
        <v>1536168</v>
      </c>
      <c r="BN2082" t="s">
        <v>1697</v>
      </c>
      <c r="BO2082" s="17">
        <f t="shared" ca="1" si="32"/>
        <v>35.794104976856033</v>
      </c>
      <c r="BP2082" t="b">
        <v>0</v>
      </c>
      <c r="BQ2082">
        <v>1</v>
      </c>
      <c r="BR2082" t="s">
        <v>1686</v>
      </c>
      <c r="BS2082" t="s">
        <v>1795</v>
      </c>
      <c r="BT2082" t="b">
        <v>0</v>
      </c>
      <c r="BU2082" t="s">
        <v>3856</v>
      </c>
      <c r="BV2082" t="s">
        <v>1668</v>
      </c>
      <c r="BW2082">
        <v>12715</v>
      </c>
      <c r="BY2082">
        <v>416554</v>
      </c>
      <c r="BZ2082" t="s">
        <v>5972</v>
      </c>
      <c r="CA2082">
        <v>1</v>
      </c>
      <c r="CB2082" t="b">
        <v>1</v>
      </c>
      <c r="CC2082">
        <v>0</v>
      </c>
      <c r="CD2082" t="b">
        <v>0</v>
      </c>
      <c r="CE2082" t="b">
        <v>0</v>
      </c>
      <c r="CF2082" t="b">
        <v>0</v>
      </c>
      <c r="CG2082">
        <v>2699389</v>
      </c>
      <c r="CH2082" t="s">
        <v>1681</v>
      </c>
      <c r="CI2082" s="10">
        <v>479000</v>
      </c>
      <c r="CJ2082" s="7">
        <v>33284</v>
      </c>
    </row>
    <row r="2083" spans="1:90">
      <c r="A2083">
        <v>28037340</v>
      </c>
      <c r="B2083" s="2" t="str">
        <f>HYPERLINK("http://www.redfin.com/stingray/do/printable-listing?listing-id=1528830","Subject To Inspection")</f>
        <v>Subject To Inspection</v>
      </c>
      <c r="D2083" t="s">
        <v>5586</v>
      </c>
      <c r="E2083" t="s">
        <v>5667</v>
      </c>
      <c r="F2083">
        <v>844950</v>
      </c>
      <c r="G2083">
        <v>1991</v>
      </c>
      <c r="H2083">
        <v>3170</v>
      </c>
      <c r="I2083">
        <v>9390</v>
      </c>
      <c r="J2083">
        <v>4</v>
      </c>
      <c r="K2083">
        <v>3.5</v>
      </c>
      <c r="M2083" s="2" t="str">
        <f>HYPERLINK("http://maps.live.com/default.aspx?v=2&amp;lvl=15&amp;sp=Point.47.542013_-122.136065_6703 154th Pl SE&amp;cp=47.542013~-122.136065","Map")</f>
        <v>Map</v>
      </c>
      <c r="N2083" s="2" t="str">
        <f>HYPERLINK("http://i-0.rfimg.us/photo/1/bigphoto/340/28037340_0.jpg","Photo")</f>
        <v>Photo</v>
      </c>
      <c r="AG2083">
        <v>47.542012999999997</v>
      </c>
      <c r="AH2083">
        <v>-122.136065</v>
      </c>
      <c r="AI2083" t="s">
        <v>369</v>
      </c>
      <c r="AJ2083">
        <v>98006</v>
      </c>
      <c r="AN2083">
        <v>745000</v>
      </c>
      <c r="BC2083" s="22">
        <v>39511.473865740743</v>
      </c>
      <c r="BI2083" s="7">
        <v>39534</v>
      </c>
      <c r="BL2083">
        <v>16899</v>
      </c>
      <c r="BM2083">
        <v>1528830</v>
      </c>
      <c r="BN2083" t="s">
        <v>1768</v>
      </c>
      <c r="BO2083" s="17">
        <f t="shared" ca="1" si="32"/>
        <v>37.835540162035613</v>
      </c>
      <c r="BP2083" t="b">
        <v>0</v>
      </c>
      <c r="BQ2083">
        <v>2</v>
      </c>
      <c r="BR2083" t="s">
        <v>1842</v>
      </c>
      <c r="BS2083" t="s">
        <v>5244</v>
      </c>
      <c r="BT2083" t="b">
        <v>0</v>
      </c>
      <c r="BV2083" t="s">
        <v>1668</v>
      </c>
      <c r="BW2083">
        <v>6703</v>
      </c>
      <c r="BX2083" t="s">
        <v>3856</v>
      </c>
      <c r="BY2083">
        <v>239894</v>
      </c>
      <c r="BZ2083" t="s">
        <v>1672</v>
      </c>
      <c r="CA2083">
        <v>1</v>
      </c>
      <c r="CB2083" t="b">
        <v>1</v>
      </c>
      <c r="CC2083">
        <v>0</v>
      </c>
      <c r="CD2083" t="b">
        <v>0</v>
      </c>
      <c r="CE2083" t="b">
        <v>0</v>
      </c>
      <c r="CF2083" t="b">
        <v>0</v>
      </c>
      <c r="CG2083">
        <v>2371058</v>
      </c>
      <c r="CH2083" t="s">
        <v>1681</v>
      </c>
      <c r="CI2083" s="10">
        <v>844950</v>
      </c>
      <c r="CJ2083" s="7">
        <v>38734</v>
      </c>
    </row>
    <row r="2084" spans="1:90">
      <c r="A2084">
        <v>28037347</v>
      </c>
      <c r="B2084" s="2" t="str">
        <f>HYPERLINK("http://www.redfin.com/stingray/do/printable-listing?listing-id=1525919","Active")</f>
        <v>Active</v>
      </c>
      <c r="D2084" t="s">
        <v>3064</v>
      </c>
      <c r="E2084" t="s">
        <v>4665</v>
      </c>
      <c r="F2084">
        <v>1095000</v>
      </c>
      <c r="G2084">
        <v>1981</v>
      </c>
      <c r="H2084">
        <v>3100</v>
      </c>
      <c r="I2084">
        <v>8000</v>
      </c>
      <c r="J2084">
        <v>5</v>
      </c>
      <c r="K2084">
        <v>2.75</v>
      </c>
      <c r="M2084" s="2" t="str">
        <f>HYPERLINK("http://maps.live.com/default.aspx?v=2&amp;lvl=15&amp;sp=Point.47.692986_-122.189427_10330 113th Ct NE&amp;cp=47.692986~-122.189427","Map")</f>
        <v>Map</v>
      </c>
      <c r="N2084" s="2" t="str">
        <f>HYPERLINK("http://i-0.rfimg.us/photo/1/bigphoto/347/28037347_0.jpg","Photo")</f>
        <v>Photo</v>
      </c>
      <c r="AG2084">
        <v>47.692985999999998</v>
      </c>
      <c r="AH2084">
        <v>-122.18942699999999</v>
      </c>
      <c r="AI2084" t="s">
        <v>1058</v>
      </c>
      <c r="AJ2084">
        <v>98033</v>
      </c>
      <c r="AN2084">
        <v>100000</v>
      </c>
      <c r="BC2084" s="22">
        <v>39510.568124999998</v>
      </c>
      <c r="BI2084" s="22">
        <v>39549.294907407406</v>
      </c>
      <c r="BL2084">
        <v>21900</v>
      </c>
      <c r="BM2084">
        <v>1525919</v>
      </c>
      <c r="BN2084" t="s">
        <v>1868</v>
      </c>
      <c r="BO2084" s="17">
        <f t="shared" ca="1" si="32"/>
        <v>38.741280902781</v>
      </c>
      <c r="BP2084" t="b">
        <v>0</v>
      </c>
      <c r="BQ2084">
        <v>1</v>
      </c>
      <c r="BR2084" t="s">
        <v>3768</v>
      </c>
      <c r="BS2084" t="s">
        <v>4394</v>
      </c>
      <c r="BT2084" t="b">
        <v>0</v>
      </c>
      <c r="BV2084" t="s">
        <v>1668</v>
      </c>
      <c r="BW2084">
        <v>10330</v>
      </c>
      <c r="BX2084" t="s">
        <v>1738</v>
      </c>
      <c r="BY2084">
        <v>463230</v>
      </c>
      <c r="BZ2084" t="s">
        <v>1743</v>
      </c>
      <c r="CA2084">
        <v>1</v>
      </c>
      <c r="CB2084" t="b">
        <v>1</v>
      </c>
      <c r="CC2084">
        <v>0</v>
      </c>
      <c r="CD2084" t="b">
        <v>0</v>
      </c>
      <c r="CE2084" t="b">
        <v>0</v>
      </c>
      <c r="CF2084" t="b">
        <v>0</v>
      </c>
      <c r="CG2084">
        <v>2559909</v>
      </c>
      <c r="CH2084" t="s">
        <v>1681</v>
      </c>
      <c r="CI2084" s="10">
        <v>1095000</v>
      </c>
      <c r="CJ2084" s="7">
        <v>33889</v>
      </c>
    </row>
    <row r="2085" spans="1:90">
      <c r="A2085">
        <v>28037348</v>
      </c>
      <c r="B2085" s="2" t="str">
        <f>HYPERLINK("http://www.redfin.com/stingray/do/printable-listing?listing-id=1536932","Active")</f>
        <v>Active</v>
      </c>
      <c r="D2085" t="s">
        <v>101</v>
      </c>
      <c r="E2085" t="s">
        <v>1940</v>
      </c>
      <c r="F2085">
        <v>649950</v>
      </c>
      <c r="G2085">
        <v>1955</v>
      </c>
      <c r="H2085">
        <v>2940</v>
      </c>
      <c r="I2085">
        <v>7970</v>
      </c>
      <c r="J2085">
        <v>4</v>
      </c>
      <c r="K2085">
        <v>1.75</v>
      </c>
      <c r="M2085" s="2" t="str">
        <f>HYPERLINK("http://maps.live.com/default.aspx?v=2&amp;lvl=15&amp;sp=Point.47.698801_-122.390074_9602 Marmount Dr NW&amp;cp=47.698801~-122.390074","Map")</f>
        <v>Map</v>
      </c>
      <c r="N2085" s="2" t="str">
        <f>HYPERLINK("http://i-0.rfimg.us/photo/1/bigphoto/348/28037348_.jpg","Photo")</f>
        <v>Photo</v>
      </c>
      <c r="AG2085">
        <v>47.698801000000003</v>
      </c>
      <c r="AH2085">
        <v>-122.390074</v>
      </c>
      <c r="AI2085" t="s">
        <v>66</v>
      </c>
      <c r="AJ2085">
        <v>98117</v>
      </c>
      <c r="BC2085" s="22">
        <v>39513.641921296294</v>
      </c>
      <c r="BI2085" s="22">
        <v>39549.294907407406</v>
      </c>
      <c r="BL2085">
        <v>12999</v>
      </c>
      <c r="BM2085">
        <v>1536932</v>
      </c>
      <c r="BN2085" t="s">
        <v>1700</v>
      </c>
      <c r="BO2085" s="17">
        <f t="shared" ca="1" si="32"/>
        <v>35.66748472222389</v>
      </c>
      <c r="BP2085" t="b">
        <v>0</v>
      </c>
      <c r="BQ2085">
        <v>1</v>
      </c>
      <c r="BR2085" t="s">
        <v>1816</v>
      </c>
      <c r="BS2085" t="s">
        <v>1941</v>
      </c>
      <c r="BT2085" t="b">
        <v>0</v>
      </c>
      <c r="BV2085" t="s">
        <v>1668</v>
      </c>
      <c r="BW2085">
        <v>9602</v>
      </c>
      <c r="BX2085" t="s">
        <v>1669</v>
      </c>
      <c r="BY2085">
        <v>289648</v>
      </c>
      <c r="BZ2085" t="s">
        <v>1704</v>
      </c>
      <c r="CA2085">
        <v>1</v>
      </c>
      <c r="CB2085" t="b">
        <v>1</v>
      </c>
      <c r="CC2085">
        <v>0</v>
      </c>
      <c r="CD2085" t="b">
        <v>0</v>
      </c>
      <c r="CE2085" t="b">
        <v>1</v>
      </c>
      <c r="CF2085" t="b">
        <v>0</v>
      </c>
      <c r="CG2085">
        <v>2756564</v>
      </c>
      <c r="CH2085" t="s">
        <v>1681</v>
      </c>
      <c r="CI2085" s="10">
        <v>649950</v>
      </c>
    </row>
    <row r="2086" spans="1:90">
      <c r="A2086">
        <v>28037468</v>
      </c>
      <c r="B2086" s="2" t="str">
        <f>HYPERLINK("http://www.redfin.com/stingray/do/printable-listing?listing-id=1526158","Active")</f>
        <v>Active</v>
      </c>
      <c r="D2086" t="s">
        <v>63</v>
      </c>
      <c r="E2086" t="s">
        <v>2145</v>
      </c>
      <c r="F2086" s="19">
        <v>399000</v>
      </c>
      <c r="G2086">
        <v>1944</v>
      </c>
      <c r="H2086">
        <v>1060</v>
      </c>
      <c r="I2086">
        <v>4175</v>
      </c>
      <c r="J2086">
        <v>3</v>
      </c>
      <c r="K2086">
        <v>1</v>
      </c>
      <c r="M2086" s="2" t="str">
        <f>HYPERLINK("http://maps.live.com/default.aspx?v=2&amp;lvl=15&amp;sp=Point.47.664585_-122.367295_822 NW 49th St&amp;cp=47.664585~-122.367295","Map")</f>
        <v>Map</v>
      </c>
      <c r="N2086" s="2" t="str">
        <f>HYPERLINK("http://i-0.rfimg.us/photo/1/bigphoto/468/28037468_0.jpg","Photo")</f>
        <v>Photo</v>
      </c>
      <c r="AG2086">
        <v>47.664585000000002</v>
      </c>
      <c r="AH2086">
        <v>-122.367295</v>
      </c>
      <c r="AI2086" t="s">
        <v>66</v>
      </c>
      <c r="AJ2086">
        <v>98107</v>
      </c>
      <c r="BC2086" s="22">
        <v>39510.622789351852</v>
      </c>
      <c r="BI2086" s="22">
        <v>39549.294907407406</v>
      </c>
      <c r="BL2086">
        <v>8300</v>
      </c>
      <c r="BM2086">
        <v>1526158</v>
      </c>
      <c r="BN2086" t="s">
        <v>1700</v>
      </c>
      <c r="BO2086" s="17">
        <f t="shared" ca="1" si="32"/>
        <v>38.686616666665941</v>
      </c>
      <c r="BP2086" t="b">
        <v>0</v>
      </c>
      <c r="BQ2086">
        <v>1</v>
      </c>
      <c r="BR2086" t="s">
        <v>1686</v>
      </c>
      <c r="BS2086" t="s">
        <v>2446</v>
      </c>
      <c r="BT2086" t="b">
        <v>0</v>
      </c>
      <c r="BU2086" t="s">
        <v>1669</v>
      </c>
      <c r="BV2086" t="s">
        <v>1668</v>
      </c>
      <c r="BW2086">
        <v>822</v>
      </c>
      <c r="BY2086">
        <v>302887</v>
      </c>
      <c r="BZ2086" t="s">
        <v>1696</v>
      </c>
      <c r="CA2086">
        <v>1</v>
      </c>
      <c r="CB2086" t="b">
        <v>1</v>
      </c>
      <c r="CC2086">
        <v>0</v>
      </c>
      <c r="CD2086" t="b">
        <v>1</v>
      </c>
      <c r="CE2086" t="b">
        <v>0</v>
      </c>
      <c r="CF2086" t="b">
        <v>0</v>
      </c>
      <c r="CG2086">
        <v>2956809</v>
      </c>
      <c r="CH2086" t="s">
        <v>1681</v>
      </c>
      <c r="CI2086" s="10">
        <v>415000</v>
      </c>
      <c r="CK2086" t="s">
        <v>6707</v>
      </c>
    </row>
    <row r="2087" spans="1:90">
      <c r="A2087">
        <v>28037484</v>
      </c>
      <c r="B2087" s="2" t="str">
        <f>HYPERLINK("http://www.redfin.com/stingray/do/printable-listing?listing-id=1529651","Active")</f>
        <v>Active</v>
      </c>
      <c r="D2087" t="s">
        <v>194</v>
      </c>
      <c r="E2087" t="s">
        <v>3220</v>
      </c>
      <c r="F2087" s="19">
        <v>519950</v>
      </c>
      <c r="G2087">
        <v>1953</v>
      </c>
      <c r="H2087">
        <v>1900</v>
      </c>
      <c r="I2087">
        <v>5100</v>
      </c>
      <c r="J2087">
        <v>3</v>
      </c>
      <c r="K2087">
        <v>1.5</v>
      </c>
      <c r="M2087" s="2" t="str">
        <f>HYPERLINK("http://maps.live.com/default.aspx?v=2&amp;lvl=15&amp;sp=Point.47.683199_-122.294029_7503 32nd Ave NE&amp;cp=47.683199~-122.294029","Map")</f>
        <v>Map</v>
      </c>
      <c r="N2087" s="2" t="str">
        <f>HYPERLINK("http://i-0.rfimg.us/photo/1/bigphoto/484/28037484_0.jpg","Photo")</f>
        <v>Photo</v>
      </c>
      <c r="AG2087">
        <v>47.683199000000002</v>
      </c>
      <c r="AH2087">
        <v>-122.29402899999999</v>
      </c>
      <c r="AI2087" t="s">
        <v>66</v>
      </c>
      <c r="AJ2087">
        <v>98115</v>
      </c>
      <c r="AN2087">
        <v>447000</v>
      </c>
      <c r="BC2087" s="22">
        <v>39511.613946759258</v>
      </c>
      <c r="BI2087" s="22">
        <v>39549.294907407406</v>
      </c>
      <c r="BL2087">
        <v>10790</v>
      </c>
      <c r="BM2087">
        <v>1529651</v>
      </c>
      <c r="BN2087" t="s">
        <v>1678</v>
      </c>
      <c r="BO2087" s="17">
        <f t="shared" ca="1" si="32"/>
        <v>37.695459143520566</v>
      </c>
      <c r="BP2087" t="b">
        <v>0</v>
      </c>
      <c r="BQ2087">
        <v>1</v>
      </c>
      <c r="BR2087" t="s">
        <v>1667</v>
      </c>
      <c r="BS2087" t="s">
        <v>1733</v>
      </c>
      <c r="BT2087" t="b">
        <v>0</v>
      </c>
      <c r="BV2087" t="s">
        <v>1668</v>
      </c>
      <c r="BW2087">
        <v>7503</v>
      </c>
      <c r="BX2087" t="s">
        <v>1738</v>
      </c>
      <c r="BY2087">
        <v>315007</v>
      </c>
      <c r="BZ2087" t="s">
        <v>1745</v>
      </c>
      <c r="CA2087">
        <v>1</v>
      </c>
      <c r="CB2087" t="b">
        <v>1</v>
      </c>
      <c r="CC2087">
        <v>0</v>
      </c>
      <c r="CD2087" t="b">
        <v>0</v>
      </c>
      <c r="CE2087" t="b">
        <v>0</v>
      </c>
      <c r="CF2087" t="b">
        <v>0</v>
      </c>
      <c r="CG2087">
        <v>2702695</v>
      </c>
      <c r="CH2087" t="s">
        <v>1681</v>
      </c>
      <c r="CI2087" s="10">
        <v>539500</v>
      </c>
      <c r="CJ2087" s="7">
        <v>38842</v>
      </c>
    </row>
    <row r="2088" spans="1:90">
      <c r="A2088">
        <v>28037511</v>
      </c>
      <c r="B2088" s="2" t="str">
        <f>HYPERLINK("http://www.redfin.com/stingray/do/printable-listing?listing-id=1526308","Subject To Inspection")</f>
        <v>Subject To Inspection</v>
      </c>
      <c r="D2088" t="s">
        <v>4359</v>
      </c>
      <c r="E2088" t="s">
        <v>4387</v>
      </c>
      <c r="F2088">
        <v>869900</v>
      </c>
      <c r="G2088">
        <v>2007</v>
      </c>
      <c r="H2088">
        <v>2470</v>
      </c>
      <c r="I2088">
        <v>0</v>
      </c>
      <c r="J2088">
        <v>3</v>
      </c>
      <c r="K2088">
        <v>2.75</v>
      </c>
      <c r="M2088" s="2" t="str">
        <f>HYPERLINK("http://maps.live.com/default.aspx?v=2&amp;lvl=15&amp;sp=Point.47.699937_-122.162215_13422 NE 111th Ct&amp;cp=47.699937~-122.162215","Map")</f>
        <v>Map</v>
      </c>
      <c r="N2088" s="2" t="str">
        <f>HYPERLINK("http://i-0.rfimg.us/photo/1/bigphoto/511/28037511_0.jpg","Photo")</f>
        <v>Photo</v>
      </c>
      <c r="AG2088">
        <v>47.699936999999998</v>
      </c>
      <c r="AH2088">
        <v>-122.162215</v>
      </c>
      <c r="AI2088" t="s">
        <v>4363</v>
      </c>
      <c r="AJ2088">
        <v>98052</v>
      </c>
      <c r="BC2088" s="22">
        <v>39510.641736111109</v>
      </c>
      <c r="BI2088" s="7">
        <v>39538</v>
      </c>
      <c r="BL2088">
        <v>17398</v>
      </c>
      <c r="BM2088">
        <v>1526308</v>
      </c>
      <c r="BN2088" t="s">
        <v>1823</v>
      </c>
      <c r="BO2088" s="17">
        <f t="shared" ca="1" si="32"/>
        <v>38.66766979167005</v>
      </c>
      <c r="BP2088" t="b">
        <v>0</v>
      </c>
      <c r="BQ2088">
        <v>2</v>
      </c>
      <c r="BR2088" t="s">
        <v>3768</v>
      </c>
      <c r="BS2088" t="s">
        <v>4388</v>
      </c>
      <c r="BT2088" t="b">
        <v>0</v>
      </c>
      <c r="BU2088" t="s">
        <v>1738</v>
      </c>
      <c r="BV2088" t="s">
        <v>1668</v>
      </c>
      <c r="BW2088">
        <v>13422</v>
      </c>
      <c r="BY2088">
        <v>12279249</v>
      </c>
      <c r="BZ2088" t="s">
        <v>1676</v>
      </c>
      <c r="CA2088">
        <v>1</v>
      </c>
      <c r="CB2088" t="b">
        <v>1</v>
      </c>
      <c r="CC2088">
        <v>0</v>
      </c>
      <c r="CD2088" t="b">
        <v>0</v>
      </c>
      <c r="CE2088" t="b">
        <v>0</v>
      </c>
      <c r="CF2088" t="b">
        <v>0</v>
      </c>
      <c r="CG2088">
        <v>15492180</v>
      </c>
      <c r="CH2088" t="s">
        <v>1681</v>
      </c>
      <c r="CI2088" s="10">
        <v>869900</v>
      </c>
      <c r="CL2088" t="s">
        <v>2204</v>
      </c>
    </row>
    <row r="2089" spans="1:90">
      <c r="A2089">
        <v>28037523</v>
      </c>
      <c r="B2089" s="2" t="str">
        <f>HYPERLINK("http://www.redfin.com/stingray/do/printable-listing?listing-id=1529373","Active")</f>
        <v>Active</v>
      </c>
      <c r="D2089" t="s">
        <v>3924</v>
      </c>
      <c r="E2089" t="s">
        <v>4294</v>
      </c>
      <c r="F2089">
        <v>899500</v>
      </c>
      <c r="G2089">
        <v>1947</v>
      </c>
      <c r="H2089">
        <v>0</v>
      </c>
      <c r="I2089">
        <v>14280</v>
      </c>
      <c r="J2089">
        <v>3</v>
      </c>
      <c r="K2089">
        <v>1.75</v>
      </c>
      <c r="M2089" s="2" t="str">
        <f>HYPERLINK("http://maps.live.com/default.aspx?v=2&amp;lvl=15&amp;sp=Point.47.623777_-122.290716_3206 E Republican St&amp;cp=47.623777~-122.290716","Map")</f>
        <v>Map</v>
      </c>
      <c r="N2089" s="2" t="str">
        <f>HYPERLINK("http://i-0.rfimg.us/photo/1/bigphoto/523/28037523_0.jpg","Photo")</f>
        <v>Photo</v>
      </c>
      <c r="AG2089">
        <v>47.623776999999997</v>
      </c>
      <c r="AH2089">
        <v>-122.290716</v>
      </c>
      <c r="AI2089" t="s">
        <v>66</v>
      </c>
      <c r="AJ2089">
        <v>98112</v>
      </c>
      <c r="BC2089" s="22">
        <v>39511.55810185185</v>
      </c>
      <c r="BI2089" s="22">
        <v>39549.294907407406</v>
      </c>
      <c r="BL2089">
        <v>17990</v>
      </c>
      <c r="BM2089">
        <v>1529373</v>
      </c>
      <c r="BN2089" t="s">
        <v>1810</v>
      </c>
      <c r="BO2089" s="17">
        <f t="shared" ca="1" si="32"/>
        <v>37.751304050929321</v>
      </c>
      <c r="BP2089" t="b">
        <v>0</v>
      </c>
      <c r="BQ2089">
        <v>1</v>
      </c>
      <c r="BR2089" t="s">
        <v>1686</v>
      </c>
      <c r="BS2089" t="s">
        <v>4128</v>
      </c>
      <c r="BT2089" t="b">
        <v>0</v>
      </c>
      <c r="BU2089" t="s">
        <v>2436</v>
      </c>
      <c r="BV2089" t="s">
        <v>1668</v>
      </c>
      <c r="BW2089">
        <v>3206</v>
      </c>
      <c r="BY2089">
        <v>141432</v>
      </c>
      <c r="BZ2089" t="s">
        <v>1747</v>
      </c>
      <c r="CA2089">
        <v>1</v>
      </c>
      <c r="CB2089" t="b">
        <v>1</v>
      </c>
      <c r="CC2089">
        <v>0</v>
      </c>
      <c r="CD2089" t="b">
        <v>0</v>
      </c>
      <c r="CE2089" t="b">
        <v>0</v>
      </c>
      <c r="CF2089" t="b">
        <v>0</v>
      </c>
      <c r="CG2089">
        <v>2693029</v>
      </c>
      <c r="CH2089" t="s">
        <v>1681</v>
      </c>
      <c r="CI2089" s="10">
        <v>899500</v>
      </c>
    </row>
    <row r="2090" spans="1:90">
      <c r="A2090">
        <v>28037528</v>
      </c>
      <c r="B2090" s="2" t="str">
        <f>HYPERLINK("http://www.redfin.com/stingray/do/printable-listing?listing-id=1529756","Active")</f>
        <v>Active</v>
      </c>
      <c r="D2090" t="s">
        <v>4710</v>
      </c>
      <c r="E2090" t="s">
        <v>5529</v>
      </c>
      <c r="F2090">
        <v>624950</v>
      </c>
      <c r="G2090">
        <v>1951</v>
      </c>
      <c r="H2090">
        <v>1760</v>
      </c>
      <c r="I2090">
        <v>7680</v>
      </c>
      <c r="J2090">
        <v>3</v>
      </c>
      <c r="K2090">
        <v>2</v>
      </c>
      <c r="M2090" s="2" t="str">
        <f>HYPERLINK("http://maps.live.com/default.aspx?v=2&amp;lvl=15&amp;sp=Point.47.606544_-122.196442_351 108th Ave SE&amp;cp=47.606544~-122.196442","Map")</f>
        <v>Map</v>
      </c>
      <c r="N2090" s="2" t="str">
        <f>HYPERLINK("http://i-0.rfimg.us/photo/1/bigphoto/528/28037528_0.jpg","Photo")</f>
        <v>Photo</v>
      </c>
      <c r="AG2090">
        <v>47.606544</v>
      </c>
      <c r="AH2090">
        <v>-122.196442</v>
      </c>
      <c r="AI2090" t="s">
        <v>369</v>
      </c>
      <c r="AJ2090">
        <v>98004</v>
      </c>
      <c r="AN2090">
        <v>216000</v>
      </c>
      <c r="BC2090" s="22">
        <v>39511.635636574072</v>
      </c>
      <c r="BI2090" s="22">
        <v>39549.294907407406</v>
      </c>
      <c r="BL2090">
        <v>12499</v>
      </c>
      <c r="BM2090">
        <v>1529756</v>
      </c>
      <c r="BN2090" t="s">
        <v>1768</v>
      </c>
      <c r="BO2090" s="17">
        <f t="shared" ca="1" si="32"/>
        <v>37.67376932870684</v>
      </c>
      <c r="BP2090" t="b">
        <v>0</v>
      </c>
      <c r="BQ2090">
        <v>1</v>
      </c>
      <c r="BR2090" t="s">
        <v>1667</v>
      </c>
      <c r="BS2090" t="s">
        <v>4355</v>
      </c>
      <c r="BT2090" t="b">
        <v>0</v>
      </c>
      <c r="BV2090" t="s">
        <v>1668</v>
      </c>
      <c r="BW2090">
        <v>351</v>
      </c>
      <c r="BX2090" t="s">
        <v>3856</v>
      </c>
      <c r="BY2090">
        <v>510261</v>
      </c>
      <c r="BZ2090" t="s">
        <v>1676</v>
      </c>
      <c r="CA2090">
        <v>1</v>
      </c>
      <c r="CB2090" t="b">
        <v>1</v>
      </c>
      <c r="CC2090">
        <v>0</v>
      </c>
      <c r="CD2090" t="b">
        <v>0</v>
      </c>
      <c r="CE2090" t="b">
        <v>0</v>
      </c>
      <c r="CF2090" t="b">
        <v>0</v>
      </c>
      <c r="CG2090">
        <v>2927084</v>
      </c>
      <c r="CH2090" t="s">
        <v>1681</v>
      </c>
      <c r="CI2090" s="10">
        <v>624950</v>
      </c>
      <c r="CJ2090" s="7">
        <v>37852</v>
      </c>
    </row>
    <row r="2091" spans="1:90">
      <c r="A2091">
        <v>28037534</v>
      </c>
      <c r="B2091" s="2" t="str">
        <f>HYPERLINK("http://www.redfin.com/stingray/do/printable-listing?listing-id=1527519","Active")</f>
        <v>Active</v>
      </c>
      <c r="D2091" t="s">
        <v>4004</v>
      </c>
      <c r="E2091" t="s">
        <v>4216</v>
      </c>
      <c r="F2091">
        <v>1800000</v>
      </c>
      <c r="G2091">
        <v>2008</v>
      </c>
      <c r="H2091">
        <v>3462</v>
      </c>
      <c r="I2091">
        <v>3865</v>
      </c>
      <c r="J2091">
        <v>4</v>
      </c>
      <c r="K2091">
        <v>3.5</v>
      </c>
      <c r="M2091" s="2" t="str">
        <f>HYPERLINK("http://maps.live.com/default.aspx?v=2&amp;lvl=15&amp;sp=Point.47.618898_-122.287874_3425 E Florence Ct&amp;cp=47.618898~-122.287874","Map")</f>
        <v>Map</v>
      </c>
      <c r="N2091" s="2" t="str">
        <f>HYPERLINK("http://i-0.rfimg.us/photo/1/bigphoto/534/28037534_0.jpg","Photo")</f>
        <v>Photo</v>
      </c>
      <c r="AG2091">
        <v>47.618898000000002</v>
      </c>
      <c r="AH2091">
        <v>-122.287874</v>
      </c>
      <c r="AI2091" t="s">
        <v>66</v>
      </c>
      <c r="AJ2091">
        <v>98112</v>
      </c>
      <c r="AN2091">
        <v>625000</v>
      </c>
      <c r="BC2091" s="22">
        <v>39510.838796296295</v>
      </c>
      <c r="BI2091" s="22">
        <v>39549.294907407406</v>
      </c>
      <c r="BL2091">
        <v>36000</v>
      </c>
      <c r="BM2091">
        <v>1527519</v>
      </c>
      <c r="BN2091" t="s">
        <v>1829</v>
      </c>
      <c r="BO2091" s="17">
        <f t="shared" ca="1" si="32"/>
        <v>38.470609606483777</v>
      </c>
      <c r="BP2091" t="b">
        <v>0</v>
      </c>
      <c r="BQ2091">
        <v>1</v>
      </c>
      <c r="BR2091" t="s">
        <v>3768</v>
      </c>
      <c r="BS2091" t="s">
        <v>4217</v>
      </c>
      <c r="BT2091" t="b">
        <v>0</v>
      </c>
      <c r="BU2091" t="s">
        <v>2436</v>
      </c>
      <c r="BV2091" t="s">
        <v>1668</v>
      </c>
      <c r="BW2091">
        <v>3425</v>
      </c>
      <c r="BY2091">
        <v>140816</v>
      </c>
      <c r="BZ2091" t="s">
        <v>1762</v>
      </c>
      <c r="CA2091">
        <v>1</v>
      </c>
      <c r="CB2091" t="b">
        <v>1</v>
      </c>
      <c r="CC2091">
        <v>0</v>
      </c>
      <c r="CD2091" t="b">
        <v>0</v>
      </c>
      <c r="CE2091" t="b">
        <v>0</v>
      </c>
      <c r="CF2091" t="b">
        <v>0</v>
      </c>
      <c r="CG2091">
        <v>2703303</v>
      </c>
      <c r="CH2091" t="s">
        <v>1681</v>
      </c>
      <c r="CI2091" s="10">
        <v>1800000</v>
      </c>
      <c r="CJ2091" s="7">
        <v>39241</v>
      </c>
    </row>
    <row r="2092" spans="1:90">
      <c r="A2092">
        <v>28037536</v>
      </c>
      <c r="B2092" s="2" t="str">
        <f>HYPERLINK("http://www.redfin.com/stingray/do/printable-listing?listing-id=1528676","Active")</f>
        <v>Active</v>
      </c>
      <c r="D2092" t="s">
        <v>60</v>
      </c>
      <c r="E2092" t="s">
        <v>1880</v>
      </c>
      <c r="F2092" s="19">
        <v>410000</v>
      </c>
      <c r="G2092">
        <v>2006</v>
      </c>
      <c r="H2092">
        <v>1450</v>
      </c>
      <c r="I2092">
        <v>0</v>
      </c>
      <c r="J2092">
        <v>3</v>
      </c>
      <c r="K2092">
        <v>2.5</v>
      </c>
      <c r="M2092" s="2" t="str">
        <f>HYPERLINK("http://maps.live.com/default.aspx?v=2&amp;lvl=15&amp;sp=adr.9225 Ashworth Ave S (Unable to map),98103","Map")</f>
        <v>Map</v>
      </c>
      <c r="N2092" s="2" t="str">
        <f>HYPERLINK("http://i-0.rfimg.us/photo/1/bigphoto/536/28037536_4.jpg","Photo")</f>
        <v>Photo</v>
      </c>
      <c r="AI2092" t="s">
        <v>66</v>
      </c>
      <c r="AJ2092">
        <v>98103</v>
      </c>
      <c r="BC2092" s="22">
        <v>39511.421643518515</v>
      </c>
      <c r="BI2092" s="22">
        <v>39549.294907407406</v>
      </c>
      <c r="BL2092">
        <v>8500</v>
      </c>
      <c r="BM2092">
        <v>1528676</v>
      </c>
      <c r="BN2092" t="s">
        <v>1768</v>
      </c>
      <c r="BO2092" s="17">
        <f t="shared" ca="1" si="32"/>
        <v>37.887762500002282</v>
      </c>
      <c r="BP2092" t="b">
        <v>0</v>
      </c>
      <c r="BQ2092">
        <v>1</v>
      </c>
      <c r="BR2092" t="s">
        <v>1667</v>
      </c>
      <c r="BS2092" t="s">
        <v>1825</v>
      </c>
      <c r="BT2092" t="b">
        <v>0</v>
      </c>
      <c r="BV2092" t="s">
        <v>1668</v>
      </c>
      <c r="BW2092">
        <v>9225</v>
      </c>
      <c r="BX2092" t="s">
        <v>1881</v>
      </c>
      <c r="BY2092">
        <v>0</v>
      </c>
      <c r="BZ2092" t="s">
        <v>1882</v>
      </c>
      <c r="CA2092">
        <v>1</v>
      </c>
      <c r="CB2092" t="b">
        <v>1</v>
      </c>
      <c r="CC2092">
        <v>0</v>
      </c>
      <c r="CD2092" t="b">
        <v>0</v>
      </c>
      <c r="CE2092" t="b">
        <v>0</v>
      </c>
      <c r="CF2092" t="b">
        <v>0</v>
      </c>
      <c r="CG2092" t="s">
        <v>1870</v>
      </c>
      <c r="CH2092" t="s">
        <v>1681</v>
      </c>
      <c r="CI2092" s="10">
        <v>425000</v>
      </c>
      <c r="CK2092" t="s">
        <v>2003</v>
      </c>
    </row>
    <row r="2093" spans="1:90">
      <c r="A2093">
        <v>28037540</v>
      </c>
      <c r="B2093" s="2" t="str">
        <f>HYPERLINK("http://www.redfin.com/stingray/do/printable-listing?listing-id=1527120","Active")</f>
        <v>Active</v>
      </c>
      <c r="D2093" t="s">
        <v>5490</v>
      </c>
      <c r="E2093" t="s">
        <v>5904</v>
      </c>
      <c r="F2093">
        <v>1124980</v>
      </c>
      <c r="G2093">
        <v>2000</v>
      </c>
      <c r="H2093">
        <v>4000</v>
      </c>
      <c r="I2093">
        <v>8452</v>
      </c>
      <c r="J2093">
        <v>3</v>
      </c>
      <c r="K2093">
        <v>3.5</v>
      </c>
      <c r="M2093" s="2" t="str">
        <f>HYPERLINK("http://maps.live.com/default.aspx?v=2&amp;lvl=15&amp;sp=Point.47.558406_-122.12653_4957 160th Ct SE&amp;cp=47.558406~-122.12653","Map")</f>
        <v>Map</v>
      </c>
      <c r="N2093" s="2" t="str">
        <f>HYPERLINK("http://i-0.rfimg.us/photo/1/bigphoto/540/28037540_2.jpg","Photo")</f>
        <v>Photo</v>
      </c>
      <c r="AG2093">
        <v>47.558405999999998</v>
      </c>
      <c r="AH2093">
        <v>-122.12653</v>
      </c>
      <c r="AI2093" t="s">
        <v>369</v>
      </c>
      <c r="AJ2093">
        <v>98006</v>
      </c>
      <c r="AN2093">
        <v>599900</v>
      </c>
      <c r="BC2093" s="22">
        <v>39510.807824074072</v>
      </c>
      <c r="BI2093" s="22">
        <v>39549.294907407406</v>
      </c>
      <c r="BL2093">
        <v>22500</v>
      </c>
      <c r="BM2093">
        <v>1527120</v>
      </c>
      <c r="BN2093" t="s">
        <v>1673</v>
      </c>
      <c r="BO2093" s="17">
        <f t="shared" ca="1" si="32"/>
        <v>38.501581828706549</v>
      </c>
      <c r="BP2093" t="b">
        <v>0</v>
      </c>
      <c r="BQ2093">
        <v>1</v>
      </c>
      <c r="BR2093" t="s">
        <v>3768</v>
      </c>
      <c r="BS2093" t="s">
        <v>5230</v>
      </c>
      <c r="BT2093" t="b">
        <v>0</v>
      </c>
      <c r="BV2093" t="s">
        <v>1668</v>
      </c>
      <c r="BW2093">
        <v>4957</v>
      </c>
      <c r="BX2093" t="s">
        <v>3856</v>
      </c>
      <c r="BY2093">
        <v>240465</v>
      </c>
      <c r="BZ2093" t="s">
        <v>5905</v>
      </c>
      <c r="CA2093">
        <v>1</v>
      </c>
      <c r="CB2093" t="b">
        <v>1</v>
      </c>
      <c r="CC2093">
        <v>0</v>
      </c>
      <c r="CD2093" t="b">
        <v>0</v>
      </c>
      <c r="CE2093" t="b">
        <v>0</v>
      </c>
      <c r="CF2093" t="b">
        <v>0</v>
      </c>
      <c r="CG2093">
        <v>2619011</v>
      </c>
      <c r="CH2093" t="s">
        <v>1681</v>
      </c>
      <c r="CI2093" s="10">
        <v>1124980</v>
      </c>
      <c r="CJ2093" s="7">
        <v>36637</v>
      </c>
      <c r="CL2093" t="s">
        <v>6915</v>
      </c>
    </row>
    <row r="2094" spans="1:90">
      <c r="A2094">
        <v>28037597</v>
      </c>
      <c r="B2094" s="2" t="str">
        <f>HYPERLINK("http://www.redfin.com/stingray/do/printable-listing?listing-id=1526565","Active")</f>
        <v>Active</v>
      </c>
      <c r="D2094" t="s">
        <v>194</v>
      </c>
      <c r="E2094" t="s">
        <v>3221</v>
      </c>
      <c r="F2094">
        <v>689990</v>
      </c>
      <c r="G2094">
        <v>2007</v>
      </c>
      <c r="H2094">
        <v>1640</v>
      </c>
      <c r="I2094">
        <v>0</v>
      </c>
      <c r="J2094">
        <v>3</v>
      </c>
      <c r="K2094">
        <v>1.75</v>
      </c>
      <c r="M2094" s="2" t="str">
        <f>HYPERLINK("http://maps.live.com/default.aspx?v=2&amp;lvl=15&amp;sp=Point.47.689383_-122.284626_8233 41st Ave NE&amp;cp=47.689383~-122.284626","Map")</f>
        <v>Map</v>
      </c>
      <c r="N2094" s="2" t="str">
        <f>HYPERLINK("http://i-0.rfimg.us/photo/1/bigphoto/597/28037597_4.jpg","Photo")</f>
        <v>Photo</v>
      </c>
      <c r="AG2094">
        <v>47.689382999999999</v>
      </c>
      <c r="AH2094">
        <v>-122.284626</v>
      </c>
      <c r="AI2094" t="s">
        <v>66</v>
      </c>
      <c r="AJ2094">
        <v>98115</v>
      </c>
      <c r="AN2094">
        <v>426000</v>
      </c>
      <c r="BC2094" s="22">
        <v>39510.695659722223</v>
      </c>
      <c r="BI2094" s="22">
        <v>39549.294907407406</v>
      </c>
      <c r="BL2094">
        <v>13800</v>
      </c>
      <c r="BM2094">
        <v>1526565</v>
      </c>
      <c r="BN2094" t="s">
        <v>1823</v>
      </c>
      <c r="BO2094" s="17">
        <f t="shared" ca="1" si="32"/>
        <v>38.613746180555609</v>
      </c>
      <c r="BP2094" t="b">
        <v>0</v>
      </c>
      <c r="BQ2094">
        <v>1</v>
      </c>
      <c r="BR2094" t="s">
        <v>1667</v>
      </c>
      <c r="BS2094" t="s">
        <v>3222</v>
      </c>
      <c r="BT2094" t="b">
        <v>0</v>
      </c>
      <c r="BV2094" t="s">
        <v>1668</v>
      </c>
      <c r="BW2094">
        <v>8233</v>
      </c>
      <c r="BX2094" t="s">
        <v>1738</v>
      </c>
      <c r="BY2094">
        <v>318684</v>
      </c>
      <c r="BZ2094" t="s">
        <v>3223</v>
      </c>
      <c r="CA2094">
        <v>1</v>
      </c>
      <c r="CB2094" t="b">
        <v>1</v>
      </c>
      <c r="CC2094">
        <v>0</v>
      </c>
      <c r="CD2094" t="b">
        <v>0</v>
      </c>
      <c r="CE2094" t="b">
        <v>0</v>
      </c>
      <c r="CF2094" t="b">
        <v>0</v>
      </c>
      <c r="CG2094">
        <v>2530941</v>
      </c>
      <c r="CH2094" t="s">
        <v>1681</v>
      </c>
      <c r="CI2094" s="10">
        <v>689990</v>
      </c>
      <c r="CJ2094" s="7">
        <v>39386</v>
      </c>
    </row>
    <row r="2095" spans="1:90">
      <c r="A2095">
        <v>28037614</v>
      </c>
      <c r="B2095" s="2" t="str">
        <f>HYPERLINK("http://www.redfin.com/stingray/do/printable-listing?listing-id=1543417","Active")</f>
        <v>Active</v>
      </c>
      <c r="D2095" t="s">
        <v>3071</v>
      </c>
      <c r="E2095" t="s">
        <v>4493</v>
      </c>
      <c r="F2095">
        <v>550000</v>
      </c>
      <c r="G2095">
        <v>1921</v>
      </c>
      <c r="H2095">
        <v>1540</v>
      </c>
      <c r="I2095">
        <v>9205</v>
      </c>
      <c r="J2095">
        <v>3</v>
      </c>
      <c r="K2095">
        <v>1</v>
      </c>
      <c r="M2095" s="2" t="str">
        <f>HYPERLINK("http://maps.live.com/default.aspx?v=2&amp;lvl=15&amp;sp=Point.47.711923_-122.229949_12411 84th Ave NE&amp;cp=47.711923~-122.229949","Map")</f>
        <v>Map</v>
      </c>
      <c r="N2095" s="2" t="str">
        <f>HYPERLINK("http://i-0.rfimg.us/photo/1/bigphoto/614/28037614_0.jpg","Photo")</f>
        <v>Photo</v>
      </c>
      <c r="AG2095">
        <v>47.711922999999999</v>
      </c>
      <c r="AH2095">
        <v>-122.229949</v>
      </c>
      <c r="AI2095" t="s">
        <v>1058</v>
      </c>
      <c r="AJ2095">
        <v>98034</v>
      </c>
      <c r="AN2095">
        <v>250000</v>
      </c>
      <c r="BC2095" s="22">
        <v>39515.744131944448</v>
      </c>
      <c r="BI2095" s="22">
        <v>39549.294907407406</v>
      </c>
      <c r="BL2095">
        <v>11000</v>
      </c>
      <c r="BM2095">
        <v>1543417</v>
      </c>
      <c r="BN2095" t="s">
        <v>1798</v>
      </c>
      <c r="BO2095" s="17">
        <f t="shared" ca="1" si="32"/>
        <v>33.56527395833109</v>
      </c>
      <c r="BP2095" t="b">
        <v>0</v>
      </c>
      <c r="BQ2095">
        <v>1</v>
      </c>
      <c r="BR2095" t="s">
        <v>1667</v>
      </c>
      <c r="BS2095" t="s">
        <v>1826</v>
      </c>
      <c r="BT2095" t="b">
        <v>0</v>
      </c>
      <c r="BV2095" t="s">
        <v>1668</v>
      </c>
      <c r="BW2095">
        <v>12411</v>
      </c>
      <c r="BX2095" t="s">
        <v>1738</v>
      </c>
      <c r="BY2095">
        <v>276273</v>
      </c>
      <c r="BZ2095" t="s">
        <v>1745</v>
      </c>
      <c r="CA2095">
        <v>1</v>
      </c>
      <c r="CB2095" t="b">
        <v>1</v>
      </c>
      <c r="CC2095">
        <v>0</v>
      </c>
      <c r="CD2095" t="b">
        <v>0</v>
      </c>
      <c r="CE2095" t="b">
        <v>0</v>
      </c>
      <c r="CF2095" t="b">
        <v>0</v>
      </c>
      <c r="CG2095">
        <v>2718704</v>
      </c>
      <c r="CH2095" t="s">
        <v>1681</v>
      </c>
      <c r="CI2095" s="10">
        <v>550000</v>
      </c>
      <c r="CJ2095" s="7">
        <v>38887</v>
      </c>
    </row>
    <row r="2096" spans="1:90">
      <c r="A2096">
        <v>28037704</v>
      </c>
      <c r="B2096" s="2" t="str">
        <f>HYPERLINK("http://www.redfin.com/stingray/do/printable-listing?listing-id=1526795","Active")</f>
        <v>Active</v>
      </c>
      <c r="D2096" t="s">
        <v>3721</v>
      </c>
      <c r="E2096" t="s">
        <v>4292</v>
      </c>
      <c r="F2096">
        <v>1895000</v>
      </c>
      <c r="G2096">
        <v>2008</v>
      </c>
      <c r="H2096">
        <v>4900</v>
      </c>
      <c r="I2096">
        <v>7757</v>
      </c>
      <c r="J2096">
        <v>4</v>
      </c>
      <c r="K2096">
        <v>4.5</v>
      </c>
      <c r="M2096" s="2" t="str">
        <f>HYPERLINK("http://maps.live.com/default.aspx?v=2&amp;lvl=15&amp;sp=Point.47.62457_-122.290419_576 Lake Washington Blvd E&amp;cp=47.62457~-122.290419","Map")</f>
        <v>Map</v>
      </c>
      <c r="N2096" s="2" t="str">
        <f>HYPERLINK("http://i-0.rfimg.us/photo/1/bigphoto/704/28037704_0.jpg","Photo")</f>
        <v>Photo</v>
      </c>
      <c r="AG2096">
        <v>47.624569999999999</v>
      </c>
      <c r="AH2096">
        <v>-122.290419</v>
      </c>
      <c r="AI2096" t="s">
        <v>66</v>
      </c>
      <c r="AJ2096">
        <v>98112</v>
      </c>
      <c r="BC2096" s="22">
        <v>39510.746655092589</v>
      </c>
      <c r="BI2096" s="22">
        <v>39549.294907407406</v>
      </c>
      <c r="BL2096">
        <v>37900</v>
      </c>
      <c r="BM2096">
        <v>1526795</v>
      </c>
      <c r="BN2096" t="s">
        <v>1829</v>
      </c>
      <c r="BO2096" s="17">
        <f t="shared" ca="1" si="32"/>
        <v>38.562750810189755</v>
      </c>
      <c r="BP2096" t="b">
        <v>0</v>
      </c>
      <c r="BQ2096">
        <v>1</v>
      </c>
      <c r="BR2096" t="s">
        <v>3141</v>
      </c>
      <c r="BS2096" t="s">
        <v>4293</v>
      </c>
      <c r="BT2096" t="b">
        <v>0</v>
      </c>
      <c r="BV2096" t="s">
        <v>1668</v>
      </c>
      <c r="BW2096">
        <v>576</v>
      </c>
      <c r="BX2096" t="s">
        <v>2436</v>
      </c>
      <c r="BY2096">
        <v>8187317</v>
      </c>
      <c r="BZ2096" t="s">
        <v>1713</v>
      </c>
      <c r="CA2096">
        <v>1</v>
      </c>
      <c r="CB2096" t="b">
        <v>1</v>
      </c>
      <c r="CC2096">
        <v>0</v>
      </c>
      <c r="CD2096" t="b">
        <v>0</v>
      </c>
      <c r="CE2096" t="b">
        <v>0</v>
      </c>
      <c r="CF2096" t="b">
        <v>0</v>
      </c>
      <c r="CG2096">
        <v>2401263</v>
      </c>
      <c r="CH2096" t="s">
        <v>1681</v>
      </c>
      <c r="CI2096" s="10">
        <v>1895000</v>
      </c>
    </row>
    <row r="2097" spans="1:88">
      <c r="A2097">
        <v>28037711</v>
      </c>
      <c r="B2097" s="2" t="str">
        <f>HYPERLINK("http://www.redfin.com/stingray/do/printable-listing?listing-id=1526771","Active")</f>
        <v>Active</v>
      </c>
      <c r="D2097" t="s">
        <v>88</v>
      </c>
      <c r="E2097" t="s">
        <v>2111</v>
      </c>
      <c r="F2097">
        <v>689950</v>
      </c>
      <c r="G2097">
        <v>1911</v>
      </c>
      <c r="H2097">
        <v>2306</v>
      </c>
      <c r="I2097">
        <v>3750</v>
      </c>
      <c r="J2097">
        <v>5</v>
      </c>
      <c r="K2097">
        <v>2.75</v>
      </c>
      <c r="M2097" s="2" t="str">
        <f>HYPERLINK("http://maps.live.com/default.aspx?v=2&amp;lvl=15&amp;sp=Point.47.678621_-122.357124_6728 1st Ave NW&amp;cp=47.678621~-122.357124","Map")</f>
        <v>Map</v>
      </c>
      <c r="N2097" s="2" t="str">
        <f>HYPERLINK("http://i-0.rfimg.us/photo/1/bigphoto/711/28037711_0.jpg","Photo")</f>
        <v>Photo</v>
      </c>
      <c r="AG2097">
        <v>47.678621</v>
      </c>
      <c r="AH2097">
        <v>-122.357124</v>
      </c>
      <c r="AI2097" t="s">
        <v>66</v>
      </c>
      <c r="AJ2097">
        <v>98117</v>
      </c>
      <c r="AN2097">
        <v>330000</v>
      </c>
      <c r="BC2097" s="22">
        <v>39510.746377314812</v>
      </c>
      <c r="BI2097" s="7">
        <v>39517</v>
      </c>
      <c r="BL2097">
        <v>13799</v>
      </c>
      <c r="BM2097">
        <v>1526771</v>
      </c>
      <c r="BN2097" t="s">
        <v>1710</v>
      </c>
      <c r="BO2097" s="17">
        <f t="shared" ca="1" si="32"/>
        <v>38.563028703705641</v>
      </c>
      <c r="BP2097" t="b">
        <v>0</v>
      </c>
      <c r="BQ2097">
        <v>1</v>
      </c>
      <c r="BR2097" t="s">
        <v>1667</v>
      </c>
      <c r="BS2097" t="s">
        <v>1822</v>
      </c>
      <c r="BT2097" t="b">
        <v>0</v>
      </c>
      <c r="BV2097" t="s">
        <v>1668</v>
      </c>
      <c r="BW2097">
        <v>6728</v>
      </c>
      <c r="BX2097" t="s">
        <v>1669</v>
      </c>
      <c r="BY2097">
        <v>495143</v>
      </c>
      <c r="BZ2097" t="s">
        <v>1672</v>
      </c>
      <c r="CA2097">
        <v>1</v>
      </c>
      <c r="CB2097" t="b">
        <v>1</v>
      </c>
      <c r="CC2097">
        <v>0</v>
      </c>
      <c r="CD2097" t="b">
        <v>0</v>
      </c>
      <c r="CE2097" t="b">
        <v>1</v>
      </c>
      <c r="CF2097" t="b">
        <v>0</v>
      </c>
      <c r="CG2097">
        <v>2730818</v>
      </c>
      <c r="CH2097" t="s">
        <v>1681</v>
      </c>
      <c r="CI2097" s="10">
        <v>689950</v>
      </c>
      <c r="CJ2097" s="7">
        <v>36665</v>
      </c>
    </row>
    <row r="2098" spans="1:88">
      <c r="A2098">
        <v>28037720</v>
      </c>
      <c r="B2098" s="2" t="str">
        <f>HYPERLINK("http://www.redfin.com/stingray/do/printable-listing?listing-id=1527121","Active")</f>
        <v>Active</v>
      </c>
      <c r="D2098" t="s">
        <v>5204</v>
      </c>
      <c r="E2098" t="s">
        <v>5203</v>
      </c>
      <c r="F2098">
        <v>428800</v>
      </c>
      <c r="G2098">
        <v>1958</v>
      </c>
      <c r="H2098">
        <v>1617</v>
      </c>
      <c r="I2098">
        <v>8400</v>
      </c>
      <c r="J2098">
        <v>3</v>
      </c>
      <c r="K2098">
        <v>1.75</v>
      </c>
      <c r="M2098" s="2" t="str">
        <f>HYPERLINK("http://maps.live.com/default.aspx?v=2&amp;lvl=15&amp;sp=Point.47.606596_-122.122134_232 163 Pl SE&amp;cp=47.606596~-122.122134","Map")</f>
        <v>Map</v>
      </c>
      <c r="N2098" s="2" t="str">
        <f>HYPERLINK("http://i-0.rfimg.us/photo/1/bigphoto/720/28037720_2.jpg","Photo")</f>
        <v>Photo</v>
      </c>
      <c r="AG2098">
        <v>47.606596000000003</v>
      </c>
      <c r="AH2098">
        <v>-122.122134</v>
      </c>
      <c r="AI2098" t="s">
        <v>369</v>
      </c>
      <c r="AJ2098">
        <v>98008</v>
      </c>
      <c r="AN2098">
        <v>162500</v>
      </c>
      <c r="BC2098" s="22">
        <v>39510.807824074072</v>
      </c>
      <c r="BI2098" s="22">
        <v>39549.294907407406</v>
      </c>
      <c r="BL2098">
        <v>8576</v>
      </c>
      <c r="BM2098">
        <v>1527121</v>
      </c>
      <c r="BN2098" t="s">
        <v>1735</v>
      </c>
      <c r="BO2098" s="17">
        <f t="shared" ca="1" si="32"/>
        <v>38.501581828706549</v>
      </c>
      <c r="BP2098" t="b">
        <v>0</v>
      </c>
      <c r="BQ2098">
        <v>1</v>
      </c>
      <c r="BR2098" t="s">
        <v>1842</v>
      </c>
      <c r="BS2098">
        <v>163</v>
      </c>
      <c r="BT2098" t="b">
        <v>0</v>
      </c>
      <c r="BV2098" t="s">
        <v>1668</v>
      </c>
      <c r="BW2098">
        <v>232</v>
      </c>
      <c r="BX2098" t="s">
        <v>3856</v>
      </c>
      <c r="BY2098">
        <v>427371</v>
      </c>
      <c r="BZ2098" t="s">
        <v>4930</v>
      </c>
      <c r="CA2098">
        <v>1</v>
      </c>
      <c r="CB2098" t="b">
        <v>1</v>
      </c>
      <c r="CC2098">
        <v>0</v>
      </c>
      <c r="CD2098" t="b">
        <v>0</v>
      </c>
      <c r="CE2098" t="b">
        <v>0</v>
      </c>
      <c r="CF2098" t="b">
        <v>0</v>
      </c>
      <c r="CG2098">
        <v>2457053</v>
      </c>
      <c r="CH2098" t="s">
        <v>1681</v>
      </c>
      <c r="CI2098" s="10">
        <v>428800</v>
      </c>
      <c r="CJ2098" s="7">
        <v>35447</v>
      </c>
    </row>
    <row r="2099" spans="1:88">
      <c r="A2099">
        <v>28037728</v>
      </c>
      <c r="B2099" s="2" t="str">
        <f>HYPERLINK("http://www.redfin.com/stingray/do/printable-listing?listing-id=1526869","Subject To Inspection")</f>
        <v>Subject To Inspection</v>
      </c>
      <c r="D2099" t="s">
        <v>4663</v>
      </c>
      <c r="E2099" t="s">
        <v>4916</v>
      </c>
      <c r="F2099">
        <v>712000</v>
      </c>
      <c r="G2099">
        <v>2005</v>
      </c>
      <c r="H2099">
        <v>3360</v>
      </c>
      <c r="I2099">
        <v>8510</v>
      </c>
      <c r="J2099">
        <v>5</v>
      </c>
      <c r="K2099">
        <v>2.5</v>
      </c>
      <c r="M2099" s="2" t="str">
        <f>HYPERLINK("http://maps.live.com/default.aspx?v=2&amp;lvl=15&amp;sp=Point.47.668063_-122.179135_12037 NE 70th St&amp;cp=47.668063~-122.179135","Map")</f>
        <v>Map</v>
      </c>
      <c r="N2099" s="2" t="str">
        <f>HYPERLINK("http://i-0.rfimg.us/photo/1/bigphoto/728/28037728_0.jpg","Photo")</f>
        <v>Photo</v>
      </c>
      <c r="AG2099">
        <v>47.668062999999997</v>
      </c>
      <c r="AH2099">
        <v>-122.179135</v>
      </c>
      <c r="AI2099" t="s">
        <v>1058</v>
      </c>
      <c r="AJ2099">
        <v>98033</v>
      </c>
      <c r="BC2099" s="22">
        <v>39510.777314814812</v>
      </c>
      <c r="BI2099" s="22">
        <v>39549.294907407406</v>
      </c>
      <c r="BL2099">
        <v>14240</v>
      </c>
      <c r="BM2099">
        <v>1526869</v>
      </c>
      <c r="BN2099" t="s">
        <v>4915</v>
      </c>
      <c r="BO2099" s="17">
        <f t="shared" ca="1" si="32"/>
        <v>38.532091087967274</v>
      </c>
      <c r="BP2099" t="b">
        <v>0</v>
      </c>
      <c r="BQ2099">
        <v>2</v>
      </c>
      <c r="BR2099" t="s">
        <v>1686</v>
      </c>
      <c r="BS2099" t="s">
        <v>1703</v>
      </c>
      <c r="BT2099" t="b">
        <v>0</v>
      </c>
      <c r="BU2099" t="s">
        <v>1738</v>
      </c>
      <c r="BV2099" t="s">
        <v>1668</v>
      </c>
      <c r="BW2099">
        <v>12037</v>
      </c>
      <c r="BY2099">
        <v>12422131</v>
      </c>
      <c r="BZ2099" t="s">
        <v>1672</v>
      </c>
      <c r="CA2099">
        <v>1</v>
      </c>
      <c r="CB2099" t="b">
        <v>1</v>
      </c>
      <c r="CC2099">
        <v>0</v>
      </c>
      <c r="CD2099" t="b">
        <v>0</v>
      </c>
      <c r="CE2099" t="b">
        <v>0</v>
      </c>
      <c r="CF2099" t="b">
        <v>0</v>
      </c>
      <c r="CG2099">
        <v>15625879</v>
      </c>
      <c r="CH2099" t="s">
        <v>1681</v>
      </c>
      <c r="CI2099" s="10">
        <v>712000</v>
      </c>
    </row>
    <row r="2100" spans="1:88">
      <c r="A2100">
        <v>28037738</v>
      </c>
      <c r="B2100" s="2" t="str">
        <f>HYPERLINK("http://www.redfin.com/stingray/do/printable-listing?listing-id=1526885","Active")</f>
        <v>Active</v>
      </c>
      <c r="D2100" t="s">
        <v>101</v>
      </c>
      <c r="E2100" t="s">
        <v>1276</v>
      </c>
      <c r="F2100" s="19">
        <v>799950</v>
      </c>
      <c r="G2100">
        <v>1942</v>
      </c>
      <c r="H2100">
        <v>2878</v>
      </c>
      <c r="I2100">
        <v>21344</v>
      </c>
      <c r="J2100">
        <v>4</v>
      </c>
      <c r="K2100">
        <v>2.75</v>
      </c>
      <c r="M2100" s="2" t="str">
        <f>HYPERLINK("http://maps.live.com/default.aspx?v=2&amp;lvl=15&amp;sp=Point.47.699949_-122.38098_1906 NW 97th St&amp;cp=47.699949~-122.38098","Map")</f>
        <v>Map</v>
      </c>
      <c r="N2100" s="2" t="str">
        <f>HYPERLINK("http://i-0.rfimg.us/photo/1/bigphoto/738/28037738_1.jpg","Photo")</f>
        <v>Photo</v>
      </c>
      <c r="AG2100">
        <v>47.699948999999997</v>
      </c>
      <c r="AH2100">
        <v>-122.38097999999999</v>
      </c>
      <c r="AI2100" t="s">
        <v>66</v>
      </c>
      <c r="AJ2100">
        <v>98117</v>
      </c>
      <c r="BC2100" s="22">
        <v>39510.787083333336</v>
      </c>
      <c r="BI2100" s="22">
        <v>39549.294907407406</v>
      </c>
      <c r="BL2100">
        <v>16999</v>
      </c>
      <c r="BM2100">
        <v>1526885</v>
      </c>
      <c r="BN2100" t="s">
        <v>2749</v>
      </c>
      <c r="BO2100" s="17">
        <f t="shared" ca="1" si="32"/>
        <v>38.522322569442622</v>
      </c>
      <c r="BP2100" t="b">
        <v>0</v>
      </c>
      <c r="BQ2100">
        <v>1</v>
      </c>
      <c r="BR2100" t="s">
        <v>1686</v>
      </c>
      <c r="BS2100" t="s">
        <v>1840</v>
      </c>
      <c r="BT2100" t="b">
        <v>0</v>
      </c>
      <c r="BU2100" t="s">
        <v>1669</v>
      </c>
      <c r="BV2100" t="s">
        <v>1668</v>
      </c>
      <c r="BW2100">
        <v>1906</v>
      </c>
      <c r="BY2100">
        <v>289759</v>
      </c>
      <c r="BZ2100" t="s">
        <v>2750</v>
      </c>
      <c r="CA2100">
        <v>1</v>
      </c>
      <c r="CB2100" t="b">
        <v>1</v>
      </c>
      <c r="CC2100">
        <v>0</v>
      </c>
      <c r="CD2100" t="b">
        <v>0</v>
      </c>
      <c r="CE2100" t="b">
        <v>0</v>
      </c>
      <c r="CF2100" t="b">
        <v>0</v>
      </c>
      <c r="CG2100">
        <v>2782591</v>
      </c>
      <c r="CH2100" t="s">
        <v>1681</v>
      </c>
      <c r="CI2100" s="10">
        <v>849950</v>
      </c>
    </row>
    <row r="2101" spans="1:88">
      <c r="A2101">
        <v>28037752</v>
      </c>
      <c r="B2101" s="2" t="str">
        <f>HYPERLINK("http://www.redfin.com/stingray/do/printable-listing?listing-id=1527487","Active")</f>
        <v>Active</v>
      </c>
      <c r="D2101" t="s">
        <v>3885</v>
      </c>
      <c r="E2101" t="s">
        <v>5800</v>
      </c>
      <c r="F2101">
        <v>688000</v>
      </c>
      <c r="G2101">
        <v>1989</v>
      </c>
      <c r="H2101">
        <v>3173</v>
      </c>
      <c r="I2101">
        <v>18252</v>
      </c>
      <c r="J2101">
        <v>4</v>
      </c>
      <c r="K2101">
        <v>3.25</v>
      </c>
      <c r="M2101" s="2" t="str">
        <f>HYPERLINK("http://maps.live.com/default.aspx?v=2&amp;lvl=15&amp;sp=Point.47.532013_-122.171624_12629 SE 79th Ct&amp;cp=47.532013~-122.171624","Map")</f>
        <v>Map</v>
      </c>
      <c r="N2101" s="2" t="str">
        <f>HYPERLINK("http://i-0.rfimg.us/photo/1/bigphoto/752/28037752_0.jpg","Photo")</f>
        <v>Photo</v>
      </c>
      <c r="AG2101">
        <v>47.532012999999999</v>
      </c>
      <c r="AH2101">
        <v>-122.17162399999999</v>
      </c>
      <c r="AI2101" t="s">
        <v>3885</v>
      </c>
      <c r="AJ2101">
        <v>98056</v>
      </c>
      <c r="AN2101">
        <v>178400</v>
      </c>
      <c r="BC2101" s="22">
        <v>39510.818171296298</v>
      </c>
      <c r="BI2101" s="22">
        <v>39549.294907407406</v>
      </c>
      <c r="BL2101">
        <v>13760</v>
      </c>
      <c r="BM2101">
        <v>1527487</v>
      </c>
      <c r="BN2101" t="s">
        <v>5799</v>
      </c>
      <c r="BO2101" s="17">
        <f t="shared" ca="1" si="32"/>
        <v>38.491234606481157</v>
      </c>
      <c r="BP2101" t="b">
        <v>0</v>
      </c>
      <c r="BQ2101">
        <v>1</v>
      </c>
      <c r="BR2101" t="s">
        <v>3768</v>
      </c>
      <c r="BS2101" t="s">
        <v>3206</v>
      </c>
      <c r="BT2101" t="b">
        <v>0</v>
      </c>
      <c r="BU2101" t="s">
        <v>3856</v>
      </c>
      <c r="BV2101" t="s">
        <v>1668</v>
      </c>
      <c r="BW2101">
        <v>12629</v>
      </c>
      <c r="BY2101">
        <v>416519</v>
      </c>
      <c r="BZ2101" t="s">
        <v>1696</v>
      </c>
      <c r="CA2101">
        <v>1</v>
      </c>
      <c r="CB2101" t="b">
        <v>1</v>
      </c>
      <c r="CC2101">
        <v>0</v>
      </c>
      <c r="CD2101" t="b">
        <v>0</v>
      </c>
      <c r="CE2101" t="b">
        <v>0</v>
      </c>
      <c r="CF2101" t="b">
        <v>0</v>
      </c>
      <c r="CG2101">
        <v>2448876</v>
      </c>
      <c r="CH2101" t="s">
        <v>1681</v>
      </c>
      <c r="CI2101" s="10">
        <v>688000</v>
      </c>
      <c r="CJ2101" s="7">
        <v>32699</v>
      </c>
    </row>
    <row r="2102" spans="1:88">
      <c r="A2102">
        <v>28037781</v>
      </c>
      <c r="B2102" s="2" t="str">
        <f>HYPERLINK("http://www.redfin.com/stingray/do/printable-listing?listing-id=1528779","Active")</f>
        <v>Active</v>
      </c>
      <c r="D2102" t="s">
        <v>5050</v>
      </c>
      <c r="E2102" t="s">
        <v>5094</v>
      </c>
      <c r="F2102">
        <v>585000</v>
      </c>
      <c r="G2102">
        <v>1967</v>
      </c>
      <c r="H2102">
        <v>2260</v>
      </c>
      <c r="I2102">
        <v>10650</v>
      </c>
      <c r="J2102">
        <v>4</v>
      </c>
      <c r="K2102">
        <v>1.75</v>
      </c>
      <c r="M2102" s="2" t="str">
        <f>HYPERLINK("http://maps.live.com/default.aspx?v=2&amp;lvl=15&amp;sp=Point.47.617507_-122.166716_804 130th Ave NE&amp;cp=47.617507~-122.166716","Map")</f>
        <v>Map</v>
      </c>
      <c r="N2102" s="2" t="str">
        <f>HYPERLINK("http://i-0.rfimg.us/photo/1/bigphoto/781/28037781_0.jpg","Photo")</f>
        <v>Photo</v>
      </c>
      <c r="AG2102">
        <v>47.617507000000003</v>
      </c>
      <c r="AH2102">
        <v>-122.16671599999999</v>
      </c>
      <c r="AI2102" t="s">
        <v>369</v>
      </c>
      <c r="AJ2102">
        <v>98005</v>
      </c>
      <c r="AN2102">
        <v>10497</v>
      </c>
      <c r="BC2102" s="22">
        <v>39511.452604166669</v>
      </c>
      <c r="BI2102" s="22">
        <v>39549.294907407406</v>
      </c>
      <c r="BL2102">
        <v>11700</v>
      </c>
      <c r="BM2102">
        <v>1528779</v>
      </c>
      <c r="BN2102" t="s">
        <v>1768</v>
      </c>
      <c r="BO2102" s="17">
        <f t="shared" ca="1" si="32"/>
        <v>37.856801736110356</v>
      </c>
      <c r="BP2102" t="b">
        <v>0</v>
      </c>
      <c r="BQ2102">
        <v>1</v>
      </c>
      <c r="BR2102" t="s">
        <v>1667</v>
      </c>
      <c r="BS2102" t="s">
        <v>2964</v>
      </c>
      <c r="BT2102" t="b">
        <v>0</v>
      </c>
      <c r="BV2102" t="s">
        <v>1668</v>
      </c>
      <c r="BW2102">
        <v>804</v>
      </c>
      <c r="BX2102" t="s">
        <v>1738</v>
      </c>
      <c r="BY2102">
        <v>506959</v>
      </c>
      <c r="BZ2102" t="s">
        <v>1701</v>
      </c>
      <c r="CA2102">
        <v>1</v>
      </c>
      <c r="CB2102" t="b">
        <v>1</v>
      </c>
      <c r="CC2102">
        <v>0</v>
      </c>
      <c r="CD2102" t="b">
        <v>0</v>
      </c>
      <c r="CE2102" t="b">
        <v>0</v>
      </c>
      <c r="CF2102" t="b">
        <v>0</v>
      </c>
      <c r="CG2102">
        <v>2910584</v>
      </c>
      <c r="CH2102" t="s">
        <v>1681</v>
      </c>
      <c r="CI2102" s="10">
        <v>585000</v>
      </c>
      <c r="CJ2102" s="7">
        <v>33098</v>
      </c>
    </row>
    <row r="2103" spans="1:88">
      <c r="A2103">
        <v>28037790</v>
      </c>
      <c r="B2103" s="2" t="str">
        <f>HYPERLINK("http://www.redfin.com/stingray/do/printable-listing?listing-id=1530873","Active")</f>
        <v>Active</v>
      </c>
      <c r="D2103" t="s">
        <v>207</v>
      </c>
      <c r="E2103" t="s">
        <v>3192</v>
      </c>
      <c r="F2103" s="19">
        <v>1039950</v>
      </c>
      <c r="G2103">
        <v>2008</v>
      </c>
      <c r="H2103">
        <v>3100</v>
      </c>
      <c r="I2103">
        <v>0</v>
      </c>
      <c r="J2103">
        <v>5</v>
      </c>
      <c r="K2103">
        <v>3.5</v>
      </c>
      <c r="M2103" s="2" t="str">
        <f>HYPERLINK("http://maps.live.com/default.aspx?v=2&amp;lvl=15&amp;sp=Point.47.66953_-122.293503_5532 31st Ave NE&amp;cp=47.66953~-122.293503","Map")</f>
        <v>Map</v>
      </c>
      <c r="N2103" s="2" t="str">
        <f>HYPERLINK("http://i-0.rfimg.us/photo/1/bigphoto/790/28037790_1.jpg","Photo")</f>
        <v>Photo</v>
      </c>
      <c r="AG2103">
        <v>47.669530000000002</v>
      </c>
      <c r="AH2103">
        <v>-122.293503</v>
      </c>
      <c r="AI2103" t="s">
        <v>66</v>
      </c>
      <c r="AJ2103">
        <v>98105</v>
      </c>
      <c r="AN2103">
        <v>559000</v>
      </c>
      <c r="BC2103" s="22">
        <v>39511.911111111112</v>
      </c>
      <c r="BI2103" s="22">
        <v>39547.913935185185</v>
      </c>
      <c r="BL2103">
        <v>21199</v>
      </c>
      <c r="BM2103">
        <v>1530873</v>
      </c>
      <c r="BN2103" t="s">
        <v>3191</v>
      </c>
      <c r="BO2103" s="17">
        <f t="shared" ca="1" si="32"/>
        <v>37.398294791666558</v>
      </c>
      <c r="BP2103" t="b">
        <v>0</v>
      </c>
      <c r="BQ2103">
        <v>1</v>
      </c>
      <c r="BR2103" t="s">
        <v>1667</v>
      </c>
      <c r="BS2103" t="s">
        <v>1732</v>
      </c>
      <c r="BT2103" t="b">
        <v>0</v>
      </c>
      <c r="BV2103" t="s">
        <v>1668</v>
      </c>
      <c r="BW2103">
        <v>5532</v>
      </c>
      <c r="BX2103" t="s">
        <v>1738</v>
      </c>
      <c r="BY2103">
        <v>312406</v>
      </c>
      <c r="BZ2103" t="s">
        <v>2451</v>
      </c>
      <c r="CA2103">
        <v>1</v>
      </c>
      <c r="CB2103" t="b">
        <v>1</v>
      </c>
      <c r="CC2103">
        <v>0</v>
      </c>
      <c r="CD2103" t="b">
        <v>0</v>
      </c>
      <c r="CE2103" t="b">
        <v>0</v>
      </c>
      <c r="CF2103" t="b">
        <v>0</v>
      </c>
      <c r="CG2103">
        <v>2358342</v>
      </c>
      <c r="CH2103" t="s">
        <v>1681</v>
      </c>
      <c r="CI2103" s="10">
        <v>1059950</v>
      </c>
      <c r="CJ2103" s="7">
        <v>39098</v>
      </c>
    </row>
    <row r="2104" spans="1:88">
      <c r="A2104">
        <v>28037813</v>
      </c>
      <c r="B2104" s="2" t="str">
        <f>HYPERLINK("http://www.redfin.com/stingray/do/printable-listing?listing-id=1530792","Active")</f>
        <v>Active</v>
      </c>
      <c r="D2104" t="s">
        <v>5058</v>
      </c>
      <c r="E2104" t="s">
        <v>5057</v>
      </c>
      <c r="F2104">
        <v>1249950</v>
      </c>
      <c r="G2104">
        <v>1936</v>
      </c>
      <c r="H2104">
        <v>1440</v>
      </c>
      <c r="I2104">
        <v>16553</v>
      </c>
      <c r="J2104">
        <v>2</v>
      </c>
      <c r="K2104">
        <v>1</v>
      </c>
      <c r="M2104" s="2" t="str">
        <f>HYPERLINK("http://maps.live.com/default.aspx?v=2&amp;lvl=15&amp;sp=Point.47.617129_-122.222836_8650 NE 7th St&amp;cp=47.617129~-122.222836","Map")</f>
        <v>Map</v>
      </c>
      <c r="N2104" s="2" t="str">
        <f>HYPERLINK("http://i-0.rfimg.us/photo/1/bigphoto/813/28037813_0.jpg","Photo")</f>
        <v>Photo</v>
      </c>
      <c r="AG2104">
        <v>47.617128999999998</v>
      </c>
      <c r="AH2104">
        <v>-122.222836</v>
      </c>
      <c r="AI2104" t="s">
        <v>5058</v>
      </c>
      <c r="AJ2104">
        <v>98039</v>
      </c>
      <c r="AN2104">
        <v>955000</v>
      </c>
      <c r="BC2104" s="22">
        <v>39511.849016203705</v>
      </c>
      <c r="BI2104" s="22">
        <v>39549.294907407406</v>
      </c>
      <c r="BL2104">
        <v>24999</v>
      </c>
      <c r="BM2104">
        <v>1530792</v>
      </c>
      <c r="BN2104" t="s">
        <v>1735</v>
      </c>
      <c r="BO2104" s="17">
        <f t="shared" ca="1" si="32"/>
        <v>37.460389699073858</v>
      </c>
      <c r="BP2104" t="b">
        <v>0</v>
      </c>
      <c r="BQ2104">
        <v>1</v>
      </c>
      <c r="BR2104" t="s">
        <v>1686</v>
      </c>
      <c r="BS2104" t="s">
        <v>1859</v>
      </c>
      <c r="BT2104" t="b">
        <v>0</v>
      </c>
      <c r="BU2104" t="s">
        <v>1738</v>
      </c>
      <c r="BV2104" t="s">
        <v>1668</v>
      </c>
      <c r="BW2104">
        <v>8650</v>
      </c>
      <c r="BY2104">
        <v>250608</v>
      </c>
      <c r="BZ2104" t="s">
        <v>1743</v>
      </c>
      <c r="CA2104">
        <v>1</v>
      </c>
      <c r="CB2104" t="b">
        <v>1</v>
      </c>
      <c r="CC2104">
        <v>0</v>
      </c>
      <c r="CD2104" t="b">
        <v>0</v>
      </c>
      <c r="CE2104" t="b">
        <v>0</v>
      </c>
      <c r="CF2104" t="b">
        <v>0</v>
      </c>
      <c r="CG2104">
        <v>2413760</v>
      </c>
      <c r="CH2104" t="s">
        <v>1681</v>
      </c>
      <c r="CI2104" s="10">
        <v>1249950</v>
      </c>
      <c r="CJ2104" s="7">
        <v>39094</v>
      </c>
    </row>
    <row r="2105" spans="1:88">
      <c r="A2105">
        <v>28037815</v>
      </c>
      <c r="B2105" s="2" t="str">
        <f>HYPERLINK("http://www.redfin.com/stingray/do/printable-listing?listing-id=1527964","Active")</f>
        <v>Active</v>
      </c>
      <c r="D2105" t="s">
        <v>4401</v>
      </c>
      <c r="E2105" t="s">
        <v>4586</v>
      </c>
      <c r="F2105">
        <v>469000</v>
      </c>
      <c r="G2105">
        <v>1974</v>
      </c>
      <c r="H2105">
        <v>1510</v>
      </c>
      <c r="I2105">
        <v>9148</v>
      </c>
      <c r="J2105">
        <v>3</v>
      </c>
      <c r="K2105">
        <v>2</v>
      </c>
      <c r="M2105" s="2" t="str">
        <f>HYPERLINK("http://maps.live.com/default.aspx?v=2&amp;lvl=15&amp;sp=Point.47.72443_-122.168414_12901 NE 139th St&amp;cp=47.72443~-122.168414","Map")</f>
        <v>Map</v>
      </c>
      <c r="N2105" s="2" t="str">
        <f>HYPERLINK("http://i-0.rfimg.us/photo/1/bigphoto/815/28037815_3.jpg","Photo")</f>
        <v>Photo</v>
      </c>
      <c r="AG2105">
        <v>47.724429999999998</v>
      </c>
      <c r="AH2105">
        <v>-122.168414</v>
      </c>
      <c r="AI2105" t="s">
        <v>1058</v>
      </c>
      <c r="AJ2105">
        <v>98034</v>
      </c>
      <c r="AN2105">
        <v>450000</v>
      </c>
      <c r="BC2105" s="22">
        <v>39511.367175925923</v>
      </c>
      <c r="BI2105" s="7">
        <v>39541</v>
      </c>
      <c r="BL2105">
        <v>9380</v>
      </c>
      <c r="BM2105">
        <v>1527964</v>
      </c>
      <c r="BN2105" t="s">
        <v>1753</v>
      </c>
      <c r="BO2105" s="17">
        <f t="shared" ca="1" si="32"/>
        <v>37.942229976855742</v>
      </c>
      <c r="BP2105" t="b">
        <v>0</v>
      </c>
      <c r="BQ2105">
        <v>1</v>
      </c>
      <c r="BR2105" t="s">
        <v>1686</v>
      </c>
      <c r="BS2105" t="s">
        <v>4423</v>
      </c>
      <c r="BT2105" t="b">
        <v>0</v>
      </c>
      <c r="BU2105" t="s">
        <v>1738</v>
      </c>
      <c r="BV2105" t="s">
        <v>1668</v>
      </c>
      <c r="BW2105">
        <v>12901</v>
      </c>
      <c r="BY2105">
        <v>454401</v>
      </c>
      <c r="BZ2105" t="s">
        <v>4587</v>
      </c>
      <c r="CA2105">
        <v>1</v>
      </c>
      <c r="CB2105" t="b">
        <v>1</v>
      </c>
      <c r="CC2105">
        <v>0</v>
      </c>
      <c r="CD2105" t="b">
        <v>0</v>
      </c>
      <c r="CE2105" t="b">
        <v>0</v>
      </c>
      <c r="CF2105" t="b">
        <v>0</v>
      </c>
      <c r="CG2105">
        <v>2670259</v>
      </c>
      <c r="CH2105" t="s">
        <v>1681</v>
      </c>
      <c r="CI2105" s="10">
        <v>469000</v>
      </c>
      <c r="CJ2105" s="7">
        <v>38980</v>
      </c>
    </row>
    <row r="2106" spans="1:88">
      <c r="A2106">
        <v>28037830</v>
      </c>
      <c r="B2106" s="2" t="str">
        <f>HYPERLINK("http://www.redfin.com/stingray/do/printable-listing?listing-id=1542535","Active")</f>
        <v>Active</v>
      </c>
      <c r="D2106" t="s">
        <v>192</v>
      </c>
      <c r="E2106" t="s">
        <v>2188</v>
      </c>
      <c r="F2106">
        <v>444000</v>
      </c>
      <c r="G2106">
        <v>1925</v>
      </c>
      <c r="H2106">
        <v>1050</v>
      </c>
      <c r="I2106">
        <v>4275</v>
      </c>
      <c r="J2106">
        <v>2</v>
      </c>
      <c r="K2106">
        <v>1.5</v>
      </c>
      <c r="M2106" s="2" t="str">
        <f>HYPERLINK("http://maps.live.com/default.aspx?v=2&amp;lvl=15&amp;sp=Point.47.687292_-122.314019_8018 Brooklyn Ave NE&amp;cp=47.687292~-122.314019","Map")</f>
        <v>Map</v>
      </c>
      <c r="N2106" s="2" t="str">
        <f>HYPERLINK("http://i-0.rfimg.us/photo/1/bigphoto/830/28037830_0.jpg","Photo")</f>
        <v>Photo</v>
      </c>
      <c r="AG2106">
        <v>47.687291999999999</v>
      </c>
      <c r="AH2106">
        <v>-122.314019</v>
      </c>
      <c r="AI2106" t="s">
        <v>66</v>
      </c>
      <c r="AJ2106">
        <v>98115</v>
      </c>
      <c r="BC2106" s="22">
        <v>39515.35864583333</v>
      </c>
      <c r="BI2106" s="22">
        <v>39549.294907407406</v>
      </c>
      <c r="BL2106">
        <v>8880</v>
      </c>
      <c r="BM2106">
        <v>1542535</v>
      </c>
      <c r="BN2106" t="s">
        <v>1746</v>
      </c>
      <c r="BO2106" s="17">
        <f t="shared" ca="1" si="32"/>
        <v>33.950760069448734</v>
      </c>
      <c r="BP2106" t="b">
        <v>0</v>
      </c>
      <c r="BQ2106">
        <v>1</v>
      </c>
      <c r="BR2106" t="s">
        <v>1667</v>
      </c>
      <c r="BS2106" t="s">
        <v>3106</v>
      </c>
      <c r="BT2106" t="b">
        <v>0</v>
      </c>
      <c r="BV2106" t="s">
        <v>1668</v>
      </c>
      <c r="BW2106">
        <v>8018</v>
      </c>
      <c r="BX2106" t="s">
        <v>1738</v>
      </c>
      <c r="BY2106">
        <v>108745</v>
      </c>
      <c r="BZ2106" s="21">
        <v>0</v>
      </c>
      <c r="CA2106">
        <v>1</v>
      </c>
      <c r="CB2106" t="b">
        <v>1</v>
      </c>
      <c r="CC2106">
        <v>0</v>
      </c>
      <c r="CD2106" t="b">
        <v>0</v>
      </c>
      <c r="CE2106" t="b">
        <v>0</v>
      </c>
      <c r="CF2106" t="b">
        <v>0</v>
      </c>
      <c r="CG2106">
        <v>2924824</v>
      </c>
      <c r="CH2106" t="s">
        <v>1681</v>
      </c>
      <c r="CI2106" s="10">
        <v>444000</v>
      </c>
    </row>
    <row r="2107" spans="1:88">
      <c r="A2107">
        <v>28037874</v>
      </c>
      <c r="B2107" s="2" t="str">
        <f>HYPERLINK("http://www.redfin.com/stingray/do/printable-listing?listing-id=1528477","Active")</f>
        <v>Active</v>
      </c>
      <c r="D2107" t="s">
        <v>5195</v>
      </c>
      <c r="E2107" t="s">
        <v>5209</v>
      </c>
      <c r="F2107" s="19">
        <v>668950</v>
      </c>
      <c r="G2107">
        <v>1964</v>
      </c>
      <c r="H2107">
        <v>2340</v>
      </c>
      <c r="I2107">
        <v>9000</v>
      </c>
      <c r="J2107">
        <v>4</v>
      </c>
      <c r="K2107">
        <v>2.75</v>
      </c>
      <c r="M2107" s="2" t="str">
        <f>HYPERLINK("http://maps.live.com/default.aspx?v=2&amp;lvl=15&amp;sp=Point.47.586205_-122.117155_16639 26th place&amp;cp=47.586205~-122.117155","Map")</f>
        <v>Map</v>
      </c>
      <c r="N2107" s="2" t="str">
        <f>HYPERLINK("http://i-0.rfimg.us/photo/1/bigphoto/874/28037874_1.jpg","Photo")</f>
        <v>Photo</v>
      </c>
      <c r="AG2107">
        <v>47.586205</v>
      </c>
      <c r="AH2107">
        <v>-122.117155</v>
      </c>
      <c r="AI2107" t="s">
        <v>369</v>
      </c>
      <c r="AJ2107">
        <v>98008</v>
      </c>
      <c r="AN2107">
        <v>438500</v>
      </c>
      <c r="BC2107" s="22">
        <v>39511.379664351851</v>
      </c>
      <c r="BI2107" s="22">
        <v>39549.294907407406</v>
      </c>
      <c r="BL2107">
        <v>13979</v>
      </c>
      <c r="BM2107">
        <v>1528477</v>
      </c>
      <c r="BN2107" t="s">
        <v>1737</v>
      </c>
      <c r="BO2107" s="17">
        <f t="shared" ca="1" si="32"/>
        <v>37.929741550928156</v>
      </c>
      <c r="BP2107" t="b">
        <v>0</v>
      </c>
      <c r="BQ2107">
        <v>1</v>
      </c>
      <c r="BR2107" t="s">
        <v>5210</v>
      </c>
      <c r="BS2107" t="s">
        <v>1769</v>
      </c>
      <c r="BT2107" t="b">
        <v>0</v>
      </c>
      <c r="BV2107" t="s">
        <v>1668</v>
      </c>
      <c r="BW2107">
        <v>16639</v>
      </c>
      <c r="BY2107">
        <v>428395</v>
      </c>
      <c r="BZ2107" t="s">
        <v>2133</v>
      </c>
      <c r="CA2107">
        <v>1</v>
      </c>
      <c r="CB2107" t="b">
        <v>1</v>
      </c>
      <c r="CC2107">
        <v>0</v>
      </c>
      <c r="CD2107" t="b">
        <v>0</v>
      </c>
      <c r="CE2107" t="b">
        <v>0</v>
      </c>
      <c r="CF2107" t="b">
        <v>0</v>
      </c>
      <c r="CG2107">
        <v>2925815</v>
      </c>
      <c r="CH2107" t="s">
        <v>1681</v>
      </c>
      <c r="CI2107" s="10">
        <v>698950</v>
      </c>
      <c r="CJ2107" s="7">
        <v>38538</v>
      </c>
    </row>
    <row r="2108" spans="1:88">
      <c r="A2108">
        <v>28037876</v>
      </c>
      <c r="B2108" s="2" t="str">
        <f>HYPERLINK("http://www.redfin.com/stingray/do/printable-listing?listing-id=1528600","Active")</f>
        <v>Active</v>
      </c>
      <c r="D2108" t="s">
        <v>63</v>
      </c>
      <c r="E2108" t="s">
        <v>1757</v>
      </c>
      <c r="F2108" s="19">
        <v>299950</v>
      </c>
      <c r="G2108">
        <v>1928</v>
      </c>
      <c r="H2108">
        <v>0</v>
      </c>
      <c r="I2108">
        <v>0</v>
      </c>
      <c r="J2108">
        <v>1</v>
      </c>
      <c r="K2108">
        <v>1</v>
      </c>
      <c r="M2108" s="2" t="str">
        <f>HYPERLINK("http://maps.live.com/default.aspx?v=2&amp;lvl=15&amp;sp=Point.47.679852_-122.393382_2806 NW 70th St&amp;cp=47.679852~-122.393382","Map")</f>
        <v>Map</v>
      </c>
      <c r="N2108" s="2" t="str">
        <f>HYPERLINK("http://i-0.rfimg.us/photo/1/bigphoto/876/28037876_0.jpg","Photo")</f>
        <v>Photo</v>
      </c>
      <c r="AG2108">
        <v>47.679851999999997</v>
      </c>
      <c r="AH2108">
        <v>-122.393382</v>
      </c>
      <c r="AI2108" t="s">
        <v>66</v>
      </c>
      <c r="AJ2108">
        <v>98177</v>
      </c>
      <c r="AN2108">
        <v>170000</v>
      </c>
      <c r="BC2108" s="22">
        <v>39511.390393518515</v>
      </c>
      <c r="BI2108" s="22">
        <v>39549.294907407406</v>
      </c>
      <c r="BL2108">
        <v>6300</v>
      </c>
      <c r="BM2108">
        <v>1528600</v>
      </c>
      <c r="BN2108" t="s">
        <v>1674</v>
      </c>
      <c r="BO2108" s="17">
        <f t="shared" ca="1" si="32"/>
        <v>37.919012500002282</v>
      </c>
      <c r="BP2108" t="b">
        <v>0</v>
      </c>
      <c r="BQ2108">
        <v>1</v>
      </c>
      <c r="BR2108" t="s">
        <v>1686</v>
      </c>
      <c r="BS2108" t="s">
        <v>1703</v>
      </c>
      <c r="BT2108" t="b">
        <v>0</v>
      </c>
      <c r="BU2108" t="s">
        <v>1669</v>
      </c>
      <c r="BV2108" t="s">
        <v>1668</v>
      </c>
      <c r="BW2108">
        <v>2806</v>
      </c>
      <c r="BY2108">
        <v>164908</v>
      </c>
      <c r="BZ2108" t="s">
        <v>1713</v>
      </c>
      <c r="CA2108">
        <v>1</v>
      </c>
      <c r="CB2108" t="b">
        <v>1</v>
      </c>
      <c r="CC2108">
        <v>0</v>
      </c>
      <c r="CD2108" t="b">
        <v>0</v>
      </c>
      <c r="CE2108" t="b">
        <v>1</v>
      </c>
      <c r="CF2108" t="b">
        <v>0</v>
      </c>
      <c r="CG2108">
        <v>2374850</v>
      </c>
      <c r="CH2108" t="s">
        <v>1681</v>
      </c>
      <c r="CI2108" s="10">
        <v>315000</v>
      </c>
      <c r="CJ2108" s="7">
        <v>38629</v>
      </c>
    </row>
    <row r="2109" spans="1:88">
      <c r="A2109">
        <v>28037896</v>
      </c>
      <c r="B2109" s="2" t="str">
        <f>HYPERLINK("http://www.redfin.com/stingray/do/printable-listing?listing-id=1530541","Active")</f>
        <v>Active</v>
      </c>
      <c r="D2109" t="s">
        <v>192</v>
      </c>
      <c r="E2109" t="s">
        <v>3027</v>
      </c>
      <c r="F2109">
        <v>829000</v>
      </c>
      <c r="G2109">
        <v>2000</v>
      </c>
      <c r="H2109">
        <v>3620</v>
      </c>
      <c r="I2109">
        <v>4896</v>
      </c>
      <c r="J2109">
        <v>4</v>
      </c>
      <c r="K2109">
        <v>3.5</v>
      </c>
      <c r="M2109" s="2" t="str">
        <f>HYPERLINK("http://maps.live.com/default.aspx?v=2&amp;lvl=15&amp;sp=Point.47.693592_-122.312492_8917 15th Ave NE&amp;cp=47.693592~-122.312492","Map")</f>
        <v>Map</v>
      </c>
      <c r="N2109" s="2" t="str">
        <f>HYPERLINK("http://i-0.rfimg.us/photo/1/bigphoto/896/28037896_1.jpg","Photo")</f>
        <v>Photo</v>
      </c>
      <c r="AG2109">
        <v>47.693592000000002</v>
      </c>
      <c r="AH2109">
        <v>-122.31249200000001</v>
      </c>
      <c r="AI2109" t="s">
        <v>66</v>
      </c>
      <c r="AJ2109">
        <v>98115</v>
      </c>
      <c r="AN2109">
        <v>515000</v>
      </c>
      <c r="BC2109" s="22">
        <v>39511.767418981479</v>
      </c>
      <c r="BI2109" s="22">
        <v>39549.294907407406</v>
      </c>
      <c r="BL2109">
        <v>16580</v>
      </c>
      <c r="BM2109">
        <v>1530541</v>
      </c>
      <c r="BN2109" t="s">
        <v>3026</v>
      </c>
      <c r="BO2109" s="17">
        <f t="shared" ca="1" si="32"/>
        <v>37.541986921300122</v>
      </c>
      <c r="BP2109" t="b">
        <v>0</v>
      </c>
      <c r="BQ2109">
        <v>1</v>
      </c>
      <c r="BR2109" t="s">
        <v>1667</v>
      </c>
      <c r="BS2109" t="s">
        <v>1838</v>
      </c>
      <c r="BT2109" t="b">
        <v>0</v>
      </c>
      <c r="BV2109" t="s">
        <v>1668</v>
      </c>
      <c r="BW2109">
        <v>8917</v>
      </c>
      <c r="BX2109" t="s">
        <v>1738</v>
      </c>
      <c r="BY2109">
        <v>110355</v>
      </c>
      <c r="BZ2109" t="s">
        <v>1892</v>
      </c>
      <c r="CA2109">
        <v>1</v>
      </c>
      <c r="CB2109" t="b">
        <v>1</v>
      </c>
      <c r="CC2109">
        <v>0</v>
      </c>
      <c r="CD2109" t="b">
        <v>0</v>
      </c>
      <c r="CE2109" t="b">
        <v>0</v>
      </c>
      <c r="CF2109" t="b">
        <v>0</v>
      </c>
      <c r="CG2109">
        <v>2532268</v>
      </c>
      <c r="CH2109" t="s">
        <v>1681</v>
      </c>
      <c r="CI2109" s="10">
        <v>829000</v>
      </c>
      <c r="CJ2109" s="7">
        <v>38001</v>
      </c>
    </row>
    <row r="2110" spans="1:88">
      <c r="A2110">
        <v>28037928</v>
      </c>
      <c r="B2110" s="2" t="str">
        <f>HYPERLINK("http://www.redfin.com/stingray/do/printable-listing?listing-id=1535308","Active")</f>
        <v>Active</v>
      </c>
      <c r="D2110" t="s">
        <v>3681</v>
      </c>
      <c r="E2110" t="s">
        <v>3830</v>
      </c>
      <c r="F2110">
        <v>699950</v>
      </c>
      <c r="G2110">
        <v>1921</v>
      </c>
      <c r="H2110">
        <v>3060</v>
      </c>
      <c r="I2110">
        <v>4468</v>
      </c>
      <c r="J2110">
        <v>5</v>
      </c>
      <c r="K2110">
        <v>2</v>
      </c>
      <c r="M2110" s="2" t="str">
        <f>HYPERLINK("http://maps.live.com/default.aspx?v=2&amp;lvl=15&amp;sp=Point.47.637789_-122.301891_2023 24th Ave E&amp;cp=47.637789~-122.301891","Map")</f>
        <v>Map</v>
      </c>
      <c r="N2110" s="2" t="str">
        <f>HYPERLINK("http://i-0.rfimg.us/photo/1/bigphoto/928/28037928_0.jpg","Photo")</f>
        <v>Photo</v>
      </c>
      <c r="AG2110">
        <v>47.637788999999998</v>
      </c>
      <c r="AH2110">
        <v>-122.301891</v>
      </c>
      <c r="AI2110" t="s">
        <v>66</v>
      </c>
      <c r="AJ2110">
        <v>98112</v>
      </c>
      <c r="AN2110">
        <v>90000</v>
      </c>
      <c r="BC2110" s="22">
        <v>39513.275127314817</v>
      </c>
      <c r="BI2110" s="22">
        <v>39549.294907407406</v>
      </c>
      <c r="BL2110">
        <v>13999</v>
      </c>
      <c r="BM2110">
        <v>1535308</v>
      </c>
      <c r="BN2110" t="s">
        <v>1678</v>
      </c>
      <c r="BO2110" s="17">
        <f t="shared" ca="1" si="32"/>
        <v>36.034278587962035</v>
      </c>
      <c r="BP2110" t="b">
        <v>0</v>
      </c>
      <c r="BQ2110">
        <v>1</v>
      </c>
      <c r="BR2110" t="s">
        <v>1667</v>
      </c>
      <c r="BS2110" t="s">
        <v>1740</v>
      </c>
      <c r="BT2110" t="b">
        <v>0</v>
      </c>
      <c r="BV2110" t="s">
        <v>1668</v>
      </c>
      <c r="BW2110">
        <v>2023</v>
      </c>
      <c r="BX2110" t="s">
        <v>2436</v>
      </c>
      <c r="BY2110">
        <v>138172</v>
      </c>
      <c r="BZ2110" t="s">
        <v>1672</v>
      </c>
      <c r="CA2110">
        <v>1</v>
      </c>
      <c r="CB2110" t="b">
        <v>1</v>
      </c>
      <c r="CC2110">
        <v>0</v>
      </c>
      <c r="CD2110" t="b">
        <v>0</v>
      </c>
      <c r="CE2110" t="b">
        <v>0</v>
      </c>
      <c r="CF2110" t="b">
        <v>0</v>
      </c>
      <c r="CG2110">
        <v>2697494</v>
      </c>
      <c r="CH2110" t="s">
        <v>1681</v>
      </c>
      <c r="CI2110" s="10">
        <v>699950</v>
      </c>
      <c r="CJ2110" s="7">
        <v>31177</v>
      </c>
    </row>
    <row r="2111" spans="1:88">
      <c r="A2111">
        <v>28037930</v>
      </c>
      <c r="B2111" s="2" t="str">
        <f>HYPERLINK("http://www.redfin.com/stingray/do/printable-listing?listing-id=1528673","Active")</f>
        <v>Active</v>
      </c>
      <c r="D2111" t="s">
        <v>2850</v>
      </c>
      <c r="E2111" t="s">
        <v>4598</v>
      </c>
      <c r="F2111">
        <v>417950</v>
      </c>
      <c r="G2111">
        <v>1967</v>
      </c>
      <c r="H2111">
        <v>1290</v>
      </c>
      <c r="I2111">
        <v>7200</v>
      </c>
      <c r="J2111">
        <v>3</v>
      </c>
      <c r="K2111">
        <v>2</v>
      </c>
      <c r="M2111" s="2" t="str">
        <f>HYPERLINK("http://maps.live.com/default.aspx?v=2&amp;lvl=15&amp;sp=Point.47.70443_-122.193856_11612 110th Ave NE&amp;cp=47.70443~-122.193856","Map")</f>
        <v>Map</v>
      </c>
      <c r="N2111" s="2" t="str">
        <f>HYPERLINK("http://i-0.rfimg.us/photo/1/bigphoto/930/28037930_0.jpg","Photo")</f>
        <v>Photo</v>
      </c>
      <c r="AG2111">
        <v>47.704430000000002</v>
      </c>
      <c r="AH2111">
        <v>-122.193856</v>
      </c>
      <c r="AI2111" t="s">
        <v>1058</v>
      </c>
      <c r="AJ2111">
        <v>98034</v>
      </c>
      <c r="AN2111">
        <v>351000</v>
      </c>
      <c r="BC2111" s="22">
        <v>39511.421620370369</v>
      </c>
      <c r="BI2111" s="22">
        <v>39549.294907407406</v>
      </c>
      <c r="BL2111">
        <v>8359</v>
      </c>
      <c r="BM2111">
        <v>1528673</v>
      </c>
      <c r="BN2111" t="s">
        <v>4597</v>
      </c>
      <c r="BO2111" s="17">
        <f t="shared" ca="1" si="32"/>
        <v>37.887785532409907</v>
      </c>
      <c r="BP2111" t="b">
        <v>0</v>
      </c>
      <c r="BQ2111">
        <v>1</v>
      </c>
      <c r="BR2111" t="s">
        <v>1667</v>
      </c>
      <c r="BS2111" t="s">
        <v>4369</v>
      </c>
      <c r="BT2111" t="b">
        <v>0</v>
      </c>
      <c r="BV2111" t="s">
        <v>1668</v>
      </c>
      <c r="BW2111">
        <v>11612</v>
      </c>
      <c r="BX2111" t="s">
        <v>1738</v>
      </c>
      <c r="BY2111">
        <v>457594</v>
      </c>
      <c r="BZ2111" t="s">
        <v>1696</v>
      </c>
      <c r="CA2111">
        <v>1</v>
      </c>
      <c r="CB2111" t="b">
        <v>1</v>
      </c>
      <c r="CC2111">
        <v>0</v>
      </c>
      <c r="CD2111" t="b">
        <v>0</v>
      </c>
      <c r="CE2111" t="b">
        <v>0</v>
      </c>
      <c r="CF2111" t="b">
        <v>0</v>
      </c>
      <c r="CG2111">
        <v>2512178</v>
      </c>
      <c r="CH2111" t="s">
        <v>1681</v>
      </c>
      <c r="CI2111" s="10">
        <v>417950</v>
      </c>
      <c r="CJ2111" s="7">
        <v>39042</v>
      </c>
    </row>
    <row r="2112" spans="1:88">
      <c r="A2112">
        <v>28037992</v>
      </c>
      <c r="B2112" s="2" t="str">
        <f>HYPERLINK("http://www.redfin.com/stingray/do/printable-listing?listing-id=1528832","Active")</f>
        <v>Active</v>
      </c>
      <c r="D2112" t="s">
        <v>4611</v>
      </c>
      <c r="E2112" t="s">
        <v>5107</v>
      </c>
      <c r="F2112">
        <v>525000</v>
      </c>
      <c r="G2112">
        <v>1968</v>
      </c>
      <c r="H2112">
        <v>2460</v>
      </c>
      <c r="I2112">
        <v>0</v>
      </c>
      <c r="J2112">
        <v>5</v>
      </c>
      <c r="K2112">
        <v>2.5</v>
      </c>
      <c r="M2112" s="2" t="str">
        <f>HYPERLINK("http://maps.live.com/default.aspx?v=2&amp;lvl=15&amp;sp=Point.47.627426_-122.105887_1824 175th Pl NE&amp;cp=47.627426~-122.105887","Map")</f>
        <v>Map</v>
      </c>
      <c r="N2112" s="2" t="str">
        <f>HYPERLINK("http://i-0.rfimg.us/photo/1/bigphoto/992/28037992_0.jpg","Photo")</f>
        <v>Photo</v>
      </c>
      <c r="AG2112">
        <v>47.627426</v>
      </c>
      <c r="AH2112">
        <v>-122.105887</v>
      </c>
      <c r="AI2112" t="s">
        <v>369</v>
      </c>
      <c r="AJ2112">
        <v>98008</v>
      </c>
      <c r="AN2112">
        <v>332000</v>
      </c>
      <c r="BC2112" s="22">
        <v>39511.473877314813</v>
      </c>
      <c r="BI2112" s="22">
        <v>39549.294907407406</v>
      </c>
      <c r="BL2112">
        <v>10500</v>
      </c>
      <c r="BM2112">
        <v>1528832</v>
      </c>
      <c r="BN2112" t="s">
        <v>1675</v>
      </c>
      <c r="BO2112" s="17">
        <f t="shared" ca="1" si="32"/>
        <v>37.83552858796611</v>
      </c>
      <c r="BP2112" t="b">
        <v>0</v>
      </c>
      <c r="BQ2112">
        <v>1</v>
      </c>
      <c r="BR2112" t="s">
        <v>1842</v>
      </c>
      <c r="BS2112" t="s">
        <v>5108</v>
      </c>
      <c r="BT2112" t="b">
        <v>0</v>
      </c>
      <c r="BV2112" t="s">
        <v>1668</v>
      </c>
      <c r="BW2112">
        <v>1824</v>
      </c>
      <c r="BX2112" t="s">
        <v>1738</v>
      </c>
      <c r="BY2112">
        <v>502494</v>
      </c>
      <c r="BZ2112" t="s">
        <v>1701</v>
      </c>
      <c r="CA2112">
        <v>1</v>
      </c>
      <c r="CB2112" t="b">
        <v>1</v>
      </c>
      <c r="CC2112">
        <v>0</v>
      </c>
      <c r="CD2112" t="b">
        <v>0</v>
      </c>
      <c r="CE2112" t="b">
        <v>0</v>
      </c>
      <c r="CF2112" t="b">
        <v>0</v>
      </c>
      <c r="CG2112">
        <v>2873563</v>
      </c>
      <c r="CH2112" t="s">
        <v>1681</v>
      </c>
      <c r="CI2112" s="10">
        <v>525000</v>
      </c>
      <c r="CJ2112" s="7">
        <v>38442</v>
      </c>
    </row>
    <row r="2113" spans="1:88">
      <c r="A2113">
        <v>28038007</v>
      </c>
      <c r="B2113" s="15" t="str">
        <f>HYPERLINK("http://www.redfin.com/stingray/do/printable-listing?listing-id=1528831","Subject To Inspection")</f>
        <v>Subject To Inspection</v>
      </c>
      <c r="D2113" t="s">
        <v>109</v>
      </c>
      <c r="E2113" t="s">
        <v>3671</v>
      </c>
      <c r="F2113">
        <v>449950</v>
      </c>
      <c r="G2113">
        <v>2008</v>
      </c>
      <c r="H2113">
        <v>1568</v>
      </c>
      <c r="I2113">
        <v>0</v>
      </c>
      <c r="J2113">
        <v>3</v>
      </c>
      <c r="K2113">
        <v>2.25</v>
      </c>
      <c r="M2113" s="2" t="str">
        <f>HYPERLINK("http://maps.live.com/default.aspx?v=2&amp;lvl=15&amp;sp=Point.47.650778_-122.34159_3607 Interlake Ave N nA&amp;cp=47.650778~-122.34159","Map")</f>
        <v>Map</v>
      </c>
      <c r="N2113" s="2" t="str">
        <f>HYPERLINK("http://i-0.rfimg.us/photo/1/bigphoto/007/28038007_1.jpg","Photo")</f>
        <v>Photo</v>
      </c>
      <c r="AG2113" s="19">
        <v>47.650739000000002</v>
      </c>
      <c r="AH2113" s="19">
        <v>-122.34159200000001</v>
      </c>
      <c r="AI2113" t="s">
        <v>66</v>
      </c>
      <c r="AJ2113">
        <v>98103</v>
      </c>
      <c r="AM2113" t="s">
        <v>1722</v>
      </c>
      <c r="BC2113" s="22">
        <v>39511.473877314813</v>
      </c>
      <c r="BI2113" s="22">
        <v>39549.294907407406</v>
      </c>
      <c r="BL2113">
        <v>8999</v>
      </c>
      <c r="BM2113">
        <v>1528831</v>
      </c>
      <c r="BN2113" t="s">
        <v>1710</v>
      </c>
      <c r="BO2113" s="17">
        <f t="shared" ca="1" si="32"/>
        <v>37.83552858796611</v>
      </c>
      <c r="BP2113" t="b">
        <v>0</v>
      </c>
      <c r="BQ2113">
        <v>1</v>
      </c>
      <c r="BR2113" t="s">
        <v>1667</v>
      </c>
      <c r="BS2113" t="s">
        <v>2378</v>
      </c>
      <c r="BT2113" t="b">
        <v>0</v>
      </c>
      <c r="BV2113" t="s">
        <v>1668</v>
      </c>
      <c r="BW2113">
        <v>3607</v>
      </c>
      <c r="BX2113" t="s">
        <v>1712</v>
      </c>
      <c r="BY2113">
        <v>12422405</v>
      </c>
      <c r="BZ2113" t="s">
        <v>3672</v>
      </c>
      <c r="CA2113">
        <v>1</v>
      </c>
      <c r="CB2113" t="b">
        <v>1</v>
      </c>
      <c r="CC2113">
        <v>0</v>
      </c>
      <c r="CD2113" t="b">
        <v>0</v>
      </c>
      <c r="CE2113" t="b">
        <v>0</v>
      </c>
      <c r="CF2113" t="b">
        <v>0</v>
      </c>
      <c r="CG2113">
        <v>15626153</v>
      </c>
      <c r="CH2113" t="s">
        <v>1681</v>
      </c>
      <c r="CI2113" s="10">
        <v>449950</v>
      </c>
    </row>
    <row r="2114" spans="1:88">
      <c r="A2114">
        <v>28038009</v>
      </c>
      <c r="B2114" s="2" t="str">
        <f>HYPERLINK("http://www.redfin.com/stingray/do/printable-listing?listing-id=1535522","Active")</f>
        <v>Active</v>
      </c>
      <c r="D2114" t="s">
        <v>3885</v>
      </c>
      <c r="E2114" t="s">
        <v>5938</v>
      </c>
      <c r="F2114">
        <v>599950</v>
      </c>
      <c r="G2114">
        <v>2001</v>
      </c>
      <c r="H2114">
        <v>2450</v>
      </c>
      <c r="I2114">
        <v>0</v>
      </c>
      <c r="J2114">
        <v>4</v>
      </c>
      <c r="K2114">
        <v>2.5</v>
      </c>
      <c r="M2114" s="2" t="str">
        <f>HYPERLINK("http://maps.live.com/default.aspx?v=2&amp;lvl=15&amp;sp=Point.47.521554_-122.19277_3316 Lincoln Ave NE&amp;cp=47.521554~-122.19277","Map")</f>
        <v>Map</v>
      </c>
      <c r="N2114" s="2" t="str">
        <f>HYPERLINK("http://i-0.rfimg.us/photo/1/bigphoto/009/28038009_1.jpg","Photo")</f>
        <v>Photo</v>
      </c>
      <c r="AG2114">
        <v>47.521554000000002</v>
      </c>
      <c r="AH2114">
        <v>-122.19277</v>
      </c>
      <c r="AI2114" t="s">
        <v>1077</v>
      </c>
      <c r="AJ2114">
        <v>98056</v>
      </c>
      <c r="AN2114">
        <v>384500</v>
      </c>
      <c r="BC2114" s="22">
        <v>39513.379502314812</v>
      </c>
      <c r="BI2114" s="22">
        <v>39549.294907407406</v>
      </c>
      <c r="BL2114">
        <v>11999</v>
      </c>
      <c r="BM2114">
        <v>1535522</v>
      </c>
      <c r="BN2114" t="s">
        <v>1768</v>
      </c>
      <c r="BO2114" s="17">
        <f t="shared" ref="BO2114:BO2177" ca="1" si="33">NOW()-BC2114</f>
        <v>35.929903587966692</v>
      </c>
      <c r="BP2114" t="b">
        <v>0</v>
      </c>
      <c r="BQ2114">
        <v>1</v>
      </c>
      <c r="BR2114" t="s">
        <v>1667</v>
      </c>
      <c r="BS2114" t="s">
        <v>5939</v>
      </c>
      <c r="BT2114" t="b">
        <v>0</v>
      </c>
      <c r="BV2114" t="s">
        <v>1668</v>
      </c>
      <c r="BW2114">
        <v>3316</v>
      </c>
      <c r="BX2114" t="s">
        <v>1738</v>
      </c>
      <c r="BY2114">
        <v>413122</v>
      </c>
      <c r="BZ2114" t="s">
        <v>3309</v>
      </c>
      <c r="CA2114">
        <v>1</v>
      </c>
      <c r="CB2114" t="b">
        <v>1</v>
      </c>
      <c r="CC2114">
        <v>0</v>
      </c>
      <c r="CD2114" t="b">
        <v>0</v>
      </c>
      <c r="CE2114" t="b">
        <v>0</v>
      </c>
      <c r="CF2114" t="b">
        <v>0</v>
      </c>
      <c r="CG2114">
        <v>2476376</v>
      </c>
      <c r="CH2114" t="s">
        <v>1681</v>
      </c>
      <c r="CI2114" s="10">
        <v>599950</v>
      </c>
      <c r="CJ2114" s="7">
        <v>37545</v>
      </c>
    </row>
    <row r="2115" spans="1:88">
      <c r="A2115">
        <v>28038023</v>
      </c>
      <c r="B2115" s="2" t="str">
        <f>HYPERLINK("http://www.redfin.com/stingray/do/printable-listing?listing-id=1531193","Active")</f>
        <v>Active</v>
      </c>
      <c r="D2115" t="s">
        <v>55</v>
      </c>
      <c r="E2115" t="s">
        <v>1858</v>
      </c>
      <c r="F2115">
        <v>499999</v>
      </c>
      <c r="G2115">
        <v>1934</v>
      </c>
      <c r="H2115">
        <v>1940</v>
      </c>
      <c r="I2115">
        <v>5042</v>
      </c>
      <c r="J2115">
        <v>3</v>
      </c>
      <c r="K2115">
        <v>1.75</v>
      </c>
      <c r="M2115" s="2" t="str">
        <f>HYPERLINK("http://maps.live.com/default.aspx?v=2&amp;lvl=15&amp;sp=Point.47.697232_-122.365076_9239 7th Ave NW&amp;cp=47.697232~-122.365076","Map")</f>
        <v>Map</v>
      </c>
      <c r="N2115" s="2" t="str">
        <f>HYPERLINK("http://i-0.rfimg.us/photo/1/bigphoto/023/28038023_0.jpg","Photo")</f>
        <v>Photo</v>
      </c>
      <c r="AG2115">
        <v>47.697232</v>
      </c>
      <c r="AH2115">
        <v>-122.365076</v>
      </c>
      <c r="AI2115" t="s">
        <v>66</v>
      </c>
      <c r="AJ2115">
        <v>98117</v>
      </c>
      <c r="BC2115" s="22">
        <v>39512.295972222222</v>
      </c>
      <c r="BI2115" s="22">
        <v>39549.294907407406</v>
      </c>
      <c r="BL2115">
        <v>10000</v>
      </c>
      <c r="BM2115">
        <v>1531193</v>
      </c>
      <c r="BN2115" t="s">
        <v>1700</v>
      </c>
      <c r="BO2115" s="17">
        <f t="shared" ca="1" si="33"/>
        <v>37.013433796295431</v>
      </c>
      <c r="BP2115" t="b">
        <v>0</v>
      </c>
      <c r="BQ2115">
        <v>1</v>
      </c>
      <c r="BR2115" t="s">
        <v>1667</v>
      </c>
      <c r="BS2115" t="s">
        <v>1859</v>
      </c>
      <c r="BT2115" t="b">
        <v>0</v>
      </c>
      <c r="BV2115" t="s">
        <v>1668</v>
      </c>
      <c r="BW2115">
        <v>9239</v>
      </c>
      <c r="BX2115" t="s">
        <v>1669</v>
      </c>
      <c r="BY2115">
        <v>101150</v>
      </c>
      <c r="BZ2115" s="21">
        <v>0</v>
      </c>
      <c r="CA2115">
        <v>1</v>
      </c>
      <c r="CB2115" t="b">
        <v>1</v>
      </c>
      <c r="CC2115">
        <v>0</v>
      </c>
      <c r="CD2115" t="b">
        <v>0</v>
      </c>
      <c r="CE2115" t="b">
        <v>1</v>
      </c>
      <c r="CF2115" t="b">
        <v>0</v>
      </c>
      <c r="CG2115">
        <v>2530412</v>
      </c>
      <c r="CH2115" t="s">
        <v>1681</v>
      </c>
      <c r="CI2115" s="10">
        <v>499999</v>
      </c>
    </row>
    <row r="2116" spans="1:88">
      <c r="A2116">
        <v>28038040</v>
      </c>
      <c r="B2116" s="15" t="str">
        <f>HYPERLINK("http://www.redfin.com/stingray/do/printable-listing?listing-id=1528943","Subject To Inspection")</f>
        <v>Subject To Inspection</v>
      </c>
      <c r="D2116" t="s">
        <v>109</v>
      </c>
      <c r="E2116" t="s">
        <v>3673</v>
      </c>
      <c r="F2116" s="19">
        <v>449950</v>
      </c>
      <c r="G2116">
        <v>2008</v>
      </c>
      <c r="H2116">
        <v>1586</v>
      </c>
      <c r="I2116">
        <v>0</v>
      </c>
      <c r="J2116">
        <v>3</v>
      </c>
      <c r="K2116">
        <v>2.25</v>
      </c>
      <c r="M2116" s="2" t="str">
        <f>HYPERLINK("http://maps.live.com/default.aspx?v=2&amp;lvl=15&amp;sp=Point.47.650817_-122.341588_3609 Interlake Ave N nA&amp;cp=47.650817~-122.341588","Map")</f>
        <v>Map</v>
      </c>
      <c r="N2116" s="2" t="str">
        <f>HYPERLINK("http://i-0.rfimg.us/photo/1/bigphoto/040/28038040_2.jpg","Photo")</f>
        <v>Photo</v>
      </c>
      <c r="AG2116">
        <v>47.650817000000004</v>
      </c>
      <c r="AH2116">
        <v>-122.341588</v>
      </c>
      <c r="AI2116" t="s">
        <v>66</v>
      </c>
      <c r="AJ2116">
        <v>98103</v>
      </c>
      <c r="AM2116" t="s">
        <v>1722</v>
      </c>
      <c r="BC2116" s="22">
        <v>39511.495393518519</v>
      </c>
      <c r="BI2116" s="22">
        <v>39549.294907407406</v>
      </c>
      <c r="BL2116">
        <v>9199</v>
      </c>
      <c r="BM2116">
        <v>1528943</v>
      </c>
      <c r="BN2116" t="s">
        <v>1710</v>
      </c>
      <c r="BO2116" s="17">
        <f t="shared" ca="1" si="33"/>
        <v>37.814012384260423</v>
      </c>
      <c r="BP2116" t="b">
        <v>0</v>
      </c>
      <c r="BQ2116">
        <v>1</v>
      </c>
      <c r="BR2116" t="s">
        <v>1667</v>
      </c>
      <c r="BS2116" t="s">
        <v>2378</v>
      </c>
      <c r="BT2116" t="b">
        <v>0</v>
      </c>
      <c r="BV2116" t="s">
        <v>1668</v>
      </c>
      <c r="BW2116">
        <v>3609</v>
      </c>
      <c r="BX2116" t="s">
        <v>1712</v>
      </c>
      <c r="BY2116">
        <v>12422433</v>
      </c>
      <c r="BZ2116" t="s">
        <v>2340</v>
      </c>
      <c r="CA2116">
        <v>1</v>
      </c>
      <c r="CB2116" t="b">
        <v>1</v>
      </c>
      <c r="CC2116">
        <v>0</v>
      </c>
      <c r="CD2116" t="b">
        <v>0</v>
      </c>
      <c r="CE2116" t="b">
        <v>0</v>
      </c>
      <c r="CF2116" t="b">
        <v>0</v>
      </c>
      <c r="CG2116">
        <v>15626181</v>
      </c>
      <c r="CH2116" t="s">
        <v>1681</v>
      </c>
      <c r="CI2116" s="10">
        <v>459950</v>
      </c>
    </row>
    <row r="2117" spans="1:88">
      <c r="A2117">
        <v>28038053</v>
      </c>
      <c r="B2117" s="2" t="str">
        <f>HYPERLINK("http://www.redfin.com/stingray/do/printable-listing?listing-id=1529371","Active")</f>
        <v>Active</v>
      </c>
      <c r="D2117" t="s">
        <v>1115</v>
      </c>
      <c r="E2117" t="s">
        <v>3085</v>
      </c>
      <c r="F2117">
        <v>874950</v>
      </c>
      <c r="G2117">
        <v>1941</v>
      </c>
      <c r="H2117">
        <v>3120</v>
      </c>
      <c r="I2117">
        <v>6176</v>
      </c>
      <c r="J2117">
        <v>5</v>
      </c>
      <c r="K2117">
        <v>4</v>
      </c>
      <c r="M2117" s="2" t="str">
        <f>HYPERLINK("http://maps.live.com/default.aspx?v=2&amp;lvl=15&amp;sp=Point.47.677081_-122.267269_6610 57th Ave NE&amp;cp=47.677081~-122.267269","Map")</f>
        <v>Map</v>
      </c>
      <c r="N2117" s="2" t="str">
        <f>HYPERLINK("http://i-0.rfimg.us/photo/1/bigphoto/053/28038053_1.jpg","Photo")</f>
        <v>Photo</v>
      </c>
      <c r="AG2117">
        <v>47.677081000000001</v>
      </c>
      <c r="AH2117">
        <v>-122.267269</v>
      </c>
      <c r="AI2117" t="s">
        <v>66</v>
      </c>
      <c r="AJ2117">
        <v>98115</v>
      </c>
      <c r="AN2117">
        <v>325000</v>
      </c>
      <c r="BC2117" s="22">
        <v>39511.558055555557</v>
      </c>
      <c r="BI2117" s="22">
        <v>39549.294907407406</v>
      </c>
      <c r="BL2117">
        <v>17499</v>
      </c>
      <c r="BM2117">
        <v>1529371</v>
      </c>
      <c r="BN2117" t="s">
        <v>1768</v>
      </c>
      <c r="BO2117" s="17">
        <f t="shared" ca="1" si="33"/>
        <v>37.751350347221887</v>
      </c>
      <c r="BP2117" t="b">
        <v>0</v>
      </c>
      <c r="BQ2117">
        <v>1</v>
      </c>
      <c r="BR2117" t="s">
        <v>1667</v>
      </c>
      <c r="BS2117" t="s">
        <v>1687</v>
      </c>
      <c r="BT2117" t="b">
        <v>0</v>
      </c>
      <c r="BV2117" t="s">
        <v>1668</v>
      </c>
      <c r="BW2117">
        <v>6610</v>
      </c>
      <c r="BX2117" t="s">
        <v>1738</v>
      </c>
      <c r="BY2117">
        <v>320844</v>
      </c>
      <c r="BZ2117" t="s">
        <v>1742</v>
      </c>
      <c r="CA2117">
        <v>1</v>
      </c>
      <c r="CB2117" t="b">
        <v>1</v>
      </c>
      <c r="CC2117">
        <v>0</v>
      </c>
      <c r="CD2117" t="b">
        <v>0</v>
      </c>
      <c r="CE2117" t="b">
        <v>0</v>
      </c>
      <c r="CF2117" t="b">
        <v>0</v>
      </c>
      <c r="CG2117">
        <v>2690774</v>
      </c>
      <c r="CH2117" t="s">
        <v>1681</v>
      </c>
      <c r="CI2117" s="10">
        <v>874950</v>
      </c>
      <c r="CJ2117" s="7">
        <v>34911</v>
      </c>
    </row>
    <row r="2118" spans="1:88">
      <c r="A2118">
        <v>28038077</v>
      </c>
      <c r="B2118" s="2" t="str">
        <f>HYPERLINK("http://www.redfin.com/stingray/do/printable-listing?listing-id=1539483","Active")</f>
        <v>Active</v>
      </c>
      <c r="D2118" t="s">
        <v>1023</v>
      </c>
      <c r="E2118" t="s">
        <v>2124</v>
      </c>
      <c r="F2118">
        <v>615000</v>
      </c>
      <c r="G2118">
        <v>1909</v>
      </c>
      <c r="H2118">
        <v>2570</v>
      </c>
      <c r="I2118">
        <v>5000</v>
      </c>
      <c r="J2118">
        <v>4</v>
      </c>
      <c r="K2118">
        <v>2</v>
      </c>
      <c r="M2118" s="2" t="str">
        <f>HYPERLINK("http://maps.live.com/default.aspx?v=2&amp;lvl=15&amp;sp=Point.47.676018_-122.401428_3406 NW 65th St&amp;cp=47.676018~-122.401428","Map")</f>
        <v>Map</v>
      </c>
      <c r="N2118" s="2" t="str">
        <f>HYPERLINK("http://i-0.rfimg.us/photo/1/bigphoto/077/28038077_0.jpg","Photo")</f>
        <v>Photo</v>
      </c>
      <c r="AG2118">
        <v>47.676017999999999</v>
      </c>
      <c r="AH2118">
        <v>-122.401428</v>
      </c>
      <c r="AI2118" t="s">
        <v>66</v>
      </c>
      <c r="AJ2118">
        <v>98117</v>
      </c>
      <c r="AN2118">
        <v>467000</v>
      </c>
      <c r="BC2118" s="22">
        <v>39514.452708333331</v>
      </c>
      <c r="BI2118" s="7">
        <v>39520</v>
      </c>
      <c r="BL2118">
        <v>12300</v>
      </c>
      <c r="BM2118">
        <v>1539483</v>
      </c>
      <c r="BN2118" t="s">
        <v>1710</v>
      </c>
      <c r="BO2118" s="17">
        <f t="shared" ca="1" si="33"/>
        <v>34.8566976851871</v>
      </c>
      <c r="BP2118" t="b">
        <v>0</v>
      </c>
      <c r="BQ2118">
        <v>1</v>
      </c>
      <c r="BR2118" t="s">
        <v>1686</v>
      </c>
      <c r="BS2118" t="s">
        <v>1708</v>
      </c>
      <c r="BT2118" t="b">
        <v>0</v>
      </c>
      <c r="BU2118" t="s">
        <v>1669</v>
      </c>
      <c r="BV2118" t="s">
        <v>1668</v>
      </c>
      <c r="BW2118">
        <v>3406</v>
      </c>
      <c r="BY2118">
        <v>290462</v>
      </c>
      <c r="BZ2118" t="s">
        <v>1713</v>
      </c>
      <c r="CA2118">
        <v>1</v>
      </c>
      <c r="CB2118" t="b">
        <v>1</v>
      </c>
      <c r="CC2118">
        <v>0</v>
      </c>
      <c r="CD2118" t="b">
        <v>0</v>
      </c>
      <c r="CE2118" t="b">
        <v>1</v>
      </c>
      <c r="CF2118" t="b">
        <v>0</v>
      </c>
      <c r="CG2118">
        <v>2594225</v>
      </c>
      <c r="CH2118" t="s">
        <v>1681</v>
      </c>
      <c r="CI2118" s="10">
        <v>615000</v>
      </c>
      <c r="CJ2118" s="7">
        <v>38111</v>
      </c>
    </row>
    <row r="2119" spans="1:88">
      <c r="A2119">
        <v>28038086</v>
      </c>
      <c r="B2119" s="2" t="str">
        <f>HYPERLINK("http://www.redfin.com/stingray/do/printable-listing?listing-id=1538962","Active")</f>
        <v>Active</v>
      </c>
      <c r="D2119" t="s">
        <v>63</v>
      </c>
      <c r="E2119" t="s">
        <v>2527</v>
      </c>
      <c r="F2119" s="19">
        <v>514950</v>
      </c>
      <c r="G2119">
        <v>1900</v>
      </c>
      <c r="H2119">
        <v>1630</v>
      </c>
      <c r="I2119">
        <v>4750</v>
      </c>
      <c r="J2119">
        <v>3</v>
      </c>
      <c r="K2119">
        <v>1</v>
      </c>
      <c r="M2119" s="2" t="str">
        <f>HYPERLINK("http://maps.live.com/default.aspx?v=2&amp;lvl=15&amp;sp=Point.47.67288_-122.385383_2213 NW 61st St&amp;cp=47.67288~-122.385383","Map")</f>
        <v>Map</v>
      </c>
      <c r="N2119" s="2" t="str">
        <f>HYPERLINK("http://i-0.rfimg.us/photo/1/bigphoto/086/28038086_0.jpg","Photo")</f>
        <v>Photo</v>
      </c>
      <c r="AG2119">
        <v>47.672879999999999</v>
      </c>
      <c r="AH2119">
        <v>-122.385383</v>
      </c>
      <c r="AI2119" t="s">
        <v>66</v>
      </c>
      <c r="AJ2119">
        <v>98107</v>
      </c>
      <c r="AN2119">
        <v>439000</v>
      </c>
      <c r="BC2119" s="22">
        <v>39514.379780092589</v>
      </c>
      <c r="BI2119" s="22">
        <v>39549.294907407406</v>
      </c>
      <c r="BL2119">
        <v>10499</v>
      </c>
      <c r="BM2119">
        <v>1538962</v>
      </c>
      <c r="BN2119" t="s">
        <v>1746</v>
      </c>
      <c r="BO2119" s="17">
        <f t="shared" ca="1" si="33"/>
        <v>34.929625925928121</v>
      </c>
      <c r="BP2119" t="b">
        <v>0</v>
      </c>
      <c r="BQ2119">
        <v>1</v>
      </c>
      <c r="BR2119" t="s">
        <v>1686</v>
      </c>
      <c r="BS2119" t="s">
        <v>2431</v>
      </c>
      <c r="BT2119" t="b">
        <v>0</v>
      </c>
      <c r="BU2119" t="s">
        <v>1669</v>
      </c>
      <c r="BV2119" t="s">
        <v>1668</v>
      </c>
      <c r="BW2119">
        <v>2213</v>
      </c>
      <c r="BY2119">
        <v>493307</v>
      </c>
      <c r="BZ2119" t="s">
        <v>1670</v>
      </c>
      <c r="CA2119">
        <v>1</v>
      </c>
      <c r="CB2119" t="b">
        <v>1</v>
      </c>
      <c r="CC2119">
        <v>0</v>
      </c>
      <c r="CD2119" t="b">
        <v>0</v>
      </c>
      <c r="CE2119" t="b">
        <v>0</v>
      </c>
      <c r="CF2119" t="b">
        <v>0</v>
      </c>
      <c r="CG2119">
        <v>2501069</v>
      </c>
      <c r="CH2119" t="s">
        <v>1681</v>
      </c>
      <c r="CI2119" s="10">
        <v>524950</v>
      </c>
      <c r="CJ2119" s="7">
        <v>38688</v>
      </c>
    </row>
    <row r="2120" spans="1:88">
      <c r="A2120">
        <v>28038092</v>
      </c>
      <c r="B2120" s="2" t="str">
        <f>HYPERLINK("http://www.redfin.com/stingray/do/printable-listing?listing-id=1529040","Active")</f>
        <v>Active</v>
      </c>
      <c r="D2120" t="s">
        <v>4710</v>
      </c>
      <c r="E2120" t="s">
        <v>5030</v>
      </c>
      <c r="F2120">
        <v>899999</v>
      </c>
      <c r="G2120">
        <v>1959</v>
      </c>
      <c r="H2120">
        <v>2520</v>
      </c>
      <c r="I2120">
        <v>14300</v>
      </c>
      <c r="J2120">
        <v>4</v>
      </c>
      <c r="K2120">
        <v>3.5</v>
      </c>
      <c r="M2120" s="2" t="str">
        <f>HYPERLINK("http://maps.live.com/default.aspx?v=2&amp;lvl=15&amp;sp=Point.47.623519_-122.193902_1415 110th Ave NE&amp;cp=47.623519~-122.193902","Map")</f>
        <v>Map</v>
      </c>
      <c r="N2120" s="2" t="str">
        <f>HYPERLINK("http://i-0.rfimg.us/photo/1/bigphoto/092/28038092_0.jpg","Photo")</f>
        <v>Photo</v>
      </c>
      <c r="AG2120">
        <v>47.623519000000002</v>
      </c>
      <c r="AH2120">
        <v>-122.19390199999999</v>
      </c>
      <c r="AI2120" t="s">
        <v>369</v>
      </c>
      <c r="AJ2120">
        <v>98004</v>
      </c>
      <c r="BC2120" s="22">
        <v>39511.516226851854</v>
      </c>
      <c r="BI2120" s="22">
        <v>39549.294907407406</v>
      </c>
      <c r="BL2120">
        <v>18000</v>
      </c>
      <c r="BM2120">
        <v>1529040</v>
      </c>
      <c r="BN2120" t="s">
        <v>1674</v>
      </c>
      <c r="BO2120" s="17">
        <f t="shared" ca="1" si="33"/>
        <v>37.793179050924664</v>
      </c>
      <c r="BP2120" t="b">
        <v>0</v>
      </c>
      <c r="BQ2120">
        <v>1</v>
      </c>
      <c r="BR2120" t="s">
        <v>1667</v>
      </c>
      <c r="BS2120" t="s">
        <v>4369</v>
      </c>
      <c r="BT2120" t="b">
        <v>0</v>
      </c>
      <c r="BV2120" t="s">
        <v>1668</v>
      </c>
      <c r="BW2120">
        <v>1415</v>
      </c>
      <c r="BX2120" t="s">
        <v>1738</v>
      </c>
      <c r="BY2120">
        <v>506183</v>
      </c>
      <c r="BZ2120" t="s">
        <v>1743</v>
      </c>
      <c r="CA2120">
        <v>1</v>
      </c>
      <c r="CB2120" t="b">
        <v>1</v>
      </c>
      <c r="CC2120">
        <v>0</v>
      </c>
      <c r="CD2120" t="b">
        <v>0</v>
      </c>
      <c r="CE2120" t="b">
        <v>0</v>
      </c>
      <c r="CF2120" t="b">
        <v>0</v>
      </c>
      <c r="CG2120">
        <v>2611678</v>
      </c>
      <c r="CH2120" t="s">
        <v>1681</v>
      </c>
      <c r="CI2120" s="10">
        <v>899999</v>
      </c>
    </row>
    <row r="2121" spans="1:88">
      <c r="A2121">
        <v>28038093</v>
      </c>
      <c r="B2121" s="2" t="str">
        <f>HYPERLINK("http://www.redfin.com/stingray/do/printable-listing?listing-id=1538013","Active")</f>
        <v>Active</v>
      </c>
      <c r="D2121" t="s">
        <v>60</v>
      </c>
      <c r="E2121" t="s">
        <v>3245</v>
      </c>
      <c r="F2121">
        <v>675000</v>
      </c>
      <c r="G2121">
        <v>1931</v>
      </c>
      <c r="H2121">
        <v>2760</v>
      </c>
      <c r="I2121">
        <v>2664</v>
      </c>
      <c r="J2121">
        <v>3</v>
      </c>
      <c r="K2121">
        <v>1.5</v>
      </c>
      <c r="M2121" s="2" t="str">
        <f>HYPERLINK("http://maps.live.com/default.aspx?v=2&amp;lvl=15&amp;sp=Point.47.682963_-122.301533_2421 N 75th St&amp;cp=47.682963~-122.301533","Map")</f>
        <v>Map</v>
      </c>
      <c r="N2121" s="2" t="str">
        <f>HYPERLINK("http://i-0.rfimg.us/photo/1/bigphoto/093/28038093_0.jpg","Photo")</f>
        <v>Photo</v>
      </c>
      <c r="AG2121" s="19">
        <v>47.682980999999998</v>
      </c>
      <c r="AH2121" s="19">
        <v>-122.32849299999999</v>
      </c>
      <c r="AI2121" t="s">
        <v>66</v>
      </c>
      <c r="AJ2121">
        <v>98115</v>
      </c>
      <c r="AN2121">
        <v>650000</v>
      </c>
      <c r="BC2121" s="22">
        <v>39514.344618055555</v>
      </c>
      <c r="BI2121" s="22">
        <v>39549.294907407406</v>
      </c>
      <c r="BL2121">
        <v>13500</v>
      </c>
      <c r="BM2121">
        <v>1538013</v>
      </c>
      <c r="BN2121" t="s">
        <v>1685</v>
      </c>
      <c r="BO2121" s="17">
        <f t="shared" ca="1" si="33"/>
        <v>34.964787847224216</v>
      </c>
      <c r="BP2121" t="b">
        <v>0</v>
      </c>
      <c r="BQ2121">
        <v>1</v>
      </c>
      <c r="BR2121" t="s">
        <v>1686</v>
      </c>
      <c r="BS2121" t="s">
        <v>1837</v>
      </c>
      <c r="BT2121" t="b">
        <v>0</v>
      </c>
      <c r="BU2121" t="s">
        <v>1712</v>
      </c>
      <c r="BV2121" t="s">
        <v>1668</v>
      </c>
      <c r="BW2121">
        <v>2421</v>
      </c>
      <c r="BY2121">
        <v>306905</v>
      </c>
      <c r="BZ2121" t="s">
        <v>1747</v>
      </c>
      <c r="CA2121">
        <v>1</v>
      </c>
      <c r="CB2121" t="b">
        <v>1</v>
      </c>
      <c r="CC2121">
        <v>0</v>
      </c>
      <c r="CD2121" t="b">
        <v>0</v>
      </c>
      <c r="CE2121" t="b">
        <v>0</v>
      </c>
      <c r="CF2121" t="b">
        <v>0</v>
      </c>
      <c r="CG2121">
        <v>2495568</v>
      </c>
      <c r="CH2121" t="s">
        <v>1681</v>
      </c>
      <c r="CI2121" s="10">
        <v>675000</v>
      </c>
      <c r="CJ2121" s="7">
        <v>38687</v>
      </c>
    </row>
    <row r="2122" spans="1:88">
      <c r="A2122">
        <v>28038094</v>
      </c>
      <c r="B2122" s="2" t="str">
        <f>HYPERLINK("http://www.redfin.com/stingray/do/printable-listing?listing-id=1541266","Active")</f>
        <v>Active</v>
      </c>
      <c r="D2122" t="s">
        <v>4401</v>
      </c>
      <c r="E2122" t="s">
        <v>4400</v>
      </c>
      <c r="F2122">
        <v>354950</v>
      </c>
      <c r="G2122">
        <v>1981</v>
      </c>
      <c r="H2122">
        <v>1030</v>
      </c>
      <c r="I2122">
        <v>7307</v>
      </c>
      <c r="J2122">
        <v>3</v>
      </c>
      <c r="K2122">
        <v>1</v>
      </c>
      <c r="M2122" s="2" t="str">
        <f>HYPERLINK("http://maps.live.com/default.aspx?v=2&amp;lvl=15&amp;sp=Point.47.716241_-122.163473_13216 NE 129th Pl&amp;cp=47.716241~-122.163473","Map")</f>
        <v>Map</v>
      </c>
      <c r="N2122" s="2" t="str">
        <f>HYPERLINK("http://i-0.rfimg.us/photo/1/bigphoto/094/28038094_0.jpg","Photo")</f>
        <v>Photo</v>
      </c>
      <c r="AG2122">
        <v>47.716240999999997</v>
      </c>
      <c r="AH2122">
        <v>-122.163473</v>
      </c>
      <c r="AI2122" t="s">
        <v>1058</v>
      </c>
      <c r="AJ2122">
        <v>98034</v>
      </c>
      <c r="BC2122" s="22">
        <v>39514.746319444443</v>
      </c>
      <c r="BI2122" s="22">
        <v>39549.294907407406</v>
      </c>
      <c r="BL2122">
        <v>7099</v>
      </c>
      <c r="BM2122">
        <v>1541266</v>
      </c>
      <c r="BN2122" t="s">
        <v>1735</v>
      </c>
      <c r="BO2122" s="17">
        <f t="shared" ca="1" si="33"/>
        <v>34.563086458336329</v>
      </c>
      <c r="BP2122" t="b">
        <v>0</v>
      </c>
      <c r="BQ2122">
        <v>1</v>
      </c>
      <c r="BR2122" t="s">
        <v>1842</v>
      </c>
      <c r="BS2122" t="s">
        <v>2980</v>
      </c>
      <c r="BT2122" t="b">
        <v>0</v>
      </c>
      <c r="BU2122" t="s">
        <v>1738</v>
      </c>
      <c r="BV2122" t="s">
        <v>1668</v>
      </c>
      <c r="BW2122">
        <v>13216</v>
      </c>
      <c r="BY2122">
        <v>512519</v>
      </c>
      <c r="BZ2122" t="s">
        <v>1745</v>
      </c>
      <c r="CA2122">
        <v>1</v>
      </c>
      <c r="CB2122" t="b">
        <v>1</v>
      </c>
      <c r="CC2122">
        <v>0</v>
      </c>
      <c r="CD2122" t="b">
        <v>0</v>
      </c>
      <c r="CE2122" t="b">
        <v>0</v>
      </c>
      <c r="CF2122" t="b">
        <v>0</v>
      </c>
      <c r="CG2122">
        <v>2554954</v>
      </c>
      <c r="CH2122" t="s">
        <v>1681</v>
      </c>
      <c r="CI2122" s="10">
        <v>354950</v>
      </c>
    </row>
    <row r="2123" spans="1:88">
      <c r="A2123">
        <v>28038117</v>
      </c>
      <c r="B2123" s="2" t="str">
        <f>HYPERLINK("http://www.redfin.com/stingray/do/printable-listing?listing-id=1529370","Active")</f>
        <v>Active</v>
      </c>
      <c r="D2123" t="s">
        <v>5113</v>
      </c>
      <c r="E2123" t="s">
        <v>5309</v>
      </c>
      <c r="F2123">
        <v>649999</v>
      </c>
      <c r="G2123">
        <v>1979</v>
      </c>
      <c r="H2123">
        <v>2420</v>
      </c>
      <c r="I2123">
        <v>10070</v>
      </c>
      <c r="J2123">
        <v>4</v>
      </c>
      <c r="K2123">
        <v>2.75</v>
      </c>
      <c r="M2123" s="2" t="str">
        <f>HYPERLINK("http://maps.live.com/default.aspx?v=2&amp;lvl=15&amp;sp=Point.47.621638_-122.093245_18516 NE 15th Pl&amp;cp=47.621638~-122.093245","Map")</f>
        <v>Map</v>
      </c>
      <c r="N2123" s="2" t="str">
        <f>HYPERLINK("http://i-0.rfimg.us/photo/1/bigphoto/117/28038117_0.jpg","Photo")</f>
        <v>Photo</v>
      </c>
      <c r="AG2123">
        <v>47.621637999999997</v>
      </c>
      <c r="AH2123">
        <v>-122.093245</v>
      </c>
      <c r="AI2123" t="s">
        <v>369</v>
      </c>
      <c r="AJ2123">
        <v>98008</v>
      </c>
      <c r="AN2123">
        <v>343000</v>
      </c>
      <c r="BC2123" s="22">
        <v>39511.558032407411</v>
      </c>
      <c r="BI2123" s="22">
        <v>39549.294907407406</v>
      </c>
      <c r="BL2123">
        <v>13000</v>
      </c>
      <c r="BM2123">
        <v>1529370</v>
      </c>
      <c r="BN2123" t="s">
        <v>1775</v>
      </c>
      <c r="BO2123" s="17">
        <f t="shared" ca="1" si="33"/>
        <v>37.751373495368171</v>
      </c>
      <c r="BP2123" t="b">
        <v>0</v>
      </c>
      <c r="BQ2123">
        <v>1</v>
      </c>
      <c r="BR2123" t="s">
        <v>1842</v>
      </c>
      <c r="BS2123" t="s">
        <v>1838</v>
      </c>
      <c r="BT2123" t="b">
        <v>0</v>
      </c>
      <c r="BU2123" t="s">
        <v>1738</v>
      </c>
      <c r="BV2123" t="s">
        <v>1668</v>
      </c>
      <c r="BW2123">
        <v>18516</v>
      </c>
      <c r="BY2123">
        <v>502825</v>
      </c>
      <c r="BZ2123" t="s">
        <v>1741</v>
      </c>
      <c r="CA2123">
        <v>1</v>
      </c>
      <c r="CB2123" t="b">
        <v>1</v>
      </c>
      <c r="CC2123">
        <v>0</v>
      </c>
      <c r="CD2123" t="b">
        <v>0</v>
      </c>
      <c r="CE2123" t="b">
        <v>0</v>
      </c>
      <c r="CF2123" t="b">
        <v>0</v>
      </c>
      <c r="CG2123">
        <v>2972132</v>
      </c>
      <c r="CH2123" t="s">
        <v>1681</v>
      </c>
      <c r="CI2123" s="10">
        <v>649999</v>
      </c>
      <c r="CJ2123" s="7">
        <v>36936</v>
      </c>
    </row>
    <row r="2124" spans="1:88">
      <c r="A2124">
        <v>28038181</v>
      </c>
      <c r="B2124" s="2" t="str">
        <f>HYPERLINK("http://www.redfin.com/stingray/do/printable-listing?listing-id=1542626","Active")</f>
        <v>Active</v>
      </c>
      <c r="D2124" t="s">
        <v>60</v>
      </c>
      <c r="E2124" t="s">
        <v>3137</v>
      </c>
      <c r="F2124">
        <v>600000</v>
      </c>
      <c r="G2124">
        <v>2008</v>
      </c>
      <c r="H2124">
        <v>1550</v>
      </c>
      <c r="I2124">
        <v>1165</v>
      </c>
      <c r="J2124">
        <v>3</v>
      </c>
      <c r="K2124">
        <v>2</v>
      </c>
      <c r="M2124" s="2" t="str">
        <f>HYPERLINK("http://maps.live.com/default.aspx?v=2&amp;lvl=15&amp;sp=Point.47.682963_-122.301503_2425 N 75th St&amp;cp=47.682963~-122.301503","Map")</f>
        <v>Map</v>
      </c>
      <c r="N2124" s="2" t="str">
        <f>HYPERLINK("http://i-0.rfimg.us/photo/1/bigphoto/181/28038181_0.jpg","Photo")</f>
        <v>Photo</v>
      </c>
      <c r="AG2124" s="19">
        <v>47.683129000000001</v>
      </c>
      <c r="AH2124" s="19">
        <v>-122.32904600000001</v>
      </c>
      <c r="AI2124" t="s">
        <v>66</v>
      </c>
      <c r="AJ2124">
        <v>98115</v>
      </c>
      <c r="BC2124" s="22">
        <v>39515.421481481484</v>
      </c>
      <c r="BI2124" s="22">
        <v>39549.294907407406</v>
      </c>
      <c r="BL2124">
        <v>12000</v>
      </c>
      <c r="BM2124">
        <v>1542626</v>
      </c>
      <c r="BN2124" t="s">
        <v>1685</v>
      </c>
      <c r="BO2124" s="17">
        <f t="shared" ca="1" si="33"/>
        <v>33.887924421294883</v>
      </c>
      <c r="BP2124" t="b">
        <v>0</v>
      </c>
      <c r="BQ2124">
        <v>1</v>
      </c>
      <c r="BR2124" t="s">
        <v>1686</v>
      </c>
      <c r="BS2124" t="s">
        <v>1837</v>
      </c>
      <c r="BT2124" t="b">
        <v>0</v>
      </c>
      <c r="BU2124" t="s">
        <v>1712</v>
      </c>
      <c r="BV2124" t="s">
        <v>1668</v>
      </c>
      <c r="BW2124">
        <v>2425</v>
      </c>
      <c r="BY2124">
        <v>12424993</v>
      </c>
      <c r="BZ2124" s="21">
        <v>0</v>
      </c>
      <c r="CA2124">
        <v>1</v>
      </c>
      <c r="CB2124" t="b">
        <v>1</v>
      </c>
      <c r="CC2124">
        <v>0</v>
      </c>
      <c r="CD2124" t="b">
        <v>0</v>
      </c>
      <c r="CE2124" t="b">
        <v>0</v>
      </c>
      <c r="CF2124" t="b">
        <v>0</v>
      </c>
      <c r="CG2124">
        <v>15628741</v>
      </c>
      <c r="CH2124" t="s">
        <v>1681</v>
      </c>
      <c r="CI2124" s="10">
        <v>600000</v>
      </c>
    </row>
    <row r="2125" spans="1:88">
      <c r="A2125">
        <v>28038196</v>
      </c>
      <c r="B2125" s="2" t="str">
        <f>HYPERLINK("http://www.redfin.com/stingray/do/printable-listing?listing-id=1532119","Active")</f>
        <v>Active</v>
      </c>
      <c r="D2125" t="s">
        <v>42</v>
      </c>
      <c r="E2125" t="s">
        <v>2167</v>
      </c>
      <c r="F2125">
        <v>390000</v>
      </c>
      <c r="G2125">
        <v>1947</v>
      </c>
      <c r="H2125">
        <v>0</v>
      </c>
      <c r="I2125">
        <v>8160</v>
      </c>
      <c r="J2125">
        <v>3</v>
      </c>
      <c r="K2125">
        <v>1</v>
      </c>
      <c r="M2125" s="2" t="str">
        <f>HYPERLINK("http://maps.live.com/default.aspx?v=2&amp;lvl=15&amp;sp=Point.47.716126_-122.326686_218 NE 120th St&amp;cp=47.716126~-122.326686","Map")</f>
        <v>Map</v>
      </c>
      <c r="N2125" s="2" t="str">
        <f>HYPERLINK("http://i-0.rfimg.us/photo/1/bigphoto/196/28038196_0.jpg","Photo")</f>
        <v>Photo</v>
      </c>
      <c r="AG2125">
        <v>47.716126000000003</v>
      </c>
      <c r="AH2125">
        <v>-122.326686</v>
      </c>
      <c r="AI2125" t="s">
        <v>66</v>
      </c>
      <c r="AJ2125">
        <v>98125</v>
      </c>
      <c r="BC2125" s="22">
        <v>39512.432199074072</v>
      </c>
      <c r="BI2125" s="22">
        <v>39549.294907407406</v>
      </c>
      <c r="BL2125">
        <v>7800</v>
      </c>
      <c r="BM2125">
        <v>1532119</v>
      </c>
      <c r="BN2125" t="s">
        <v>1814</v>
      </c>
      <c r="BO2125" s="17">
        <f t="shared" ca="1" si="33"/>
        <v>36.877206828707131</v>
      </c>
      <c r="BP2125" t="b">
        <v>0</v>
      </c>
      <c r="BQ2125">
        <v>1</v>
      </c>
      <c r="BR2125" t="s">
        <v>1686</v>
      </c>
      <c r="BS2125" t="s">
        <v>2785</v>
      </c>
      <c r="BT2125" t="b">
        <v>0</v>
      </c>
      <c r="BU2125" t="s">
        <v>1738</v>
      </c>
      <c r="BV2125" t="s">
        <v>1668</v>
      </c>
      <c r="BW2125">
        <v>218</v>
      </c>
      <c r="BY2125">
        <v>103820</v>
      </c>
      <c r="BZ2125" t="s">
        <v>1676</v>
      </c>
      <c r="CA2125">
        <v>1</v>
      </c>
      <c r="CB2125" t="b">
        <v>1</v>
      </c>
      <c r="CC2125">
        <v>0</v>
      </c>
      <c r="CD2125" t="b">
        <v>0</v>
      </c>
      <c r="CE2125" t="b">
        <v>0</v>
      </c>
      <c r="CF2125" t="b">
        <v>0</v>
      </c>
      <c r="CG2125">
        <v>2901486</v>
      </c>
      <c r="CH2125" t="s">
        <v>1681</v>
      </c>
      <c r="CI2125" s="10">
        <v>390000</v>
      </c>
    </row>
    <row r="2126" spans="1:88">
      <c r="A2126">
        <v>28038205</v>
      </c>
      <c r="B2126" s="2" t="str">
        <f>HYPERLINK("http://www.redfin.com/stingray/do/printable-listing?listing-id=1529600","Active")</f>
        <v>Active</v>
      </c>
      <c r="D2126" t="s">
        <v>3066</v>
      </c>
      <c r="E2126" t="s">
        <v>4366</v>
      </c>
      <c r="F2126">
        <v>479980</v>
      </c>
      <c r="G2126">
        <v>1970</v>
      </c>
      <c r="H2126">
        <v>1400</v>
      </c>
      <c r="I2126">
        <v>10010</v>
      </c>
      <c r="J2126">
        <v>3</v>
      </c>
      <c r="K2126">
        <v>1.75</v>
      </c>
      <c r="M2126" s="2" t="str">
        <f>HYPERLINK("http://maps.live.com/default.aspx?v=2&amp;lvl=15&amp;sp=Point.47.698586_-122.1662_13028 NE 109th Pl&amp;cp=47.698586~-122.1662","Map")</f>
        <v>Map</v>
      </c>
      <c r="N2126" s="2" t="str">
        <f>HYPERLINK("http://i-0.rfimg.us/photo/1/bigphoto/205/28038205_0.jpg","Photo")</f>
        <v>Photo</v>
      </c>
      <c r="AG2126">
        <v>47.698585999999999</v>
      </c>
      <c r="AH2126">
        <v>-122.1662</v>
      </c>
      <c r="AI2126" t="s">
        <v>1058</v>
      </c>
      <c r="AJ2126">
        <v>98033</v>
      </c>
      <c r="AN2126">
        <v>315500</v>
      </c>
      <c r="BC2126" s="22">
        <v>39511.590949074074</v>
      </c>
      <c r="BI2126" s="22">
        <v>39546.925937499997</v>
      </c>
      <c r="BL2126">
        <v>9600</v>
      </c>
      <c r="BM2126">
        <v>1529600</v>
      </c>
      <c r="BN2126" t="s">
        <v>2203</v>
      </c>
      <c r="BO2126" s="17">
        <f t="shared" ca="1" si="33"/>
        <v>37.718456828704802</v>
      </c>
      <c r="BP2126" t="b">
        <v>0</v>
      </c>
      <c r="BQ2126">
        <v>1</v>
      </c>
      <c r="BR2126" t="s">
        <v>1842</v>
      </c>
      <c r="BS2126" t="s">
        <v>4367</v>
      </c>
      <c r="BT2126" t="b">
        <v>0</v>
      </c>
      <c r="BU2126" t="s">
        <v>1738</v>
      </c>
      <c r="BV2126" t="s">
        <v>1668</v>
      </c>
      <c r="BW2126">
        <v>13028</v>
      </c>
      <c r="BY2126">
        <v>513519</v>
      </c>
      <c r="BZ2126" t="s">
        <v>1713</v>
      </c>
      <c r="CA2126">
        <v>1</v>
      </c>
      <c r="CB2126" t="b">
        <v>1</v>
      </c>
      <c r="CC2126">
        <v>0</v>
      </c>
      <c r="CD2126" t="b">
        <v>0</v>
      </c>
      <c r="CE2126" t="b">
        <v>0</v>
      </c>
      <c r="CF2126" t="b">
        <v>0</v>
      </c>
      <c r="CG2126">
        <v>2847379</v>
      </c>
      <c r="CH2126" t="s">
        <v>1681</v>
      </c>
      <c r="CI2126" s="10">
        <v>479980</v>
      </c>
      <c r="CJ2126" s="7">
        <v>38133</v>
      </c>
    </row>
    <row r="2127" spans="1:88">
      <c r="A2127">
        <v>28038215</v>
      </c>
      <c r="B2127" s="2" t="str">
        <f>HYPERLINK("http://www.redfin.com/stingray/do/printable-listing?listing-id=1529645","Active")</f>
        <v>Active</v>
      </c>
      <c r="D2127" t="s">
        <v>3704</v>
      </c>
      <c r="E2127" t="s">
        <v>4177</v>
      </c>
      <c r="F2127">
        <v>949000</v>
      </c>
      <c r="G2127">
        <v>1900</v>
      </c>
      <c r="H2127">
        <v>2600</v>
      </c>
      <c r="I2127">
        <v>3703</v>
      </c>
      <c r="J2127">
        <v>4</v>
      </c>
      <c r="K2127">
        <v>2.75</v>
      </c>
      <c r="M2127" s="2" t="str">
        <f>HYPERLINK("http://maps.live.com/default.aspx?v=2&amp;lvl=15&amp;sp=Point.47.611317_-122.30832_1811 E Spring St&amp;cp=47.611317~-122.30832","Map")</f>
        <v>Map</v>
      </c>
      <c r="N2127" s="2" t="str">
        <f>HYPERLINK("http://i-0.rfimg.us/photo/1/bigphoto/215/28038215_0.jpg","Photo")</f>
        <v>Photo</v>
      </c>
      <c r="AG2127">
        <v>47.611317</v>
      </c>
      <c r="AH2127">
        <v>-122.30831999999999</v>
      </c>
      <c r="AI2127" t="s">
        <v>66</v>
      </c>
      <c r="AJ2127">
        <v>98122</v>
      </c>
      <c r="AN2127">
        <v>886000</v>
      </c>
      <c r="BC2127" s="22">
        <v>39511.600648148145</v>
      </c>
      <c r="BI2127" s="22">
        <v>39549.294907407406</v>
      </c>
      <c r="BL2127">
        <v>18980</v>
      </c>
      <c r="BM2127">
        <v>1529645</v>
      </c>
      <c r="BN2127" t="s">
        <v>3253</v>
      </c>
      <c r="BO2127" s="17">
        <f t="shared" ca="1" si="33"/>
        <v>37.708757754633552</v>
      </c>
      <c r="BP2127" t="b">
        <v>0</v>
      </c>
      <c r="BQ2127">
        <v>1</v>
      </c>
      <c r="BR2127" t="s">
        <v>1686</v>
      </c>
      <c r="BS2127" t="s">
        <v>4178</v>
      </c>
      <c r="BT2127" t="b">
        <v>0</v>
      </c>
      <c r="BU2127" t="s">
        <v>2436</v>
      </c>
      <c r="BV2127" t="s">
        <v>1668</v>
      </c>
      <c r="BW2127">
        <v>1811</v>
      </c>
      <c r="BY2127">
        <v>145703</v>
      </c>
      <c r="BZ2127" t="s">
        <v>1713</v>
      </c>
      <c r="CA2127">
        <v>1</v>
      </c>
      <c r="CB2127" t="b">
        <v>1</v>
      </c>
      <c r="CC2127">
        <v>0</v>
      </c>
      <c r="CD2127" t="b">
        <v>0</v>
      </c>
      <c r="CE2127" t="b">
        <v>0</v>
      </c>
      <c r="CF2127" t="b">
        <v>0</v>
      </c>
      <c r="CG2127">
        <v>2788617</v>
      </c>
      <c r="CH2127" t="s">
        <v>1681</v>
      </c>
      <c r="CI2127" s="10">
        <v>949000</v>
      </c>
      <c r="CJ2127" s="7">
        <v>39150</v>
      </c>
    </row>
    <row r="2128" spans="1:88">
      <c r="A2128">
        <v>28038225</v>
      </c>
      <c r="B2128" s="2" t="str">
        <f>HYPERLINK("http://www.redfin.com/stingray/do/printable-listing?listing-id=1529891","Subject To Inspection")</f>
        <v>Subject To Inspection</v>
      </c>
      <c r="D2128" t="s">
        <v>5606</v>
      </c>
      <c r="E2128" t="s">
        <v>5706</v>
      </c>
      <c r="F2128">
        <v>742000</v>
      </c>
      <c r="G2128">
        <v>1954</v>
      </c>
      <c r="H2128">
        <v>0</v>
      </c>
      <c r="I2128">
        <v>12000</v>
      </c>
      <c r="J2128">
        <v>4</v>
      </c>
      <c r="K2128">
        <v>2.75</v>
      </c>
      <c r="M2128" s="2" t="str">
        <f>HYPERLINK("http://maps.live.com/default.aspx?v=2&amp;lvl=15&amp;sp=Point.47.547016_-122.220924_6219 89th Ave SE&amp;cp=47.547016~-122.220924","Map")</f>
        <v>Map</v>
      </c>
      <c r="N2128" s="2" t="str">
        <f>HYPERLINK("http://i-0.rfimg.us/photo/1/bigphoto/225/28038225_1.jpg","Photo")</f>
        <v>Photo</v>
      </c>
      <c r="AG2128">
        <v>47.547015999999999</v>
      </c>
      <c r="AH2128">
        <v>-122.220924</v>
      </c>
      <c r="AI2128" t="s">
        <v>5139</v>
      </c>
      <c r="AJ2128">
        <v>98040</v>
      </c>
      <c r="AN2128">
        <v>120000</v>
      </c>
      <c r="BC2128" s="22">
        <v>39511.673877314817</v>
      </c>
      <c r="BI2128" s="7">
        <v>39534</v>
      </c>
      <c r="BL2128">
        <v>14840</v>
      </c>
      <c r="BM2128">
        <v>1529891</v>
      </c>
      <c r="BN2128" t="s">
        <v>1674</v>
      </c>
      <c r="BO2128" s="17">
        <f t="shared" ca="1" si="33"/>
        <v>37.635528587961744</v>
      </c>
      <c r="BP2128" t="b">
        <v>0</v>
      </c>
      <c r="BQ2128">
        <v>2</v>
      </c>
      <c r="BR2128" t="s">
        <v>1667</v>
      </c>
      <c r="BS2128" t="s">
        <v>2741</v>
      </c>
      <c r="BT2128" t="b">
        <v>0</v>
      </c>
      <c r="BV2128" t="s">
        <v>1668</v>
      </c>
      <c r="BW2128">
        <v>6219</v>
      </c>
      <c r="BX2128" t="s">
        <v>3856</v>
      </c>
      <c r="BY2128">
        <v>256111</v>
      </c>
      <c r="BZ2128" t="s">
        <v>5707</v>
      </c>
      <c r="CA2128">
        <v>1</v>
      </c>
      <c r="CB2128" t="b">
        <v>1</v>
      </c>
      <c r="CC2128">
        <v>0</v>
      </c>
      <c r="CD2128" t="b">
        <v>0</v>
      </c>
      <c r="CE2128" t="b">
        <v>0</v>
      </c>
      <c r="CF2128" t="b">
        <v>0</v>
      </c>
      <c r="CG2128">
        <v>2763404</v>
      </c>
      <c r="CH2128" t="s">
        <v>1681</v>
      </c>
      <c r="CI2128" s="10">
        <v>742000</v>
      </c>
      <c r="CJ2128" s="7">
        <v>31700</v>
      </c>
    </row>
    <row r="2129" spans="1:88">
      <c r="A2129">
        <v>28038242</v>
      </c>
      <c r="B2129" s="2" t="str">
        <f>HYPERLINK("http://www.redfin.com/stingray/do/printable-listing?listing-id=1529653","Active")</f>
        <v>Active</v>
      </c>
      <c r="D2129" t="s">
        <v>101</v>
      </c>
      <c r="E2129" t="s">
        <v>2107</v>
      </c>
      <c r="F2129">
        <v>407500</v>
      </c>
      <c r="G2129">
        <v>2000</v>
      </c>
      <c r="H2129">
        <v>1600</v>
      </c>
      <c r="I2129">
        <v>0</v>
      </c>
      <c r="J2129">
        <v>3</v>
      </c>
      <c r="K2129">
        <v>2.5</v>
      </c>
      <c r="M2129" s="2" t="str">
        <f>HYPERLINK("http://maps.live.com/default.aspx?v=2&amp;lvl=15&amp;sp=Point.47.690861_-122.395181_2920 NW 85th St&amp;cp=47.690861~-122.395181","Map")</f>
        <v>Map</v>
      </c>
      <c r="N2129" s="2" t="str">
        <f>HYPERLINK("http://i-0.rfimg.us/photo/1/bigphoto/242/28038242_0.jpg","Photo")</f>
        <v>Photo</v>
      </c>
      <c r="AG2129">
        <v>47.690860999999998</v>
      </c>
      <c r="AH2129">
        <v>-122.39518099999999</v>
      </c>
      <c r="AI2129" t="s">
        <v>66</v>
      </c>
      <c r="AJ2129">
        <v>98117</v>
      </c>
      <c r="AN2129">
        <v>262000</v>
      </c>
      <c r="BC2129" s="22">
        <v>39511.614178240743</v>
      </c>
      <c r="BI2129" s="7">
        <v>39517</v>
      </c>
      <c r="BL2129">
        <v>8150</v>
      </c>
      <c r="BM2129">
        <v>1529653</v>
      </c>
      <c r="BN2129" t="s">
        <v>1700</v>
      </c>
      <c r="BO2129" s="17">
        <f t="shared" ca="1" si="33"/>
        <v>37.695227777774562</v>
      </c>
      <c r="BP2129" t="b">
        <v>0</v>
      </c>
      <c r="BQ2129">
        <v>1</v>
      </c>
      <c r="BR2129" t="s">
        <v>1686</v>
      </c>
      <c r="BS2129" t="s">
        <v>1827</v>
      </c>
      <c r="BT2129" t="b">
        <v>0</v>
      </c>
      <c r="BU2129" t="s">
        <v>1669</v>
      </c>
      <c r="BV2129" t="s">
        <v>1668</v>
      </c>
      <c r="BW2129">
        <v>2920</v>
      </c>
      <c r="BY2129">
        <v>166238</v>
      </c>
      <c r="BZ2129" t="s">
        <v>1747</v>
      </c>
      <c r="CA2129">
        <v>1</v>
      </c>
      <c r="CB2129" t="b">
        <v>1</v>
      </c>
      <c r="CC2129">
        <v>0</v>
      </c>
      <c r="CD2129" t="b">
        <v>0</v>
      </c>
      <c r="CE2129" t="b">
        <v>1</v>
      </c>
      <c r="CF2129" t="b">
        <v>0</v>
      </c>
      <c r="CG2129">
        <v>2981416</v>
      </c>
      <c r="CH2129" t="s">
        <v>1681</v>
      </c>
      <c r="CI2129" s="10">
        <v>407500</v>
      </c>
      <c r="CJ2129" s="7">
        <v>37337</v>
      </c>
    </row>
    <row r="2130" spans="1:88">
      <c r="A2130">
        <v>28038258</v>
      </c>
      <c r="B2130" s="2" t="str">
        <f>HYPERLINK("http://www.redfin.com/stingray/do/printable-listing?listing-id=1529758","Active")</f>
        <v>Active</v>
      </c>
      <c r="D2130" t="s">
        <v>3066</v>
      </c>
      <c r="E2130" t="s">
        <v>4686</v>
      </c>
      <c r="F2130">
        <v>749900</v>
      </c>
      <c r="G2130">
        <v>2007</v>
      </c>
      <c r="H2130">
        <v>2909</v>
      </c>
      <c r="I2130">
        <v>7631</v>
      </c>
      <c r="J2130">
        <v>4</v>
      </c>
      <c r="K2130">
        <v>2.5</v>
      </c>
      <c r="M2130" s="2" t="str">
        <f>HYPERLINK("http://maps.live.com/default.aspx?v=2&amp;lvl=15&amp;sp=Point.47.685043_-122.175826_9204 124th Ave NE&amp;cp=47.685043~-122.175826","Map")</f>
        <v>Map</v>
      </c>
      <c r="N2130" s="2" t="str">
        <f>HYPERLINK("http://i-0.rfimg.us/photo/1/bigphoto/258/28038258_3.jpg","Photo")</f>
        <v>Photo</v>
      </c>
      <c r="AG2130">
        <v>47.685043</v>
      </c>
      <c r="AH2130">
        <v>-122.175826</v>
      </c>
      <c r="AI2130" t="s">
        <v>1058</v>
      </c>
      <c r="AJ2130">
        <v>98033</v>
      </c>
      <c r="AN2130">
        <v>231750</v>
      </c>
      <c r="BC2130" s="22">
        <v>39511.635682870372</v>
      </c>
      <c r="BI2130" s="22">
        <v>39549.294907407406</v>
      </c>
      <c r="BL2130">
        <v>14998</v>
      </c>
      <c r="BM2130">
        <v>1529758</v>
      </c>
      <c r="BN2130" t="s">
        <v>1735</v>
      </c>
      <c r="BO2130" s="17">
        <f t="shared" ca="1" si="33"/>
        <v>37.673723032406997</v>
      </c>
      <c r="BP2130" t="b">
        <v>0</v>
      </c>
      <c r="BQ2130">
        <v>1</v>
      </c>
      <c r="BR2130" t="s">
        <v>1667</v>
      </c>
      <c r="BS2130" t="s">
        <v>4507</v>
      </c>
      <c r="BT2130" t="b">
        <v>0</v>
      </c>
      <c r="BV2130" t="s">
        <v>1668</v>
      </c>
      <c r="BW2130">
        <v>9204</v>
      </c>
      <c r="BX2130" t="s">
        <v>1738</v>
      </c>
      <c r="BY2130">
        <v>12299737</v>
      </c>
      <c r="BZ2130" t="s">
        <v>4687</v>
      </c>
      <c r="CA2130">
        <v>1</v>
      </c>
      <c r="CB2130" t="b">
        <v>1</v>
      </c>
      <c r="CC2130">
        <v>0</v>
      </c>
      <c r="CD2130" t="b">
        <v>0</v>
      </c>
      <c r="CE2130" t="b">
        <v>0</v>
      </c>
      <c r="CF2130" t="b">
        <v>0</v>
      </c>
      <c r="CG2130">
        <v>2353993</v>
      </c>
      <c r="CH2130" t="s">
        <v>1681</v>
      </c>
      <c r="CI2130" s="10">
        <v>749900</v>
      </c>
      <c r="CJ2130" s="7">
        <v>38701</v>
      </c>
    </row>
    <row r="2131" spans="1:88">
      <c r="A2131">
        <v>28038265</v>
      </c>
      <c r="B2131" s="2" t="str">
        <f>HYPERLINK("http://www.redfin.com/stingray/do/printable-listing?listing-id=1530154","Active")</f>
        <v>Active</v>
      </c>
      <c r="D2131" t="s">
        <v>5926</v>
      </c>
      <c r="E2131" t="s">
        <v>6116</v>
      </c>
      <c r="F2131">
        <v>475000</v>
      </c>
      <c r="G2131">
        <v>2008</v>
      </c>
      <c r="H2131">
        <v>2500</v>
      </c>
      <c r="I2131">
        <v>5000</v>
      </c>
      <c r="J2131">
        <v>4</v>
      </c>
      <c r="K2131">
        <v>2.5</v>
      </c>
      <c r="M2131" s="2" t="str">
        <f>HYPERLINK("http://maps.live.com/default.aspx?v=2&amp;lvl=15&amp;sp=Point.47.511815_-122.185902_2211 Edmonds Ave NE&amp;cp=47.511815~-122.185902","Map")</f>
        <v>Map</v>
      </c>
      <c r="N2131" s="2" t="str">
        <f>HYPERLINK("http://i-0.rfimg.us/photo/1/bigphoto/265/28038265_0.jpg","Photo")</f>
        <v>Photo</v>
      </c>
      <c r="AG2131">
        <v>47.511814999999999</v>
      </c>
      <c r="AH2131">
        <v>-122.185902</v>
      </c>
      <c r="AI2131" t="s">
        <v>1077</v>
      </c>
      <c r="AJ2131">
        <v>98056</v>
      </c>
      <c r="BC2131" s="22">
        <v>39511.734375</v>
      </c>
      <c r="BI2131" s="22">
        <v>39549.294907407406</v>
      </c>
      <c r="BL2131">
        <v>9500</v>
      </c>
      <c r="BM2131">
        <v>1530154</v>
      </c>
      <c r="BN2131" t="s">
        <v>2590</v>
      </c>
      <c r="BO2131" s="17">
        <f t="shared" ca="1" si="33"/>
        <v>37.575030902778963</v>
      </c>
      <c r="BP2131" t="b">
        <v>0</v>
      </c>
      <c r="BQ2131">
        <v>1</v>
      </c>
      <c r="BR2131" t="s">
        <v>1667</v>
      </c>
      <c r="BS2131" t="s">
        <v>6117</v>
      </c>
      <c r="BT2131" t="b">
        <v>0</v>
      </c>
      <c r="BV2131" t="s">
        <v>1668</v>
      </c>
      <c r="BW2131">
        <v>2211</v>
      </c>
      <c r="BX2131" t="s">
        <v>1738</v>
      </c>
      <c r="BY2131">
        <v>12422604</v>
      </c>
      <c r="BZ2131" t="s">
        <v>1684</v>
      </c>
      <c r="CA2131">
        <v>1</v>
      </c>
      <c r="CB2131" t="b">
        <v>1</v>
      </c>
      <c r="CC2131">
        <v>0</v>
      </c>
      <c r="CD2131" t="b">
        <v>0</v>
      </c>
      <c r="CE2131" t="b">
        <v>0</v>
      </c>
      <c r="CF2131" t="b">
        <v>0</v>
      </c>
      <c r="CG2131">
        <v>15626352</v>
      </c>
      <c r="CH2131" t="s">
        <v>1681</v>
      </c>
      <c r="CI2131" s="10">
        <v>475000</v>
      </c>
    </row>
    <row r="2132" spans="1:88">
      <c r="A2132">
        <v>28038271</v>
      </c>
      <c r="B2132" s="2" t="str">
        <f>HYPERLINK("http://www.redfin.com/stingray/do/printable-listing?listing-id=1529834","Active")</f>
        <v>Active</v>
      </c>
      <c r="D2132" t="s">
        <v>101</v>
      </c>
      <c r="E2132" t="s">
        <v>1477</v>
      </c>
      <c r="F2132">
        <v>549950</v>
      </c>
      <c r="G2132">
        <v>1963</v>
      </c>
      <c r="H2132">
        <v>2090</v>
      </c>
      <c r="I2132">
        <v>7800</v>
      </c>
      <c r="J2132">
        <v>4</v>
      </c>
      <c r="K2132">
        <v>3</v>
      </c>
      <c r="M2132" s="2" t="str">
        <f>HYPERLINK("http://maps.live.com/default.aspx?v=2&amp;lvl=15&amp;sp=Point.47.694022_-122.391894_2655 NW 90th St&amp;cp=47.694022~-122.391894","Map")</f>
        <v>Map</v>
      </c>
      <c r="N2132" s="2" t="str">
        <f>HYPERLINK("http://i-0.rfimg.us/photo/1/bigphoto/271/28038271_0.jpg","Photo")</f>
        <v>Photo</v>
      </c>
      <c r="AG2132">
        <v>47.694021999999997</v>
      </c>
      <c r="AH2132">
        <v>-122.39189399999999</v>
      </c>
      <c r="AI2132" t="s">
        <v>66</v>
      </c>
      <c r="AJ2132">
        <v>98117</v>
      </c>
      <c r="BC2132" s="22">
        <v>39511.656192129631</v>
      </c>
      <c r="BI2132" s="22">
        <v>39549.294907407406</v>
      </c>
      <c r="BL2132">
        <v>10999</v>
      </c>
      <c r="BM2132">
        <v>1529834</v>
      </c>
      <c r="BN2132" t="s">
        <v>1710</v>
      </c>
      <c r="BO2132" s="17">
        <f t="shared" ca="1" si="33"/>
        <v>37.653213888886967</v>
      </c>
      <c r="BP2132" t="b">
        <v>0</v>
      </c>
      <c r="BQ2132">
        <v>1</v>
      </c>
      <c r="BR2132" t="s">
        <v>1686</v>
      </c>
      <c r="BS2132" t="s">
        <v>1761</v>
      </c>
      <c r="BT2132" t="b">
        <v>0</v>
      </c>
      <c r="BU2132" t="s">
        <v>1669</v>
      </c>
      <c r="BV2132" t="s">
        <v>1668</v>
      </c>
      <c r="BW2132">
        <v>2655</v>
      </c>
      <c r="BY2132">
        <v>166299</v>
      </c>
      <c r="BZ2132" t="s">
        <v>1762</v>
      </c>
      <c r="CA2132">
        <v>1</v>
      </c>
      <c r="CB2132" t="b">
        <v>1</v>
      </c>
      <c r="CC2132">
        <v>0</v>
      </c>
      <c r="CD2132" t="b">
        <v>1</v>
      </c>
      <c r="CE2132" t="b">
        <v>1</v>
      </c>
      <c r="CF2132" t="b">
        <v>0</v>
      </c>
      <c r="CG2132">
        <v>2490344</v>
      </c>
      <c r="CH2132" t="s">
        <v>1681</v>
      </c>
      <c r="CI2132" s="10">
        <v>549950</v>
      </c>
    </row>
    <row r="2133" spans="1:88">
      <c r="A2133">
        <v>28038282</v>
      </c>
      <c r="B2133" s="2" t="str">
        <f>HYPERLINK("http://www.redfin.com/stingray/do/printable-listing?listing-id=1529757","Active")</f>
        <v>Active</v>
      </c>
      <c r="D2133" t="s">
        <v>3066</v>
      </c>
      <c r="E2133" t="s">
        <v>4684</v>
      </c>
      <c r="F2133">
        <v>765400</v>
      </c>
      <c r="G2133">
        <v>2007</v>
      </c>
      <c r="H2133">
        <v>2796</v>
      </c>
      <c r="I2133">
        <v>6846</v>
      </c>
      <c r="J2133">
        <v>4</v>
      </c>
      <c r="K2133">
        <v>2.5</v>
      </c>
      <c r="M2133" s="2" t="str">
        <f>HYPERLINK("http://maps.live.com/default.aspx?v=2&amp;lvl=15&amp;sp=Point.47.685075_-122.175824_9208 124th Ave NE&amp;cp=47.685075~-122.175824","Map")</f>
        <v>Map</v>
      </c>
      <c r="N2133" s="2" t="str">
        <f>HYPERLINK("http://i-0.rfimg.us/photo/1/bigphoto/282/28038282_1.jpg","Photo")</f>
        <v>Photo</v>
      </c>
      <c r="AG2133">
        <v>47.685074999999998</v>
      </c>
      <c r="AH2133">
        <v>-122.17582400000001</v>
      </c>
      <c r="AI2133" t="s">
        <v>1058</v>
      </c>
      <c r="AJ2133">
        <v>98033</v>
      </c>
      <c r="AN2133">
        <v>231750</v>
      </c>
      <c r="BC2133" s="22">
        <v>39511.635671296295</v>
      </c>
      <c r="BI2133" s="22">
        <v>39549.294907407406</v>
      </c>
      <c r="BL2133">
        <v>15308</v>
      </c>
      <c r="BM2133">
        <v>1529757</v>
      </c>
      <c r="BN2133" t="s">
        <v>1735</v>
      </c>
      <c r="BO2133" s="17">
        <f t="shared" ca="1" si="33"/>
        <v>37.673734606483777</v>
      </c>
      <c r="BP2133" t="b">
        <v>0</v>
      </c>
      <c r="BQ2133">
        <v>1</v>
      </c>
      <c r="BR2133" t="s">
        <v>1667</v>
      </c>
      <c r="BS2133" t="s">
        <v>4507</v>
      </c>
      <c r="BT2133" t="b">
        <v>0</v>
      </c>
      <c r="BV2133" t="s">
        <v>1668</v>
      </c>
      <c r="BW2133">
        <v>9208</v>
      </c>
      <c r="BX2133" t="s">
        <v>1738</v>
      </c>
      <c r="BY2133">
        <v>512981</v>
      </c>
      <c r="BZ2133" t="s">
        <v>3861</v>
      </c>
      <c r="CA2133">
        <v>1</v>
      </c>
      <c r="CB2133" t="b">
        <v>1</v>
      </c>
      <c r="CC2133">
        <v>0</v>
      </c>
      <c r="CD2133" t="b">
        <v>0</v>
      </c>
      <c r="CE2133" t="b">
        <v>0</v>
      </c>
      <c r="CF2133" t="b">
        <v>0</v>
      </c>
      <c r="CG2133">
        <v>2592376</v>
      </c>
      <c r="CH2133" t="s">
        <v>1681</v>
      </c>
      <c r="CI2133" s="10">
        <v>765400</v>
      </c>
      <c r="CJ2133" s="7">
        <v>38791</v>
      </c>
    </row>
    <row r="2134" spans="1:88">
      <c r="A2134">
        <v>28038293</v>
      </c>
      <c r="B2134" s="2" t="str">
        <f>HYPERLINK("http://www.redfin.com/stingray/do/printable-listing?listing-id=1529832","Active")</f>
        <v>Active</v>
      </c>
      <c r="D2134" t="s">
        <v>3066</v>
      </c>
      <c r="E2134" t="s">
        <v>4685</v>
      </c>
      <c r="F2134">
        <v>759400</v>
      </c>
      <c r="G2134">
        <v>2007</v>
      </c>
      <c r="H2134">
        <v>2809</v>
      </c>
      <c r="I2134">
        <v>10741</v>
      </c>
      <c r="J2134">
        <v>4</v>
      </c>
      <c r="K2134">
        <v>2.5</v>
      </c>
      <c r="M2134" s="2" t="str">
        <f>HYPERLINK("http://maps.live.com/default.aspx?v=2&amp;lvl=15&amp;sp=Point.47.685381_-122.174703_9217 125th Ave NE&amp;cp=47.685381~-122.174703","Map")</f>
        <v>Map</v>
      </c>
      <c r="N2134" s="2" t="str">
        <f>HYPERLINK("http://i-0.rfimg.us/photo/1/bigphoto/293/28038293_0.jpg","Photo")</f>
        <v>Photo</v>
      </c>
      <c r="AG2134">
        <v>47.685381</v>
      </c>
      <c r="AH2134">
        <v>-122.17470299999999</v>
      </c>
      <c r="AI2134" t="s">
        <v>1058</v>
      </c>
      <c r="AJ2134">
        <v>98033</v>
      </c>
      <c r="BC2134" s="22">
        <v>39511.656168981484</v>
      </c>
      <c r="BI2134" s="22">
        <v>39549.294907407406</v>
      </c>
      <c r="BL2134">
        <v>15188</v>
      </c>
      <c r="BM2134">
        <v>1529832</v>
      </c>
      <c r="BN2134" t="s">
        <v>1735</v>
      </c>
      <c r="BO2134" s="17">
        <f t="shared" ca="1" si="33"/>
        <v>37.653236921294592</v>
      </c>
      <c r="BP2134" t="b">
        <v>0</v>
      </c>
      <c r="BQ2134">
        <v>1</v>
      </c>
      <c r="BR2134" t="s">
        <v>1667</v>
      </c>
      <c r="BS2134" t="s">
        <v>2677</v>
      </c>
      <c r="BT2134" t="b">
        <v>0</v>
      </c>
      <c r="BV2134" t="s">
        <v>1668</v>
      </c>
      <c r="BW2134">
        <v>9217</v>
      </c>
      <c r="BX2134" t="s">
        <v>1738</v>
      </c>
      <c r="BY2134">
        <v>11903243</v>
      </c>
      <c r="BZ2134" s="21">
        <v>0</v>
      </c>
      <c r="CA2134">
        <v>1</v>
      </c>
      <c r="CB2134" t="b">
        <v>1</v>
      </c>
      <c r="CC2134">
        <v>0</v>
      </c>
      <c r="CD2134" t="b">
        <v>0</v>
      </c>
      <c r="CE2134" t="b">
        <v>0</v>
      </c>
      <c r="CF2134" t="b">
        <v>0</v>
      </c>
      <c r="CG2134">
        <v>15157468</v>
      </c>
      <c r="CH2134" t="s">
        <v>1681</v>
      </c>
      <c r="CI2134" s="10">
        <v>759400</v>
      </c>
    </row>
    <row r="2135" spans="1:88">
      <c r="A2135">
        <v>28038309</v>
      </c>
      <c r="B2135" s="2" t="str">
        <f>HYPERLINK("http://www.redfin.com/stingray/do/printable-listing?listing-id=1533114","Active")</f>
        <v>Active</v>
      </c>
      <c r="D2135" t="s">
        <v>3685</v>
      </c>
      <c r="E2135" t="s">
        <v>3799</v>
      </c>
      <c r="F2135">
        <v>1480000</v>
      </c>
      <c r="G2135">
        <v>2008</v>
      </c>
      <c r="H2135">
        <v>3066</v>
      </c>
      <c r="I2135">
        <v>4000</v>
      </c>
      <c r="J2135">
        <v>5</v>
      </c>
      <c r="K2135">
        <v>3.5</v>
      </c>
      <c r="M2135" s="2" t="str">
        <f>HYPERLINK("http://maps.live.com/default.aspx?v=2&amp;lvl=15&amp;sp=Point.47.635501_-122.279974_1825 41st Ave E&amp;cp=47.635501~-122.279974","Map")</f>
        <v>Map</v>
      </c>
      <c r="N2135" s="2" t="str">
        <f>HYPERLINK("http://i-0.rfimg.us/photo/1/bigphoto/309/28038309_.jpg","Photo")</f>
        <v>Photo</v>
      </c>
      <c r="AG2135">
        <v>47.635500999999998</v>
      </c>
      <c r="AH2135">
        <v>-122.279974</v>
      </c>
      <c r="AI2135" t="s">
        <v>66</v>
      </c>
      <c r="AJ2135">
        <v>98112</v>
      </c>
      <c r="AN2135">
        <v>754000</v>
      </c>
      <c r="BC2135" s="22">
        <v>39512.599340277775</v>
      </c>
      <c r="BI2135" s="22">
        <v>39549.294907407406</v>
      </c>
      <c r="BL2135">
        <v>29600</v>
      </c>
      <c r="BM2135">
        <v>1533114</v>
      </c>
      <c r="BN2135" t="s">
        <v>2875</v>
      </c>
      <c r="BO2135" s="17">
        <f t="shared" ca="1" si="33"/>
        <v>36.710065625004063</v>
      </c>
      <c r="BP2135" t="b">
        <v>0</v>
      </c>
      <c r="BQ2135">
        <v>1</v>
      </c>
      <c r="BR2135" t="s">
        <v>1667</v>
      </c>
      <c r="BS2135" t="s">
        <v>3222</v>
      </c>
      <c r="BT2135" t="b">
        <v>0</v>
      </c>
      <c r="BV2135" t="s">
        <v>1668</v>
      </c>
      <c r="BW2135">
        <v>1825</v>
      </c>
      <c r="BX2135" t="s">
        <v>2436</v>
      </c>
      <c r="BY2135">
        <v>139815</v>
      </c>
      <c r="CA2135">
        <v>1</v>
      </c>
      <c r="CB2135" t="b">
        <v>1</v>
      </c>
      <c r="CC2135">
        <v>0</v>
      </c>
      <c r="CD2135" t="b">
        <v>0</v>
      </c>
      <c r="CE2135" t="b">
        <v>0</v>
      </c>
      <c r="CF2135" t="b">
        <v>0</v>
      </c>
      <c r="CG2135">
        <v>2590208</v>
      </c>
      <c r="CH2135" t="s">
        <v>1681</v>
      </c>
      <c r="CI2135" s="10">
        <v>1480000</v>
      </c>
      <c r="CJ2135" s="7">
        <v>39309</v>
      </c>
    </row>
    <row r="2136" spans="1:88">
      <c r="A2136">
        <v>28038340</v>
      </c>
      <c r="B2136" s="2" t="str">
        <f>HYPERLINK("http://www.redfin.com/stingray/do/printable-listing?listing-id=1533942","Active")</f>
        <v>Active</v>
      </c>
      <c r="D2136" t="s">
        <v>3966</v>
      </c>
      <c r="E2136" t="s">
        <v>4012</v>
      </c>
      <c r="F2136">
        <v>1995000</v>
      </c>
      <c r="G2136">
        <v>2008</v>
      </c>
      <c r="H2136">
        <v>3500</v>
      </c>
      <c r="I2136">
        <v>5000</v>
      </c>
      <c r="J2136">
        <v>4</v>
      </c>
      <c r="K2136">
        <v>3.5</v>
      </c>
      <c r="M2136" s="2" t="str">
        <f>HYPERLINK("http://maps.live.com/default.aspx?v=2&amp;lvl=15&amp;sp=Point.47.612156_-122.286895_1110 36th Ave&amp;cp=47.612156~-122.286895","Map")</f>
        <v>Map</v>
      </c>
      <c r="N2136" s="2" t="str">
        <f>HYPERLINK("http://i-0.rfimg.us/photo/1/bigphoto/340/28038340_0.jpg","Photo")</f>
        <v>Photo</v>
      </c>
      <c r="AG2136">
        <v>47.612155999999999</v>
      </c>
      <c r="AH2136">
        <v>-122.286895</v>
      </c>
      <c r="AI2136" t="s">
        <v>66</v>
      </c>
      <c r="AJ2136">
        <v>98122</v>
      </c>
      <c r="BC2136" s="22">
        <v>39512.757326388892</v>
      </c>
      <c r="BI2136" s="22">
        <v>39549.294907407406</v>
      </c>
      <c r="BL2136">
        <v>39900</v>
      </c>
      <c r="BM2136">
        <v>1533942</v>
      </c>
      <c r="BN2136" t="s">
        <v>1939</v>
      </c>
      <c r="BO2136" s="17">
        <f t="shared" ca="1" si="33"/>
        <v>36.552079513887293</v>
      </c>
      <c r="BP2136" t="b">
        <v>0</v>
      </c>
      <c r="BQ2136">
        <v>1</v>
      </c>
      <c r="BR2136" t="s">
        <v>1667</v>
      </c>
      <c r="BS2136" t="s">
        <v>2911</v>
      </c>
      <c r="BT2136" t="b">
        <v>0</v>
      </c>
      <c r="BV2136" t="s">
        <v>1668</v>
      </c>
      <c r="BW2136">
        <v>1110</v>
      </c>
      <c r="BY2136">
        <v>12423094</v>
      </c>
      <c r="BZ2136" t="s">
        <v>1672</v>
      </c>
      <c r="CA2136">
        <v>1</v>
      </c>
      <c r="CB2136" t="b">
        <v>1</v>
      </c>
      <c r="CC2136">
        <v>0</v>
      </c>
      <c r="CD2136" t="b">
        <v>0</v>
      </c>
      <c r="CE2136" t="b">
        <v>0</v>
      </c>
      <c r="CF2136" t="b">
        <v>0</v>
      </c>
      <c r="CG2136">
        <v>15626842</v>
      </c>
      <c r="CH2136" t="s">
        <v>1681</v>
      </c>
      <c r="CI2136" s="10">
        <v>1995000</v>
      </c>
    </row>
    <row r="2137" spans="1:88">
      <c r="A2137">
        <v>28038359</v>
      </c>
      <c r="B2137" s="2" t="str">
        <f>HYPERLINK("http://www.redfin.com/stingray/do/printable-listing?listing-id=1529899","Active")</f>
        <v>Active</v>
      </c>
      <c r="D2137" t="s">
        <v>5565</v>
      </c>
      <c r="E2137" t="s">
        <v>5610</v>
      </c>
      <c r="F2137" s="19">
        <v>499950</v>
      </c>
      <c r="G2137">
        <v>1959</v>
      </c>
      <c r="H2137">
        <v>1980</v>
      </c>
      <c r="I2137">
        <v>9447</v>
      </c>
      <c r="J2137">
        <v>4</v>
      </c>
      <c r="K2137">
        <v>2.75</v>
      </c>
      <c r="M2137" s="2" t="str">
        <f>HYPERLINK("http://maps.live.com/default.aspx?v=2&amp;lvl=15&amp;sp=Point.47.554836_-122.176458_5248 122 Pl SE&amp;cp=47.554836~-122.176458","Map")</f>
        <v>Map</v>
      </c>
      <c r="N2137" s="2" t="str">
        <f>HYPERLINK("http://i-0.rfimg.us/photo/1/bigphoto/359/28038359_1.jpg","Photo")</f>
        <v>Photo</v>
      </c>
      <c r="AG2137">
        <v>47.554836000000002</v>
      </c>
      <c r="AH2137">
        <v>-122.176458</v>
      </c>
      <c r="AI2137" t="s">
        <v>369</v>
      </c>
      <c r="AJ2137">
        <v>98006</v>
      </c>
      <c r="AN2137">
        <v>148250</v>
      </c>
      <c r="BC2137" s="22">
        <v>39511.674085648148</v>
      </c>
      <c r="BI2137" s="22">
        <v>39549.294907407406</v>
      </c>
      <c r="BL2137">
        <v>10499</v>
      </c>
      <c r="BM2137">
        <v>1529899</v>
      </c>
      <c r="BN2137" t="s">
        <v>5609</v>
      </c>
      <c r="BO2137" s="17">
        <f t="shared" ca="1" si="33"/>
        <v>37.635320254630642</v>
      </c>
      <c r="BP2137" t="b">
        <v>0</v>
      </c>
      <c r="BQ2137">
        <v>1</v>
      </c>
      <c r="BR2137" t="s">
        <v>1842</v>
      </c>
      <c r="BS2137">
        <v>122</v>
      </c>
      <c r="BT2137" t="b">
        <v>0</v>
      </c>
      <c r="BV2137" t="s">
        <v>1668</v>
      </c>
      <c r="BW2137">
        <v>5248</v>
      </c>
      <c r="BX2137" t="s">
        <v>3856</v>
      </c>
      <c r="BY2137">
        <v>414288</v>
      </c>
      <c r="BZ2137" t="s">
        <v>3584</v>
      </c>
      <c r="CA2137">
        <v>1</v>
      </c>
      <c r="CB2137" t="b">
        <v>1</v>
      </c>
      <c r="CC2137">
        <v>0</v>
      </c>
      <c r="CD2137" t="b">
        <v>0</v>
      </c>
      <c r="CE2137" t="b">
        <v>0</v>
      </c>
      <c r="CF2137" t="b">
        <v>0</v>
      </c>
      <c r="CG2137">
        <v>2954310</v>
      </c>
      <c r="CH2137" t="s">
        <v>1681</v>
      </c>
      <c r="CI2137" s="10">
        <v>524950</v>
      </c>
      <c r="CJ2137" s="7">
        <v>33602</v>
      </c>
    </row>
    <row r="2138" spans="1:88">
      <c r="A2138">
        <v>28038374</v>
      </c>
      <c r="B2138" s="15" t="str">
        <f>HYPERLINK("http://www.redfin.com/stingray/do/printable-listing?listing-id=1531179","Subject To Inspection")</f>
        <v>Subject To Inspection</v>
      </c>
      <c r="D2138" t="s">
        <v>66</v>
      </c>
      <c r="E2138" t="s">
        <v>2153</v>
      </c>
      <c r="F2138">
        <v>389900</v>
      </c>
      <c r="G2138">
        <v>1942</v>
      </c>
      <c r="H2138">
        <v>1680</v>
      </c>
      <c r="I2138">
        <v>5442</v>
      </c>
      <c r="J2138">
        <v>3</v>
      </c>
      <c r="K2138">
        <v>2</v>
      </c>
      <c r="M2138" s="2" t="str">
        <f>HYPERLINK("http://maps.live.com/default.aspx?v=2&amp;lvl=15&amp;sp=Point.47.706752_-122.341055_10559 Interlake Ave N&amp;cp=47.706752~-122.341055","Map")</f>
        <v>Map</v>
      </c>
      <c r="N2138" s="2" t="str">
        <f>HYPERLINK("http://i-0.rfimg.us/photo/1/bigphoto/374/28038374_1.jpg","Photo")</f>
        <v>Photo</v>
      </c>
      <c r="AG2138">
        <v>47.706752000000002</v>
      </c>
      <c r="AH2138">
        <v>-122.341055</v>
      </c>
      <c r="AI2138" t="s">
        <v>66</v>
      </c>
      <c r="AJ2138">
        <v>98133</v>
      </c>
      <c r="AN2138">
        <v>189000</v>
      </c>
      <c r="BC2138" s="22">
        <v>39512.276030092595</v>
      </c>
      <c r="BI2138" s="22">
        <v>39549.294907407406</v>
      </c>
      <c r="BL2138">
        <v>7798</v>
      </c>
      <c r="BM2138">
        <v>1531179</v>
      </c>
      <c r="BN2138" t="s">
        <v>1702</v>
      </c>
      <c r="BO2138" s="17">
        <f t="shared" ca="1" si="33"/>
        <v>37.033375810184225</v>
      </c>
      <c r="BP2138" t="b">
        <v>0</v>
      </c>
      <c r="BQ2138">
        <v>1</v>
      </c>
      <c r="BR2138" t="s">
        <v>1667</v>
      </c>
      <c r="BS2138" t="s">
        <v>2378</v>
      </c>
      <c r="BT2138" t="b">
        <v>0</v>
      </c>
      <c r="BV2138" t="s">
        <v>1668</v>
      </c>
      <c r="BW2138">
        <v>10559</v>
      </c>
      <c r="BX2138" t="s">
        <v>1712</v>
      </c>
      <c r="BY2138">
        <v>104892</v>
      </c>
      <c r="BZ2138" t="s">
        <v>2674</v>
      </c>
      <c r="CA2138">
        <v>1</v>
      </c>
      <c r="CB2138" t="b">
        <v>1</v>
      </c>
      <c r="CC2138">
        <v>0</v>
      </c>
      <c r="CD2138" t="b">
        <v>0</v>
      </c>
      <c r="CE2138" t="b">
        <v>0</v>
      </c>
      <c r="CF2138" t="b">
        <v>0</v>
      </c>
      <c r="CG2138">
        <v>2660929</v>
      </c>
      <c r="CH2138" t="s">
        <v>1681</v>
      </c>
      <c r="CI2138" s="10">
        <v>389900</v>
      </c>
      <c r="CJ2138" s="7">
        <v>36494</v>
      </c>
    </row>
    <row r="2139" spans="1:88">
      <c r="A2139">
        <v>28038381</v>
      </c>
      <c r="B2139" s="2" t="str">
        <f>HYPERLINK("http://www.redfin.com/stingray/do/printable-listing?listing-id=1529900","Active")</f>
        <v>Active</v>
      </c>
      <c r="D2139" t="s">
        <v>60</v>
      </c>
      <c r="E2139" t="s">
        <v>2805</v>
      </c>
      <c r="F2139" s="19">
        <v>374950</v>
      </c>
      <c r="G2139">
        <v>2008</v>
      </c>
      <c r="H2139">
        <v>1470</v>
      </c>
      <c r="I2139">
        <v>0</v>
      </c>
      <c r="J2139">
        <v>3</v>
      </c>
      <c r="K2139">
        <v>2.5</v>
      </c>
      <c r="M2139" s="2" t="str">
        <f>HYPERLINK("http://maps.live.com/default.aspx?v=2&amp;lvl=15&amp;sp=Point.47.697367_-122.340023_9247 Ashworth Ave N nA&amp;cp=47.697367~-122.340023","Map")</f>
        <v>Map</v>
      </c>
      <c r="N2139" s="2" t="str">
        <f>HYPERLINK("http://i-0.rfimg.us/photo/1/bigphoto/381/28038381_6.jpg","Photo")</f>
        <v>Photo</v>
      </c>
      <c r="AG2139">
        <v>47.697367</v>
      </c>
      <c r="AH2139">
        <v>-122.340023</v>
      </c>
      <c r="AI2139" t="s">
        <v>66</v>
      </c>
      <c r="AJ2139">
        <v>98103</v>
      </c>
      <c r="AM2139" t="s">
        <v>1722</v>
      </c>
      <c r="BC2139" s="22">
        <v>39511.674120370371</v>
      </c>
      <c r="BI2139" s="22">
        <v>39549.294907407406</v>
      </c>
      <c r="BL2139">
        <v>7599</v>
      </c>
      <c r="BM2139">
        <v>1529900</v>
      </c>
      <c r="BN2139" t="s">
        <v>1725</v>
      </c>
      <c r="BO2139" s="17">
        <f t="shared" ca="1" si="33"/>
        <v>37.635285532407579</v>
      </c>
      <c r="BP2139" t="b">
        <v>0</v>
      </c>
      <c r="BQ2139">
        <v>1</v>
      </c>
      <c r="BR2139" t="s">
        <v>1667</v>
      </c>
      <c r="BS2139" t="s">
        <v>1825</v>
      </c>
      <c r="BT2139" t="b">
        <v>0</v>
      </c>
      <c r="BV2139" t="s">
        <v>1668</v>
      </c>
      <c r="BW2139">
        <v>9247</v>
      </c>
      <c r="BX2139" t="s">
        <v>1712</v>
      </c>
      <c r="BY2139">
        <v>12422580</v>
      </c>
      <c r="BZ2139" s="21">
        <v>6.9444444444444447E-4</v>
      </c>
      <c r="CA2139">
        <v>1</v>
      </c>
      <c r="CB2139" t="b">
        <v>1</v>
      </c>
      <c r="CC2139">
        <v>0</v>
      </c>
      <c r="CD2139" t="b">
        <v>0</v>
      </c>
      <c r="CE2139" t="b">
        <v>0</v>
      </c>
      <c r="CF2139" t="b">
        <v>0</v>
      </c>
      <c r="CG2139">
        <v>15626328</v>
      </c>
      <c r="CH2139" t="s">
        <v>1681</v>
      </c>
      <c r="CI2139" s="10">
        <v>379950</v>
      </c>
    </row>
    <row r="2140" spans="1:88">
      <c r="A2140">
        <v>28038383</v>
      </c>
      <c r="B2140" s="2" t="str">
        <f>HYPERLINK("http://www.redfin.com/stingray/do/printable-listing?listing-id=1529894","Active")</f>
        <v>Active</v>
      </c>
      <c r="D2140" t="s">
        <v>60</v>
      </c>
      <c r="E2140" t="s">
        <v>2804</v>
      </c>
      <c r="F2140">
        <v>379950</v>
      </c>
      <c r="G2140">
        <v>2008</v>
      </c>
      <c r="H2140">
        <v>1470</v>
      </c>
      <c r="I2140">
        <v>0</v>
      </c>
      <c r="J2140">
        <v>3</v>
      </c>
      <c r="K2140">
        <v>2.5</v>
      </c>
      <c r="M2140" s="2" t="str">
        <f>HYPERLINK("http://maps.live.com/default.aspx?v=2&amp;lvl=15&amp;sp=Point.47.696947_-122.339903_9243 Ashworth Ave N nB&amp;cp=47.696947~-122.339903","Map")</f>
        <v>Map</v>
      </c>
      <c r="N2140" s="2" t="str">
        <f>HYPERLINK("http://i-0.rfimg.us/photo/1/bigphoto/383/28038383_0.jpg","Photo")</f>
        <v>Photo</v>
      </c>
      <c r="AG2140">
        <v>47.696947000000002</v>
      </c>
      <c r="AH2140">
        <v>-122.33990300000001</v>
      </c>
      <c r="AI2140" t="s">
        <v>66</v>
      </c>
      <c r="AJ2140">
        <v>98103</v>
      </c>
      <c r="AM2140" t="s">
        <v>1699</v>
      </c>
      <c r="BC2140" s="22">
        <v>39511.673888888887</v>
      </c>
      <c r="BI2140" s="22">
        <v>39549.294907407406</v>
      </c>
      <c r="BL2140">
        <v>7599</v>
      </c>
      <c r="BM2140">
        <v>1529894</v>
      </c>
      <c r="BN2140" t="s">
        <v>1725</v>
      </c>
      <c r="BO2140" s="17">
        <f t="shared" ca="1" si="33"/>
        <v>37.63551701389224</v>
      </c>
      <c r="BP2140" t="b">
        <v>0</v>
      </c>
      <c r="BQ2140">
        <v>1</v>
      </c>
      <c r="BR2140" t="s">
        <v>1667</v>
      </c>
      <c r="BS2140" t="s">
        <v>1825</v>
      </c>
      <c r="BT2140" t="b">
        <v>0</v>
      </c>
      <c r="BV2140" t="s">
        <v>1668</v>
      </c>
      <c r="BW2140">
        <v>9243</v>
      </c>
      <c r="BX2140" t="s">
        <v>1712</v>
      </c>
      <c r="BY2140">
        <v>12422578</v>
      </c>
      <c r="BZ2140" s="21">
        <v>0</v>
      </c>
      <c r="CA2140">
        <v>1</v>
      </c>
      <c r="CB2140" t="b">
        <v>1</v>
      </c>
      <c r="CC2140">
        <v>0</v>
      </c>
      <c r="CD2140" t="b">
        <v>0</v>
      </c>
      <c r="CE2140" t="b">
        <v>0</v>
      </c>
      <c r="CF2140" t="b">
        <v>0</v>
      </c>
      <c r="CG2140">
        <v>15626326</v>
      </c>
      <c r="CH2140" t="s">
        <v>1681</v>
      </c>
      <c r="CI2140" s="10">
        <v>379950</v>
      </c>
    </row>
    <row r="2141" spans="1:88">
      <c r="A2141">
        <v>28038419</v>
      </c>
      <c r="B2141" s="2" t="str">
        <f>HYPERLINK("http://www.redfin.com/stingray/do/printable-listing?listing-id=1529941","Active")</f>
        <v>Active</v>
      </c>
      <c r="D2141" t="s">
        <v>60</v>
      </c>
      <c r="E2141" t="s">
        <v>3209</v>
      </c>
      <c r="F2141">
        <v>599000</v>
      </c>
      <c r="G2141">
        <v>2008</v>
      </c>
      <c r="H2141">
        <v>1831</v>
      </c>
      <c r="I2141">
        <v>0</v>
      </c>
      <c r="J2141">
        <v>3</v>
      </c>
      <c r="K2141">
        <v>2.5</v>
      </c>
      <c r="M2141" s="2" t="str">
        <f>HYPERLINK("http://maps.live.com/default.aspx?v=2&amp;lvl=15&amp;sp=Point.47.682393_-122.323691_466 NE Maple Leaf Pl&amp;cp=47.682393~-122.323691","Map")</f>
        <v>Map</v>
      </c>
      <c r="N2141" s="2" t="str">
        <f>HYPERLINK("http://i-0.rfimg.us/photo/1/bigphoto/419/28038419_0.jpg","Photo")</f>
        <v>Photo</v>
      </c>
      <c r="AG2141">
        <v>47.682392999999998</v>
      </c>
      <c r="AH2141">
        <v>-122.323691</v>
      </c>
      <c r="AI2141" t="s">
        <v>66</v>
      </c>
      <c r="AJ2141">
        <v>98103</v>
      </c>
      <c r="BC2141" s="22">
        <v>39511.682812500003</v>
      </c>
      <c r="BI2141" s="22">
        <v>39547.913935185185</v>
      </c>
      <c r="BL2141">
        <v>11980</v>
      </c>
      <c r="BM2141">
        <v>1529941</v>
      </c>
      <c r="BN2141" t="s">
        <v>1718</v>
      </c>
      <c r="BO2141" s="17">
        <f t="shared" ca="1" si="33"/>
        <v>37.626593402776052</v>
      </c>
      <c r="BP2141" t="b">
        <v>0</v>
      </c>
      <c r="BQ2141">
        <v>1</v>
      </c>
      <c r="BR2141" t="s">
        <v>1842</v>
      </c>
      <c r="BS2141" t="s">
        <v>192</v>
      </c>
      <c r="BT2141" t="b">
        <v>0</v>
      </c>
      <c r="BU2141" t="s">
        <v>1738</v>
      </c>
      <c r="BV2141" t="s">
        <v>1668</v>
      </c>
      <c r="BW2141">
        <v>466</v>
      </c>
      <c r="BY2141">
        <v>12384711</v>
      </c>
      <c r="BZ2141" t="s">
        <v>1670</v>
      </c>
      <c r="CA2141">
        <v>1</v>
      </c>
      <c r="CB2141" t="b">
        <v>1</v>
      </c>
      <c r="CC2141">
        <v>0</v>
      </c>
      <c r="CD2141" t="b">
        <v>0</v>
      </c>
      <c r="CE2141" t="b">
        <v>0</v>
      </c>
      <c r="CF2141" t="b">
        <v>0</v>
      </c>
      <c r="CG2141">
        <v>15588459</v>
      </c>
      <c r="CH2141" t="s">
        <v>1681</v>
      </c>
      <c r="CI2141" s="10">
        <v>599000</v>
      </c>
    </row>
    <row r="2142" spans="1:88">
      <c r="A2142">
        <v>28038422</v>
      </c>
      <c r="B2142" s="15" t="str">
        <f>HYPERLINK("http://www.redfin.com/stingray/do/printable-listing?listing-id=1533177","Subject To Inspection")</f>
        <v>Subject To Inspection</v>
      </c>
      <c r="D2142" t="s">
        <v>5926</v>
      </c>
      <c r="E2142" t="s">
        <v>5982</v>
      </c>
      <c r="F2142" s="19">
        <v>509900</v>
      </c>
      <c r="G2142">
        <v>2007</v>
      </c>
      <c r="H2142">
        <v>3200</v>
      </c>
      <c r="I2142">
        <v>0</v>
      </c>
      <c r="J2142">
        <v>5</v>
      </c>
      <c r="K2142">
        <v>2.5</v>
      </c>
      <c r="M2142" s="2" t="str">
        <f>HYPERLINK("http://maps.live.com/default.aspx?v=2&amp;lvl=15&amp;sp=adr.2512 NE 21st St n(Lot 3) (Unable to map),98056","Map")</f>
        <v>Map</v>
      </c>
      <c r="N2142" s="2" t="str">
        <f>HYPERLINK("http://i-0.rfimg.us/photo/1/bigphoto/422/28038422_0.jpg","Photo")</f>
        <v>Photo</v>
      </c>
      <c r="AI2142" t="s">
        <v>1077</v>
      </c>
      <c r="AJ2142">
        <v>98056</v>
      </c>
      <c r="AM2142" t="s">
        <v>5983</v>
      </c>
      <c r="BC2142" s="22">
        <v>39512.610277777778</v>
      </c>
      <c r="BI2142" s="22">
        <v>39549.294907407406</v>
      </c>
      <c r="BL2142">
        <v>10398</v>
      </c>
      <c r="BM2142">
        <v>1533177</v>
      </c>
      <c r="BN2142" t="s">
        <v>4966</v>
      </c>
      <c r="BO2142" s="17">
        <f t="shared" ca="1" si="33"/>
        <v>36.699128125001153</v>
      </c>
      <c r="BP2142" t="b">
        <v>0</v>
      </c>
      <c r="BQ2142">
        <v>1</v>
      </c>
      <c r="BR2142" t="s">
        <v>1686</v>
      </c>
      <c r="BS2142" t="s">
        <v>1903</v>
      </c>
      <c r="BT2142" t="b">
        <v>0</v>
      </c>
      <c r="BU2142" t="s">
        <v>1738</v>
      </c>
      <c r="BV2142" t="s">
        <v>1668</v>
      </c>
      <c r="BW2142">
        <v>2512</v>
      </c>
      <c r="BY2142">
        <v>0</v>
      </c>
      <c r="BZ2142" t="s">
        <v>1696</v>
      </c>
      <c r="CA2142">
        <v>1</v>
      </c>
      <c r="CB2142" t="b">
        <v>1</v>
      </c>
      <c r="CC2142">
        <v>0</v>
      </c>
      <c r="CD2142" t="b">
        <v>0</v>
      </c>
      <c r="CE2142" t="b">
        <v>0</v>
      </c>
      <c r="CF2142" t="b">
        <v>0</v>
      </c>
      <c r="CG2142" t="s">
        <v>1870</v>
      </c>
      <c r="CH2142" t="s">
        <v>1681</v>
      </c>
      <c r="CI2142" s="10">
        <v>519900</v>
      </c>
    </row>
    <row r="2143" spans="1:88">
      <c r="A2143">
        <v>28038432</v>
      </c>
      <c r="B2143" s="2" t="str">
        <f>HYPERLINK("http://www.redfin.com/stingray/do/printable-listing?listing-id=1533176","Active")</f>
        <v>Active</v>
      </c>
      <c r="D2143" t="s">
        <v>5926</v>
      </c>
      <c r="E2143" t="s">
        <v>5980</v>
      </c>
      <c r="F2143" s="19">
        <v>504900</v>
      </c>
      <c r="G2143">
        <v>2007</v>
      </c>
      <c r="H2143">
        <v>3200</v>
      </c>
      <c r="I2143">
        <v>0</v>
      </c>
      <c r="J2143">
        <v>4</v>
      </c>
      <c r="K2143">
        <v>2.5</v>
      </c>
      <c r="M2143" s="2" t="str">
        <f>HYPERLINK("http://maps.live.com/default.aspx?v=2&amp;lvl=15&amp;sp=adr.2610 NE 21st St n(lot 7) (Unable to map),98056","Map")</f>
        <v>Map</v>
      </c>
      <c r="N2143" s="2" t="str">
        <f>HYPERLINK("http://i-0.rfimg.us/photo/1/bigphoto/432/28038432_0.jpg","Photo")</f>
        <v>Photo</v>
      </c>
      <c r="AI2143" t="s">
        <v>1077</v>
      </c>
      <c r="AJ2143">
        <v>98056</v>
      </c>
      <c r="AM2143" t="s">
        <v>5981</v>
      </c>
      <c r="BC2143" s="22">
        <v>39512.610277777778</v>
      </c>
      <c r="BI2143" s="7">
        <v>39539</v>
      </c>
      <c r="BL2143">
        <v>10298</v>
      </c>
      <c r="BM2143">
        <v>1533176</v>
      </c>
      <c r="BN2143" t="s">
        <v>4966</v>
      </c>
      <c r="BO2143" s="17">
        <f t="shared" ca="1" si="33"/>
        <v>36.699128125001153</v>
      </c>
      <c r="BP2143" t="b">
        <v>0</v>
      </c>
      <c r="BQ2143">
        <v>1</v>
      </c>
      <c r="BR2143" t="s">
        <v>1686</v>
      </c>
      <c r="BS2143" t="s">
        <v>1903</v>
      </c>
      <c r="BT2143" t="b">
        <v>0</v>
      </c>
      <c r="BU2143" t="s">
        <v>1738</v>
      </c>
      <c r="BV2143" t="s">
        <v>1668</v>
      </c>
      <c r="BW2143">
        <v>2610</v>
      </c>
      <c r="BY2143">
        <v>0</v>
      </c>
      <c r="BZ2143" s="21">
        <v>0</v>
      </c>
      <c r="CA2143">
        <v>1</v>
      </c>
      <c r="CB2143" t="b">
        <v>1</v>
      </c>
      <c r="CC2143">
        <v>0</v>
      </c>
      <c r="CD2143" t="b">
        <v>0</v>
      </c>
      <c r="CE2143" t="b">
        <v>0</v>
      </c>
      <c r="CF2143" t="b">
        <v>0</v>
      </c>
      <c r="CG2143" t="s">
        <v>1870</v>
      </c>
      <c r="CH2143" t="s">
        <v>1681</v>
      </c>
      <c r="CI2143" s="10">
        <v>514900</v>
      </c>
    </row>
    <row r="2144" spans="1:88">
      <c r="A2144">
        <v>28038436</v>
      </c>
      <c r="B2144" s="2" t="str">
        <f>HYPERLINK("http://www.redfin.com/stingray/do/printable-listing?listing-id=1529976","Active")</f>
        <v>Active</v>
      </c>
      <c r="D2144" t="s">
        <v>3057</v>
      </c>
      <c r="E2144" t="s">
        <v>3052</v>
      </c>
      <c r="F2144">
        <v>1020000</v>
      </c>
      <c r="G2144">
        <v>2008</v>
      </c>
      <c r="H2144">
        <v>4068</v>
      </c>
      <c r="I2144">
        <v>11188</v>
      </c>
      <c r="J2144">
        <v>4</v>
      </c>
      <c r="K2144">
        <v>2.5</v>
      </c>
      <c r="M2144" s="2" t="str">
        <f>HYPERLINK("http://maps.live.com/default.aspx?v=2&amp;lvl=15&amp;sp=adr.0 Taylor Dr n25XX (Unable to map),98033","Map")</f>
        <v>Map</v>
      </c>
      <c r="N2144" s="2" t="str">
        <f>HYPERLINK("http://i-0.rfimg.us/photo/1/bigphoto/436/28038436_0.jpg","Photo")</f>
        <v>Photo</v>
      </c>
      <c r="AI2144" t="s">
        <v>3055</v>
      </c>
      <c r="AJ2144">
        <v>98033</v>
      </c>
      <c r="AM2144" t="s">
        <v>3053</v>
      </c>
      <c r="BC2144" s="22">
        <v>39511.693969907406</v>
      </c>
      <c r="BI2144" s="22">
        <v>39549.294907407406</v>
      </c>
      <c r="BL2144">
        <v>20400</v>
      </c>
      <c r="BM2144">
        <v>1529976</v>
      </c>
      <c r="BN2144" t="s">
        <v>2766</v>
      </c>
      <c r="BO2144" s="17">
        <f t="shared" ca="1" si="33"/>
        <v>37.615435995372536</v>
      </c>
      <c r="BP2144" t="b">
        <v>0</v>
      </c>
      <c r="BQ2144">
        <v>1</v>
      </c>
      <c r="BR2144" t="s">
        <v>1816</v>
      </c>
      <c r="BS2144" t="s">
        <v>3054</v>
      </c>
      <c r="BT2144" t="b">
        <v>0</v>
      </c>
      <c r="BV2144" t="s">
        <v>1668</v>
      </c>
      <c r="BW2144">
        <v>0</v>
      </c>
      <c r="BY2144">
        <v>0</v>
      </c>
      <c r="BZ2144" t="s">
        <v>1684</v>
      </c>
      <c r="CA2144">
        <v>1</v>
      </c>
      <c r="CB2144" t="b">
        <v>1</v>
      </c>
      <c r="CC2144">
        <v>0</v>
      </c>
      <c r="CD2144" t="b">
        <v>0</v>
      </c>
      <c r="CE2144" t="b">
        <v>0</v>
      </c>
      <c r="CF2144" t="b">
        <v>0</v>
      </c>
      <c r="CG2144" t="s">
        <v>1870</v>
      </c>
      <c r="CH2144" t="s">
        <v>1681</v>
      </c>
      <c r="CI2144" s="10">
        <v>1020000</v>
      </c>
    </row>
    <row r="2145" spans="1:90">
      <c r="A2145">
        <v>28038439</v>
      </c>
      <c r="B2145" s="2" t="str">
        <f>HYPERLINK("http://www.redfin.com/stingray/do/printable-listing?listing-id=1530103","Active")</f>
        <v>Active</v>
      </c>
      <c r="D2145" t="s">
        <v>3057</v>
      </c>
      <c r="E2145" t="s">
        <v>3052</v>
      </c>
      <c r="F2145">
        <v>1099000</v>
      </c>
      <c r="G2145">
        <v>2008</v>
      </c>
      <c r="H2145">
        <v>4168</v>
      </c>
      <c r="I2145">
        <v>11257</v>
      </c>
      <c r="J2145">
        <v>4</v>
      </c>
      <c r="K2145">
        <v>4</v>
      </c>
      <c r="M2145" s="2" t="str">
        <f>HYPERLINK("http://maps.live.com/default.aspx?v=2&amp;lvl=15&amp;sp=adr.0 Taylor Dr n25XX (Unable to map),98033","Map")</f>
        <v>Map</v>
      </c>
      <c r="N2145" s="2" t="str">
        <f>HYPERLINK("http://i-0.rfimg.us/photo/1/bigphoto/439/28038439_2.jpg","Photo")</f>
        <v>Photo</v>
      </c>
      <c r="AI2145" t="s">
        <v>3055</v>
      </c>
      <c r="AJ2145">
        <v>98033</v>
      </c>
      <c r="AM2145" t="s">
        <v>3053</v>
      </c>
      <c r="BC2145" s="22">
        <v>39511.713437500002</v>
      </c>
      <c r="BI2145" s="22">
        <v>39549.294907407406</v>
      </c>
      <c r="BL2145">
        <v>21980</v>
      </c>
      <c r="BM2145">
        <v>1530103</v>
      </c>
      <c r="BN2145" t="s">
        <v>2766</v>
      </c>
      <c r="BO2145" s="17">
        <f t="shared" ca="1" si="33"/>
        <v>37.595968402776634</v>
      </c>
      <c r="BP2145" t="b">
        <v>0</v>
      </c>
      <c r="BQ2145">
        <v>1</v>
      </c>
      <c r="BR2145" t="s">
        <v>1816</v>
      </c>
      <c r="BS2145" t="s">
        <v>3054</v>
      </c>
      <c r="BT2145" t="b">
        <v>0</v>
      </c>
      <c r="BV2145" t="s">
        <v>1668</v>
      </c>
      <c r="BW2145">
        <v>0</v>
      </c>
      <c r="BY2145">
        <v>0</v>
      </c>
      <c r="BZ2145" t="s">
        <v>3056</v>
      </c>
      <c r="CA2145">
        <v>1</v>
      </c>
      <c r="CB2145" t="b">
        <v>1</v>
      </c>
      <c r="CC2145">
        <v>0</v>
      </c>
      <c r="CD2145" t="b">
        <v>0</v>
      </c>
      <c r="CE2145" t="b">
        <v>0</v>
      </c>
      <c r="CF2145" t="b">
        <v>0</v>
      </c>
      <c r="CG2145" t="s">
        <v>1870</v>
      </c>
      <c r="CH2145" t="s">
        <v>1681</v>
      </c>
      <c r="CI2145" s="10">
        <v>1099000</v>
      </c>
    </row>
    <row r="2146" spans="1:90">
      <c r="A2146">
        <v>28038450</v>
      </c>
      <c r="B2146" s="2" t="str">
        <f>HYPERLINK("http://www.redfin.com/stingray/do/printable-listing?listing-id=1533175","Active")</f>
        <v>Active</v>
      </c>
      <c r="D2146" t="s">
        <v>5926</v>
      </c>
      <c r="E2146" t="s">
        <v>5984</v>
      </c>
      <c r="F2146" s="19">
        <v>499900</v>
      </c>
      <c r="G2146">
        <v>2007</v>
      </c>
      <c r="H2146">
        <v>3016</v>
      </c>
      <c r="I2146">
        <v>0</v>
      </c>
      <c r="J2146">
        <v>3</v>
      </c>
      <c r="K2146">
        <v>2.5</v>
      </c>
      <c r="M2146" s="2" t="str">
        <f>HYPERLINK("http://maps.live.com/default.aspx?v=2&amp;lvl=15&amp;sp=adr.2622 NE 21st St n(Lot 9) (Unable to map),98056","Map")</f>
        <v>Map</v>
      </c>
      <c r="N2146" s="2" t="str">
        <f>HYPERLINK("http://i-0.rfimg.us/photo/1/bigphoto/450/28038450_0.jpg","Photo")</f>
        <v>Photo</v>
      </c>
      <c r="AI2146" t="s">
        <v>1077</v>
      </c>
      <c r="AJ2146">
        <v>98056</v>
      </c>
      <c r="AM2146" t="s">
        <v>5985</v>
      </c>
      <c r="BC2146" s="22">
        <v>39512.610277777778</v>
      </c>
      <c r="BI2146" s="22">
        <v>39549.294907407406</v>
      </c>
      <c r="BL2146">
        <v>10198</v>
      </c>
      <c r="BM2146">
        <v>1533175</v>
      </c>
      <c r="BN2146" t="s">
        <v>4966</v>
      </c>
      <c r="BO2146" s="17">
        <f t="shared" ca="1" si="33"/>
        <v>36.699128125001153</v>
      </c>
      <c r="BP2146" t="b">
        <v>0</v>
      </c>
      <c r="BQ2146">
        <v>1</v>
      </c>
      <c r="BR2146" t="s">
        <v>1686</v>
      </c>
      <c r="BS2146" t="s">
        <v>1903</v>
      </c>
      <c r="BT2146" t="b">
        <v>0</v>
      </c>
      <c r="BU2146" t="s">
        <v>1738</v>
      </c>
      <c r="BV2146" t="s">
        <v>1668</v>
      </c>
      <c r="BW2146">
        <v>2622</v>
      </c>
      <c r="BY2146">
        <v>0</v>
      </c>
      <c r="BZ2146" t="s">
        <v>1670</v>
      </c>
      <c r="CA2146">
        <v>1</v>
      </c>
      <c r="CB2146" t="b">
        <v>1</v>
      </c>
      <c r="CC2146">
        <v>0</v>
      </c>
      <c r="CD2146" t="b">
        <v>0</v>
      </c>
      <c r="CE2146" t="b">
        <v>0</v>
      </c>
      <c r="CF2146" t="b">
        <v>0</v>
      </c>
      <c r="CG2146" t="s">
        <v>1870</v>
      </c>
      <c r="CH2146" t="s">
        <v>1681</v>
      </c>
      <c r="CI2146" s="10">
        <v>509900</v>
      </c>
    </row>
    <row r="2147" spans="1:90">
      <c r="A2147">
        <v>28038453</v>
      </c>
      <c r="B2147" s="2" t="str">
        <f>HYPERLINK("http://www.redfin.com/stingray/do/printable-listing?listing-id=1530100","Active")</f>
        <v>Active</v>
      </c>
      <c r="D2147" t="s">
        <v>60</v>
      </c>
      <c r="E2147" t="s">
        <v>2624</v>
      </c>
      <c r="F2147">
        <v>549500</v>
      </c>
      <c r="G2147">
        <v>2007</v>
      </c>
      <c r="H2147">
        <v>0</v>
      </c>
      <c r="I2147">
        <v>0</v>
      </c>
      <c r="J2147">
        <v>2</v>
      </c>
      <c r="K2147">
        <v>1.5</v>
      </c>
      <c r="M2147" s="2" t="str">
        <f>HYPERLINK("http://maps.live.com/default.aspx?v=2&amp;lvl=15&amp;sp=Point.47.686863_-122.33876_1517 N 80th St&amp;cp=47.686863~-122.33876","Map")</f>
        <v>Map</v>
      </c>
      <c r="N2147" s="2" t="str">
        <f>HYPERLINK("http://i-0.rfimg.us/photo/1/bigphoto/453/28038453_1.jpg","Photo")</f>
        <v>Photo</v>
      </c>
      <c r="AG2147">
        <v>47.686863000000002</v>
      </c>
      <c r="AH2147">
        <v>-122.33875999999999</v>
      </c>
      <c r="AI2147" t="s">
        <v>66</v>
      </c>
      <c r="AJ2147">
        <v>98103</v>
      </c>
      <c r="BC2147" s="22">
        <v>39511.713101851848</v>
      </c>
      <c r="BI2147" s="22">
        <v>39549.294907407406</v>
      </c>
      <c r="BL2147">
        <v>10990</v>
      </c>
      <c r="BM2147">
        <v>1530100</v>
      </c>
      <c r="BN2147" t="s">
        <v>1693</v>
      </c>
      <c r="BO2147" s="17">
        <f t="shared" ca="1" si="33"/>
        <v>37.596304166669142</v>
      </c>
      <c r="BP2147" t="b">
        <v>0</v>
      </c>
      <c r="BQ2147">
        <v>1</v>
      </c>
      <c r="BR2147" t="s">
        <v>1686</v>
      </c>
      <c r="BS2147" t="s">
        <v>1711</v>
      </c>
      <c r="BT2147" t="b">
        <v>0</v>
      </c>
      <c r="BU2147" t="s">
        <v>1712</v>
      </c>
      <c r="BV2147" t="s">
        <v>1668</v>
      </c>
      <c r="BW2147">
        <v>1517</v>
      </c>
      <c r="BY2147">
        <v>12422594</v>
      </c>
      <c r="BZ2147" t="s">
        <v>1756</v>
      </c>
      <c r="CA2147">
        <v>1</v>
      </c>
      <c r="CB2147" t="b">
        <v>1</v>
      </c>
      <c r="CC2147">
        <v>0</v>
      </c>
      <c r="CD2147" t="b">
        <v>0</v>
      </c>
      <c r="CE2147" t="b">
        <v>0</v>
      </c>
      <c r="CF2147" t="b">
        <v>0</v>
      </c>
      <c r="CG2147">
        <v>15626342</v>
      </c>
      <c r="CH2147" t="s">
        <v>1681</v>
      </c>
      <c r="CI2147" s="10">
        <v>549500</v>
      </c>
    </row>
    <row r="2148" spans="1:90">
      <c r="A2148">
        <v>28038458</v>
      </c>
      <c r="B2148" s="2" t="str">
        <f>HYPERLINK("http://www.redfin.com/stingray/do/printable-listing?listing-id=1530101","Active")</f>
        <v>Active</v>
      </c>
      <c r="D2148" t="s">
        <v>60</v>
      </c>
      <c r="E2148" t="s">
        <v>2664</v>
      </c>
      <c r="F2148">
        <v>579500</v>
      </c>
      <c r="G2148">
        <v>2007</v>
      </c>
      <c r="H2148">
        <v>0</v>
      </c>
      <c r="I2148">
        <v>0</v>
      </c>
      <c r="J2148">
        <v>2</v>
      </c>
      <c r="K2148">
        <v>1.5</v>
      </c>
      <c r="M2148" s="2" t="str">
        <f>HYPERLINK("http://maps.live.com/default.aspx?v=2&amp;lvl=15&amp;sp=Point.47.686669_-122.338256_7935 Densmore Ave N&amp;cp=47.686669~-122.338256","Map")</f>
        <v>Map</v>
      </c>
      <c r="N2148" s="2" t="str">
        <f>HYPERLINK("http://i-0.rfimg.us/photo/1/bigphoto/458/28038458_1.jpg","Photo")</f>
        <v>Photo</v>
      </c>
      <c r="AG2148">
        <v>47.686669000000002</v>
      </c>
      <c r="AH2148">
        <v>-122.338256</v>
      </c>
      <c r="AI2148" t="s">
        <v>66</v>
      </c>
      <c r="AJ2148">
        <v>98103</v>
      </c>
      <c r="AN2148">
        <v>800000</v>
      </c>
      <c r="BC2148" s="22">
        <v>39511.713113425925</v>
      </c>
      <c r="BI2148" s="22">
        <v>39549.294907407406</v>
      </c>
      <c r="BL2148">
        <v>11590</v>
      </c>
      <c r="BM2148">
        <v>1530101</v>
      </c>
      <c r="BN2148" t="s">
        <v>1693</v>
      </c>
      <c r="BO2148" s="17">
        <f t="shared" ca="1" si="33"/>
        <v>37.596292592592363</v>
      </c>
      <c r="BP2148" t="b">
        <v>0</v>
      </c>
      <c r="BQ2148">
        <v>1</v>
      </c>
      <c r="BR2148" t="s">
        <v>1667</v>
      </c>
      <c r="BS2148" t="s">
        <v>2349</v>
      </c>
      <c r="BT2148" t="b">
        <v>0</v>
      </c>
      <c r="BV2148" t="s">
        <v>1668</v>
      </c>
      <c r="BW2148">
        <v>7935</v>
      </c>
      <c r="BX2148" t="s">
        <v>1712</v>
      </c>
      <c r="BY2148">
        <v>307157</v>
      </c>
      <c r="BZ2148" t="s">
        <v>1756</v>
      </c>
      <c r="CA2148">
        <v>1</v>
      </c>
      <c r="CB2148" t="b">
        <v>1</v>
      </c>
      <c r="CC2148">
        <v>0</v>
      </c>
      <c r="CD2148" t="b">
        <v>0</v>
      </c>
      <c r="CE2148" t="b">
        <v>0</v>
      </c>
      <c r="CF2148" t="b">
        <v>0</v>
      </c>
      <c r="CG2148">
        <v>2381850</v>
      </c>
      <c r="CH2148" t="s">
        <v>1681</v>
      </c>
      <c r="CI2148" s="10">
        <v>579500</v>
      </c>
      <c r="CJ2148" s="7">
        <v>38951</v>
      </c>
    </row>
    <row r="2149" spans="1:90">
      <c r="A2149">
        <v>28038460</v>
      </c>
      <c r="B2149" s="2" t="str">
        <f>HYPERLINK("http://www.redfin.com/stingray/do/printable-listing?listing-id=1530097","Active")</f>
        <v>Active</v>
      </c>
      <c r="D2149" t="s">
        <v>60</v>
      </c>
      <c r="E2149" t="s">
        <v>2383</v>
      </c>
      <c r="F2149">
        <v>1199888</v>
      </c>
      <c r="G2149">
        <v>2008</v>
      </c>
      <c r="H2149">
        <v>3368</v>
      </c>
      <c r="I2149">
        <v>4000</v>
      </c>
      <c r="J2149">
        <v>4</v>
      </c>
      <c r="K2149">
        <v>3.5</v>
      </c>
      <c r="M2149" s="2" t="str">
        <f>HYPERLINK("http://maps.live.com/default.aspx?v=2&amp;lvl=15&amp;sp=Point.47.685276_-122.353762_333 N 78th St&amp;cp=47.685276~-122.353762","Map")</f>
        <v>Map</v>
      </c>
      <c r="N2149" s="2" t="str">
        <f>HYPERLINK("http://i-0.rfimg.us/photo/1/bigphoto/460/28038460_6.jpg","Photo")</f>
        <v>Photo</v>
      </c>
      <c r="AG2149">
        <v>47.685276000000002</v>
      </c>
      <c r="AH2149">
        <v>-122.353762</v>
      </c>
      <c r="AI2149" t="s">
        <v>66</v>
      </c>
      <c r="AJ2149">
        <v>98103</v>
      </c>
      <c r="AN2149">
        <v>225000</v>
      </c>
      <c r="BC2149" s="22">
        <v>39511.713067129633</v>
      </c>
      <c r="BI2149" s="22">
        <v>39549.294907407406</v>
      </c>
      <c r="BL2149">
        <v>23998</v>
      </c>
      <c r="BM2149">
        <v>1530097</v>
      </c>
      <c r="BN2149" t="s">
        <v>1725</v>
      </c>
      <c r="BO2149" s="17">
        <f t="shared" ca="1" si="33"/>
        <v>37.596338888884929</v>
      </c>
      <c r="BP2149" t="b">
        <v>0</v>
      </c>
      <c r="BQ2149">
        <v>1</v>
      </c>
      <c r="BR2149" t="s">
        <v>1686</v>
      </c>
      <c r="BS2149" t="s">
        <v>2354</v>
      </c>
      <c r="BT2149" t="b">
        <v>0</v>
      </c>
      <c r="BU2149" t="s">
        <v>1712</v>
      </c>
      <c r="BV2149" t="s">
        <v>1668</v>
      </c>
      <c r="BW2149">
        <v>333</v>
      </c>
      <c r="BY2149">
        <v>300935</v>
      </c>
      <c r="BZ2149" t="s">
        <v>2384</v>
      </c>
      <c r="CA2149">
        <v>1</v>
      </c>
      <c r="CB2149" t="b">
        <v>1</v>
      </c>
      <c r="CC2149">
        <v>0</v>
      </c>
      <c r="CD2149" t="b">
        <v>0</v>
      </c>
      <c r="CE2149" t="b">
        <v>0</v>
      </c>
      <c r="CF2149" t="b">
        <v>0</v>
      </c>
      <c r="CG2149">
        <v>2625586</v>
      </c>
      <c r="CH2149" t="s">
        <v>1681</v>
      </c>
      <c r="CI2149" s="10">
        <v>1199888</v>
      </c>
      <c r="CJ2149" s="7">
        <v>39073</v>
      </c>
    </row>
    <row r="2150" spans="1:90">
      <c r="A2150">
        <v>28038462</v>
      </c>
      <c r="B2150" s="2" t="str">
        <f>HYPERLINK("http://www.redfin.com/stingray/do/printable-listing?listing-id=1533174","Active")</f>
        <v>Active</v>
      </c>
      <c r="D2150" t="s">
        <v>5926</v>
      </c>
      <c r="E2150" t="s">
        <v>6001</v>
      </c>
      <c r="F2150">
        <v>529900</v>
      </c>
      <c r="G2150">
        <v>2007</v>
      </c>
      <c r="H2150">
        <v>3200</v>
      </c>
      <c r="I2150">
        <v>0</v>
      </c>
      <c r="J2150">
        <v>4</v>
      </c>
      <c r="K2150">
        <v>2.5</v>
      </c>
      <c r="M2150" s="2" t="str">
        <f>HYPERLINK("http://maps.live.com/default.aspx?v=2&amp;lvl=15&amp;sp=adr.2708 NE 21st St n(Lot 11) (Unable to map),98056","Map")</f>
        <v>Map</v>
      </c>
      <c r="N2150" s="2" t="str">
        <f>HYPERLINK("http://i-0.rfimg.us/photo/1/bigphoto/462/28038462_0.jpg","Photo")</f>
        <v>Photo</v>
      </c>
      <c r="AI2150" t="s">
        <v>1077</v>
      </c>
      <c r="AJ2150">
        <v>98056</v>
      </c>
      <c r="AM2150" t="s">
        <v>6002</v>
      </c>
      <c r="BC2150" s="22">
        <v>39512.610277777778</v>
      </c>
      <c r="BI2150" s="22">
        <v>39549.294907407406</v>
      </c>
      <c r="BL2150">
        <v>10598</v>
      </c>
      <c r="BM2150">
        <v>1533174</v>
      </c>
      <c r="BN2150" t="s">
        <v>4966</v>
      </c>
      <c r="BO2150" s="17">
        <f t="shared" ca="1" si="33"/>
        <v>36.699128125001153</v>
      </c>
      <c r="BP2150" t="b">
        <v>0</v>
      </c>
      <c r="BQ2150">
        <v>1</v>
      </c>
      <c r="BR2150" t="s">
        <v>1686</v>
      </c>
      <c r="BS2150" t="s">
        <v>1903</v>
      </c>
      <c r="BT2150" t="b">
        <v>0</v>
      </c>
      <c r="BU2150" t="s">
        <v>1738</v>
      </c>
      <c r="BV2150" t="s">
        <v>1668</v>
      </c>
      <c r="BW2150">
        <v>2708</v>
      </c>
      <c r="BY2150">
        <v>0</v>
      </c>
      <c r="BZ2150" s="21">
        <v>0</v>
      </c>
      <c r="CA2150">
        <v>1</v>
      </c>
      <c r="CB2150" t="b">
        <v>1</v>
      </c>
      <c r="CC2150">
        <v>0</v>
      </c>
      <c r="CD2150" t="b">
        <v>0</v>
      </c>
      <c r="CE2150" t="b">
        <v>0</v>
      </c>
      <c r="CF2150" t="b">
        <v>0</v>
      </c>
      <c r="CG2150" t="s">
        <v>1870</v>
      </c>
      <c r="CH2150" t="s">
        <v>1681</v>
      </c>
      <c r="CI2150" s="10">
        <v>529900</v>
      </c>
    </row>
    <row r="2151" spans="1:90">
      <c r="A2151">
        <v>28038490</v>
      </c>
      <c r="B2151" s="2" t="str">
        <f>HYPERLINK("http://www.redfin.com/stingray/do/printable-listing?listing-id=1530152","Active")</f>
        <v>Active</v>
      </c>
      <c r="D2151" t="s">
        <v>3966</v>
      </c>
      <c r="E2151" t="s">
        <v>4295</v>
      </c>
      <c r="F2151">
        <v>650000</v>
      </c>
      <c r="G2151">
        <v>1913</v>
      </c>
      <c r="H2151">
        <v>2860</v>
      </c>
      <c r="I2151">
        <v>4000</v>
      </c>
      <c r="J2151">
        <v>6</v>
      </c>
      <c r="K2151">
        <v>3.75</v>
      </c>
      <c r="M2151" s="2" t="str">
        <f>HYPERLINK("http://maps.live.com/default.aspx?v=2&amp;lvl=15&amp;sp=Point.47.612046_-122.295247_1111 29th Ave&amp;cp=47.612046~-122.295247","Map")</f>
        <v>Map</v>
      </c>
      <c r="N2151" s="2" t="str">
        <f>HYPERLINK("http://i-0.rfimg.us/photo/1/bigphoto/490/28038490_0.jpg","Photo")</f>
        <v>Photo</v>
      </c>
      <c r="AG2151">
        <v>47.612045999999999</v>
      </c>
      <c r="AH2151">
        <v>-122.295247</v>
      </c>
      <c r="AI2151" t="s">
        <v>66</v>
      </c>
      <c r="AJ2151">
        <v>98122</v>
      </c>
      <c r="AN2151">
        <v>325000</v>
      </c>
      <c r="BC2151" s="22">
        <v>39511.734155092592</v>
      </c>
      <c r="BI2151" s="22">
        <v>39549.294907407406</v>
      </c>
      <c r="BL2151">
        <v>13000</v>
      </c>
      <c r="BM2151">
        <v>1530152</v>
      </c>
      <c r="BN2151" t="s">
        <v>1673</v>
      </c>
      <c r="BO2151" s="17">
        <f t="shared" ca="1" si="33"/>
        <v>37.575250810186844</v>
      </c>
      <c r="BP2151" t="b">
        <v>0</v>
      </c>
      <c r="BQ2151">
        <v>1</v>
      </c>
      <c r="BR2151" t="s">
        <v>1667</v>
      </c>
      <c r="BS2151" t="s">
        <v>1772</v>
      </c>
      <c r="BT2151" t="b">
        <v>0</v>
      </c>
      <c r="BV2151" t="s">
        <v>1668</v>
      </c>
      <c r="BW2151">
        <v>1111</v>
      </c>
      <c r="BY2151">
        <v>146667</v>
      </c>
      <c r="BZ2151" s="21">
        <v>0</v>
      </c>
      <c r="CA2151">
        <v>1</v>
      </c>
      <c r="CB2151" t="b">
        <v>1</v>
      </c>
      <c r="CC2151">
        <v>0</v>
      </c>
      <c r="CD2151" t="b">
        <v>0</v>
      </c>
      <c r="CE2151" t="b">
        <v>0</v>
      </c>
      <c r="CF2151" t="b">
        <v>0</v>
      </c>
      <c r="CG2151">
        <v>2477520</v>
      </c>
      <c r="CH2151" t="s">
        <v>1681</v>
      </c>
      <c r="CI2151" s="10">
        <v>650000</v>
      </c>
      <c r="CJ2151" s="7">
        <v>37764</v>
      </c>
    </row>
    <row r="2152" spans="1:90">
      <c r="A2152">
        <v>28038491</v>
      </c>
      <c r="B2152" s="15" t="str">
        <f>HYPERLINK("http://www.redfin.com/stingray/do/printable-listing?listing-id=1530760","Subject To Inspection")</f>
        <v>Subject To Inspection</v>
      </c>
      <c r="D2152" t="s">
        <v>188</v>
      </c>
      <c r="E2152" t="s">
        <v>2990</v>
      </c>
      <c r="F2152">
        <v>589950</v>
      </c>
      <c r="G2152">
        <v>1930</v>
      </c>
      <c r="H2152">
        <v>0</v>
      </c>
      <c r="I2152">
        <v>8242</v>
      </c>
      <c r="J2152">
        <v>3</v>
      </c>
      <c r="K2152">
        <v>1.5</v>
      </c>
      <c r="M2152" s="2" t="str">
        <f>HYPERLINK("http://maps.live.com/default.aspx?v=2&amp;lvl=15&amp;sp=Point.47.714649_-122.284854_11736 40th Ave NE&amp;cp=47.714649~-122.284854","Map")</f>
        <v>Map</v>
      </c>
      <c r="N2152" s="2" t="str">
        <f>HYPERLINK("http://i-0.rfimg.us/photo/1/bigphoto/491/28038491_0.jpg","Photo")</f>
        <v>Photo</v>
      </c>
      <c r="AG2152">
        <v>47.714649000000001</v>
      </c>
      <c r="AH2152">
        <v>-122.284854</v>
      </c>
      <c r="AI2152" t="s">
        <v>66</v>
      </c>
      <c r="AJ2152">
        <v>98125</v>
      </c>
      <c r="AN2152">
        <v>407000</v>
      </c>
      <c r="BC2152" s="22">
        <v>39511.827696759261</v>
      </c>
      <c r="BI2152" s="7">
        <v>39542</v>
      </c>
      <c r="BL2152">
        <v>11799</v>
      </c>
      <c r="BM2152">
        <v>1530760</v>
      </c>
      <c r="BN2152" t="s">
        <v>1710</v>
      </c>
      <c r="BO2152" s="17">
        <f t="shared" ca="1" si="33"/>
        <v>37.481709143517946</v>
      </c>
      <c r="BP2152" t="b">
        <v>0</v>
      </c>
      <c r="BQ2152">
        <v>1</v>
      </c>
      <c r="BR2152" t="s">
        <v>1667</v>
      </c>
      <c r="BS2152" t="s">
        <v>2832</v>
      </c>
      <c r="BT2152" t="b">
        <v>0</v>
      </c>
      <c r="BV2152" t="s">
        <v>1668</v>
      </c>
      <c r="BW2152">
        <v>11736</v>
      </c>
      <c r="BX2152" t="s">
        <v>1738</v>
      </c>
      <c r="BY2152">
        <v>110991</v>
      </c>
      <c r="BZ2152" t="s">
        <v>1672</v>
      </c>
      <c r="CA2152">
        <v>1</v>
      </c>
      <c r="CB2152" t="b">
        <v>1</v>
      </c>
      <c r="CC2152">
        <v>0</v>
      </c>
      <c r="CD2152" t="b">
        <v>0</v>
      </c>
      <c r="CE2152" t="b">
        <v>0</v>
      </c>
      <c r="CF2152" t="b">
        <v>0</v>
      </c>
      <c r="CG2152">
        <v>2665973</v>
      </c>
      <c r="CH2152" t="s">
        <v>1681</v>
      </c>
      <c r="CI2152" s="10">
        <v>589950</v>
      </c>
      <c r="CJ2152" s="7">
        <v>38565</v>
      </c>
    </row>
    <row r="2153" spans="1:90">
      <c r="A2153">
        <v>28038528</v>
      </c>
      <c r="B2153" s="2" t="str">
        <f>HYPERLINK("http://www.redfin.com/stingray/do/printable-listing?listing-id=1530540","Active")</f>
        <v>Active</v>
      </c>
      <c r="D2153" t="s">
        <v>1077</v>
      </c>
      <c r="E2153" t="s">
        <v>3921</v>
      </c>
      <c r="F2153">
        <v>642888</v>
      </c>
      <c r="G2153">
        <v>2008</v>
      </c>
      <c r="H2153">
        <v>2985</v>
      </c>
      <c r="I2153">
        <v>7283</v>
      </c>
      <c r="J2153">
        <v>4</v>
      </c>
      <c r="K2153">
        <v>2.5</v>
      </c>
      <c r="M2153" s="2" t="str">
        <f>HYPERLINK("http://maps.live.com/default.aspx?v=2&amp;lvl=15&amp;sp=adr.15940 SE 135th Pl (Unable to map),98059","Map")</f>
        <v>Map</v>
      </c>
      <c r="N2153" s="2" t="str">
        <f>HYPERLINK("http://i-0.rfimg.us/photo/1/bigphoto/528/28038528_1.jpg","Photo")</f>
        <v>Photo</v>
      </c>
      <c r="AI2153" t="s">
        <v>1077</v>
      </c>
      <c r="AJ2153">
        <v>98059</v>
      </c>
      <c r="BC2153" s="22">
        <v>39511.767418981479</v>
      </c>
      <c r="BI2153" s="22">
        <v>39549.294907407406</v>
      </c>
      <c r="BL2153">
        <v>12858</v>
      </c>
      <c r="BM2153">
        <v>1530540</v>
      </c>
      <c r="BN2153" t="s">
        <v>3907</v>
      </c>
      <c r="BO2153" s="17">
        <f t="shared" ca="1" si="33"/>
        <v>37.541986921300122</v>
      </c>
      <c r="BP2153" t="b">
        <v>0</v>
      </c>
      <c r="BQ2153">
        <v>1</v>
      </c>
      <c r="BR2153" t="s">
        <v>1842</v>
      </c>
      <c r="BS2153" t="s">
        <v>3909</v>
      </c>
      <c r="BT2153" t="b">
        <v>0</v>
      </c>
      <c r="BU2153" t="s">
        <v>3856</v>
      </c>
      <c r="BV2153" t="s">
        <v>1668</v>
      </c>
      <c r="BW2153">
        <v>15940</v>
      </c>
      <c r="BY2153">
        <v>0</v>
      </c>
      <c r="BZ2153" t="s">
        <v>3232</v>
      </c>
      <c r="CA2153">
        <v>1</v>
      </c>
      <c r="CB2153" t="b">
        <v>1</v>
      </c>
      <c r="CC2153">
        <v>0</v>
      </c>
      <c r="CD2153" t="b">
        <v>0</v>
      </c>
      <c r="CE2153" t="b">
        <v>0</v>
      </c>
      <c r="CF2153" t="b">
        <v>0</v>
      </c>
      <c r="CG2153" t="s">
        <v>1870</v>
      </c>
      <c r="CH2153" t="s">
        <v>1681</v>
      </c>
      <c r="CI2153" s="10">
        <v>642888</v>
      </c>
      <c r="CL2153" s="19" t="s">
        <v>6582</v>
      </c>
    </row>
    <row r="2154" spans="1:90">
      <c r="A2154">
        <v>28038570</v>
      </c>
      <c r="B2154" s="2" t="str">
        <f>HYPERLINK("http://www.redfin.com/stingray/do/printable-listing?listing-id=1530820","Subject To Inspection")</f>
        <v>Subject To Inspection</v>
      </c>
      <c r="D2154" t="s">
        <v>60</v>
      </c>
      <c r="E2154" t="s">
        <v>2430</v>
      </c>
      <c r="F2154">
        <v>550000</v>
      </c>
      <c r="G2154">
        <v>1916</v>
      </c>
      <c r="H2154">
        <v>1220</v>
      </c>
      <c r="I2154">
        <v>2886</v>
      </c>
      <c r="J2154">
        <v>3</v>
      </c>
      <c r="K2154">
        <v>1.75</v>
      </c>
      <c r="M2154" s="2" t="str">
        <f>HYPERLINK("http://maps.live.com/default.aspx?v=2&amp;lvl=15&amp;sp=Point.47.672895_-122.348868_719 N 61st St&amp;cp=47.672895~-122.348868","Map")</f>
        <v>Map</v>
      </c>
      <c r="N2154" s="2" t="str">
        <f>HYPERLINK("http://i-0.rfimg.us/photo/1/bigphoto/570/28038570_4.jpg","Photo")</f>
        <v>Photo</v>
      </c>
      <c r="AG2154">
        <v>47.672894999999997</v>
      </c>
      <c r="AH2154">
        <v>-122.348868</v>
      </c>
      <c r="AI2154" t="s">
        <v>66</v>
      </c>
      <c r="AJ2154">
        <v>98103</v>
      </c>
      <c r="AN2154">
        <v>382000</v>
      </c>
      <c r="BC2154" s="22">
        <v>39511.869745370372</v>
      </c>
      <c r="BI2154" s="7">
        <v>39535</v>
      </c>
      <c r="BL2154">
        <v>11000</v>
      </c>
      <c r="BM2154">
        <v>1530820</v>
      </c>
      <c r="BN2154" t="s">
        <v>1702</v>
      </c>
      <c r="BO2154" s="17">
        <f t="shared" ca="1" si="33"/>
        <v>37.439660648145946</v>
      </c>
      <c r="BP2154" t="b">
        <v>0</v>
      </c>
      <c r="BQ2154">
        <v>2</v>
      </c>
      <c r="BR2154" t="s">
        <v>1686</v>
      </c>
      <c r="BS2154" t="s">
        <v>2431</v>
      </c>
      <c r="BT2154" t="b">
        <v>0</v>
      </c>
      <c r="BU2154" t="s">
        <v>1712</v>
      </c>
      <c r="BV2154" t="s">
        <v>1668</v>
      </c>
      <c r="BW2154">
        <v>719</v>
      </c>
      <c r="BY2154">
        <v>298763</v>
      </c>
      <c r="BZ2154" t="s">
        <v>2432</v>
      </c>
      <c r="CA2154">
        <v>1</v>
      </c>
      <c r="CB2154" t="b">
        <v>1</v>
      </c>
      <c r="CC2154">
        <v>0</v>
      </c>
      <c r="CD2154" t="b">
        <v>0</v>
      </c>
      <c r="CE2154" t="b">
        <v>0</v>
      </c>
      <c r="CF2154" t="b">
        <v>0</v>
      </c>
      <c r="CG2154">
        <v>2798439</v>
      </c>
      <c r="CH2154" t="s">
        <v>1681</v>
      </c>
      <c r="CI2154" s="10">
        <v>550000</v>
      </c>
      <c r="CJ2154" s="7">
        <v>37308</v>
      </c>
    </row>
    <row r="2155" spans="1:90">
      <c r="A2155">
        <v>28038580</v>
      </c>
      <c r="B2155" s="2" t="str">
        <f>HYPERLINK("http://www.redfin.com/stingray/do/printable-listing?listing-id=1530850","Subject To Inspection")</f>
        <v>Subject To Inspection</v>
      </c>
      <c r="D2155" t="s">
        <v>63</v>
      </c>
      <c r="E2155" t="s">
        <v>2560</v>
      </c>
      <c r="F2155">
        <v>610000</v>
      </c>
      <c r="G2155">
        <v>1926</v>
      </c>
      <c r="H2155">
        <v>2250</v>
      </c>
      <c r="I2155">
        <v>4100</v>
      </c>
      <c r="J2155">
        <v>5</v>
      </c>
      <c r="K2155">
        <v>2.5</v>
      </c>
      <c r="M2155" s="2" t="str">
        <f>HYPERLINK("http://maps.live.com/default.aspx?v=2&amp;lvl=15&amp;sp=Point.47.66966_-122.36739_824 NW 56th St&amp;cp=47.66966~-122.36739","Map")</f>
        <v>Map</v>
      </c>
      <c r="N2155" s="2" t="str">
        <f>HYPERLINK("http://i-0.rfimg.us/photo/1/bigphoto/580/28038580_3.jpg","Photo")</f>
        <v>Photo</v>
      </c>
      <c r="AG2155">
        <v>47.66966</v>
      </c>
      <c r="AH2155">
        <v>-122.36739</v>
      </c>
      <c r="AI2155" t="s">
        <v>66</v>
      </c>
      <c r="AJ2155">
        <v>98107</v>
      </c>
      <c r="AN2155">
        <v>440000</v>
      </c>
      <c r="BC2155" s="22">
        <v>39511.890543981484</v>
      </c>
      <c r="BI2155" s="7">
        <v>39535</v>
      </c>
      <c r="BL2155">
        <v>12200</v>
      </c>
      <c r="BM2155">
        <v>1530850</v>
      </c>
      <c r="BN2155" t="s">
        <v>1768</v>
      </c>
      <c r="BO2155" s="17">
        <f t="shared" ca="1" si="33"/>
        <v>37.41886203703325</v>
      </c>
      <c r="BP2155" t="b">
        <v>0</v>
      </c>
      <c r="BQ2155">
        <v>2</v>
      </c>
      <c r="BR2155" t="s">
        <v>1686</v>
      </c>
      <c r="BS2155" t="s">
        <v>2467</v>
      </c>
      <c r="BT2155" t="b">
        <v>0</v>
      </c>
      <c r="BU2155" t="s">
        <v>1669</v>
      </c>
      <c r="BV2155" t="s">
        <v>1668</v>
      </c>
      <c r="BW2155">
        <v>824</v>
      </c>
      <c r="BY2155">
        <v>494844</v>
      </c>
      <c r="BZ2155" t="s">
        <v>2561</v>
      </c>
      <c r="CA2155">
        <v>1</v>
      </c>
      <c r="CB2155" t="b">
        <v>1</v>
      </c>
      <c r="CC2155">
        <v>0</v>
      </c>
      <c r="CD2155" t="b">
        <v>0</v>
      </c>
      <c r="CE2155" t="b">
        <v>0</v>
      </c>
      <c r="CF2155" t="b">
        <v>0</v>
      </c>
      <c r="CG2155">
        <v>2484699</v>
      </c>
      <c r="CH2155" t="s">
        <v>1681</v>
      </c>
      <c r="CI2155" s="10">
        <v>610000</v>
      </c>
      <c r="CJ2155" s="7">
        <v>38272</v>
      </c>
    </row>
    <row r="2156" spans="1:90">
      <c r="A2156">
        <v>28038601</v>
      </c>
      <c r="B2156" s="2" t="str">
        <f>HYPERLINK("http://www.redfin.com/stingray/do/printable-listing?listing-id=1539482","Active")</f>
        <v>Active</v>
      </c>
      <c r="D2156" t="s">
        <v>5490</v>
      </c>
      <c r="E2156" t="s">
        <v>5649</v>
      </c>
      <c r="F2156">
        <v>1038950</v>
      </c>
      <c r="G2156">
        <v>2008</v>
      </c>
      <c r="H2156">
        <v>3497</v>
      </c>
      <c r="I2156">
        <v>6623</v>
      </c>
      <c r="J2156">
        <v>4</v>
      </c>
      <c r="K2156">
        <v>3.5</v>
      </c>
      <c r="M2156" s="2" t="str">
        <f>HYPERLINK("http://maps.live.com/default.aspx?v=2&amp;lvl=15&amp;sp=Point.47.564237_-122.125059_16078 SE 45th Pl&amp;cp=47.564237~-122.125059","Map")</f>
        <v>Map</v>
      </c>
      <c r="N2156" s="2" t="str">
        <f>HYPERLINK("http://i-0.rfimg.us/photo/1/bigphoto/601/28038601_2.jpg","Photo")</f>
        <v>Photo</v>
      </c>
      <c r="AG2156">
        <v>47.564236999999999</v>
      </c>
      <c r="AH2156">
        <v>-122.12505899999999</v>
      </c>
      <c r="AI2156" t="s">
        <v>5280</v>
      </c>
      <c r="AJ2156">
        <v>98066</v>
      </c>
      <c r="BC2156" s="22">
        <v>39514.452696759261</v>
      </c>
      <c r="BI2156" s="22">
        <v>39549.294907407406</v>
      </c>
      <c r="BL2156">
        <v>20779</v>
      </c>
      <c r="BM2156">
        <v>1539482</v>
      </c>
      <c r="BN2156" t="s">
        <v>1674</v>
      </c>
      <c r="BO2156" s="17">
        <f t="shared" ca="1" si="33"/>
        <v>34.856709143517946</v>
      </c>
      <c r="BP2156" t="b">
        <v>0</v>
      </c>
      <c r="BQ2156">
        <v>1</v>
      </c>
      <c r="BR2156" t="s">
        <v>1842</v>
      </c>
      <c r="BS2156" t="s">
        <v>2667</v>
      </c>
      <c r="BT2156" t="b">
        <v>0</v>
      </c>
      <c r="BU2156" t="s">
        <v>3856</v>
      </c>
      <c r="BV2156" t="s">
        <v>1668</v>
      </c>
      <c r="BW2156">
        <v>16078</v>
      </c>
      <c r="BY2156">
        <v>12304880</v>
      </c>
      <c r="BZ2156" t="s">
        <v>2958</v>
      </c>
      <c r="CA2156">
        <v>1</v>
      </c>
      <c r="CB2156" t="b">
        <v>0</v>
      </c>
      <c r="CC2156">
        <v>0</v>
      </c>
      <c r="CD2156" t="b">
        <v>0</v>
      </c>
      <c r="CE2156" t="b">
        <v>0</v>
      </c>
      <c r="CF2156" t="b">
        <v>0</v>
      </c>
      <c r="CG2156">
        <v>15511813</v>
      </c>
      <c r="CH2156" t="s">
        <v>1681</v>
      </c>
      <c r="CI2156" s="10">
        <v>1038950</v>
      </c>
    </row>
    <row r="2157" spans="1:90">
      <c r="A2157">
        <v>28038602</v>
      </c>
      <c r="B2157" s="2" t="str">
        <f>HYPERLINK("http://www.redfin.com/stingray/do/printable-listing?listing-id=1539450","Active")</f>
        <v>Active</v>
      </c>
      <c r="D2157" t="s">
        <v>5490</v>
      </c>
      <c r="E2157" t="s">
        <v>5646</v>
      </c>
      <c r="F2157" s="19">
        <v>989950</v>
      </c>
      <c r="G2157">
        <v>2008</v>
      </c>
      <c r="H2157">
        <v>3310</v>
      </c>
      <c r="I2157">
        <v>6603</v>
      </c>
      <c r="J2157">
        <v>4</v>
      </c>
      <c r="K2157">
        <v>3.5</v>
      </c>
      <c r="M2157" s="2" t="str">
        <f>HYPERLINK("http://maps.live.com/default.aspx?v=2&amp;lvl=15&amp;sp=Point.47.564237_-122.125205_16066 SE 45th Pl&amp;cp=47.564237~-122.125205","Map")</f>
        <v>Map</v>
      </c>
      <c r="N2157" s="2" t="str">
        <f>HYPERLINK("http://i-0.rfimg.us/photo/1/bigphoto/602/28038602_1.jpg","Photo")</f>
        <v>Photo</v>
      </c>
      <c r="AG2157">
        <v>47.564236999999999</v>
      </c>
      <c r="AH2157">
        <v>-122.12520499999999</v>
      </c>
      <c r="AI2157" t="s">
        <v>5280</v>
      </c>
      <c r="AJ2157">
        <v>98066</v>
      </c>
      <c r="BC2157" s="22">
        <v>39514.442870370367</v>
      </c>
      <c r="BI2157" s="22">
        <v>39549.294907407406</v>
      </c>
      <c r="BL2157">
        <v>20518</v>
      </c>
      <c r="BM2157">
        <v>1539450</v>
      </c>
      <c r="BN2157" t="s">
        <v>1674</v>
      </c>
      <c r="BO2157" s="17">
        <f t="shared" ca="1" si="33"/>
        <v>34.866535532411945</v>
      </c>
      <c r="BP2157" t="b">
        <v>0</v>
      </c>
      <c r="BQ2157">
        <v>1</v>
      </c>
      <c r="BR2157" t="s">
        <v>1842</v>
      </c>
      <c r="BS2157" t="s">
        <v>2667</v>
      </c>
      <c r="BT2157" t="b">
        <v>0</v>
      </c>
      <c r="BU2157" t="s">
        <v>3856</v>
      </c>
      <c r="BV2157" t="s">
        <v>1668</v>
      </c>
      <c r="BW2157">
        <v>16066</v>
      </c>
      <c r="BY2157">
        <v>12304881</v>
      </c>
      <c r="BZ2157" t="s">
        <v>5645</v>
      </c>
      <c r="CA2157">
        <v>1</v>
      </c>
      <c r="CB2157" t="b">
        <v>0</v>
      </c>
      <c r="CC2157">
        <v>0</v>
      </c>
      <c r="CD2157" t="b">
        <v>0</v>
      </c>
      <c r="CE2157" t="b">
        <v>0</v>
      </c>
      <c r="CF2157" t="b">
        <v>0</v>
      </c>
      <c r="CG2157">
        <v>15511814</v>
      </c>
      <c r="CH2157" t="s">
        <v>1681</v>
      </c>
      <c r="CI2157" s="10">
        <v>1025900</v>
      </c>
    </row>
    <row r="2158" spans="1:90">
      <c r="A2158">
        <v>28038604</v>
      </c>
      <c r="B2158" s="2" t="str">
        <f>HYPERLINK("http://www.redfin.com/stingray/do/printable-listing?listing-id=1539449","Active")</f>
        <v>Active</v>
      </c>
      <c r="D2158" t="s">
        <v>5490</v>
      </c>
      <c r="E2158" t="s">
        <v>5644</v>
      </c>
      <c r="F2158">
        <v>1028950</v>
      </c>
      <c r="G2158">
        <v>2008</v>
      </c>
      <c r="H2158">
        <v>3497</v>
      </c>
      <c r="I2158">
        <v>7333</v>
      </c>
      <c r="J2158">
        <v>4</v>
      </c>
      <c r="K2158">
        <v>3.5</v>
      </c>
      <c r="M2158" s="2" t="str">
        <f>HYPERLINK("http://maps.live.com/default.aspx?v=2&amp;lvl=15&amp;sp=Point.47.564237_-122.125497_16042 SE 45th Pl&amp;cp=47.564237~-122.125497","Map")</f>
        <v>Map</v>
      </c>
      <c r="N2158" s="2" t="str">
        <f>HYPERLINK("http://i-0.rfimg.us/photo/1/bigphoto/604/28038604_1.jpg","Photo")</f>
        <v>Photo</v>
      </c>
      <c r="AG2158">
        <v>47.564236999999999</v>
      </c>
      <c r="AH2158">
        <v>-122.125497</v>
      </c>
      <c r="AI2158" t="s">
        <v>5280</v>
      </c>
      <c r="AJ2158">
        <v>98027</v>
      </c>
      <c r="BC2158" s="22">
        <v>39514.442870370367</v>
      </c>
      <c r="BI2158" s="22">
        <v>39549.294907407406</v>
      </c>
      <c r="BL2158">
        <v>20579</v>
      </c>
      <c r="BM2158">
        <v>1539449</v>
      </c>
      <c r="BN2158" t="s">
        <v>1674</v>
      </c>
      <c r="BO2158" s="17">
        <f t="shared" ca="1" si="33"/>
        <v>34.866535532411945</v>
      </c>
      <c r="BP2158" t="b">
        <v>0</v>
      </c>
      <c r="BQ2158">
        <v>1</v>
      </c>
      <c r="BR2158" t="s">
        <v>1842</v>
      </c>
      <c r="BS2158" t="s">
        <v>2667</v>
      </c>
      <c r="BT2158" t="b">
        <v>0</v>
      </c>
      <c r="BU2158" t="s">
        <v>3856</v>
      </c>
      <c r="BV2158" t="s">
        <v>1668</v>
      </c>
      <c r="BW2158">
        <v>16042</v>
      </c>
      <c r="BY2158">
        <v>12417399</v>
      </c>
      <c r="BZ2158" t="s">
        <v>5645</v>
      </c>
      <c r="CA2158">
        <v>1</v>
      </c>
      <c r="CB2158" t="b">
        <v>1</v>
      </c>
      <c r="CC2158">
        <v>0</v>
      </c>
      <c r="CD2158" t="b">
        <v>0</v>
      </c>
      <c r="CE2158" t="b">
        <v>0</v>
      </c>
      <c r="CF2158" t="b">
        <v>0</v>
      </c>
      <c r="CG2158">
        <v>15621147</v>
      </c>
      <c r="CH2158" t="s">
        <v>1681</v>
      </c>
      <c r="CI2158" s="10">
        <v>1028950</v>
      </c>
    </row>
    <row r="2159" spans="1:90">
      <c r="A2159">
        <v>28038609</v>
      </c>
      <c r="B2159" s="2" t="str">
        <f>HYPERLINK("http://www.redfin.com/stingray/do/printable-listing?listing-id=1533073","Active")</f>
        <v>Active</v>
      </c>
      <c r="D2159" t="s">
        <v>1058</v>
      </c>
      <c r="E2159" t="s">
        <v>4562</v>
      </c>
      <c r="F2159">
        <v>479000</v>
      </c>
      <c r="G2159">
        <v>1974</v>
      </c>
      <c r="H2159">
        <v>1730</v>
      </c>
      <c r="I2159">
        <v>5775</v>
      </c>
      <c r="J2159">
        <v>4</v>
      </c>
      <c r="K2159">
        <v>1.75</v>
      </c>
      <c r="M2159" s="2" t="str">
        <f>HYPERLINK("http://maps.live.com/default.aspx?v=2&amp;lvl=15&amp;sp=Point.47.715605_-122.165244_13113 NE 129th St&amp;cp=47.715605~-122.165244","Map")</f>
        <v>Map</v>
      </c>
      <c r="N2159" s="2" t="str">
        <f>HYPERLINK("http://i-0.rfimg.us/photo/1/bigphoto/609/28038609_0.jpg","Photo")</f>
        <v>Photo</v>
      </c>
      <c r="AG2159">
        <v>47.715604999999996</v>
      </c>
      <c r="AH2159">
        <v>-122.165244</v>
      </c>
      <c r="AI2159" t="s">
        <v>1058</v>
      </c>
      <c r="AJ2159">
        <v>98034</v>
      </c>
      <c r="AN2159">
        <v>429500</v>
      </c>
      <c r="BC2159" s="22">
        <v>39512.58929398148</v>
      </c>
      <c r="BI2159" s="7">
        <v>39534</v>
      </c>
      <c r="BL2159">
        <v>9580</v>
      </c>
      <c r="BM2159">
        <v>1533073</v>
      </c>
      <c r="BN2159" t="s">
        <v>1862</v>
      </c>
      <c r="BO2159" s="17">
        <f t="shared" ca="1" si="33"/>
        <v>36.720111921298667</v>
      </c>
      <c r="BP2159" t="b">
        <v>0</v>
      </c>
      <c r="BQ2159">
        <v>1</v>
      </c>
      <c r="BR2159" t="s">
        <v>1686</v>
      </c>
      <c r="BS2159" t="s">
        <v>2980</v>
      </c>
      <c r="BT2159" t="b">
        <v>0</v>
      </c>
      <c r="BU2159" t="s">
        <v>1738</v>
      </c>
      <c r="BV2159" t="s">
        <v>1668</v>
      </c>
      <c r="BW2159">
        <v>13113</v>
      </c>
      <c r="BY2159">
        <v>512512</v>
      </c>
      <c r="BZ2159" t="s">
        <v>1762</v>
      </c>
      <c r="CA2159">
        <v>1</v>
      </c>
      <c r="CB2159" t="b">
        <v>1</v>
      </c>
      <c r="CC2159">
        <v>0</v>
      </c>
      <c r="CD2159" t="b">
        <v>0</v>
      </c>
      <c r="CE2159" t="b">
        <v>0</v>
      </c>
      <c r="CF2159" t="b">
        <v>0</v>
      </c>
      <c r="CG2159">
        <v>2874074</v>
      </c>
      <c r="CH2159" t="s">
        <v>1681</v>
      </c>
      <c r="CI2159" s="10">
        <v>479000</v>
      </c>
      <c r="CJ2159" s="7">
        <v>38943</v>
      </c>
    </row>
    <row r="2160" spans="1:90">
      <c r="A2160">
        <v>28038635</v>
      </c>
      <c r="B2160" s="2" t="str">
        <f>HYPERLINK("http://www.redfin.com/stingray/do/printable-listing?listing-id=1537996","Active")</f>
        <v>Active</v>
      </c>
      <c r="D2160" t="s">
        <v>5191</v>
      </c>
      <c r="E2160" t="s">
        <v>5668</v>
      </c>
      <c r="F2160">
        <v>719950</v>
      </c>
      <c r="G2160">
        <v>1979</v>
      </c>
      <c r="H2160">
        <v>2620</v>
      </c>
      <c r="I2160">
        <v>10740</v>
      </c>
      <c r="J2160">
        <v>5</v>
      </c>
      <c r="K2160">
        <v>2.5</v>
      </c>
      <c r="M2160" s="2" t="str">
        <f>HYPERLINK("http://maps.live.com/default.aspx?v=2&amp;lvl=15&amp;sp=Point.47.55029_-122.153799_13929 SE 60th St&amp;cp=47.55029~-122.153799","Map")</f>
        <v>Map</v>
      </c>
      <c r="N2160" s="2" t="str">
        <f>HYPERLINK("http://i-0.rfimg.us/photo/1/bigphoto/635/28038635_1.jpg","Photo")</f>
        <v>Photo</v>
      </c>
      <c r="AG2160">
        <v>47.550289999999997</v>
      </c>
      <c r="AH2160">
        <v>-122.15379900000001</v>
      </c>
      <c r="AI2160" t="s">
        <v>369</v>
      </c>
      <c r="AJ2160">
        <v>98006</v>
      </c>
      <c r="AN2160">
        <v>515000</v>
      </c>
      <c r="BC2160" s="22">
        <v>39514.344490740739</v>
      </c>
      <c r="BI2160" s="22">
        <v>39549.294907407406</v>
      </c>
      <c r="BL2160">
        <v>14399</v>
      </c>
      <c r="BM2160">
        <v>1537996</v>
      </c>
      <c r="BN2160" t="s">
        <v>1673</v>
      </c>
      <c r="BO2160" s="17">
        <f t="shared" ca="1" si="33"/>
        <v>34.964915162039688</v>
      </c>
      <c r="BP2160" t="b">
        <v>0</v>
      </c>
      <c r="BQ2160">
        <v>1</v>
      </c>
      <c r="BR2160" t="s">
        <v>1686</v>
      </c>
      <c r="BS2160" t="s">
        <v>2417</v>
      </c>
      <c r="BT2160" t="b">
        <v>0</v>
      </c>
      <c r="BU2160" t="s">
        <v>3856</v>
      </c>
      <c r="BV2160" t="s">
        <v>1668</v>
      </c>
      <c r="BW2160">
        <v>13929</v>
      </c>
      <c r="BY2160">
        <v>235847</v>
      </c>
      <c r="BZ2160" t="s">
        <v>1704</v>
      </c>
      <c r="CA2160">
        <v>1</v>
      </c>
      <c r="CB2160" t="b">
        <v>1</v>
      </c>
      <c r="CC2160">
        <v>0</v>
      </c>
      <c r="CD2160" t="b">
        <v>0</v>
      </c>
      <c r="CE2160" t="b">
        <v>0</v>
      </c>
      <c r="CF2160" t="b">
        <v>0</v>
      </c>
      <c r="CG2160">
        <v>2777718</v>
      </c>
      <c r="CH2160" t="s">
        <v>1681</v>
      </c>
      <c r="CI2160" s="10">
        <v>719950</v>
      </c>
      <c r="CJ2160" s="7">
        <v>38321</v>
      </c>
    </row>
    <row r="2161" spans="1:90">
      <c r="A2161">
        <v>28038645</v>
      </c>
      <c r="B2161" s="2" t="str">
        <f>HYPERLINK("http://www.redfin.com/stingray/do/printable-listing?listing-id=1562508","Active")</f>
        <v>Active</v>
      </c>
      <c r="D2161" t="s">
        <v>60</v>
      </c>
      <c r="E2161" t="s">
        <v>2377</v>
      </c>
      <c r="F2161">
        <v>1575000</v>
      </c>
      <c r="G2161">
        <v>2008</v>
      </c>
      <c r="H2161">
        <v>3800</v>
      </c>
      <c r="I2161">
        <v>7380</v>
      </c>
      <c r="J2161">
        <v>5</v>
      </c>
      <c r="K2161">
        <v>3.75</v>
      </c>
      <c r="M2161" s="2" t="str">
        <f>HYPERLINK("http://maps.live.com/default.aspx?v=2&amp;lvl=15&amp;sp=Point.47.68826_-122.340073_8044 Interlake Ave N&amp;cp=47.68826~-122.340073","Map")</f>
        <v>Map</v>
      </c>
      <c r="N2161" s="2" t="str">
        <f>HYPERLINK("http://i-0.rfimg.us/photo/1/bigphoto/645/28038645_4.jpg","Photo")</f>
        <v>Photo</v>
      </c>
      <c r="AG2161">
        <v>47.68826</v>
      </c>
      <c r="AH2161">
        <v>-122.340073</v>
      </c>
      <c r="AI2161" t="s">
        <v>66</v>
      </c>
      <c r="AJ2161">
        <v>98103</v>
      </c>
      <c r="AN2161">
        <v>280000</v>
      </c>
      <c r="BC2161" s="22">
        <v>39522.275416666664</v>
      </c>
      <c r="BI2161" s="22">
        <v>39549.294907407406</v>
      </c>
      <c r="BL2161">
        <v>31500</v>
      </c>
      <c r="BM2161">
        <v>1562508</v>
      </c>
      <c r="BN2161" t="s">
        <v>1725</v>
      </c>
      <c r="BO2161" s="17">
        <f t="shared" ca="1" si="33"/>
        <v>27.033989351853961</v>
      </c>
      <c r="BP2161" t="b">
        <v>0</v>
      </c>
      <c r="BQ2161">
        <v>1</v>
      </c>
      <c r="BR2161" t="s">
        <v>1667</v>
      </c>
      <c r="BS2161" t="s">
        <v>2378</v>
      </c>
      <c r="BT2161" t="b">
        <v>0</v>
      </c>
      <c r="BV2161" t="s">
        <v>1668</v>
      </c>
      <c r="BW2161">
        <v>8044</v>
      </c>
      <c r="BX2161" t="s">
        <v>1712</v>
      </c>
      <c r="BY2161">
        <v>306659</v>
      </c>
      <c r="BZ2161" t="s">
        <v>2379</v>
      </c>
      <c r="CA2161">
        <v>1</v>
      </c>
      <c r="CB2161" t="b">
        <v>1</v>
      </c>
      <c r="CC2161">
        <v>0</v>
      </c>
      <c r="CD2161" t="b">
        <v>0</v>
      </c>
      <c r="CE2161" t="b">
        <v>0</v>
      </c>
      <c r="CF2161" t="b">
        <v>0</v>
      </c>
      <c r="CG2161">
        <v>2810838</v>
      </c>
      <c r="CH2161" t="s">
        <v>1681</v>
      </c>
      <c r="CI2161" s="10">
        <v>1575000</v>
      </c>
      <c r="CJ2161" s="7">
        <v>36390</v>
      </c>
      <c r="CL2161" t="s">
        <v>2204</v>
      </c>
    </row>
    <row r="2162" spans="1:90">
      <c r="A2162">
        <v>28038680</v>
      </c>
      <c r="B2162" s="15" t="str">
        <f>HYPERLINK("http://www.redfin.com/stingray/do/printable-listing?listing-id=1531373","Subject To Inspection")</f>
        <v>Subject To Inspection</v>
      </c>
      <c r="D2162" t="s">
        <v>1152</v>
      </c>
      <c r="E2162" t="s">
        <v>3224</v>
      </c>
      <c r="F2162">
        <v>535000</v>
      </c>
      <c r="G2162">
        <v>1942</v>
      </c>
      <c r="H2162">
        <v>1860</v>
      </c>
      <c r="I2162">
        <v>5550</v>
      </c>
      <c r="J2162">
        <v>2</v>
      </c>
      <c r="K2162">
        <v>1</v>
      </c>
      <c r="M2162" s="2" t="str">
        <f>HYPERLINK("http://maps.live.com/default.aspx?v=2&amp;lvl=15&amp;sp=Point.47.674392_-122.279171_6212 45th Ave NE&amp;cp=47.674392~-122.279171","Map")</f>
        <v>Map</v>
      </c>
      <c r="N2162" s="2" t="str">
        <f>HYPERLINK("http://i-0.rfimg.us/photo/1/bigphoto/680/28038680_0.jpg","Photo")</f>
        <v>Photo</v>
      </c>
      <c r="AG2162">
        <v>47.674391999999997</v>
      </c>
      <c r="AH2162">
        <v>-122.27917100000001</v>
      </c>
      <c r="AI2162" t="s">
        <v>66</v>
      </c>
      <c r="AJ2162">
        <v>98115</v>
      </c>
      <c r="AN2162">
        <v>350000</v>
      </c>
      <c r="BC2162" s="22">
        <v>39512.389745370368</v>
      </c>
      <c r="BI2162" s="22">
        <v>39545.917314814818</v>
      </c>
      <c r="BL2162">
        <v>10700</v>
      </c>
      <c r="BM2162">
        <v>1531373</v>
      </c>
      <c r="BN2162" t="s">
        <v>1685</v>
      </c>
      <c r="BO2162" s="17">
        <f t="shared" ca="1" si="33"/>
        <v>36.919660532410489</v>
      </c>
      <c r="BP2162" t="b">
        <v>0</v>
      </c>
      <c r="BQ2162">
        <v>1</v>
      </c>
      <c r="BR2162" t="s">
        <v>1667</v>
      </c>
      <c r="BS2162" t="s">
        <v>2667</v>
      </c>
      <c r="BT2162" t="b">
        <v>0</v>
      </c>
      <c r="BV2162" t="s">
        <v>1668</v>
      </c>
      <c r="BW2162">
        <v>6212</v>
      </c>
      <c r="BX2162" t="s">
        <v>1738</v>
      </c>
      <c r="BY2162">
        <v>320461</v>
      </c>
      <c r="BZ2162" t="s">
        <v>1676</v>
      </c>
      <c r="CA2162">
        <v>1</v>
      </c>
      <c r="CB2162" t="b">
        <v>1</v>
      </c>
      <c r="CC2162">
        <v>0</v>
      </c>
      <c r="CD2162" t="b">
        <v>0</v>
      </c>
      <c r="CE2162" t="b">
        <v>0</v>
      </c>
      <c r="CF2162" t="b">
        <v>0</v>
      </c>
      <c r="CG2162">
        <v>2682336</v>
      </c>
      <c r="CH2162" t="s">
        <v>1681</v>
      </c>
      <c r="CI2162" s="10">
        <v>535000</v>
      </c>
      <c r="CJ2162" s="7">
        <v>38147</v>
      </c>
    </row>
    <row r="2163" spans="1:90">
      <c r="A2163">
        <v>28038695</v>
      </c>
      <c r="B2163" s="2" t="str">
        <f>HYPERLINK("http://www.redfin.com/stingray/do/printable-listing?listing-id=1531463","Active")</f>
        <v>Active</v>
      </c>
      <c r="D2163" t="s">
        <v>55</v>
      </c>
      <c r="E2163" t="s">
        <v>2166</v>
      </c>
      <c r="F2163">
        <v>400000</v>
      </c>
      <c r="G2163">
        <v>1925</v>
      </c>
      <c r="H2163">
        <v>970</v>
      </c>
      <c r="I2163">
        <v>7650</v>
      </c>
      <c r="J2163">
        <v>2</v>
      </c>
      <c r="K2163">
        <v>1</v>
      </c>
      <c r="M2163" s="2" t="str">
        <f>HYPERLINK("http://maps.live.com/default.aspx?v=2&amp;lvl=15&amp;sp=Point.47.722071_-122.353802_12722 Phinney N&amp;cp=47.722071~-122.353802","Map")</f>
        <v>Map</v>
      </c>
      <c r="N2163" s="2" t="str">
        <f>HYPERLINK("http://i-0.rfimg.us/photo/1/bigphoto/695/28038695_0.jpg","Photo")</f>
        <v>Photo</v>
      </c>
      <c r="AG2163">
        <v>47.722071</v>
      </c>
      <c r="AH2163">
        <v>-122.353802</v>
      </c>
      <c r="AI2163" t="s">
        <v>66</v>
      </c>
      <c r="AJ2163">
        <v>98133</v>
      </c>
      <c r="AN2163">
        <v>43000</v>
      </c>
      <c r="BC2163" s="22">
        <v>39512.400543981479</v>
      </c>
      <c r="BI2163" s="22">
        <v>39549.294907407406</v>
      </c>
      <c r="BL2163">
        <v>8000</v>
      </c>
      <c r="BM2163">
        <v>1531463</v>
      </c>
      <c r="BN2163" t="s">
        <v>1737</v>
      </c>
      <c r="BO2163" s="17">
        <f t="shared" ca="1" si="33"/>
        <v>36.908861921299831</v>
      </c>
      <c r="BP2163" t="b">
        <v>0</v>
      </c>
      <c r="BQ2163">
        <v>1</v>
      </c>
      <c r="BS2163" t="s">
        <v>2475</v>
      </c>
      <c r="BT2163" t="b">
        <v>0</v>
      </c>
      <c r="BV2163" t="s">
        <v>1668</v>
      </c>
      <c r="BW2163">
        <v>12722</v>
      </c>
      <c r="BX2163" t="s">
        <v>1712</v>
      </c>
      <c r="BY2163">
        <v>98095</v>
      </c>
      <c r="BZ2163" t="s">
        <v>1813</v>
      </c>
      <c r="CA2163">
        <v>1</v>
      </c>
      <c r="CB2163" t="b">
        <v>1</v>
      </c>
      <c r="CC2163">
        <v>0</v>
      </c>
      <c r="CD2163" t="b">
        <v>0</v>
      </c>
      <c r="CE2163" t="b">
        <v>0</v>
      </c>
      <c r="CF2163" t="b">
        <v>0</v>
      </c>
      <c r="CG2163">
        <v>2495604</v>
      </c>
      <c r="CH2163" t="s">
        <v>1681</v>
      </c>
      <c r="CI2163" s="10">
        <v>400000</v>
      </c>
      <c r="CJ2163" s="7">
        <v>31601</v>
      </c>
    </row>
    <row r="2164" spans="1:90">
      <c r="A2164">
        <v>28038713</v>
      </c>
      <c r="B2164" s="15" t="str">
        <f>HYPERLINK("http://www.redfin.com/stingray/do/printable-listing?listing-id=1532311","Subject To Inspection")</f>
        <v>Subject To Inspection</v>
      </c>
      <c r="D2164" t="s">
        <v>5869</v>
      </c>
      <c r="E2164" t="s">
        <v>5867</v>
      </c>
      <c r="F2164">
        <v>650000</v>
      </c>
      <c r="G2164">
        <v>1952</v>
      </c>
      <c r="H2164">
        <v>1300</v>
      </c>
      <c r="I2164">
        <v>9360</v>
      </c>
      <c r="J2164">
        <v>2</v>
      </c>
      <c r="K2164">
        <v>2</v>
      </c>
      <c r="M2164" s="2" t="str">
        <f>HYPERLINK("http://maps.live.com/default.aspx?v=2&amp;lvl=15&amp;sp=Point.47.551194_-122.231964_5702 80th Ave SE&amp;cp=47.551194~-122.231964","Map")</f>
        <v>Map</v>
      </c>
      <c r="N2164" s="2" t="str">
        <f>HYPERLINK("http://i-0.rfimg.us/photo/1/bigphoto/713/28038713_2.jpg","Photo")</f>
        <v>Photo</v>
      </c>
      <c r="AG2164">
        <v>47.551194000000002</v>
      </c>
      <c r="AH2164">
        <v>-122.231964</v>
      </c>
      <c r="AI2164" t="s">
        <v>5139</v>
      </c>
      <c r="AJ2164">
        <v>98040</v>
      </c>
      <c r="AN2164">
        <v>55000</v>
      </c>
      <c r="BC2164" s="22">
        <v>39512.488206018519</v>
      </c>
      <c r="BI2164" s="22">
        <v>39549.294907407406</v>
      </c>
      <c r="BL2164">
        <v>13000</v>
      </c>
      <c r="BM2164">
        <v>1532311</v>
      </c>
      <c r="BN2164" t="s">
        <v>1766</v>
      </c>
      <c r="BO2164" s="17">
        <f t="shared" ca="1" si="33"/>
        <v>36.82119988425984</v>
      </c>
      <c r="BP2164" t="b">
        <v>0</v>
      </c>
      <c r="BQ2164">
        <v>1</v>
      </c>
      <c r="BR2164" t="s">
        <v>1667</v>
      </c>
      <c r="BS2164" t="s">
        <v>1711</v>
      </c>
      <c r="BT2164" t="b">
        <v>0</v>
      </c>
      <c r="BV2164" t="s">
        <v>1668</v>
      </c>
      <c r="BW2164">
        <v>5702</v>
      </c>
      <c r="BX2164" t="s">
        <v>3856</v>
      </c>
      <c r="BY2164">
        <v>259007</v>
      </c>
      <c r="BZ2164" t="s">
        <v>5868</v>
      </c>
      <c r="CA2164">
        <v>1</v>
      </c>
      <c r="CB2164" t="b">
        <v>1</v>
      </c>
      <c r="CC2164">
        <v>0</v>
      </c>
      <c r="CD2164" t="b">
        <v>0</v>
      </c>
      <c r="CE2164" t="b">
        <v>0</v>
      </c>
      <c r="CF2164" t="b">
        <v>0</v>
      </c>
      <c r="CG2164">
        <v>2415373</v>
      </c>
      <c r="CH2164" t="s">
        <v>1681</v>
      </c>
      <c r="CI2164" s="10">
        <v>650000</v>
      </c>
      <c r="CJ2164" s="7">
        <v>30448</v>
      </c>
    </row>
    <row r="2165" spans="1:90">
      <c r="A2165">
        <v>28038729</v>
      </c>
      <c r="B2165" s="2" t="str">
        <f>HYPERLINK("http://www.redfin.com/stingray/do/printable-listing?listing-id=1535529","Active")</f>
        <v>Active</v>
      </c>
      <c r="D2165" t="s">
        <v>63</v>
      </c>
      <c r="E2165" t="s">
        <v>2119</v>
      </c>
      <c r="F2165">
        <v>560000</v>
      </c>
      <c r="G2165">
        <v>1999</v>
      </c>
      <c r="H2165">
        <v>1438</v>
      </c>
      <c r="I2165">
        <v>0</v>
      </c>
      <c r="J2165">
        <v>2</v>
      </c>
      <c r="K2165">
        <v>1.75</v>
      </c>
      <c r="M2165" s="2" t="str">
        <f>HYPERLINK("http://maps.live.com/default.aspx?v=2&amp;lvl=15&amp;sp=Point.47.672586_-122.406027_6044 Seaview Ave NW n202&amp;cp=47.672586~-122.406027","Map")</f>
        <v>Map</v>
      </c>
      <c r="N2165" s="2" t="str">
        <f>HYPERLINK("http://i-0.rfimg.us/photo/1/bigphoto/729/28038729_0.jpg","Photo")</f>
        <v>Photo</v>
      </c>
      <c r="AG2165" s="19">
        <v>47.672583000000003</v>
      </c>
      <c r="AH2165" s="19">
        <v>-122.406021</v>
      </c>
      <c r="AI2165" t="s">
        <v>66</v>
      </c>
      <c r="AJ2165">
        <v>98107</v>
      </c>
      <c r="AM2165" t="s">
        <v>1894</v>
      </c>
      <c r="AN2165">
        <v>385500</v>
      </c>
      <c r="BC2165" s="22">
        <v>39513.379826388889</v>
      </c>
      <c r="BI2165" s="22">
        <v>39549.294907407406</v>
      </c>
      <c r="BL2165">
        <v>11200</v>
      </c>
      <c r="BM2165">
        <v>1535529</v>
      </c>
      <c r="BN2165" t="s">
        <v>1700</v>
      </c>
      <c r="BO2165" s="17">
        <f t="shared" ca="1" si="33"/>
        <v>35.929579629628279</v>
      </c>
      <c r="BP2165" t="b">
        <v>0</v>
      </c>
      <c r="BQ2165">
        <v>1</v>
      </c>
      <c r="BR2165" t="s">
        <v>1667</v>
      </c>
      <c r="BS2165" t="s">
        <v>1727</v>
      </c>
      <c r="BT2165" t="b">
        <v>0</v>
      </c>
      <c r="BV2165" t="s">
        <v>1668</v>
      </c>
      <c r="BW2165">
        <v>6044</v>
      </c>
      <c r="BX2165" t="s">
        <v>1669</v>
      </c>
      <c r="BY2165">
        <v>72760</v>
      </c>
      <c r="BZ2165" t="s">
        <v>1801</v>
      </c>
      <c r="CA2165">
        <v>1</v>
      </c>
      <c r="CB2165" t="b">
        <v>1</v>
      </c>
      <c r="CC2165">
        <v>0</v>
      </c>
      <c r="CD2165" t="b">
        <v>0</v>
      </c>
      <c r="CE2165" t="b">
        <v>1</v>
      </c>
      <c r="CF2165" t="b">
        <v>0</v>
      </c>
      <c r="CG2165">
        <v>2627522</v>
      </c>
      <c r="CH2165" t="s">
        <v>1666</v>
      </c>
      <c r="CI2165" s="10">
        <v>560000</v>
      </c>
      <c r="CJ2165" s="7">
        <v>36619</v>
      </c>
    </row>
    <row r="2166" spans="1:90">
      <c r="A2166">
        <v>28038740</v>
      </c>
      <c r="B2166" s="2" t="str">
        <f>HYPERLINK("http://www.redfin.com/stingray/do/printable-listing?listing-id=1531541","Active")</f>
        <v>Active</v>
      </c>
      <c r="D2166" t="s">
        <v>188</v>
      </c>
      <c r="E2166" t="s">
        <v>2993</v>
      </c>
      <c r="F2166">
        <v>700000</v>
      </c>
      <c r="G2166">
        <v>2008</v>
      </c>
      <c r="H2166">
        <v>4600</v>
      </c>
      <c r="I2166">
        <v>11400</v>
      </c>
      <c r="J2166">
        <v>0</v>
      </c>
      <c r="K2166">
        <v>0</v>
      </c>
      <c r="M2166" s="2" t="str">
        <f>HYPERLINK("http://maps.live.com/default.aspx?v=2&amp;lvl=15&amp;sp=Point.47.705783_-122.290417_10532 35th Ave NE&amp;cp=47.705783~-122.290417","Map")</f>
        <v>Map</v>
      </c>
      <c r="N2166" s="2" t="str">
        <f>HYPERLINK("http://i-0.rfimg.us/photo/1/bigphoto/740/28038740_0.jpg","Photo")</f>
        <v>Photo</v>
      </c>
      <c r="AG2166">
        <v>47.705782999999997</v>
      </c>
      <c r="AH2166">
        <v>-122.29041700000001</v>
      </c>
      <c r="AI2166" t="s">
        <v>66</v>
      </c>
      <c r="AJ2166">
        <v>98125</v>
      </c>
      <c r="AN2166">
        <v>262000</v>
      </c>
      <c r="BC2166" s="22">
        <v>39512.422175925924</v>
      </c>
      <c r="BI2166" s="22">
        <v>39547.913935185185</v>
      </c>
      <c r="BL2166">
        <v>14000</v>
      </c>
      <c r="BM2166">
        <v>1531541</v>
      </c>
      <c r="BN2166" t="s">
        <v>2992</v>
      </c>
      <c r="BO2166" s="17">
        <f t="shared" ca="1" si="33"/>
        <v>36.887229976855451</v>
      </c>
      <c r="BP2166" t="b">
        <v>0</v>
      </c>
      <c r="BQ2166">
        <v>1</v>
      </c>
      <c r="BR2166" t="s">
        <v>1667</v>
      </c>
      <c r="BS2166" t="s">
        <v>2920</v>
      </c>
      <c r="BT2166" t="b">
        <v>0</v>
      </c>
      <c r="BV2166" t="s">
        <v>1668</v>
      </c>
      <c r="BW2166">
        <v>10532</v>
      </c>
      <c r="BX2166" t="s">
        <v>1738</v>
      </c>
      <c r="BY2166">
        <v>113279</v>
      </c>
      <c r="BZ2166" t="s">
        <v>1801</v>
      </c>
      <c r="CA2166">
        <v>1</v>
      </c>
      <c r="CB2166" t="b">
        <v>1</v>
      </c>
      <c r="CC2166">
        <v>0</v>
      </c>
      <c r="CD2166" t="b">
        <v>0</v>
      </c>
      <c r="CE2166" t="b">
        <v>0</v>
      </c>
      <c r="CF2166" t="b">
        <v>0</v>
      </c>
      <c r="CG2166">
        <v>2387709</v>
      </c>
      <c r="CH2166" t="s">
        <v>1681</v>
      </c>
      <c r="CI2166" s="10">
        <v>700000</v>
      </c>
      <c r="CJ2166" s="7">
        <v>38769</v>
      </c>
    </row>
    <row r="2167" spans="1:90">
      <c r="A2167">
        <v>28038743</v>
      </c>
      <c r="B2167" s="2" t="str">
        <f>HYPERLINK("http://www.redfin.com/stingray/do/printable-listing?listing-id=1532120","Active")</f>
        <v>Active</v>
      </c>
      <c r="D2167" t="s">
        <v>109</v>
      </c>
      <c r="E2167" t="s">
        <v>2602</v>
      </c>
      <c r="F2167">
        <v>609950</v>
      </c>
      <c r="G2167">
        <v>1941</v>
      </c>
      <c r="H2167">
        <v>2100</v>
      </c>
      <c r="I2167">
        <v>5000</v>
      </c>
      <c r="J2167">
        <v>3</v>
      </c>
      <c r="K2167">
        <v>1.75</v>
      </c>
      <c r="M2167" s="2" t="str">
        <f>HYPERLINK("http://maps.live.com/default.aspx?v=2&amp;lvl=15&amp;sp=Point.47.663087_-122.337253_1706 N 47th St n1704&amp;cp=47.663087~-122.337253","Map")</f>
        <v>Map</v>
      </c>
      <c r="N2167" s="2" t="str">
        <f>HYPERLINK("http://i-0.rfimg.us/photo/1/bigphoto/743/28038743_0.jpg","Photo")</f>
        <v>Photo</v>
      </c>
      <c r="AG2167">
        <v>47.663086999999997</v>
      </c>
      <c r="AH2167">
        <v>-122.337253</v>
      </c>
      <c r="AI2167" t="s">
        <v>66</v>
      </c>
      <c r="AJ2167">
        <v>98103</v>
      </c>
      <c r="AM2167" t="s">
        <v>2603</v>
      </c>
      <c r="BC2167" s="22">
        <v>39512.432199074072</v>
      </c>
      <c r="BI2167" s="22">
        <v>39549.294907407406</v>
      </c>
      <c r="BL2167">
        <v>12199</v>
      </c>
      <c r="BM2167">
        <v>1532120</v>
      </c>
      <c r="BN2167" t="s">
        <v>1749</v>
      </c>
      <c r="BO2167" s="17">
        <f t="shared" ca="1" si="33"/>
        <v>36.877206944445788</v>
      </c>
      <c r="BP2167" t="b">
        <v>0</v>
      </c>
      <c r="BQ2167">
        <v>1</v>
      </c>
      <c r="BR2167" t="s">
        <v>1686</v>
      </c>
      <c r="BS2167" t="s">
        <v>2453</v>
      </c>
      <c r="BT2167" t="b">
        <v>0</v>
      </c>
      <c r="BU2167" t="s">
        <v>1712</v>
      </c>
      <c r="BV2167" t="s">
        <v>1668</v>
      </c>
      <c r="BW2167">
        <v>1706</v>
      </c>
      <c r="BY2167">
        <v>12422801</v>
      </c>
      <c r="BZ2167" t="s">
        <v>1672</v>
      </c>
      <c r="CA2167">
        <v>1</v>
      </c>
      <c r="CB2167" t="b">
        <v>1</v>
      </c>
      <c r="CC2167">
        <v>0</v>
      </c>
      <c r="CD2167" t="b">
        <v>0</v>
      </c>
      <c r="CE2167" t="b">
        <v>0</v>
      </c>
      <c r="CF2167" t="b">
        <v>0</v>
      </c>
      <c r="CG2167">
        <v>15626549</v>
      </c>
      <c r="CH2167" t="s">
        <v>1681</v>
      </c>
      <c r="CI2167" s="10">
        <v>609950</v>
      </c>
    </row>
    <row r="2168" spans="1:90">
      <c r="A2168">
        <v>28038750</v>
      </c>
      <c r="B2168" s="2" t="str">
        <f>HYPERLINK("http://www.redfin.com/stingray/do/printable-listing?listing-id=1532118","Active")</f>
        <v>Active</v>
      </c>
      <c r="D2168" t="s">
        <v>3071</v>
      </c>
      <c r="E2168" t="s">
        <v>4588</v>
      </c>
      <c r="F2168" s="19">
        <v>465900</v>
      </c>
      <c r="G2168">
        <v>1977</v>
      </c>
      <c r="H2168">
        <v>2710</v>
      </c>
      <c r="I2168">
        <v>9563</v>
      </c>
      <c r="J2168">
        <v>3</v>
      </c>
      <c r="K2168">
        <v>2.5</v>
      </c>
      <c r="M2168" s="2" t="str">
        <f>HYPERLINK("http://maps.live.com/default.aspx?v=2&amp;lvl=15&amp;sp=Point.47.725604_-122.210547_9742 NE 139th St&amp;cp=47.725604~-122.210547","Map")</f>
        <v>Map</v>
      </c>
      <c r="N2168" s="2" t="str">
        <f>HYPERLINK("http://i-0.rfimg.us/photo/1/bigphoto/750/28038750_1.jpg","Photo")</f>
        <v>Photo</v>
      </c>
      <c r="AG2168">
        <v>47.725603999999997</v>
      </c>
      <c r="AH2168">
        <v>-122.21054700000001</v>
      </c>
      <c r="AI2168" t="s">
        <v>1058</v>
      </c>
      <c r="AJ2168">
        <v>98034</v>
      </c>
      <c r="AN2168">
        <v>365000</v>
      </c>
      <c r="BC2168" s="22">
        <v>39512.432187500002</v>
      </c>
      <c r="BI2168" s="22">
        <v>39549.294907407406</v>
      </c>
      <c r="BL2168">
        <v>9598</v>
      </c>
      <c r="BM2168">
        <v>1532118</v>
      </c>
      <c r="BN2168" t="s">
        <v>1735</v>
      </c>
      <c r="BO2168" s="17">
        <f t="shared" ca="1" si="33"/>
        <v>36.877218402776634</v>
      </c>
      <c r="BP2168" t="b">
        <v>0</v>
      </c>
      <c r="BQ2168">
        <v>1</v>
      </c>
      <c r="BR2168" t="s">
        <v>1686</v>
      </c>
      <c r="BS2168" t="s">
        <v>4423</v>
      </c>
      <c r="BT2168" t="b">
        <v>0</v>
      </c>
      <c r="BU2168" t="s">
        <v>1738</v>
      </c>
      <c r="BV2168" t="s">
        <v>1668</v>
      </c>
      <c r="BW2168">
        <v>9742</v>
      </c>
      <c r="BY2168">
        <v>277945</v>
      </c>
      <c r="BZ2168" t="s">
        <v>2152</v>
      </c>
      <c r="CA2168">
        <v>1</v>
      </c>
      <c r="CB2168" t="b">
        <v>1</v>
      </c>
      <c r="CC2168">
        <v>0</v>
      </c>
      <c r="CD2168" t="b">
        <v>0</v>
      </c>
      <c r="CE2168" t="b">
        <v>0</v>
      </c>
      <c r="CF2168" t="b">
        <v>0</v>
      </c>
      <c r="CG2168">
        <v>2762533</v>
      </c>
      <c r="CH2168" t="s">
        <v>1681</v>
      </c>
      <c r="CI2168" s="10">
        <v>479900</v>
      </c>
      <c r="CJ2168" s="7">
        <v>38469</v>
      </c>
    </row>
    <row r="2169" spans="1:90">
      <c r="A2169">
        <v>28038778</v>
      </c>
      <c r="B2169" s="2" t="str">
        <f>HYPERLINK("http://www.redfin.com/stingray/do/printable-listing?listing-id=1549268","Active")</f>
        <v>Active</v>
      </c>
      <c r="D2169" t="s">
        <v>207</v>
      </c>
      <c r="E2169" t="s">
        <v>3125</v>
      </c>
      <c r="F2169" s="19">
        <v>504000</v>
      </c>
      <c r="G2169">
        <v>1941</v>
      </c>
      <c r="H2169">
        <v>1440</v>
      </c>
      <c r="I2169">
        <v>3959</v>
      </c>
      <c r="J2169">
        <v>2</v>
      </c>
      <c r="K2169">
        <v>1</v>
      </c>
      <c r="M2169" s="2" t="str">
        <f>HYPERLINK("http://maps.live.com/default.aspx?v=2&amp;lvl=15&amp;sp=Point.47.669775_-122.287209_5543 38th Ave NE&amp;cp=47.669775~-122.287209","Map")</f>
        <v>Map</v>
      </c>
      <c r="N2169" s="2" t="str">
        <f>HYPERLINK("http://i-0.rfimg.us/photo/1/bigphoto/778/28038778_1.jpg","Photo")</f>
        <v>Photo</v>
      </c>
      <c r="AG2169">
        <v>47.669775000000001</v>
      </c>
      <c r="AH2169">
        <v>-122.287209</v>
      </c>
      <c r="AI2169" t="s">
        <v>66</v>
      </c>
      <c r="AJ2169">
        <v>98105</v>
      </c>
      <c r="AN2169">
        <v>217000</v>
      </c>
      <c r="BC2169" s="22">
        <v>39518.5159375</v>
      </c>
      <c r="BI2169" s="22">
        <v>39549.294907407406</v>
      </c>
      <c r="BL2169">
        <v>10440</v>
      </c>
      <c r="BM2169">
        <v>1549268</v>
      </c>
      <c r="BN2169" t="s">
        <v>1744</v>
      </c>
      <c r="BO2169" s="17">
        <f t="shared" ca="1" si="33"/>
        <v>30.793468402778672</v>
      </c>
      <c r="BP2169" t="b">
        <v>0</v>
      </c>
      <c r="BQ2169">
        <v>1</v>
      </c>
      <c r="BR2169" t="s">
        <v>1667</v>
      </c>
      <c r="BS2169" t="s">
        <v>3126</v>
      </c>
      <c r="BT2169" t="b">
        <v>0</v>
      </c>
      <c r="BV2169" t="s">
        <v>1668</v>
      </c>
      <c r="BW2169">
        <v>5543</v>
      </c>
      <c r="BX2169" t="s">
        <v>1738</v>
      </c>
      <c r="BY2169">
        <v>314168</v>
      </c>
      <c r="BZ2169" t="s">
        <v>1836</v>
      </c>
      <c r="CA2169">
        <v>1</v>
      </c>
      <c r="CB2169" t="b">
        <v>1</v>
      </c>
      <c r="CC2169">
        <v>0</v>
      </c>
      <c r="CD2169" t="b">
        <v>0</v>
      </c>
      <c r="CE2169" t="b">
        <v>0</v>
      </c>
      <c r="CF2169" t="b">
        <v>0</v>
      </c>
      <c r="CG2169">
        <v>2421765</v>
      </c>
      <c r="CH2169" t="s">
        <v>1681</v>
      </c>
      <c r="CI2169" s="10">
        <v>522000</v>
      </c>
      <c r="CJ2169" s="7">
        <v>35958</v>
      </c>
    </row>
    <row r="2170" spans="1:90">
      <c r="A2170">
        <v>28038784</v>
      </c>
      <c r="B2170" s="2" t="str">
        <f>HYPERLINK("http://www.redfin.com/stingray/do/printable-listing?listing-id=1532153","Active")</f>
        <v>Active</v>
      </c>
      <c r="D2170" t="s">
        <v>6064</v>
      </c>
      <c r="E2170" t="s">
        <v>6122</v>
      </c>
      <c r="F2170">
        <v>499500</v>
      </c>
      <c r="G2170">
        <v>1992</v>
      </c>
      <c r="H2170">
        <v>2250</v>
      </c>
      <c r="I2170">
        <v>7206</v>
      </c>
      <c r="J2170">
        <v>4</v>
      </c>
      <c r="K2170">
        <v>3</v>
      </c>
      <c r="M2170" s="2" t="str">
        <f>HYPERLINK("http://maps.live.com/default.aspx?v=2&amp;lvl=15&amp;sp=Point.47.509307_-122.152162_1914 Field Ave NE&amp;cp=47.509307~-122.152162","Map")</f>
        <v>Map</v>
      </c>
      <c r="N2170" s="2" t="str">
        <f>HYPERLINK("http://i-0.rfimg.us/photo/1/bigphoto/784/28038784_1.jpg","Photo")</f>
        <v>Photo</v>
      </c>
      <c r="AG2170">
        <v>47.509307</v>
      </c>
      <c r="AH2170">
        <v>-122.152162</v>
      </c>
      <c r="AI2170" t="s">
        <v>1077</v>
      </c>
      <c r="AJ2170">
        <v>98059</v>
      </c>
      <c r="AN2170">
        <v>448500</v>
      </c>
      <c r="BC2170" s="22">
        <v>39512.442604166667</v>
      </c>
      <c r="BI2170" s="22">
        <v>39549.294907407406</v>
      </c>
      <c r="BL2170">
        <v>9990</v>
      </c>
      <c r="BM2170">
        <v>1532153</v>
      </c>
      <c r="BN2170" t="s">
        <v>1737</v>
      </c>
      <c r="BO2170" s="17">
        <f t="shared" ca="1" si="33"/>
        <v>36.866801736112393</v>
      </c>
      <c r="BP2170" t="b">
        <v>0</v>
      </c>
      <c r="BQ2170">
        <v>1</v>
      </c>
      <c r="BR2170" t="s">
        <v>1667</v>
      </c>
      <c r="BS2170" t="s">
        <v>6123</v>
      </c>
      <c r="BT2170" t="b">
        <v>0</v>
      </c>
      <c r="BV2170" t="s">
        <v>1668</v>
      </c>
      <c r="BW2170">
        <v>1914</v>
      </c>
      <c r="BX2170" t="s">
        <v>1738</v>
      </c>
      <c r="BY2170">
        <v>411621</v>
      </c>
      <c r="BZ2170" t="s">
        <v>6124</v>
      </c>
      <c r="CA2170">
        <v>1</v>
      </c>
      <c r="CB2170" t="b">
        <v>1</v>
      </c>
      <c r="CC2170">
        <v>0</v>
      </c>
      <c r="CD2170" t="b">
        <v>0</v>
      </c>
      <c r="CE2170" t="b">
        <v>0</v>
      </c>
      <c r="CF2170" t="b">
        <v>0</v>
      </c>
      <c r="CG2170">
        <v>2646757</v>
      </c>
      <c r="CH2170" t="s">
        <v>1681</v>
      </c>
      <c r="CI2170" s="10">
        <v>499500</v>
      </c>
      <c r="CJ2170" s="7">
        <v>38835</v>
      </c>
    </row>
    <row r="2171" spans="1:90">
      <c r="A2171">
        <v>28038795</v>
      </c>
      <c r="B2171" s="2" t="str">
        <f>HYPERLINK("http://www.redfin.com/stingray/do/printable-listing?listing-id=1532200","Active")</f>
        <v>Active</v>
      </c>
      <c r="D2171" t="s">
        <v>63</v>
      </c>
      <c r="E2171" t="s">
        <v>2594</v>
      </c>
      <c r="F2171">
        <v>429950</v>
      </c>
      <c r="G2171">
        <v>2008</v>
      </c>
      <c r="H2171">
        <v>1211</v>
      </c>
      <c r="I2171">
        <v>0</v>
      </c>
      <c r="J2171">
        <v>3</v>
      </c>
      <c r="K2171">
        <v>1.5</v>
      </c>
      <c r="M2171" s="2" t="str">
        <f>HYPERLINK("http://maps.live.com/default.aspx?v=2&amp;lvl=15&amp;sp=Point.47.666653_-122.369949_928 NW 52 St nA&amp;cp=47.666653~-122.369949","Map")</f>
        <v>Map</v>
      </c>
      <c r="N2171" s="2" t="str">
        <f>HYPERLINK("http://i-0.rfimg.us/photo/1/bigphoto/795/28038795_0.jpg","Photo")</f>
        <v>Photo</v>
      </c>
      <c r="AG2171">
        <v>47.666652999999997</v>
      </c>
      <c r="AH2171">
        <v>-122.36994900000001</v>
      </c>
      <c r="AI2171" t="s">
        <v>66</v>
      </c>
      <c r="AJ2171">
        <v>98107</v>
      </c>
      <c r="AM2171" t="s">
        <v>1722</v>
      </c>
      <c r="BC2171" s="22">
        <v>39512.454062500001</v>
      </c>
      <c r="BI2171" s="22">
        <v>39549.294907407406</v>
      </c>
      <c r="BL2171">
        <v>8599</v>
      </c>
      <c r="BM2171">
        <v>1532200</v>
      </c>
      <c r="BN2171" t="s">
        <v>1718</v>
      </c>
      <c r="BO2171" s="17">
        <f t="shared" ca="1" si="33"/>
        <v>36.855343518516747</v>
      </c>
      <c r="BP2171" t="b">
        <v>0</v>
      </c>
      <c r="BQ2171">
        <v>1</v>
      </c>
      <c r="BR2171" t="s">
        <v>1686</v>
      </c>
      <c r="BS2171">
        <v>52</v>
      </c>
      <c r="BT2171" t="b">
        <v>0</v>
      </c>
      <c r="BU2171" t="s">
        <v>1669</v>
      </c>
      <c r="BV2171" t="s">
        <v>1668</v>
      </c>
      <c r="BW2171">
        <v>928</v>
      </c>
      <c r="BY2171">
        <v>12422807</v>
      </c>
      <c r="BZ2171" s="21">
        <v>0</v>
      </c>
      <c r="CA2171">
        <v>1</v>
      </c>
      <c r="CB2171" t="b">
        <v>1</v>
      </c>
      <c r="CC2171">
        <v>0</v>
      </c>
      <c r="CD2171" t="b">
        <v>0</v>
      </c>
      <c r="CE2171" t="b">
        <v>0</v>
      </c>
      <c r="CF2171" t="b">
        <v>0</v>
      </c>
      <c r="CG2171">
        <v>15626555</v>
      </c>
      <c r="CH2171" t="s">
        <v>1681</v>
      </c>
      <c r="CI2171" s="10">
        <v>429950</v>
      </c>
    </row>
    <row r="2172" spans="1:90">
      <c r="A2172">
        <v>28038798</v>
      </c>
      <c r="B2172" s="2" t="str">
        <f>HYPERLINK("http://www.redfin.com/stingray/do/printable-listing?listing-id=1532234","Active")</f>
        <v>Active</v>
      </c>
      <c r="D2172" t="s">
        <v>63</v>
      </c>
      <c r="E2172" t="s">
        <v>2150</v>
      </c>
      <c r="F2172">
        <v>499950</v>
      </c>
      <c r="G2172">
        <v>2008</v>
      </c>
      <c r="H2172">
        <v>1698</v>
      </c>
      <c r="I2172">
        <v>0</v>
      </c>
      <c r="J2172">
        <v>3</v>
      </c>
      <c r="K2172">
        <v>3.5</v>
      </c>
      <c r="M2172" s="2" t="str">
        <f>HYPERLINK("http://maps.live.com/default.aspx?v=2&amp;lvl=15&amp;sp=Point.47.666537_-122.369316_930 NW 52 St&amp;cp=47.666537~-122.369316","Map")</f>
        <v>Map</v>
      </c>
      <c r="N2172" s="2" t="str">
        <f>HYPERLINK("http://i-0.rfimg.us/photo/1/bigphoto/798/28038798_0.jpg","Photo")</f>
        <v>Photo</v>
      </c>
      <c r="AG2172">
        <v>47.666536999999998</v>
      </c>
      <c r="AH2172">
        <v>-122.369316</v>
      </c>
      <c r="AI2172" t="s">
        <v>66</v>
      </c>
      <c r="AJ2172">
        <v>98107</v>
      </c>
      <c r="BC2172" s="22">
        <v>39512.463773148149</v>
      </c>
      <c r="BI2172" s="22">
        <v>39549.294907407406</v>
      </c>
      <c r="BL2172">
        <v>9999</v>
      </c>
      <c r="BM2172">
        <v>1532234</v>
      </c>
      <c r="BN2172" t="s">
        <v>1718</v>
      </c>
      <c r="BO2172" s="17">
        <f t="shared" ca="1" si="33"/>
        <v>36.845632870368718</v>
      </c>
      <c r="BP2172" t="b">
        <v>0</v>
      </c>
      <c r="BQ2172">
        <v>1</v>
      </c>
      <c r="BR2172" t="s">
        <v>1686</v>
      </c>
      <c r="BS2172">
        <v>52</v>
      </c>
      <c r="BT2172" t="b">
        <v>0</v>
      </c>
      <c r="BU2172" t="s">
        <v>1669</v>
      </c>
      <c r="BV2172" t="s">
        <v>1668</v>
      </c>
      <c r="BW2172">
        <v>930</v>
      </c>
      <c r="BY2172">
        <v>12422811</v>
      </c>
      <c r="BZ2172" s="21">
        <v>0</v>
      </c>
      <c r="CA2172">
        <v>1</v>
      </c>
      <c r="CB2172" t="b">
        <v>1</v>
      </c>
      <c r="CC2172">
        <v>0</v>
      </c>
      <c r="CD2172" t="b">
        <v>0</v>
      </c>
      <c r="CE2172" t="b">
        <v>0</v>
      </c>
      <c r="CF2172" t="b">
        <v>0</v>
      </c>
      <c r="CG2172">
        <v>15626559</v>
      </c>
      <c r="CH2172" t="s">
        <v>1681</v>
      </c>
      <c r="CI2172" s="10">
        <v>499950</v>
      </c>
    </row>
    <row r="2173" spans="1:90">
      <c r="A2173">
        <v>28038803</v>
      </c>
      <c r="B2173" s="2" t="str">
        <f>HYPERLINK("http://www.redfin.com/stingray/do/printable-listing?listing-id=1532230","Active")</f>
        <v>Active</v>
      </c>
      <c r="D2173" t="s">
        <v>2552</v>
      </c>
      <c r="E2173" t="s">
        <v>3507</v>
      </c>
      <c r="F2173">
        <v>679950</v>
      </c>
      <c r="G2173">
        <v>1926</v>
      </c>
      <c r="H2173">
        <v>2220</v>
      </c>
      <c r="I2173">
        <v>5800</v>
      </c>
      <c r="J2173">
        <v>3</v>
      </c>
      <c r="K2173">
        <v>2</v>
      </c>
      <c r="M2173" s="2" t="str">
        <f>HYPERLINK("http://maps.live.com/default.aspx?v=2&amp;lvl=15&amp;sp=Point.47.639936_-122.393378_2409 28th Ave W&amp;cp=47.639936~-122.393378","Map")</f>
        <v>Map</v>
      </c>
      <c r="N2173" s="2" t="str">
        <f>HYPERLINK("http://i-0.rfimg.us/photo/1/bigphoto/803/28038803_1.jpg","Photo")</f>
        <v>Photo</v>
      </c>
      <c r="AG2173">
        <v>47.639935999999999</v>
      </c>
      <c r="AH2173">
        <v>-122.393378</v>
      </c>
      <c r="AI2173" t="s">
        <v>66</v>
      </c>
      <c r="AJ2173">
        <v>98199</v>
      </c>
      <c r="AN2173">
        <v>610000</v>
      </c>
      <c r="BC2173" s="22">
        <v>39512.463738425926</v>
      </c>
      <c r="BI2173" s="22">
        <v>39549.294907407406</v>
      </c>
      <c r="BL2173">
        <v>13599</v>
      </c>
      <c r="BM2173">
        <v>1532230</v>
      </c>
      <c r="BN2173" t="s">
        <v>1710</v>
      </c>
      <c r="BO2173" s="17">
        <f t="shared" ca="1" si="33"/>
        <v>36.845667476853123</v>
      </c>
      <c r="BP2173" t="b">
        <v>0</v>
      </c>
      <c r="BQ2173">
        <v>1</v>
      </c>
      <c r="BR2173" t="s">
        <v>1667</v>
      </c>
      <c r="BS2173" t="s">
        <v>1760</v>
      </c>
      <c r="BT2173" t="b">
        <v>0</v>
      </c>
      <c r="BV2173" t="s">
        <v>1668</v>
      </c>
      <c r="BW2173">
        <v>2409</v>
      </c>
      <c r="BX2173" t="s">
        <v>2423</v>
      </c>
      <c r="BY2173">
        <v>127038</v>
      </c>
      <c r="BZ2173" t="s">
        <v>3508</v>
      </c>
      <c r="CA2173">
        <v>1</v>
      </c>
      <c r="CB2173" t="b">
        <v>1</v>
      </c>
      <c r="CC2173">
        <v>0</v>
      </c>
      <c r="CD2173" t="b">
        <v>0</v>
      </c>
      <c r="CE2173" t="b">
        <v>0</v>
      </c>
      <c r="CF2173" t="b">
        <v>0</v>
      </c>
      <c r="CG2173">
        <v>2916434</v>
      </c>
      <c r="CH2173" t="s">
        <v>1681</v>
      </c>
      <c r="CI2173" s="10">
        <v>679950</v>
      </c>
      <c r="CJ2173" s="7">
        <v>38896</v>
      </c>
    </row>
    <row r="2174" spans="1:90">
      <c r="A2174">
        <v>28038815</v>
      </c>
      <c r="B2174" s="15" t="str">
        <f>HYPERLINK("http://www.redfin.com/stingray/do/printable-listing?listing-id=1537995","Active")</f>
        <v>Active</v>
      </c>
      <c r="D2174" t="s">
        <v>5078</v>
      </c>
      <c r="E2174" t="s">
        <v>5226</v>
      </c>
      <c r="F2174">
        <v>409980</v>
      </c>
      <c r="G2174">
        <v>1967</v>
      </c>
      <c r="H2174">
        <v>2040</v>
      </c>
      <c r="I2174">
        <v>1340</v>
      </c>
      <c r="J2174">
        <v>3</v>
      </c>
      <c r="K2174">
        <v>2.5</v>
      </c>
      <c r="M2174" s="2" t="str">
        <f>HYPERLINK("http://maps.live.com/default.aspx?v=2&amp;lvl=15&amp;sp=Point.47.611664_-122.114133_16924 NE 2nd Pl&amp;cp=47.611664~-122.114133","Map")</f>
        <v>Map</v>
      </c>
      <c r="N2174" s="2" t="str">
        <f>HYPERLINK("http://i-0.rfimg.us/photo/1/bigphoto/815/28038815_1.jpg","Photo")</f>
        <v>Photo</v>
      </c>
      <c r="AG2174">
        <v>47.611663999999998</v>
      </c>
      <c r="AH2174">
        <v>-122.114133</v>
      </c>
      <c r="AI2174" t="s">
        <v>369</v>
      </c>
      <c r="AJ2174">
        <v>98008</v>
      </c>
      <c r="BC2174" s="22">
        <v>39514.344490740739</v>
      </c>
      <c r="BI2174" s="22">
        <v>39549.294907407406</v>
      </c>
      <c r="BL2174">
        <v>8200</v>
      </c>
      <c r="BM2174">
        <v>1537995</v>
      </c>
      <c r="BN2174" t="s">
        <v>1673</v>
      </c>
      <c r="BO2174" s="17">
        <f t="shared" ca="1" si="33"/>
        <v>34.964915162039688</v>
      </c>
      <c r="BP2174" t="b">
        <v>0</v>
      </c>
      <c r="BQ2174">
        <v>1</v>
      </c>
      <c r="BR2174" t="s">
        <v>1842</v>
      </c>
      <c r="BS2174" t="s">
        <v>1958</v>
      </c>
      <c r="BT2174" t="b">
        <v>0</v>
      </c>
      <c r="BU2174" t="s">
        <v>1738</v>
      </c>
      <c r="BV2174" t="s">
        <v>1668</v>
      </c>
      <c r="BW2174">
        <v>16924</v>
      </c>
      <c r="BY2174">
        <v>501565</v>
      </c>
      <c r="BZ2174" t="s">
        <v>5227</v>
      </c>
      <c r="CA2174">
        <v>1</v>
      </c>
      <c r="CB2174" t="b">
        <v>1</v>
      </c>
      <c r="CC2174">
        <v>0</v>
      </c>
      <c r="CD2174" t="b">
        <v>0</v>
      </c>
      <c r="CE2174" t="b">
        <v>0</v>
      </c>
      <c r="CF2174" t="b">
        <v>0</v>
      </c>
      <c r="CG2174">
        <v>2733918</v>
      </c>
      <c r="CH2174" t="s">
        <v>1681</v>
      </c>
      <c r="CI2174" s="10">
        <v>409980</v>
      </c>
      <c r="CL2174" t="s">
        <v>6311</v>
      </c>
    </row>
    <row r="2175" spans="1:90">
      <c r="A2175">
        <v>28038817</v>
      </c>
      <c r="B2175" s="2" t="str">
        <f>HYPERLINK("http://www.redfin.com/stingray/do/printable-listing?listing-id=1537406","Active")</f>
        <v>Active</v>
      </c>
      <c r="D2175" t="s">
        <v>4710</v>
      </c>
      <c r="E2175" t="s">
        <v>4715</v>
      </c>
      <c r="F2175">
        <v>1180000</v>
      </c>
      <c r="G2175">
        <v>2006</v>
      </c>
      <c r="H2175">
        <v>3519</v>
      </c>
      <c r="I2175">
        <v>5148</v>
      </c>
      <c r="J2175">
        <v>3</v>
      </c>
      <c r="K2175">
        <v>2.5</v>
      </c>
      <c r="M2175" s="2" t="str">
        <f>HYPERLINK("http://maps.live.com/default.aspx?v=2&amp;lvl=15&amp;sp=Point.47.67573_-122.193055_842 Kirkland Ave&amp;cp=47.67573~-122.193055","Map")</f>
        <v>Map</v>
      </c>
      <c r="N2175" s="2" t="str">
        <f>HYPERLINK("http://i-0.rfimg.us/photo/1/bigphoto/817/28038817_4.jpg","Photo")</f>
        <v>Photo</v>
      </c>
      <c r="AG2175">
        <v>47.675730000000001</v>
      </c>
      <c r="AH2175">
        <v>-122.193055</v>
      </c>
      <c r="AI2175" t="s">
        <v>1058</v>
      </c>
      <c r="AJ2175">
        <v>98033</v>
      </c>
      <c r="AN2175">
        <v>999750</v>
      </c>
      <c r="BC2175" s="22">
        <v>39513.735925925925</v>
      </c>
      <c r="BI2175" s="22">
        <v>39549.294907407406</v>
      </c>
      <c r="BL2175">
        <v>23600</v>
      </c>
      <c r="BM2175">
        <v>1537406</v>
      </c>
      <c r="BN2175" t="s">
        <v>1674</v>
      </c>
      <c r="BO2175" s="17">
        <f t="shared" ca="1" si="33"/>
        <v>35.573479976854287</v>
      </c>
      <c r="BP2175" t="b">
        <v>0</v>
      </c>
      <c r="BQ2175">
        <v>1</v>
      </c>
      <c r="BR2175" t="s">
        <v>1667</v>
      </c>
      <c r="BS2175" t="s">
        <v>1058</v>
      </c>
      <c r="BT2175" t="b">
        <v>0</v>
      </c>
      <c r="BV2175" t="s">
        <v>1668</v>
      </c>
      <c r="BW2175">
        <v>842</v>
      </c>
      <c r="BY2175">
        <v>461237</v>
      </c>
      <c r="BZ2175" t="s">
        <v>3529</v>
      </c>
      <c r="CA2175">
        <v>1</v>
      </c>
      <c r="CB2175" t="b">
        <v>1</v>
      </c>
      <c r="CC2175">
        <v>0</v>
      </c>
      <c r="CD2175" t="b">
        <v>0</v>
      </c>
      <c r="CE2175" t="b">
        <v>0</v>
      </c>
      <c r="CF2175" t="b">
        <v>0</v>
      </c>
      <c r="CG2175">
        <v>2652073</v>
      </c>
      <c r="CH2175" t="s">
        <v>1681</v>
      </c>
      <c r="CI2175" s="10">
        <v>1180000</v>
      </c>
      <c r="CJ2175" s="7">
        <v>38862</v>
      </c>
    </row>
    <row r="2176" spans="1:90">
      <c r="A2176">
        <v>28038847</v>
      </c>
      <c r="B2176" s="2" t="str">
        <f>HYPERLINK("http://www.redfin.com/stingray/do/printable-listing?listing-id=1533941","Active")</f>
        <v>Active</v>
      </c>
      <c r="D2176" t="s">
        <v>5191</v>
      </c>
      <c r="E2176" t="s">
        <v>5514</v>
      </c>
      <c r="F2176" s="19">
        <v>699950</v>
      </c>
      <c r="G2176">
        <v>1978</v>
      </c>
      <c r="H2176">
        <v>2920</v>
      </c>
      <c r="I2176">
        <v>22111</v>
      </c>
      <c r="J2176">
        <v>3</v>
      </c>
      <c r="K2176">
        <v>2.5</v>
      </c>
      <c r="M2176" s="2" t="str">
        <f>HYPERLINK("http://maps.live.com/default.aspx?v=2&amp;lvl=15&amp;sp=Point.47.570445_-122.157404_4225 136th Pl SE&amp;cp=47.570445~-122.157404","Map")</f>
        <v>Map</v>
      </c>
      <c r="N2176" s="2" t="str">
        <f>HYPERLINK("http://i-0.rfimg.us/photo/1/bigphoto/847/28038847_2.jpg","Photo")</f>
        <v>Photo</v>
      </c>
      <c r="AG2176">
        <v>47.570444999999999</v>
      </c>
      <c r="AH2176">
        <v>-122.157404</v>
      </c>
      <c r="AI2176" t="s">
        <v>369</v>
      </c>
      <c r="AJ2176">
        <v>98006</v>
      </c>
      <c r="AN2176">
        <v>650000</v>
      </c>
      <c r="BC2176" s="22">
        <v>39512.757326388892</v>
      </c>
      <c r="BI2176" s="22">
        <v>39549.294907407406</v>
      </c>
      <c r="BL2176">
        <v>14200</v>
      </c>
      <c r="BM2176">
        <v>1533941</v>
      </c>
      <c r="BN2176" t="s">
        <v>2136</v>
      </c>
      <c r="BO2176" s="17">
        <f t="shared" ca="1" si="33"/>
        <v>36.552079513887293</v>
      </c>
      <c r="BP2176" t="b">
        <v>0</v>
      </c>
      <c r="BQ2176">
        <v>1</v>
      </c>
      <c r="BR2176" t="s">
        <v>1842</v>
      </c>
      <c r="BS2176" t="s">
        <v>4403</v>
      </c>
      <c r="BT2176" t="b">
        <v>0</v>
      </c>
      <c r="BV2176" t="s">
        <v>1668</v>
      </c>
      <c r="BW2176">
        <v>4225</v>
      </c>
      <c r="BX2176" t="s">
        <v>3856</v>
      </c>
      <c r="BY2176">
        <v>236405</v>
      </c>
      <c r="BZ2176" t="s">
        <v>5515</v>
      </c>
      <c r="CA2176">
        <v>1</v>
      </c>
      <c r="CB2176" t="b">
        <v>1</v>
      </c>
      <c r="CC2176">
        <v>0</v>
      </c>
      <c r="CD2176" t="b">
        <v>0</v>
      </c>
      <c r="CE2176" t="b">
        <v>0</v>
      </c>
      <c r="CF2176" t="b">
        <v>0</v>
      </c>
      <c r="CG2176">
        <v>2855324</v>
      </c>
      <c r="CH2176" t="s">
        <v>1681</v>
      </c>
      <c r="CI2176" s="10">
        <v>710000</v>
      </c>
      <c r="CJ2176" s="7">
        <v>38554</v>
      </c>
    </row>
    <row r="2177" spans="1:88">
      <c r="A2177">
        <v>28038850</v>
      </c>
      <c r="B2177" s="2" t="str">
        <f>HYPERLINK("http://www.redfin.com/stingray/do/printable-listing?listing-id=1532309","Active")</f>
        <v>Active</v>
      </c>
      <c r="D2177" t="s">
        <v>5140</v>
      </c>
      <c r="E2177" t="s">
        <v>5487</v>
      </c>
      <c r="F2177">
        <v>788000</v>
      </c>
      <c r="G2177">
        <v>1996</v>
      </c>
      <c r="H2177">
        <v>2202</v>
      </c>
      <c r="I2177">
        <v>64138</v>
      </c>
      <c r="J2177">
        <v>3</v>
      </c>
      <c r="K2177">
        <v>3</v>
      </c>
      <c r="M2177" s="2" t="str">
        <f>HYPERLINK("http://maps.live.com/default.aspx?v=2&amp;lvl=15&amp;sp=Point.47.578009_-122.213692_9319 SE 36th St&amp;cp=47.578009~-122.213692","Map")</f>
        <v>Map</v>
      </c>
      <c r="N2177" s="2" t="str">
        <f>HYPERLINK("http://i-0.rfimg.us/photo/1/bigphoto/850/28038850_1.jpg","Photo")</f>
        <v>Photo</v>
      </c>
      <c r="AG2177">
        <v>47.578009000000002</v>
      </c>
      <c r="AH2177">
        <v>-122.21369199999999</v>
      </c>
      <c r="AI2177" t="s">
        <v>5139</v>
      </c>
      <c r="AJ2177">
        <v>98040</v>
      </c>
      <c r="BC2177" s="22">
        <v>39512.488194444442</v>
      </c>
      <c r="BI2177" s="22">
        <v>39549.294907407406</v>
      </c>
      <c r="BL2177">
        <v>15760</v>
      </c>
      <c r="BM2177">
        <v>1532309</v>
      </c>
      <c r="BN2177" t="s">
        <v>1737</v>
      </c>
      <c r="BO2177" s="17">
        <f t="shared" ca="1" si="33"/>
        <v>36.82121145833662</v>
      </c>
      <c r="BP2177" t="b">
        <v>0</v>
      </c>
      <c r="BQ2177">
        <v>1</v>
      </c>
      <c r="BR2177" t="s">
        <v>1686</v>
      </c>
      <c r="BS2177" t="s">
        <v>2911</v>
      </c>
      <c r="BT2177" t="b">
        <v>0</v>
      </c>
      <c r="BU2177" t="s">
        <v>3856</v>
      </c>
      <c r="BV2177" t="s">
        <v>1668</v>
      </c>
      <c r="BW2177">
        <v>9319</v>
      </c>
      <c r="BY2177">
        <v>11898327</v>
      </c>
      <c r="BZ2177" t="s">
        <v>2429</v>
      </c>
      <c r="CA2177">
        <v>1</v>
      </c>
      <c r="CB2177" t="b">
        <v>1</v>
      </c>
      <c r="CC2177">
        <v>0</v>
      </c>
      <c r="CD2177" t="b">
        <v>0</v>
      </c>
      <c r="CE2177" t="b">
        <v>0</v>
      </c>
      <c r="CF2177" t="b">
        <v>0</v>
      </c>
      <c r="CG2177">
        <v>15152552</v>
      </c>
      <c r="CH2177" t="s">
        <v>1681</v>
      </c>
      <c r="CI2177" s="10">
        <v>788000</v>
      </c>
    </row>
    <row r="2178" spans="1:88">
      <c r="A2178">
        <v>28038859</v>
      </c>
      <c r="B2178" s="2" t="str">
        <f>HYPERLINK("http://www.redfin.com/stingray/do/printable-listing?listing-id=1532313","Subject To Inspection")</f>
        <v>Subject To Inspection</v>
      </c>
      <c r="D2178" t="s">
        <v>194</v>
      </c>
      <c r="E2178" t="s">
        <v>1364</v>
      </c>
      <c r="F2178">
        <v>399000</v>
      </c>
      <c r="G2178">
        <v>1941</v>
      </c>
      <c r="H2178">
        <v>2030</v>
      </c>
      <c r="I2178">
        <v>5209</v>
      </c>
      <c r="J2178">
        <v>3</v>
      </c>
      <c r="K2178">
        <v>1.75</v>
      </c>
      <c r="M2178" s="2" t="str">
        <f>HYPERLINK("http://maps.live.com/default.aspx?v=2&amp;lvl=15&amp;sp=Point.47.695861_-122.303884_2302 NE 92nd St&amp;cp=47.695861~-122.303884","Map")</f>
        <v>Map</v>
      </c>
      <c r="N2178" s="2" t="str">
        <f>HYPERLINK("http://i-0.rfimg.us/photo/1/bigphoto/859/28038859_0.jpg","Photo")</f>
        <v>Photo</v>
      </c>
      <c r="AG2178">
        <v>47.695861000000001</v>
      </c>
      <c r="AH2178">
        <v>-122.303884</v>
      </c>
      <c r="AI2178" t="s">
        <v>66</v>
      </c>
      <c r="AJ2178">
        <v>98115</v>
      </c>
      <c r="AN2178">
        <v>208500</v>
      </c>
      <c r="BC2178" s="22">
        <v>39512.488217592596</v>
      </c>
      <c r="BI2178" s="7">
        <v>39533</v>
      </c>
      <c r="BL2178">
        <v>7980</v>
      </c>
      <c r="BM2178">
        <v>1532313</v>
      </c>
      <c r="BN2178" t="s">
        <v>1710</v>
      </c>
      <c r="BO2178" s="17">
        <f t="shared" ref="BO2178:BO2241" ca="1" si="34">NOW()-BC2178</f>
        <v>36.821188310183061</v>
      </c>
      <c r="BP2178" t="b">
        <v>0</v>
      </c>
      <c r="BQ2178">
        <v>2</v>
      </c>
      <c r="BR2178" t="s">
        <v>1686</v>
      </c>
      <c r="BS2178" t="s">
        <v>2726</v>
      </c>
      <c r="BT2178" t="b">
        <v>0</v>
      </c>
      <c r="BU2178" t="s">
        <v>1738</v>
      </c>
      <c r="BV2178" t="s">
        <v>1668</v>
      </c>
      <c r="BW2178">
        <v>2302</v>
      </c>
      <c r="BY2178">
        <v>315992</v>
      </c>
      <c r="BZ2178" t="s">
        <v>1745</v>
      </c>
      <c r="CA2178">
        <v>1</v>
      </c>
      <c r="CB2178" t="b">
        <v>1</v>
      </c>
      <c r="CC2178">
        <v>0</v>
      </c>
      <c r="CD2178" t="b">
        <v>0</v>
      </c>
      <c r="CE2178" t="b">
        <v>0</v>
      </c>
      <c r="CF2178" t="b">
        <v>0</v>
      </c>
      <c r="CG2178">
        <v>2751010</v>
      </c>
      <c r="CH2178" t="s">
        <v>1681</v>
      </c>
      <c r="CI2178" s="10">
        <v>399000</v>
      </c>
      <c r="CJ2178" s="7">
        <v>36459</v>
      </c>
    </row>
    <row r="2179" spans="1:88">
      <c r="A2179">
        <v>28038897</v>
      </c>
      <c r="B2179" s="2" t="str">
        <f>HYPERLINK("http://www.redfin.com/stingray/do/printable-listing?listing-id=1543279","Active")</f>
        <v>Active</v>
      </c>
      <c r="D2179" t="s">
        <v>5201</v>
      </c>
      <c r="E2179" t="s">
        <v>5199</v>
      </c>
      <c r="F2179">
        <v>515000</v>
      </c>
      <c r="G2179">
        <v>1957</v>
      </c>
      <c r="H2179">
        <v>0</v>
      </c>
      <c r="I2179">
        <v>10000</v>
      </c>
      <c r="J2179">
        <v>3</v>
      </c>
      <c r="K2179">
        <v>2</v>
      </c>
      <c r="M2179" s="2" t="str">
        <f>HYPERLINK("http://maps.live.com/default.aspx?v=2&amp;lvl=15&amp;sp=Point.47.588803_-122.130107_15651 SE 24th St&amp;cp=47.588803~-122.130107","Map")</f>
        <v>Map</v>
      </c>
      <c r="N2179" s="2" t="str">
        <f>HYPERLINK("http://i-0.rfimg.us/photo/1/bigphoto/897/28038897_2.jpg","Photo")</f>
        <v>Photo</v>
      </c>
      <c r="AG2179">
        <v>47.588802999999999</v>
      </c>
      <c r="AH2179">
        <v>-122.130107</v>
      </c>
      <c r="AI2179" t="s">
        <v>369</v>
      </c>
      <c r="AJ2179">
        <v>98008</v>
      </c>
      <c r="AN2179">
        <v>207000</v>
      </c>
      <c r="BC2179" s="22">
        <v>39515.692569444444</v>
      </c>
      <c r="BI2179" s="22">
        <v>39549.294907407406</v>
      </c>
      <c r="BL2179">
        <v>10300</v>
      </c>
      <c r="BM2179">
        <v>1543279</v>
      </c>
      <c r="BN2179" t="s">
        <v>1674</v>
      </c>
      <c r="BO2179" s="17">
        <f t="shared" ca="1" si="34"/>
        <v>33.616836458335456</v>
      </c>
      <c r="BP2179" t="b">
        <v>0</v>
      </c>
      <c r="BQ2179">
        <v>1</v>
      </c>
      <c r="BR2179" t="s">
        <v>1686</v>
      </c>
      <c r="BS2179" t="s">
        <v>1740</v>
      </c>
      <c r="BT2179" t="b">
        <v>0</v>
      </c>
      <c r="BU2179" t="s">
        <v>3856</v>
      </c>
      <c r="BV2179" t="s">
        <v>1668</v>
      </c>
      <c r="BW2179">
        <v>15651</v>
      </c>
      <c r="BY2179">
        <v>429319</v>
      </c>
      <c r="BZ2179" t="s">
        <v>5200</v>
      </c>
      <c r="CA2179">
        <v>1</v>
      </c>
      <c r="CB2179" t="b">
        <v>1</v>
      </c>
      <c r="CC2179">
        <v>0</v>
      </c>
      <c r="CD2179" t="b">
        <v>0</v>
      </c>
      <c r="CE2179" t="b">
        <v>0</v>
      </c>
      <c r="CF2179" t="b">
        <v>0</v>
      </c>
      <c r="CG2179">
        <v>2433551</v>
      </c>
      <c r="CH2179" t="s">
        <v>1681</v>
      </c>
      <c r="CI2179" s="10">
        <v>515000</v>
      </c>
      <c r="CJ2179" s="7">
        <v>36032</v>
      </c>
    </row>
    <row r="2180" spans="1:88">
      <c r="A2180">
        <v>28038924</v>
      </c>
      <c r="B2180" s="2" t="str">
        <f>HYPERLINK("http://www.redfin.com/stingray/do/printable-listing?listing-id=1543636","Active")</f>
        <v>Active</v>
      </c>
      <c r="D2180" t="s">
        <v>60</v>
      </c>
      <c r="E2180" t="s">
        <v>2374</v>
      </c>
      <c r="F2180">
        <v>380000</v>
      </c>
      <c r="G2180">
        <v>2008</v>
      </c>
      <c r="H2180">
        <v>1371</v>
      </c>
      <c r="I2180">
        <v>901</v>
      </c>
      <c r="J2180">
        <v>3</v>
      </c>
      <c r="K2180">
        <v>2.5</v>
      </c>
      <c r="M2180" s="2" t="str">
        <f>HYPERLINK("http://maps.live.com/default.aspx?v=2&amp;lvl=15&amp;sp=Point.47.690332_-122.34219_1153 N 85th St nB&amp;cp=47.690332~-122.34219","Map")</f>
        <v>Map</v>
      </c>
      <c r="N2180" s="2" t="str">
        <f>HYPERLINK("http://i-0.rfimg.us/photo/1/bigphoto/924/28038924_3.jpg","Photo")</f>
        <v>Photo</v>
      </c>
      <c r="AG2180">
        <v>47.690331999999998</v>
      </c>
      <c r="AH2180">
        <v>-122.34219</v>
      </c>
      <c r="AI2180" t="s">
        <v>66</v>
      </c>
      <c r="AJ2180">
        <v>98103</v>
      </c>
      <c r="AM2180" t="s">
        <v>1699</v>
      </c>
      <c r="BC2180" s="22">
        <v>39515.931400462963</v>
      </c>
      <c r="BI2180" s="22">
        <v>39549.294907407406</v>
      </c>
      <c r="BL2180">
        <v>7600</v>
      </c>
      <c r="BM2180">
        <v>1543636</v>
      </c>
      <c r="BN2180" t="s">
        <v>2372</v>
      </c>
      <c r="BO2180" s="17">
        <f t="shared" ca="1" si="34"/>
        <v>33.37800555555441</v>
      </c>
      <c r="BP2180" t="b">
        <v>0</v>
      </c>
      <c r="BQ2180">
        <v>1</v>
      </c>
      <c r="BR2180" t="s">
        <v>1686</v>
      </c>
      <c r="BS2180" t="s">
        <v>1827</v>
      </c>
      <c r="BT2180" t="b">
        <v>0</v>
      </c>
      <c r="BU2180" t="s">
        <v>1712</v>
      </c>
      <c r="BV2180" t="s">
        <v>1668</v>
      </c>
      <c r="BW2180">
        <v>1153</v>
      </c>
      <c r="BY2180">
        <v>12425173</v>
      </c>
      <c r="BZ2180" t="s">
        <v>2375</v>
      </c>
      <c r="CA2180">
        <v>1</v>
      </c>
      <c r="CB2180" t="b">
        <v>1</v>
      </c>
      <c r="CC2180">
        <v>0</v>
      </c>
      <c r="CD2180" t="b">
        <v>0</v>
      </c>
      <c r="CE2180" t="b">
        <v>0</v>
      </c>
      <c r="CF2180" t="b">
        <v>0</v>
      </c>
      <c r="CG2180">
        <v>15628921</v>
      </c>
      <c r="CH2180" t="s">
        <v>1681</v>
      </c>
      <c r="CI2180" s="10">
        <v>380000</v>
      </c>
    </row>
    <row r="2181" spans="1:88">
      <c r="A2181">
        <v>28038974</v>
      </c>
      <c r="B2181" s="2" t="str">
        <f>HYPERLINK("http://www.redfin.com/stingray/do/printable-listing?listing-id=1539367","Active")</f>
        <v>Active</v>
      </c>
      <c r="D2181" t="s">
        <v>2552</v>
      </c>
      <c r="E2181" t="s">
        <v>3520</v>
      </c>
      <c r="F2181" s="19">
        <v>669000</v>
      </c>
      <c r="G2181">
        <v>1941</v>
      </c>
      <c r="H2181">
        <v>2520</v>
      </c>
      <c r="I2181">
        <v>6250</v>
      </c>
      <c r="J2181">
        <v>3</v>
      </c>
      <c r="K2181">
        <v>1.75</v>
      </c>
      <c r="M2181" s="2" t="str">
        <f>HYPERLINK("http://maps.live.com/default.aspx?v=2&amp;lvl=15&amp;sp=Point.47.647411_-122.391191_3018 27th Ave W&amp;cp=47.647411~-122.391191","Map")</f>
        <v>Map</v>
      </c>
      <c r="N2181" s="2" t="str">
        <f>HYPERLINK("http://i-0.rfimg.us/photo/1/bigphoto/974/28038974_1.jpg","Photo")</f>
        <v>Photo</v>
      </c>
      <c r="AG2181">
        <v>47.647410999999998</v>
      </c>
      <c r="AH2181">
        <v>-122.39119100000001</v>
      </c>
      <c r="AI2181" t="s">
        <v>66</v>
      </c>
      <c r="AJ2181">
        <v>98199</v>
      </c>
      <c r="AN2181">
        <v>599000</v>
      </c>
      <c r="BC2181" s="22">
        <v>39514.432002314818</v>
      </c>
      <c r="BI2181" s="22">
        <v>39549.294907407406</v>
      </c>
      <c r="BL2181">
        <v>13780</v>
      </c>
      <c r="BM2181">
        <v>1539367</v>
      </c>
      <c r="BN2181" t="s">
        <v>1680</v>
      </c>
      <c r="BO2181" s="17">
        <f t="shared" ca="1" si="34"/>
        <v>34.877403587961453</v>
      </c>
      <c r="BP2181" t="b">
        <v>0</v>
      </c>
      <c r="BQ2181">
        <v>1</v>
      </c>
      <c r="BR2181" t="s">
        <v>1667</v>
      </c>
      <c r="BS2181" t="s">
        <v>1751</v>
      </c>
      <c r="BT2181" t="b">
        <v>0</v>
      </c>
      <c r="BV2181" t="s">
        <v>1668</v>
      </c>
      <c r="BW2181">
        <v>3018</v>
      </c>
      <c r="BX2181" t="s">
        <v>2423</v>
      </c>
      <c r="BY2181">
        <v>123681</v>
      </c>
      <c r="BZ2181" t="s">
        <v>1756</v>
      </c>
      <c r="CA2181">
        <v>1</v>
      </c>
      <c r="CB2181" t="b">
        <v>1</v>
      </c>
      <c r="CC2181">
        <v>0</v>
      </c>
      <c r="CD2181" t="b">
        <v>0</v>
      </c>
      <c r="CE2181" t="b">
        <v>0</v>
      </c>
      <c r="CF2181" t="b">
        <v>0</v>
      </c>
      <c r="CG2181">
        <v>2546167</v>
      </c>
      <c r="CH2181" t="s">
        <v>1681</v>
      </c>
      <c r="CI2181" s="10">
        <v>689000</v>
      </c>
      <c r="CJ2181" s="7">
        <v>38448</v>
      </c>
    </row>
    <row r="2182" spans="1:88">
      <c r="A2182">
        <v>28039011</v>
      </c>
      <c r="B2182" s="2" t="str">
        <f>HYPERLINK("http://www.redfin.com/stingray/do/printable-listing?listing-id=1533014","Active")</f>
        <v>Active</v>
      </c>
      <c r="D2182" t="s">
        <v>5252</v>
      </c>
      <c r="E2182" t="s">
        <v>5250</v>
      </c>
      <c r="F2182">
        <v>599950</v>
      </c>
      <c r="G2182">
        <v>2008</v>
      </c>
      <c r="H2182">
        <v>2174</v>
      </c>
      <c r="I2182">
        <v>0</v>
      </c>
      <c r="J2182">
        <v>3</v>
      </c>
      <c r="K2182">
        <v>2.5</v>
      </c>
      <c r="M2182" s="2" t="str">
        <f>HYPERLINK("http://maps.live.com/default.aspx?v=2&amp;lvl=15&amp;sp=Point.47.623437_-122.133281_15280 NE 15th Pl&amp;cp=47.623437~-122.133281","Map")</f>
        <v>Map</v>
      </c>
      <c r="N2182" s="2" t="str">
        <f>HYPERLINK("http://i-0.rfimg.us/photo/1/bigphoto/011/28039011_3.jpg","Photo")</f>
        <v>Photo</v>
      </c>
      <c r="AG2182">
        <v>47.623437000000003</v>
      </c>
      <c r="AH2182">
        <v>-122.133281</v>
      </c>
      <c r="AI2182" t="s">
        <v>369</v>
      </c>
      <c r="AJ2182">
        <v>98007</v>
      </c>
      <c r="BC2182" s="22">
        <v>39512.582638888889</v>
      </c>
      <c r="BI2182" s="22">
        <v>39549.294907407406</v>
      </c>
      <c r="BL2182">
        <v>11999</v>
      </c>
      <c r="BM2182">
        <v>1533014</v>
      </c>
      <c r="BN2182" t="s">
        <v>5249</v>
      </c>
      <c r="BO2182" s="17">
        <f t="shared" ca="1" si="34"/>
        <v>36.726767013889912</v>
      </c>
      <c r="BP2182" t="b">
        <v>0</v>
      </c>
      <c r="BQ2182">
        <v>1</v>
      </c>
      <c r="BR2182" t="s">
        <v>1842</v>
      </c>
      <c r="BS2182" t="s">
        <v>1838</v>
      </c>
      <c r="BT2182" t="b">
        <v>0</v>
      </c>
      <c r="BU2182" t="s">
        <v>1738</v>
      </c>
      <c r="BV2182" t="s">
        <v>1668</v>
      </c>
      <c r="BW2182">
        <v>15280</v>
      </c>
      <c r="BY2182">
        <v>12422995</v>
      </c>
      <c r="BZ2182" t="s">
        <v>5251</v>
      </c>
      <c r="CA2182">
        <v>1</v>
      </c>
      <c r="CB2182" t="b">
        <v>1</v>
      </c>
      <c r="CC2182">
        <v>0</v>
      </c>
      <c r="CD2182" t="b">
        <v>0</v>
      </c>
      <c r="CE2182" t="b">
        <v>0</v>
      </c>
      <c r="CF2182" t="b">
        <v>0</v>
      </c>
      <c r="CG2182">
        <v>15626743</v>
      </c>
      <c r="CH2182" t="s">
        <v>1681</v>
      </c>
      <c r="CI2182" s="10">
        <v>599950</v>
      </c>
    </row>
    <row r="2183" spans="1:88">
      <c r="A2183">
        <v>28039027</v>
      </c>
      <c r="B2183" s="2" t="str">
        <f>HYPERLINK("http://www.redfin.com/stingray/do/printable-listing?listing-id=1543635","Active")</f>
        <v>Active</v>
      </c>
      <c r="D2183" t="s">
        <v>60</v>
      </c>
      <c r="E2183" t="s">
        <v>2134</v>
      </c>
      <c r="F2183">
        <v>370000</v>
      </c>
      <c r="G2183">
        <v>2008</v>
      </c>
      <c r="H2183">
        <v>1260</v>
      </c>
      <c r="I2183">
        <v>1628</v>
      </c>
      <c r="J2183">
        <v>2</v>
      </c>
      <c r="K2183">
        <v>1.5</v>
      </c>
      <c r="M2183" s="2" t="str">
        <f>HYPERLINK("http://maps.live.com/default.aspx?v=2&amp;lvl=15&amp;sp=Point.47.690463_-122.342165_1155 N 85th St&amp;cp=47.690463~-122.342165","Map")</f>
        <v>Map</v>
      </c>
      <c r="N2183" s="2" t="str">
        <f>HYPERLINK("http://i-0.rfimg.us/photo/1/bigphoto/027/28039027_1.jpg","Photo")</f>
        <v>Photo</v>
      </c>
      <c r="AG2183">
        <v>47.690463000000001</v>
      </c>
      <c r="AH2183">
        <v>-122.34216499999999</v>
      </c>
      <c r="AI2183" t="s">
        <v>66</v>
      </c>
      <c r="AJ2183">
        <v>98103</v>
      </c>
      <c r="BC2183" s="22">
        <v>39515.931400462963</v>
      </c>
      <c r="BI2183" s="22">
        <v>39549.294907407406</v>
      </c>
      <c r="BL2183">
        <v>7400</v>
      </c>
      <c r="BM2183">
        <v>1543635</v>
      </c>
      <c r="BN2183" t="s">
        <v>2372</v>
      </c>
      <c r="BO2183" s="17">
        <f t="shared" ca="1" si="34"/>
        <v>33.37800555555441</v>
      </c>
      <c r="BP2183" t="b">
        <v>0</v>
      </c>
      <c r="BQ2183">
        <v>1</v>
      </c>
      <c r="BR2183" t="s">
        <v>1686</v>
      </c>
      <c r="BS2183" t="s">
        <v>1827</v>
      </c>
      <c r="BT2183" t="b">
        <v>0</v>
      </c>
      <c r="BU2183" t="s">
        <v>1712</v>
      </c>
      <c r="BV2183" t="s">
        <v>1668</v>
      </c>
      <c r="BW2183">
        <v>1155</v>
      </c>
      <c r="BY2183">
        <v>12425172</v>
      </c>
      <c r="BZ2183" t="s">
        <v>2373</v>
      </c>
      <c r="CA2183">
        <v>1</v>
      </c>
      <c r="CB2183" t="b">
        <v>1</v>
      </c>
      <c r="CC2183">
        <v>0</v>
      </c>
      <c r="CD2183" t="b">
        <v>0</v>
      </c>
      <c r="CE2183" t="b">
        <v>0</v>
      </c>
      <c r="CF2183" t="b">
        <v>0</v>
      </c>
      <c r="CG2183">
        <v>15628920</v>
      </c>
      <c r="CH2183" t="s">
        <v>1681</v>
      </c>
      <c r="CI2183" s="10">
        <v>370000</v>
      </c>
    </row>
    <row r="2184" spans="1:88">
      <c r="A2184">
        <v>28039049</v>
      </c>
      <c r="B2184" s="2" t="str">
        <f>HYPERLINK("http://www.redfin.com/stingray/do/printable-listing?listing-id=1533072","Active")</f>
        <v>Active</v>
      </c>
      <c r="D2184" t="s">
        <v>1129</v>
      </c>
      <c r="E2184" t="s">
        <v>3225</v>
      </c>
      <c r="F2184">
        <v>599950</v>
      </c>
      <c r="G2184">
        <v>2007</v>
      </c>
      <c r="H2184">
        <v>1700</v>
      </c>
      <c r="I2184">
        <v>0</v>
      </c>
      <c r="J2184">
        <v>3</v>
      </c>
      <c r="K2184">
        <v>3.5</v>
      </c>
      <c r="M2184" s="2" t="str">
        <f>HYPERLINK("http://maps.live.com/default.aspx?v=2&amp;lvl=15&amp;sp=Point.47.674779_-122.262921_6011 NE 64th St&amp;cp=47.674779~-122.262921","Map")</f>
        <v>Map</v>
      </c>
      <c r="N2184" s="2" t="str">
        <f>HYPERLINK("http://i-0.rfimg.us/photo/1/bigphoto/049/28039049_0.jpg","Photo")</f>
        <v>Photo</v>
      </c>
      <c r="AG2184">
        <v>47.674779000000001</v>
      </c>
      <c r="AH2184">
        <v>-122.26292100000001</v>
      </c>
      <c r="AI2184" t="s">
        <v>66</v>
      </c>
      <c r="AJ2184">
        <v>98115</v>
      </c>
      <c r="AN2184">
        <v>500000</v>
      </c>
      <c r="BC2184" s="22">
        <v>39512.58929398148</v>
      </c>
      <c r="BI2184" s="22">
        <v>39549.294907407406</v>
      </c>
      <c r="BL2184">
        <v>11999</v>
      </c>
      <c r="BM2184">
        <v>1533072</v>
      </c>
      <c r="BN2184" t="s">
        <v>1710</v>
      </c>
      <c r="BO2184" s="17">
        <f t="shared" ca="1" si="34"/>
        <v>36.720111921298667</v>
      </c>
      <c r="BP2184" t="b">
        <v>0</v>
      </c>
      <c r="BQ2184">
        <v>1</v>
      </c>
      <c r="BR2184" t="s">
        <v>1686</v>
      </c>
      <c r="BS2184" t="s">
        <v>2405</v>
      </c>
      <c r="BT2184" t="b">
        <v>0</v>
      </c>
      <c r="BU2184" t="s">
        <v>1738</v>
      </c>
      <c r="BV2184" t="s">
        <v>1668</v>
      </c>
      <c r="BW2184">
        <v>6011</v>
      </c>
      <c r="BY2184">
        <v>121076</v>
      </c>
      <c r="BZ2184" t="s">
        <v>1672</v>
      </c>
      <c r="CA2184">
        <v>1</v>
      </c>
      <c r="CB2184" t="b">
        <v>1</v>
      </c>
      <c r="CC2184">
        <v>0</v>
      </c>
      <c r="CD2184" t="b">
        <v>0</v>
      </c>
      <c r="CE2184" t="b">
        <v>0</v>
      </c>
      <c r="CF2184" t="b">
        <v>0</v>
      </c>
      <c r="CG2184">
        <v>2409508</v>
      </c>
      <c r="CH2184" t="s">
        <v>1681</v>
      </c>
      <c r="CI2184" s="10">
        <v>599950</v>
      </c>
      <c r="CJ2184" s="7">
        <v>38497</v>
      </c>
    </row>
    <row r="2185" spans="1:88">
      <c r="A2185">
        <v>28039053</v>
      </c>
      <c r="B2185" s="2" t="str">
        <f>HYPERLINK("http://www.redfin.com/stingray/do/printable-listing?listing-id=1539516","Active")</f>
        <v>Active</v>
      </c>
      <c r="D2185" t="s">
        <v>109</v>
      </c>
      <c r="E2185" t="s">
        <v>3626</v>
      </c>
      <c r="F2185">
        <v>799950</v>
      </c>
      <c r="G2185">
        <v>1914</v>
      </c>
      <c r="H2185">
        <v>2340</v>
      </c>
      <c r="I2185">
        <v>3136</v>
      </c>
      <c r="J2185">
        <v>3</v>
      </c>
      <c r="K2185">
        <v>1.75</v>
      </c>
      <c r="M2185" s="2" t="str">
        <f>HYPERLINK("http://maps.live.com/default.aspx?v=2&amp;lvl=15&amp;sp=Point.47.660122_-122.331854_2223 N 44 St&amp;cp=47.660122~-122.331854","Map")</f>
        <v>Map</v>
      </c>
      <c r="N2185" s="2" t="str">
        <f>HYPERLINK("http://i-0.rfimg.us/photo/1/bigphoto/053/28039053_0.jpg","Photo")</f>
        <v>Photo</v>
      </c>
      <c r="AG2185">
        <v>47.660122000000001</v>
      </c>
      <c r="AH2185">
        <v>-122.33185400000001</v>
      </c>
      <c r="AI2185" t="s">
        <v>66</v>
      </c>
      <c r="AJ2185">
        <v>98103</v>
      </c>
      <c r="AN2185">
        <v>724950</v>
      </c>
      <c r="BC2185" s="22">
        <v>39514.464050925926</v>
      </c>
      <c r="BI2185" s="22">
        <v>39549.294907407406</v>
      </c>
      <c r="BL2185">
        <v>15999</v>
      </c>
      <c r="BM2185">
        <v>1539516</v>
      </c>
      <c r="BN2185" t="s">
        <v>1688</v>
      </c>
      <c r="BO2185" s="17">
        <f t="shared" ca="1" si="34"/>
        <v>34.845354976852832</v>
      </c>
      <c r="BP2185" t="b">
        <v>0</v>
      </c>
      <c r="BQ2185">
        <v>1</v>
      </c>
      <c r="BR2185" t="s">
        <v>1686</v>
      </c>
      <c r="BS2185">
        <v>44</v>
      </c>
      <c r="BT2185" t="b">
        <v>0</v>
      </c>
      <c r="BU2185" t="s">
        <v>1712</v>
      </c>
      <c r="BV2185" t="s">
        <v>1668</v>
      </c>
      <c r="BW2185">
        <v>2223</v>
      </c>
      <c r="BY2185">
        <v>118110</v>
      </c>
      <c r="BZ2185" t="s">
        <v>1672</v>
      </c>
      <c r="CA2185">
        <v>1</v>
      </c>
      <c r="CB2185" t="b">
        <v>1</v>
      </c>
      <c r="CC2185">
        <v>0</v>
      </c>
      <c r="CD2185" t="b">
        <v>0</v>
      </c>
      <c r="CE2185" t="b">
        <v>0</v>
      </c>
      <c r="CF2185" t="b">
        <v>0</v>
      </c>
      <c r="CG2185">
        <v>2572543</v>
      </c>
      <c r="CH2185" t="s">
        <v>1681</v>
      </c>
      <c r="CI2185" s="10">
        <v>799950</v>
      </c>
      <c r="CJ2185" s="7">
        <v>38541</v>
      </c>
    </row>
    <row r="2186" spans="1:88">
      <c r="A2186">
        <v>28039065</v>
      </c>
      <c r="B2186" s="2" t="str">
        <f>HYPERLINK("http://www.redfin.com/stingray/do/printable-listing?listing-id=1533327","Active")</f>
        <v>Active</v>
      </c>
      <c r="D2186" t="s">
        <v>1023</v>
      </c>
      <c r="E2186" t="s">
        <v>2539</v>
      </c>
      <c r="F2186">
        <v>859000</v>
      </c>
      <c r="G2186">
        <v>1954</v>
      </c>
      <c r="H2186">
        <v>2940</v>
      </c>
      <c r="I2186">
        <v>6120</v>
      </c>
      <c r="J2186">
        <v>4</v>
      </c>
      <c r="K2186">
        <v>2</v>
      </c>
      <c r="M2186" s="2" t="str">
        <f>HYPERLINK("http://maps.live.com/default.aspx?v=2&amp;lvl=15&amp;sp=Point.47.670669_-122.399187_3216 NW 57th St&amp;cp=47.670669~-122.399187","Map")</f>
        <v>Map</v>
      </c>
      <c r="N2186" s="2" t="str">
        <f>HYPERLINK("http://i-0.rfimg.us/photo/1/bigphoto/065/28039065_2.jpg","Photo")</f>
        <v>Photo</v>
      </c>
      <c r="AG2186">
        <v>47.670668999999997</v>
      </c>
      <c r="AH2186">
        <v>-122.399187</v>
      </c>
      <c r="AI2186" t="s">
        <v>66</v>
      </c>
      <c r="AJ2186">
        <v>98107</v>
      </c>
      <c r="AN2186">
        <v>380000</v>
      </c>
      <c r="BC2186" s="22">
        <v>39512.632210648146</v>
      </c>
      <c r="BI2186" s="7">
        <v>39540</v>
      </c>
      <c r="BL2186">
        <v>17180</v>
      </c>
      <c r="BM2186">
        <v>1533327</v>
      </c>
      <c r="BN2186" t="s">
        <v>1702</v>
      </c>
      <c r="BO2186" s="17">
        <f t="shared" ca="1" si="34"/>
        <v>36.677195370371919</v>
      </c>
      <c r="BP2186" t="b">
        <v>0</v>
      </c>
      <c r="BQ2186">
        <v>1</v>
      </c>
      <c r="BR2186" t="s">
        <v>1686</v>
      </c>
      <c r="BS2186" t="s">
        <v>1687</v>
      </c>
      <c r="BT2186" t="b">
        <v>0</v>
      </c>
      <c r="BU2186" t="s">
        <v>1669</v>
      </c>
      <c r="BV2186" t="s">
        <v>1668</v>
      </c>
      <c r="BW2186">
        <v>3216</v>
      </c>
      <c r="BY2186">
        <v>162160</v>
      </c>
      <c r="BZ2186" t="s">
        <v>2540</v>
      </c>
      <c r="CA2186">
        <v>1</v>
      </c>
      <c r="CB2186" t="b">
        <v>1</v>
      </c>
      <c r="CC2186">
        <v>0</v>
      </c>
      <c r="CD2186" t="b">
        <v>0</v>
      </c>
      <c r="CE2186" t="b">
        <v>0</v>
      </c>
      <c r="CF2186" t="b">
        <v>0</v>
      </c>
      <c r="CG2186">
        <v>2776626</v>
      </c>
      <c r="CH2186" t="s">
        <v>1681</v>
      </c>
      <c r="CI2186" s="10">
        <v>859000</v>
      </c>
      <c r="CJ2186" s="7">
        <v>38336</v>
      </c>
    </row>
    <row r="2187" spans="1:88">
      <c r="A2187">
        <v>28039078</v>
      </c>
      <c r="B2187" s="2" t="str">
        <f>HYPERLINK("http://www.redfin.com/stingray/do/printable-listing?listing-id=1533111","Active")</f>
        <v>Active</v>
      </c>
      <c r="D2187" t="s">
        <v>1129</v>
      </c>
      <c r="E2187" t="s">
        <v>3225</v>
      </c>
      <c r="F2187">
        <v>569950</v>
      </c>
      <c r="G2187">
        <v>2007</v>
      </c>
      <c r="H2187">
        <v>1700</v>
      </c>
      <c r="I2187">
        <v>0</v>
      </c>
      <c r="J2187">
        <v>3</v>
      </c>
      <c r="K2187">
        <v>3.5</v>
      </c>
      <c r="M2187" s="2" t="str">
        <f>HYPERLINK("http://maps.live.com/default.aspx?v=2&amp;lvl=15&amp;sp=Point.47.674779_-122.262921_6011 NE 64th St&amp;cp=47.674779~-122.262921","Map")</f>
        <v>Map</v>
      </c>
      <c r="N2187" s="2" t="str">
        <f>HYPERLINK("http://i-0.rfimg.us/photo/1/bigphoto/078/28039078_0.jpg","Photo")</f>
        <v>Photo</v>
      </c>
      <c r="AG2187">
        <v>47.674779000000001</v>
      </c>
      <c r="AH2187">
        <v>-122.26292100000001</v>
      </c>
      <c r="AI2187" t="s">
        <v>66</v>
      </c>
      <c r="AJ2187">
        <v>98115</v>
      </c>
      <c r="AN2187">
        <v>500000</v>
      </c>
      <c r="BC2187" s="22">
        <v>39512.599293981482</v>
      </c>
      <c r="BI2187" s="22">
        <v>39549.294907407406</v>
      </c>
      <c r="BL2187">
        <v>11399</v>
      </c>
      <c r="BM2187">
        <v>1533111</v>
      </c>
      <c r="BN2187" t="s">
        <v>1710</v>
      </c>
      <c r="BO2187" s="17">
        <f t="shared" ca="1" si="34"/>
        <v>36.71011192129663</v>
      </c>
      <c r="BP2187" t="b">
        <v>0</v>
      </c>
      <c r="BQ2187">
        <v>1</v>
      </c>
      <c r="BR2187" t="s">
        <v>1686</v>
      </c>
      <c r="BS2187" t="s">
        <v>2405</v>
      </c>
      <c r="BT2187" t="b">
        <v>0</v>
      </c>
      <c r="BU2187" t="s">
        <v>1738</v>
      </c>
      <c r="BV2187" t="s">
        <v>1668</v>
      </c>
      <c r="BW2187">
        <v>6011</v>
      </c>
      <c r="BY2187">
        <v>121076</v>
      </c>
      <c r="BZ2187" t="s">
        <v>1672</v>
      </c>
      <c r="CA2187">
        <v>1</v>
      </c>
      <c r="CB2187" t="b">
        <v>1</v>
      </c>
      <c r="CC2187">
        <v>0</v>
      </c>
      <c r="CD2187" t="b">
        <v>0</v>
      </c>
      <c r="CE2187" t="b">
        <v>0</v>
      </c>
      <c r="CF2187" t="b">
        <v>0</v>
      </c>
      <c r="CG2187">
        <v>2409508</v>
      </c>
      <c r="CH2187" t="s">
        <v>1681</v>
      </c>
      <c r="CI2187" s="10">
        <v>569950</v>
      </c>
      <c r="CJ2187" s="7">
        <v>38497</v>
      </c>
    </row>
    <row r="2188" spans="1:88">
      <c r="A2188">
        <v>28039099</v>
      </c>
      <c r="B2188" s="2" t="str">
        <f>HYPERLINK("http://www.redfin.com/stingray/do/printable-listing?listing-id=1533221","Active")</f>
        <v>Active</v>
      </c>
      <c r="D2188" t="s">
        <v>5926</v>
      </c>
      <c r="E2188" t="s">
        <v>5999</v>
      </c>
      <c r="F2188">
        <v>539900</v>
      </c>
      <c r="G2188">
        <v>2007</v>
      </c>
      <c r="H2188">
        <v>3200</v>
      </c>
      <c r="I2188">
        <v>0</v>
      </c>
      <c r="J2188">
        <v>4</v>
      </c>
      <c r="K2188">
        <v>2.5</v>
      </c>
      <c r="M2188" s="2" t="str">
        <f>HYPERLINK("http://maps.live.com/default.aspx?v=2&amp;lvl=15&amp;sp=adr.2024 Glenwood Ave NE n(lot 14) (Unable to map),98056","Map")</f>
        <v>Map</v>
      </c>
      <c r="N2188" s="2" t="str">
        <f>HYPERLINK("http://i-0.rfimg.us/photo/1/bigphoto/099/28039099_0.jpg","Photo")</f>
        <v>Photo</v>
      </c>
      <c r="AI2188" t="s">
        <v>1077</v>
      </c>
      <c r="AJ2188">
        <v>98056</v>
      </c>
      <c r="AM2188" t="s">
        <v>6000</v>
      </c>
      <c r="BC2188" s="22">
        <v>39512.62222222222</v>
      </c>
      <c r="BI2188" s="22">
        <v>39549.294907407406</v>
      </c>
      <c r="BL2188">
        <v>10798</v>
      </c>
      <c r="BM2188">
        <v>1533221</v>
      </c>
      <c r="BN2188" t="s">
        <v>4966</v>
      </c>
      <c r="BO2188" s="17">
        <f t="shared" ca="1" si="34"/>
        <v>36.687183680558519</v>
      </c>
      <c r="BP2188" t="b">
        <v>0</v>
      </c>
      <c r="BQ2188">
        <v>1</v>
      </c>
      <c r="BR2188" t="s">
        <v>1667</v>
      </c>
      <c r="BS2188" t="s">
        <v>5998</v>
      </c>
      <c r="BT2188" t="b">
        <v>0</v>
      </c>
      <c r="BV2188" t="s">
        <v>1668</v>
      </c>
      <c r="BW2188">
        <v>2024</v>
      </c>
      <c r="BX2188" t="s">
        <v>1738</v>
      </c>
      <c r="BY2188">
        <v>0</v>
      </c>
      <c r="BZ2188" s="21">
        <v>0</v>
      </c>
      <c r="CA2188">
        <v>1</v>
      </c>
      <c r="CB2188" t="b">
        <v>1</v>
      </c>
      <c r="CC2188">
        <v>0</v>
      </c>
      <c r="CD2188" t="b">
        <v>0</v>
      </c>
      <c r="CE2188" t="b">
        <v>0</v>
      </c>
      <c r="CF2188" t="b">
        <v>0</v>
      </c>
      <c r="CG2188" t="s">
        <v>1870</v>
      </c>
      <c r="CH2188" t="s">
        <v>1681</v>
      </c>
      <c r="CI2188" s="10">
        <v>539900</v>
      </c>
    </row>
    <row r="2189" spans="1:88">
      <c r="A2189">
        <v>28039103</v>
      </c>
      <c r="B2189" s="2" t="str">
        <f>HYPERLINK("http://www.redfin.com/stingray/do/printable-listing?listing-id=1533222","Active")</f>
        <v>Active</v>
      </c>
      <c r="D2189" t="s">
        <v>5926</v>
      </c>
      <c r="E2189" t="s">
        <v>5996</v>
      </c>
      <c r="F2189">
        <v>519900</v>
      </c>
      <c r="G2189">
        <v>2007</v>
      </c>
      <c r="H2189">
        <v>3200</v>
      </c>
      <c r="I2189">
        <v>0</v>
      </c>
      <c r="J2189">
        <v>4</v>
      </c>
      <c r="K2189">
        <v>2.5</v>
      </c>
      <c r="M2189" s="2" t="str">
        <f>HYPERLINK("http://maps.live.com/default.aspx?v=2&amp;lvl=15&amp;sp=adr.2012 Glenwood Ave NE n(Lot 16) (Unable to map),98056","Map")</f>
        <v>Map</v>
      </c>
      <c r="N2189" s="2" t="str">
        <f>HYPERLINK("http://i-0.rfimg.us/photo/1/bigphoto/103/28039103_0.jpg","Photo")</f>
        <v>Photo</v>
      </c>
      <c r="AI2189" t="s">
        <v>1077</v>
      </c>
      <c r="AJ2189">
        <v>98056</v>
      </c>
      <c r="AM2189" t="s">
        <v>5997</v>
      </c>
      <c r="BC2189" s="22">
        <v>39512.62222222222</v>
      </c>
      <c r="BI2189" s="22">
        <v>39549.294907407406</v>
      </c>
      <c r="BL2189">
        <v>10398</v>
      </c>
      <c r="BM2189">
        <v>1533222</v>
      </c>
      <c r="BN2189" t="s">
        <v>4966</v>
      </c>
      <c r="BO2189" s="17">
        <f t="shared" ca="1" si="34"/>
        <v>36.687183680558519</v>
      </c>
      <c r="BP2189" t="b">
        <v>0</v>
      </c>
      <c r="BQ2189">
        <v>1</v>
      </c>
      <c r="BR2189" t="s">
        <v>1667</v>
      </c>
      <c r="BS2189" t="s">
        <v>5998</v>
      </c>
      <c r="BT2189" t="b">
        <v>0</v>
      </c>
      <c r="BV2189" t="s">
        <v>1668</v>
      </c>
      <c r="BW2189">
        <v>2012</v>
      </c>
      <c r="BX2189" t="s">
        <v>1738</v>
      </c>
      <c r="BY2189">
        <v>0</v>
      </c>
      <c r="BZ2189" s="21">
        <v>0</v>
      </c>
      <c r="CA2189">
        <v>1</v>
      </c>
      <c r="CB2189" t="b">
        <v>1</v>
      </c>
      <c r="CC2189">
        <v>0</v>
      </c>
      <c r="CD2189" t="b">
        <v>0</v>
      </c>
      <c r="CE2189" t="b">
        <v>0</v>
      </c>
      <c r="CF2189" t="b">
        <v>0</v>
      </c>
      <c r="CG2189" t="s">
        <v>1870</v>
      </c>
      <c r="CH2189" t="s">
        <v>1681</v>
      </c>
      <c r="CI2189" s="10">
        <v>519900</v>
      </c>
    </row>
    <row r="2190" spans="1:88">
      <c r="A2190">
        <v>28039105</v>
      </c>
      <c r="B2190" s="2" t="str">
        <f>HYPERLINK("http://www.redfin.com/stingray/do/printable-listing?listing-id=1533225","Active")</f>
        <v>Active</v>
      </c>
      <c r="D2190" t="s">
        <v>4542</v>
      </c>
      <c r="E2190" t="s">
        <v>4883</v>
      </c>
      <c r="F2190">
        <v>649000</v>
      </c>
      <c r="G2190">
        <v>1979</v>
      </c>
      <c r="H2190">
        <v>0</v>
      </c>
      <c r="I2190">
        <v>7200</v>
      </c>
      <c r="J2190">
        <v>3</v>
      </c>
      <c r="K2190">
        <v>2.75</v>
      </c>
      <c r="M2190" s="2" t="str">
        <f>HYPERLINK("http://maps.live.com/default.aspx?v=2&amp;lvl=15&amp;sp=Point.47.692385_-122.205785_211 19th Pl&amp;cp=47.692385~-122.205785","Map")</f>
        <v>Map</v>
      </c>
      <c r="N2190" s="2" t="str">
        <f>HYPERLINK("http://i-0.rfimg.us/photo/1/bigphoto/105/28039105_0.jpg","Photo")</f>
        <v>Photo</v>
      </c>
      <c r="AG2190">
        <v>47.692385000000002</v>
      </c>
      <c r="AH2190">
        <v>-122.20578500000001</v>
      </c>
      <c r="AI2190" t="s">
        <v>1058</v>
      </c>
      <c r="AJ2190">
        <v>98033</v>
      </c>
      <c r="AN2190">
        <v>628950</v>
      </c>
      <c r="BC2190" s="22">
        <v>39512.62228009259</v>
      </c>
      <c r="BI2190" s="22">
        <v>39549.294907407406</v>
      </c>
      <c r="BL2190">
        <v>12980</v>
      </c>
      <c r="BM2190">
        <v>1533225</v>
      </c>
      <c r="BN2190" t="s">
        <v>4882</v>
      </c>
      <c r="BO2190" s="17">
        <f t="shared" ca="1" si="34"/>
        <v>36.687125810189173</v>
      </c>
      <c r="BP2190" t="b">
        <v>0</v>
      </c>
      <c r="BQ2190">
        <v>1</v>
      </c>
      <c r="BR2190" t="s">
        <v>1842</v>
      </c>
      <c r="BS2190" t="s">
        <v>1906</v>
      </c>
      <c r="BT2190" t="b">
        <v>0</v>
      </c>
      <c r="BV2190" t="s">
        <v>1668</v>
      </c>
      <c r="BW2190">
        <v>211</v>
      </c>
      <c r="BY2190">
        <v>463879</v>
      </c>
      <c r="BZ2190" t="s">
        <v>1672</v>
      </c>
      <c r="CA2190">
        <v>1</v>
      </c>
      <c r="CB2190" t="b">
        <v>1</v>
      </c>
      <c r="CC2190">
        <v>0</v>
      </c>
      <c r="CD2190" t="b">
        <v>0</v>
      </c>
      <c r="CE2190" t="b">
        <v>0</v>
      </c>
      <c r="CF2190" t="b">
        <v>0</v>
      </c>
      <c r="CG2190">
        <v>2694319</v>
      </c>
      <c r="CH2190" t="s">
        <v>1681</v>
      </c>
      <c r="CI2190" s="10">
        <v>649000</v>
      </c>
      <c r="CJ2190" s="7">
        <v>38806</v>
      </c>
    </row>
    <row r="2191" spans="1:88">
      <c r="A2191">
        <v>28039115</v>
      </c>
      <c r="B2191" s="2" t="str">
        <f>HYPERLINK("http://www.redfin.com/stingray/do/printable-listing?listing-id=1533324","Active")</f>
        <v>Active</v>
      </c>
      <c r="D2191" t="s">
        <v>5926</v>
      </c>
      <c r="E2191" t="s">
        <v>5977</v>
      </c>
      <c r="F2191">
        <v>509900</v>
      </c>
      <c r="G2191">
        <v>2007</v>
      </c>
      <c r="H2191">
        <v>3016</v>
      </c>
      <c r="I2191">
        <v>0</v>
      </c>
      <c r="J2191">
        <v>3</v>
      </c>
      <c r="K2191">
        <v>2.5</v>
      </c>
      <c r="M2191" s="2" t="str">
        <f>HYPERLINK("http://maps.live.com/default.aspx?v=2&amp;lvl=15&amp;sp=adr.2026 Ferndale Ave NE n(Lot 22) (Unable to map),98056","Map")</f>
        <v>Map</v>
      </c>
      <c r="N2191" s="2" t="str">
        <f>HYPERLINK("http://i-0.rfimg.us/photo/1/bigphoto/115/28039115_1.jpg","Photo")</f>
        <v>Photo</v>
      </c>
      <c r="AI2191" t="s">
        <v>1077</v>
      </c>
      <c r="AJ2191">
        <v>98056</v>
      </c>
      <c r="AM2191" t="s">
        <v>5978</v>
      </c>
      <c r="BC2191" s="22">
        <v>39512.632199074076</v>
      </c>
      <c r="BI2191" s="7">
        <v>39535</v>
      </c>
      <c r="BL2191">
        <v>10198</v>
      </c>
      <c r="BM2191">
        <v>1533324</v>
      </c>
      <c r="BN2191" t="s">
        <v>4966</v>
      </c>
      <c r="BO2191" s="17">
        <f t="shared" ca="1" si="34"/>
        <v>36.677206828702765</v>
      </c>
      <c r="BP2191" t="b">
        <v>0</v>
      </c>
      <c r="BQ2191">
        <v>1</v>
      </c>
      <c r="BR2191" t="s">
        <v>1667</v>
      </c>
      <c r="BS2191" t="s">
        <v>5979</v>
      </c>
      <c r="BT2191" t="b">
        <v>0</v>
      </c>
      <c r="BV2191" t="s">
        <v>1668</v>
      </c>
      <c r="BW2191">
        <v>2026</v>
      </c>
      <c r="BX2191" t="s">
        <v>1738</v>
      </c>
      <c r="BY2191">
        <v>0</v>
      </c>
      <c r="BZ2191" t="s">
        <v>2865</v>
      </c>
      <c r="CA2191">
        <v>1</v>
      </c>
      <c r="CB2191" t="b">
        <v>1</v>
      </c>
      <c r="CC2191">
        <v>0</v>
      </c>
      <c r="CD2191" t="b">
        <v>0</v>
      </c>
      <c r="CE2191" t="b">
        <v>0</v>
      </c>
      <c r="CF2191" t="b">
        <v>0</v>
      </c>
      <c r="CG2191" t="s">
        <v>1870</v>
      </c>
      <c r="CH2191" t="s">
        <v>1681</v>
      </c>
      <c r="CI2191" s="10">
        <v>509900</v>
      </c>
    </row>
    <row r="2192" spans="1:88">
      <c r="A2192">
        <v>28039120</v>
      </c>
      <c r="B2192" s="2" t="str">
        <f>HYPERLINK("http://www.redfin.com/stingray/do/printable-listing?listing-id=1533323","Active")</f>
        <v>Active</v>
      </c>
      <c r="D2192" t="s">
        <v>5204</v>
      </c>
      <c r="E2192" t="s">
        <v>5208</v>
      </c>
      <c r="F2192">
        <v>425000</v>
      </c>
      <c r="G2192">
        <v>1958</v>
      </c>
      <c r="H2192">
        <v>0</v>
      </c>
      <c r="I2192">
        <v>7000</v>
      </c>
      <c r="J2192">
        <v>3</v>
      </c>
      <c r="K2192">
        <v>1.75</v>
      </c>
      <c r="M2192" s="2" t="str">
        <f>HYPERLINK("http://maps.live.com/default.aspx?v=2&amp;lvl=15&amp;sp=Point.47.601988_-122.125202_16035 SE 9th St&amp;cp=47.601988~-122.125202","Map")</f>
        <v>Map</v>
      </c>
      <c r="N2192" s="2" t="str">
        <f>HYPERLINK("http://i-0.rfimg.us/photo/1/bigphoto/120/28039120_1.jpg","Photo")</f>
        <v>Photo</v>
      </c>
      <c r="AG2192">
        <v>47.601987999999999</v>
      </c>
      <c r="AH2192">
        <v>-122.125202</v>
      </c>
      <c r="AI2192" t="s">
        <v>369</v>
      </c>
      <c r="AJ2192">
        <v>98008</v>
      </c>
      <c r="AN2192">
        <v>332000</v>
      </c>
      <c r="BC2192" s="22">
        <v>39512.632187499999</v>
      </c>
      <c r="BI2192" s="22">
        <v>39549.294907407406</v>
      </c>
      <c r="BL2192">
        <v>8500</v>
      </c>
      <c r="BM2192">
        <v>1533323</v>
      </c>
      <c r="BN2192" t="s">
        <v>1710</v>
      </c>
      <c r="BO2192" s="17">
        <f t="shared" ca="1" si="34"/>
        <v>36.677218402779545</v>
      </c>
      <c r="BP2192" t="b">
        <v>0</v>
      </c>
      <c r="BQ2192">
        <v>1</v>
      </c>
      <c r="BR2192" t="s">
        <v>1686</v>
      </c>
      <c r="BS2192" t="s">
        <v>1785</v>
      </c>
      <c r="BT2192" t="b">
        <v>0</v>
      </c>
      <c r="BU2192" t="s">
        <v>3856</v>
      </c>
      <c r="BV2192" t="s">
        <v>1668</v>
      </c>
      <c r="BW2192">
        <v>16035</v>
      </c>
      <c r="BY2192">
        <v>425850</v>
      </c>
      <c r="BZ2192" t="s">
        <v>2429</v>
      </c>
      <c r="CA2192">
        <v>1</v>
      </c>
      <c r="CB2192" t="b">
        <v>1</v>
      </c>
      <c r="CC2192">
        <v>0</v>
      </c>
      <c r="CD2192" t="b">
        <v>0</v>
      </c>
      <c r="CE2192" t="b">
        <v>0</v>
      </c>
      <c r="CF2192" t="b">
        <v>0</v>
      </c>
      <c r="CG2192">
        <v>2527206</v>
      </c>
      <c r="CH2192" t="s">
        <v>1681</v>
      </c>
      <c r="CI2192" s="10">
        <v>425000</v>
      </c>
      <c r="CJ2192" s="7">
        <v>38520</v>
      </c>
    </row>
    <row r="2193" spans="1:88">
      <c r="A2193">
        <v>28039128</v>
      </c>
      <c r="B2193" s="2" t="str">
        <f>HYPERLINK("http://www.redfin.com/stingray/do/printable-listing?listing-id=1533325","Active")</f>
        <v>Active</v>
      </c>
      <c r="D2193" t="s">
        <v>5926</v>
      </c>
      <c r="E2193" t="s">
        <v>6007</v>
      </c>
      <c r="F2193">
        <v>519900</v>
      </c>
      <c r="G2193">
        <v>2007</v>
      </c>
      <c r="H2193">
        <v>2996</v>
      </c>
      <c r="I2193">
        <v>0</v>
      </c>
      <c r="J2193">
        <v>3</v>
      </c>
      <c r="K2193">
        <v>2.5</v>
      </c>
      <c r="M2193" s="2" t="str">
        <f>HYPERLINK("http://maps.live.com/default.aspx?v=2&amp;lvl=15&amp;sp=adr.2501 NE 21st St n(Lot 29) (Unable to map),98056","Map")</f>
        <v>Map</v>
      </c>
      <c r="N2193" s="2" t="str">
        <f>HYPERLINK("http://i-0.rfimg.us/photo/1/bigphoto/128/28039128_0.jpg","Photo")</f>
        <v>Photo</v>
      </c>
      <c r="AI2193" t="s">
        <v>1077</v>
      </c>
      <c r="AJ2193">
        <v>98056</v>
      </c>
      <c r="AM2193" t="s">
        <v>6008</v>
      </c>
      <c r="BC2193" s="22">
        <v>39512.632199074076</v>
      </c>
      <c r="BI2193" s="7">
        <v>39535</v>
      </c>
      <c r="BL2193">
        <v>10398</v>
      </c>
      <c r="BM2193">
        <v>1533325</v>
      </c>
      <c r="BN2193" t="s">
        <v>4966</v>
      </c>
      <c r="BO2193" s="17">
        <f t="shared" ca="1" si="34"/>
        <v>36.677206828702765</v>
      </c>
      <c r="BP2193" t="b">
        <v>0</v>
      </c>
      <c r="BQ2193">
        <v>1</v>
      </c>
      <c r="BR2193" t="s">
        <v>1686</v>
      </c>
      <c r="BS2193" t="s">
        <v>1903</v>
      </c>
      <c r="BT2193" t="b">
        <v>0</v>
      </c>
      <c r="BU2193" t="s">
        <v>1738</v>
      </c>
      <c r="BV2193" t="s">
        <v>1668</v>
      </c>
      <c r="BW2193">
        <v>2501</v>
      </c>
      <c r="BY2193">
        <v>0</v>
      </c>
      <c r="BZ2193" t="s">
        <v>1743</v>
      </c>
      <c r="CA2193">
        <v>1</v>
      </c>
      <c r="CB2193" t="b">
        <v>1</v>
      </c>
      <c r="CC2193">
        <v>0</v>
      </c>
      <c r="CD2193" t="b">
        <v>0</v>
      </c>
      <c r="CE2193" t="b">
        <v>0</v>
      </c>
      <c r="CF2193" t="b">
        <v>0</v>
      </c>
      <c r="CG2193" t="s">
        <v>1870</v>
      </c>
      <c r="CH2193" t="s">
        <v>1681</v>
      </c>
      <c r="CI2193" s="10">
        <v>519900</v>
      </c>
    </row>
    <row r="2194" spans="1:88">
      <c r="A2194">
        <v>28039183</v>
      </c>
      <c r="B2194" s="2" t="str">
        <f>HYPERLINK("http://www.redfin.com/stingray/do/printable-listing?listing-id=1533461","Active")</f>
        <v>Active</v>
      </c>
      <c r="D2194" t="s">
        <v>60</v>
      </c>
      <c r="E2194" t="s">
        <v>2642</v>
      </c>
      <c r="F2194">
        <v>897950</v>
      </c>
      <c r="G2194">
        <v>2008</v>
      </c>
      <c r="H2194">
        <v>0</v>
      </c>
      <c r="I2194">
        <v>0</v>
      </c>
      <c r="J2194">
        <v>4</v>
      </c>
      <c r="K2194">
        <v>3.5</v>
      </c>
      <c r="M2194" s="2" t="str">
        <f>HYPERLINK("http://maps.live.com/default.aspx?v=2&amp;lvl=15&amp;sp=Point.47.678944_-122.346594_912 N 68th St&amp;cp=47.678944~-122.346594","Map")</f>
        <v>Map</v>
      </c>
      <c r="N2194" s="2" t="str">
        <f>HYPERLINK("http://i-0.rfimg.us/photo/1/bigphoto/183/28039183_5.jpg","Photo")</f>
        <v>Photo</v>
      </c>
      <c r="AG2194">
        <v>47.678944000000001</v>
      </c>
      <c r="AH2194">
        <v>-122.346594</v>
      </c>
      <c r="AI2194" t="s">
        <v>66</v>
      </c>
      <c r="AJ2194">
        <v>98103</v>
      </c>
      <c r="AN2194">
        <v>402500</v>
      </c>
      <c r="BC2194" s="22">
        <v>39512.661759259259</v>
      </c>
      <c r="BI2194" s="22">
        <v>39549.294907407406</v>
      </c>
      <c r="BL2194">
        <v>17959</v>
      </c>
      <c r="BM2194">
        <v>1533461</v>
      </c>
      <c r="BN2194" t="s">
        <v>1678</v>
      </c>
      <c r="BO2194" s="17">
        <f t="shared" ca="1" si="34"/>
        <v>36.64764675925835</v>
      </c>
      <c r="BP2194" t="b">
        <v>0</v>
      </c>
      <c r="BQ2194">
        <v>1</v>
      </c>
      <c r="BR2194" t="s">
        <v>1686</v>
      </c>
      <c r="BS2194" t="s">
        <v>1863</v>
      </c>
      <c r="BT2194" t="b">
        <v>0</v>
      </c>
      <c r="BU2194" t="s">
        <v>1712</v>
      </c>
      <c r="BV2194" t="s">
        <v>1668</v>
      </c>
      <c r="BW2194">
        <v>912</v>
      </c>
      <c r="BY2194">
        <v>300833</v>
      </c>
      <c r="BZ2194" t="s">
        <v>2643</v>
      </c>
      <c r="CA2194">
        <v>1</v>
      </c>
      <c r="CB2194" t="b">
        <v>1</v>
      </c>
      <c r="CC2194">
        <v>0</v>
      </c>
      <c r="CD2194" t="b">
        <v>0</v>
      </c>
      <c r="CE2194" t="b">
        <v>0</v>
      </c>
      <c r="CF2194" t="b">
        <v>0</v>
      </c>
      <c r="CG2194">
        <v>2347251</v>
      </c>
      <c r="CH2194" t="s">
        <v>1681</v>
      </c>
      <c r="CI2194" s="10">
        <v>897950</v>
      </c>
      <c r="CJ2194" s="7">
        <v>38971</v>
      </c>
    </row>
    <row r="2195" spans="1:88">
      <c r="A2195">
        <v>28039244</v>
      </c>
      <c r="B2195" s="2" t="str">
        <f>HYPERLINK("http://www.redfin.com/stingray/do/printable-listing?listing-id=1537315","Active")</f>
        <v>Active</v>
      </c>
      <c r="D2195" t="s">
        <v>4974</v>
      </c>
      <c r="E2195" t="s">
        <v>5071</v>
      </c>
      <c r="F2195">
        <v>848000</v>
      </c>
      <c r="G2195">
        <v>1956</v>
      </c>
      <c r="H2195">
        <v>1540</v>
      </c>
      <c r="I2195">
        <v>11325</v>
      </c>
      <c r="J2195">
        <v>3</v>
      </c>
      <c r="K2195">
        <v>1</v>
      </c>
      <c r="M2195" s="2" t="str">
        <f>HYPERLINK("http://maps.live.com/default.aspx?v=2&amp;lvl=15&amp;sp=Point.47.633337_-122.204769_2535 102nd Ave NE&amp;cp=47.633337~-122.204769","Map")</f>
        <v>Map</v>
      </c>
      <c r="N2195" s="2" t="str">
        <f>HYPERLINK("http://i-0.rfimg.us/photo/1/bigphoto/244/28039244_1.jpg","Photo")</f>
        <v>Photo</v>
      </c>
      <c r="AG2195">
        <v>47.633336999999997</v>
      </c>
      <c r="AH2195">
        <v>-122.204769</v>
      </c>
      <c r="AI2195" t="s">
        <v>369</v>
      </c>
      <c r="AJ2195">
        <v>98004</v>
      </c>
      <c r="AN2195">
        <v>775000</v>
      </c>
      <c r="BC2195" s="22">
        <v>39513.715520833335</v>
      </c>
      <c r="BI2195" s="22">
        <v>39545.917314814818</v>
      </c>
      <c r="BL2195">
        <v>16960</v>
      </c>
      <c r="BM2195">
        <v>1537315</v>
      </c>
      <c r="BN2195" t="s">
        <v>1768</v>
      </c>
      <c r="BO2195" s="17">
        <f t="shared" ca="1" si="34"/>
        <v>35.593885069443786</v>
      </c>
      <c r="BP2195" t="b">
        <v>0</v>
      </c>
      <c r="BQ2195">
        <v>1</v>
      </c>
      <c r="BR2195" t="s">
        <v>1667</v>
      </c>
      <c r="BS2195" t="s">
        <v>5020</v>
      </c>
      <c r="BT2195" t="b">
        <v>0</v>
      </c>
      <c r="BV2195" t="s">
        <v>1668</v>
      </c>
      <c r="BW2195">
        <v>2535</v>
      </c>
      <c r="BX2195" t="s">
        <v>1738</v>
      </c>
      <c r="BY2195">
        <v>506666</v>
      </c>
      <c r="BZ2195" t="s">
        <v>1748</v>
      </c>
      <c r="CA2195">
        <v>1</v>
      </c>
      <c r="CB2195" t="b">
        <v>1</v>
      </c>
      <c r="CC2195">
        <v>0</v>
      </c>
      <c r="CD2195" t="b">
        <v>0</v>
      </c>
      <c r="CE2195" t="b">
        <v>0</v>
      </c>
      <c r="CF2195" t="b">
        <v>0</v>
      </c>
      <c r="CG2195">
        <v>2373367</v>
      </c>
      <c r="CH2195" t="s">
        <v>1681</v>
      </c>
      <c r="CI2195" s="10">
        <v>848000</v>
      </c>
      <c r="CJ2195" s="7">
        <v>39294</v>
      </c>
    </row>
    <row r="2196" spans="1:88">
      <c r="A2196">
        <v>28039250</v>
      </c>
      <c r="B2196" s="2" t="str">
        <f>HYPERLINK("http://www.redfin.com/stingray/do/printable-listing?listing-id=1549716","Active")</f>
        <v>Active</v>
      </c>
      <c r="D2196" t="s">
        <v>4041</v>
      </c>
      <c r="E2196" t="s">
        <v>5143</v>
      </c>
      <c r="F2196" s="19">
        <v>1049500</v>
      </c>
      <c r="G2196">
        <v>1946</v>
      </c>
      <c r="H2196">
        <v>2530</v>
      </c>
      <c r="I2196">
        <v>12390</v>
      </c>
      <c r="J2196">
        <v>4</v>
      </c>
      <c r="K2196">
        <v>2.5</v>
      </c>
      <c r="M2196" s="2" t="str">
        <f>HYPERLINK("http://maps.live.com/default.aspx?v=2&amp;lvl=15&amp;sp=Point.47.587885_-122.244752_2502 70 Ave SE&amp;cp=47.587885~-122.244752","Map")</f>
        <v>Map</v>
      </c>
      <c r="N2196" s="2" t="str">
        <f>HYPERLINK("http://i-0.rfimg.us/photo/1/bigphoto/250/28039250_5.jpg","Photo")</f>
        <v>Photo</v>
      </c>
      <c r="AG2196">
        <v>47.587885</v>
      </c>
      <c r="AH2196">
        <v>-122.24475200000001</v>
      </c>
      <c r="AI2196" t="s">
        <v>5139</v>
      </c>
      <c r="AJ2196">
        <v>98040</v>
      </c>
      <c r="AN2196">
        <v>465000</v>
      </c>
      <c r="BC2196" s="22">
        <v>39518.605555555558</v>
      </c>
      <c r="BI2196" s="22">
        <v>39549.294907407406</v>
      </c>
      <c r="BL2196">
        <v>23980</v>
      </c>
      <c r="BM2196">
        <v>1549716</v>
      </c>
      <c r="BN2196" t="s">
        <v>1688</v>
      </c>
      <c r="BO2196" s="17">
        <f t="shared" ca="1" si="34"/>
        <v>30.703850347221305</v>
      </c>
      <c r="BP2196" t="b">
        <v>0</v>
      </c>
      <c r="BQ2196">
        <v>1</v>
      </c>
      <c r="BR2196" t="s">
        <v>1667</v>
      </c>
      <c r="BS2196">
        <v>70</v>
      </c>
      <c r="BT2196" t="b">
        <v>0</v>
      </c>
      <c r="BV2196" t="s">
        <v>1668</v>
      </c>
      <c r="BW2196">
        <v>2502</v>
      </c>
      <c r="BX2196" t="s">
        <v>3856</v>
      </c>
      <c r="BY2196">
        <v>258169</v>
      </c>
      <c r="BZ2196" t="s">
        <v>5144</v>
      </c>
      <c r="CA2196">
        <v>1</v>
      </c>
      <c r="CB2196" t="b">
        <v>1</v>
      </c>
      <c r="CC2196">
        <v>0</v>
      </c>
      <c r="CD2196" t="b">
        <v>0</v>
      </c>
      <c r="CE2196" t="b">
        <v>0</v>
      </c>
      <c r="CF2196" t="b">
        <v>0</v>
      </c>
      <c r="CG2196">
        <v>2880311</v>
      </c>
      <c r="CH2196" t="s">
        <v>1681</v>
      </c>
      <c r="CI2196" s="10">
        <v>1199000</v>
      </c>
      <c r="CJ2196" s="7">
        <v>36425</v>
      </c>
    </row>
    <row r="2197" spans="1:88">
      <c r="A2197">
        <v>28039260</v>
      </c>
      <c r="B2197" s="2" t="str">
        <f>HYPERLINK("http://www.redfin.com/stingray/do/printable-listing?listing-id=1533736","Active")</f>
        <v>Active</v>
      </c>
      <c r="D2197" t="s">
        <v>55</v>
      </c>
      <c r="E2197" t="s">
        <v>1800</v>
      </c>
      <c r="F2197" s="19">
        <v>430000</v>
      </c>
      <c r="G2197">
        <v>1947</v>
      </c>
      <c r="H2197">
        <v>0</v>
      </c>
      <c r="I2197">
        <v>0</v>
      </c>
      <c r="J2197">
        <v>4</v>
      </c>
      <c r="K2197">
        <v>1.5</v>
      </c>
      <c r="M2197" s="2" t="str">
        <f>HYPERLINK("http://maps.live.com/default.aspx?v=2&amp;lvl=15&amp;sp=Point.47.69902_-122.362956_9532 6th&amp;cp=47.69902~-122.362956","Map")</f>
        <v>Map</v>
      </c>
      <c r="N2197" s="2" t="str">
        <f>HYPERLINK("http://i-0.rfimg.us/photo/1/bigphoto/260/28039260_0.jpg","Photo")</f>
        <v>Photo</v>
      </c>
      <c r="AG2197">
        <v>47.699019999999997</v>
      </c>
      <c r="AH2197">
        <v>-122.362956</v>
      </c>
      <c r="AI2197" t="s">
        <v>66</v>
      </c>
      <c r="AJ2197">
        <v>98117</v>
      </c>
      <c r="BC2197" s="22">
        <v>39512.716215277775</v>
      </c>
      <c r="BI2197" s="22">
        <v>39549.294907407406</v>
      </c>
      <c r="BL2197">
        <v>9800</v>
      </c>
      <c r="BM2197">
        <v>1533736</v>
      </c>
      <c r="BN2197" t="s">
        <v>1688</v>
      </c>
      <c r="BO2197" s="17">
        <f t="shared" ca="1" si="34"/>
        <v>36.593190740743012</v>
      </c>
      <c r="BP2197" t="b">
        <v>0</v>
      </c>
      <c r="BQ2197">
        <v>1</v>
      </c>
      <c r="BR2197" t="s">
        <v>1667</v>
      </c>
      <c r="BS2197" t="s">
        <v>1739</v>
      </c>
      <c r="BT2197" t="b">
        <v>0</v>
      </c>
      <c r="BV2197" t="s">
        <v>1668</v>
      </c>
      <c r="BW2197">
        <v>9532</v>
      </c>
      <c r="BX2197" t="s">
        <v>1669</v>
      </c>
      <c r="BY2197">
        <v>100446</v>
      </c>
      <c r="BZ2197" t="s">
        <v>1801</v>
      </c>
      <c r="CA2197">
        <v>1</v>
      </c>
      <c r="CB2197" t="b">
        <v>1</v>
      </c>
      <c r="CC2197">
        <v>0</v>
      </c>
      <c r="CD2197" t="b">
        <v>0</v>
      </c>
      <c r="CE2197" t="b">
        <v>1</v>
      </c>
      <c r="CF2197" t="b">
        <v>0</v>
      </c>
      <c r="CG2197">
        <v>2683015</v>
      </c>
      <c r="CH2197" t="s">
        <v>1681</v>
      </c>
      <c r="CI2197" s="10">
        <v>490000</v>
      </c>
    </row>
    <row r="2198" spans="1:88">
      <c r="A2198">
        <v>28039265</v>
      </c>
      <c r="B2198" s="2" t="str">
        <f>HYPERLINK("http://www.redfin.com/stingray/do/printable-listing?listing-id=1535813","Active")</f>
        <v>Active</v>
      </c>
      <c r="D2198" t="s">
        <v>4663</v>
      </c>
      <c r="E2198" t="s">
        <v>4897</v>
      </c>
      <c r="F2198">
        <v>439950</v>
      </c>
      <c r="G2198">
        <v>1963</v>
      </c>
      <c r="H2198">
        <v>1450</v>
      </c>
      <c r="I2198">
        <v>9988</v>
      </c>
      <c r="J2198">
        <v>3</v>
      </c>
      <c r="K2198">
        <v>1.5</v>
      </c>
      <c r="M2198" s="2" t="str">
        <f>HYPERLINK("http://maps.live.com/default.aspx?v=2&amp;lvl=15&amp;sp=Point.47.678512_-122.162873_8347 133 Ave NE&amp;cp=47.678512~-122.162873","Map")</f>
        <v>Map</v>
      </c>
      <c r="N2198" s="2" t="str">
        <f>HYPERLINK("http://i-0.rfimg.us/photo/1/bigphoto/265/28039265_0.jpg","Photo")</f>
        <v>Photo</v>
      </c>
      <c r="AG2198">
        <v>47.678511999999998</v>
      </c>
      <c r="AH2198">
        <v>-122.162873</v>
      </c>
      <c r="AI2198" t="s">
        <v>4363</v>
      </c>
      <c r="AJ2198">
        <v>98052</v>
      </c>
      <c r="BC2198" s="22">
        <v>39513.431840277779</v>
      </c>
      <c r="BI2198" s="22">
        <v>39549.294907407406</v>
      </c>
      <c r="BL2198">
        <v>8799</v>
      </c>
      <c r="BM2198">
        <v>1535813</v>
      </c>
      <c r="BN2198" t="s">
        <v>1688</v>
      </c>
      <c r="BO2198" s="17">
        <f t="shared" ca="1" si="34"/>
        <v>35.877565624999988</v>
      </c>
      <c r="BP2198" t="b">
        <v>0</v>
      </c>
      <c r="BQ2198">
        <v>1</v>
      </c>
      <c r="BR2198" t="s">
        <v>1667</v>
      </c>
      <c r="BS2198">
        <v>133</v>
      </c>
      <c r="BT2198" t="b">
        <v>0</v>
      </c>
      <c r="BV2198" t="s">
        <v>1668</v>
      </c>
      <c r="BW2198">
        <v>8347</v>
      </c>
      <c r="BX2198" t="s">
        <v>1738</v>
      </c>
      <c r="BY2198">
        <v>515893</v>
      </c>
      <c r="BZ2198" t="s">
        <v>1713</v>
      </c>
      <c r="CA2198">
        <v>1</v>
      </c>
      <c r="CB2198" t="b">
        <v>1</v>
      </c>
      <c r="CC2198">
        <v>0</v>
      </c>
      <c r="CD2198" t="b">
        <v>0</v>
      </c>
      <c r="CE2198" t="b">
        <v>0</v>
      </c>
      <c r="CF2198" t="b">
        <v>0</v>
      </c>
      <c r="CG2198">
        <v>2804539</v>
      </c>
      <c r="CH2198" t="s">
        <v>1681</v>
      </c>
      <c r="CI2198" s="10">
        <v>439950</v>
      </c>
    </row>
    <row r="2199" spans="1:88">
      <c r="A2199">
        <v>28039332</v>
      </c>
      <c r="B2199" s="2" t="str">
        <f>HYPERLINK("http://www.redfin.com/stingray/do/printable-listing?listing-id=1533961","Active")</f>
        <v>Active</v>
      </c>
      <c r="D2199" t="s">
        <v>3681</v>
      </c>
      <c r="E2199" t="s">
        <v>3829</v>
      </c>
      <c r="F2199">
        <v>874990</v>
      </c>
      <c r="G2199">
        <v>1937</v>
      </c>
      <c r="H2199">
        <v>3190</v>
      </c>
      <c r="I2199">
        <v>5803</v>
      </c>
      <c r="J2199">
        <v>4</v>
      </c>
      <c r="K2199">
        <v>1.75</v>
      </c>
      <c r="M2199" s="2" t="str">
        <f>HYPERLINK("http://maps.live.com/default.aspx?v=2&amp;lvl=15&amp;sp=Point.47.639355_-122.303023_2080 23rd Ave E&amp;cp=47.639355~-122.303023","Map")</f>
        <v>Map</v>
      </c>
      <c r="N2199" s="2" t="str">
        <f>HYPERLINK("http://i-0.rfimg.us/photo/1/bigphoto/332/28039332_0.jpg","Photo")</f>
        <v>Photo</v>
      </c>
      <c r="AG2199">
        <v>47.639355000000002</v>
      </c>
      <c r="AH2199">
        <v>-122.303023</v>
      </c>
      <c r="AI2199" t="s">
        <v>66</v>
      </c>
      <c r="AJ2199">
        <v>98112</v>
      </c>
      <c r="BC2199" s="22">
        <v>39512.765925925924</v>
      </c>
      <c r="BI2199" s="22">
        <v>39549.294907407406</v>
      </c>
      <c r="BL2199">
        <v>17500</v>
      </c>
      <c r="BM2199">
        <v>1533961</v>
      </c>
      <c r="BN2199" t="s">
        <v>1678</v>
      </c>
      <c r="BO2199" s="17">
        <f t="shared" ca="1" si="34"/>
        <v>36.543479976855451</v>
      </c>
      <c r="BP2199" t="b">
        <v>0</v>
      </c>
      <c r="BQ2199">
        <v>1</v>
      </c>
      <c r="BR2199" t="s">
        <v>1667</v>
      </c>
      <c r="BS2199" t="s">
        <v>1839</v>
      </c>
      <c r="BT2199" t="b">
        <v>0</v>
      </c>
      <c r="BV2199" t="s">
        <v>1668</v>
      </c>
      <c r="BW2199">
        <v>2080</v>
      </c>
      <c r="BX2199" t="s">
        <v>2436</v>
      </c>
      <c r="BY2199">
        <v>137845</v>
      </c>
      <c r="BZ2199" t="s">
        <v>1672</v>
      </c>
      <c r="CA2199">
        <v>1</v>
      </c>
      <c r="CB2199" t="b">
        <v>1</v>
      </c>
      <c r="CC2199">
        <v>0</v>
      </c>
      <c r="CD2199" t="b">
        <v>0</v>
      </c>
      <c r="CE2199" t="b">
        <v>0</v>
      </c>
      <c r="CF2199" t="b">
        <v>0</v>
      </c>
      <c r="CG2199">
        <v>2523960</v>
      </c>
      <c r="CH2199" t="s">
        <v>1681</v>
      </c>
      <c r="CI2199" s="10">
        <v>874990</v>
      </c>
    </row>
    <row r="2200" spans="1:88">
      <c r="A2200">
        <v>28039388</v>
      </c>
      <c r="B2200" s="2" t="str">
        <f>HYPERLINK("http://www.redfin.com/stingray/do/printable-listing?listing-id=1534022","Active")</f>
        <v>Active</v>
      </c>
      <c r="D2200" t="s">
        <v>3966</v>
      </c>
      <c r="E2200" t="s">
        <v>4221</v>
      </c>
      <c r="F2200">
        <v>1150000</v>
      </c>
      <c r="G2200">
        <v>1904</v>
      </c>
      <c r="H2200">
        <v>0</v>
      </c>
      <c r="I2200">
        <v>4704</v>
      </c>
      <c r="J2200">
        <v>4</v>
      </c>
      <c r="K2200">
        <v>3.25</v>
      </c>
      <c r="M2200" s="2" t="str">
        <f>HYPERLINK("http://maps.live.com/default.aspx?v=2&amp;lvl=15&amp;sp=Point.47.617063_-122.284929_1719 Madrona Dr&amp;cp=47.617063~-122.284929","Map")</f>
        <v>Map</v>
      </c>
      <c r="N2200" s="2" t="str">
        <f>HYPERLINK("http://i-0.rfimg.us/photo/1/bigphoto/388/28039388_0.jpg","Photo")</f>
        <v>Photo</v>
      </c>
      <c r="AG2200">
        <v>47.617063000000002</v>
      </c>
      <c r="AH2200">
        <v>-122.28492900000001</v>
      </c>
      <c r="AI2200" t="s">
        <v>66</v>
      </c>
      <c r="AJ2200">
        <v>98122</v>
      </c>
      <c r="AN2200">
        <v>500000</v>
      </c>
      <c r="BC2200" s="22">
        <v>39512.79755787037</v>
      </c>
      <c r="BI2200" s="22">
        <v>39549.294907407406</v>
      </c>
      <c r="BL2200">
        <v>23000</v>
      </c>
      <c r="BM2200">
        <v>1534022</v>
      </c>
      <c r="BN2200" t="s">
        <v>1674</v>
      </c>
      <c r="BO2200" s="17">
        <f t="shared" ca="1" si="34"/>
        <v>36.511848032409034</v>
      </c>
      <c r="BP2200" t="b">
        <v>0</v>
      </c>
      <c r="BQ2200">
        <v>1</v>
      </c>
      <c r="BR2200" t="s">
        <v>1816</v>
      </c>
      <c r="BS2200" t="s">
        <v>3966</v>
      </c>
      <c r="BT2200" t="b">
        <v>0</v>
      </c>
      <c r="BV2200" t="s">
        <v>1668</v>
      </c>
      <c r="BW2200">
        <v>1719</v>
      </c>
      <c r="BY2200">
        <v>140573</v>
      </c>
      <c r="BZ2200" t="s">
        <v>1713</v>
      </c>
      <c r="CA2200">
        <v>1</v>
      </c>
      <c r="CB2200" t="b">
        <v>1</v>
      </c>
      <c r="CC2200">
        <v>0</v>
      </c>
      <c r="CD2200" t="b">
        <v>0</v>
      </c>
      <c r="CE2200" t="b">
        <v>0</v>
      </c>
      <c r="CF2200" t="b">
        <v>0</v>
      </c>
      <c r="CG2200">
        <v>2678118</v>
      </c>
      <c r="CH2200" t="s">
        <v>1681</v>
      </c>
      <c r="CI2200" s="10">
        <v>1150000</v>
      </c>
      <c r="CJ2200" s="7">
        <v>38671</v>
      </c>
    </row>
    <row r="2201" spans="1:88">
      <c r="A2201">
        <v>28039396</v>
      </c>
      <c r="B2201" s="2" t="str">
        <f>HYPERLINK("http://www.redfin.com/stingray/do/printable-listing?listing-id=1535373","Active")</f>
        <v>Active</v>
      </c>
      <c r="D2201" t="s">
        <v>5191</v>
      </c>
      <c r="E2201" t="s">
        <v>5917</v>
      </c>
      <c r="F2201">
        <v>1195000</v>
      </c>
      <c r="G2201">
        <v>1961</v>
      </c>
      <c r="H2201">
        <v>2540</v>
      </c>
      <c r="I2201">
        <v>8386</v>
      </c>
      <c r="J2201">
        <v>3</v>
      </c>
      <c r="K2201">
        <v>2.5</v>
      </c>
      <c r="M2201" s="2" t="str">
        <f>HYPERLINK("http://maps.live.com/default.aspx?v=2&amp;lvl=15&amp;sp=Point.47.563835_-122.157516_4553 137th Ave SE&amp;cp=47.563835~-122.157516","Map")</f>
        <v>Map</v>
      </c>
      <c r="N2201" s="2" t="str">
        <f>HYPERLINK("http://i-0.rfimg.us/photo/1/bigphoto/396/28039396_5.jpg","Photo")</f>
        <v>Photo</v>
      </c>
      <c r="AG2201">
        <v>47.563834999999997</v>
      </c>
      <c r="AH2201">
        <v>-122.157516</v>
      </c>
      <c r="AI2201" t="s">
        <v>369</v>
      </c>
      <c r="AJ2201">
        <v>98006</v>
      </c>
      <c r="AN2201">
        <v>750000</v>
      </c>
      <c r="BC2201" s="22">
        <v>39513.31690972222</v>
      </c>
      <c r="BI2201" s="22">
        <v>39549.294907407406</v>
      </c>
      <c r="BL2201">
        <v>23900</v>
      </c>
      <c r="BM2201">
        <v>1535373</v>
      </c>
      <c r="BN2201" t="s">
        <v>1725</v>
      </c>
      <c r="BO2201" s="17">
        <f t="shared" ca="1" si="34"/>
        <v>35.992496180559101</v>
      </c>
      <c r="BP2201" t="b">
        <v>0</v>
      </c>
      <c r="BQ2201">
        <v>1</v>
      </c>
      <c r="BR2201" t="s">
        <v>1667</v>
      </c>
      <c r="BS2201" t="s">
        <v>3855</v>
      </c>
      <c r="BT2201" t="b">
        <v>0</v>
      </c>
      <c r="BV2201" t="s">
        <v>1668</v>
      </c>
      <c r="BW2201">
        <v>4553</v>
      </c>
      <c r="BX2201" t="s">
        <v>3856</v>
      </c>
      <c r="BY2201">
        <v>235812</v>
      </c>
      <c r="BZ2201" t="s">
        <v>5918</v>
      </c>
      <c r="CA2201">
        <v>1</v>
      </c>
      <c r="CB2201" t="b">
        <v>1</v>
      </c>
      <c r="CC2201">
        <v>0</v>
      </c>
      <c r="CD2201" t="b">
        <v>0</v>
      </c>
      <c r="CE2201" t="b">
        <v>0</v>
      </c>
      <c r="CF2201" t="b">
        <v>0</v>
      </c>
      <c r="CG2201">
        <v>2890774</v>
      </c>
      <c r="CH2201" t="s">
        <v>1681</v>
      </c>
      <c r="CI2201" s="10">
        <v>1195000</v>
      </c>
      <c r="CJ2201" s="7">
        <v>38541</v>
      </c>
    </row>
    <row r="2202" spans="1:88">
      <c r="A2202">
        <v>28039410</v>
      </c>
      <c r="B2202" s="2" t="str">
        <f>HYPERLINK("http://www.redfin.com/stingray/do/printable-listing?listing-id=1534401","Active")</f>
        <v>Active</v>
      </c>
      <c r="D2202" t="s">
        <v>4401</v>
      </c>
      <c r="E2202" t="s">
        <v>4589</v>
      </c>
      <c r="F2202">
        <v>649750</v>
      </c>
      <c r="G2202">
        <v>1968</v>
      </c>
      <c r="H2202">
        <v>2938</v>
      </c>
      <c r="I2202">
        <v>7474</v>
      </c>
      <c r="J2202">
        <v>3</v>
      </c>
      <c r="K2202">
        <v>2.75</v>
      </c>
      <c r="M2202" s="2" t="str">
        <f>HYPERLINK("http://maps.live.com/default.aspx?v=2&amp;lvl=15&amp;sp=Point.47.725768_-122.179467_12021 NE 140 St&amp;cp=47.725768~-122.179467","Map")</f>
        <v>Map</v>
      </c>
      <c r="N2202" s="2" t="str">
        <f>HYPERLINK("http://i-0.rfimg.us/photo/1/bigphoto/410/28039410_1.jpg","Photo")</f>
        <v>Photo</v>
      </c>
      <c r="AG2202">
        <v>47.725768000000002</v>
      </c>
      <c r="AH2202">
        <v>-122.179467</v>
      </c>
      <c r="AI2202" t="s">
        <v>1058</v>
      </c>
      <c r="AJ2202">
        <v>98034</v>
      </c>
      <c r="AN2202">
        <v>175000</v>
      </c>
      <c r="BC2202" s="22">
        <v>39512.86990740741</v>
      </c>
      <c r="BI2202" s="22">
        <v>39549.294907407406</v>
      </c>
      <c r="BL2202">
        <v>12995</v>
      </c>
      <c r="BM2202">
        <v>1534401</v>
      </c>
      <c r="BN2202" t="s">
        <v>2203</v>
      </c>
      <c r="BO2202" s="17">
        <f t="shared" ca="1" si="34"/>
        <v>36.439498495368753</v>
      </c>
      <c r="BP2202" t="b">
        <v>0</v>
      </c>
      <c r="BQ2202">
        <v>1</v>
      </c>
      <c r="BR2202" t="s">
        <v>1686</v>
      </c>
      <c r="BS2202">
        <v>140</v>
      </c>
      <c r="BT2202" t="b">
        <v>0</v>
      </c>
      <c r="BU2202" t="s">
        <v>1738</v>
      </c>
      <c r="BV2202" t="s">
        <v>1668</v>
      </c>
      <c r="BW2202">
        <v>12021</v>
      </c>
      <c r="BY2202">
        <v>454787</v>
      </c>
      <c r="BZ2202" t="s">
        <v>1677</v>
      </c>
      <c r="CA2202">
        <v>1</v>
      </c>
      <c r="CB2202" t="b">
        <v>1</v>
      </c>
      <c r="CC2202">
        <v>0</v>
      </c>
      <c r="CD2202" t="b">
        <v>0</v>
      </c>
      <c r="CE2202" t="b">
        <v>0</v>
      </c>
      <c r="CF2202" t="b">
        <v>0</v>
      </c>
      <c r="CG2202">
        <v>2873092</v>
      </c>
      <c r="CH2202" t="s">
        <v>1681</v>
      </c>
      <c r="CI2202" s="10">
        <v>649750</v>
      </c>
      <c r="CJ2202" s="7">
        <v>34451</v>
      </c>
    </row>
    <row r="2203" spans="1:88">
      <c r="A2203">
        <v>28039416</v>
      </c>
      <c r="B2203" s="2" t="str">
        <f>HYPERLINK("http://www.redfin.com/stingray/do/printable-listing?listing-id=1539452","Active")</f>
        <v>Active</v>
      </c>
      <c r="D2203" t="s">
        <v>101</v>
      </c>
      <c r="E2203" t="s">
        <v>1303</v>
      </c>
      <c r="F2203">
        <v>1490000</v>
      </c>
      <c r="G2203">
        <v>1976</v>
      </c>
      <c r="H2203">
        <v>2870</v>
      </c>
      <c r="I2203">
        <v>9000</v>
      </c>
      <c r="J2203">
        <v>3</v>
      </c>
      <c r="K2203">
        <v>3.5</v>
      </c>
      <c r="M2203" s="2" t="str">
        <f>HYPERLINK("http://maps.live.com/default.aspx?v=2&amp;lvl=15&amp;sp=Point.47.701292_-122.391755_2636 NW Esplanade Dr&amp;cp=47.701292~-122.391755","Map")</f>
        <v>Map</v>
      </c>
      <c r="N2203" s="2" t="str">
        <f>HYPERLINK("http://i-0.rfimg.us/photo/1/bigphoto/416/28039416_1.jpg","Photo")</f>
        <v>Photo</v>
      </c>
      <c r="AG2203">
        <v>47.701292000000002</v>
      </c>
      <c r="AH2203">
        <v>-122.391755</v>
      </c>
      <c r="AI2203" t="s">
        <v>66</v>
      </c>
      <c r="AJ2203">
        <v>98117</v>
      </c>
      <c r="AN2203">
        <v>52699</v>
      </c>
      <c r="BC2203" s="22">
        <v>39514.442870370367</v>
      </c>
      <c r="BI2203" s="22">
        <v>39549.294907407406</v>
      </c>
      <c r="BL2203">
        <v>29800</v>
      </c>
      <c r="BM2203">
        <v>1539452</v>
      </c>
      <c r="BN2203" t="s">
        <v>1700</v>
      </c>
      <c r="BO2203" s="17">
        <f t="shared" ca="1" si="34"/>
        <v>34.866535648150602</v>
      </c>
      <c r="BP2203" t="b">
        <v>0</v>
      </c>
      <c r="BQ2203">
        <v>1</v>
      </c>
      <c r="BR2203" t="s">
        <v>1816</v>
      </c>
      <c r="BS2203" t="s">
        <v>1924</v>
      </c>
      <c r="BT2203" t="b">
        <v>0</v>
      </c>
      <c r="BU2203" t="s">
        <v>1669</v>
      </c>
      <c r="BV2203" t="s">
        <v>1668</v>
      </c>
      <c r="BW2203">
        <v>2636</v>
      </c>
      <c r="BY2203">
        <v>289376</v>
      </c>
      <c r="BZ2203" t="s">
        <v>2125</v>
      </c>
      <c r="CA2203">
        <v>1</v>
      </c>
      <c r="CB2203" t="b">
        <v>1</v>
      </c>
      <c r="CC2203">
        <v>0</v>
      </c>
      <c r="CD2203" t="b">
        <v>0</v>
      </c>
      <c r="CE2203" t="b">
        <v>1</v>
      </c>
      <c r="CF2203" t="b">
        <v>0</v>
      </c>
      <c r="CG2203">
        <v>2889882</v>
      </c>
      <c r="CH2203" t="s">
        <v>1681</v>
      </c>
      <c r="CI2203" s="10">
        <v>1490000</v>
      </c>
      <c r="CJ2203" s="7">
        <v>36752</v>
      </c>
    </row>
    <row r="2204" spans="1:88">
      <c r="A2204">
        <v>28039426</v>
      </c>
      <c r="B2204" s="15" t="str">
        <f>HYPERLINK("http://www.redfin.com/stingray/do/printable-listing?listing-id=1535113","Subject To Inspection")</f>
        <v>Subject To Inspection</v>
      </c>
      <c r="D2204" t="s">
        <v>3249</v>
      </c>
      <c r="E2204" t="s">
        <v>3250</v>
      </c>
      <c r="F2204">
        <v>639950</v>
      </c>
      <c r="G2204">
        <v>2003</v>
      </c>
      <c r="H2204">
        <v>1421</v>
      </c>
      <c r="I2204">
        <v>1601</v>
      </c>
      <c r="J2204">
        <v>3</v>
      </c>
      <c r="K2204">
        <v>2.5</v>
      </c>
      <c r="M2204" s="2" t="str">
        <f>HYPERLINK("http://maps.live.com/default.aspx?v=2&amp;lvl=15&amp;sp=Point.47.637589_-122.350571_2112 Nob Hill Ave N nA&amp;cp=47.637589~-122.350571","Map")</f>
        <v>Map</v>
      </c>
      <c r="N2204" s="2" t="str">
        <f>HYPERLINK("http://i-0.rfimg.us/photo/1/bigphoto/426/28039426_4.jpg","Photo")</f>
        <v>Photo</v>
      </c>
      <c r="AG2204">
        <v>47.637588999999998</v>
      </c>
      <c r="AH2204">
        <v>-122.350571</v>
      </c>
      <c r="AI2204" t="s">
        <v>66</v>
      </c>
      <c r="AJ2204">
        <v>98109</v>
      </c>
      <c r="AM2204" t="s">
        <v>1722</v>
      </c>
      <c r="BC2204" s="22">
        <v>39513.087881944448</v>
      </c>
      <c r="BI2204" s="7">
        <v>39535</v>
      </c>
      <c r="BL2204">
        <v>12799</v>
      </c>
      <c r="BM2204">
        <v>1535113</v>
      </c>
      <c r="BN2204" t="s">
        <v>1817</v>
      </c>
      <c r="BO2204" s="17">
        <f t="shared" ca="1" si="34"/>
        <v>36.22152395833109</v>
      </c>
      <c r="BP2204" t="b">
        <v>0</v>
      </c>
      <c r="BQ2204">
        <v>1</v>
      </c>
      <c r="BR2204" t="s">
        <v>1667</v>
      </c>
      <c r="BS2204" t="s">
        <v>3251</v>
      </c>
      <c r="BT2204" t="b">
        <v>0</v>
      </c>
      <c r="BV2204" t="s">
        <v>1668</v>
      </c>
      <c r="BW2204">
        <v>2112</v>
      </c>
      <c r="BX2204" t="s">
        <v>1712</v>
      </c>
      <c r="BY2204">
        <v>12423222</v>
      </c>
      <c r="BZ2204" t="s">
        <v>3252</v>
      </c>
      <c r="CA2204">
        <v>1</v>
      </c>
      <c r="CB2204" t="b">
        <v>1</v>
      </c>
      <c r="CC2204">
        <v>0</v>
      </c>
      <c r="CD2204" t="b">
        <v>0</v>
      </c>
      <c r="CE2204" t="b">
        <v>0</v>
      </c>
      <c r="CF2204" t="b">
        <v>0</v>
      </c>
      <c r="CG2204">
        <v>15626970</v>
      </c>
      <c r="CH2204" t="s">
        <v>1681</v>
      </c>
      <c r="CI2204" s="10">
        <v>639950</v>
      </c>
    </row>
    <row r="2205" spans="1:88">
      <c r="A2205">
        <v>28039445</v>
      </c>
      <c r="B2205" s="2" t="str">
        <f>HYPERLINK("http://www.redfin.com/stingray/do/printable-listing?listing-id=1535115","Active")</f>
        <v>Active</v>
      </c>
      <c r="D2205" t="s">
        <v>194</v>
      </c>
      <c r="E2205" t="s">
        <v>3166</v>
      </c>
      <c r="F2205" s="19">
        <v>525000</v>
      </c>
      <c r="G2205">
        <v>1928</v>
      </c>
      <c r="H2205">
        <v>1630</v>
      </c>
      <c r="I2205">
        <v>4000</v>
      </c>
      <c r="J2205">
        <v>3</v>
      </c>
      <c r="K2205">
        <v>1.75</v>
      </c>
      <c r="M2205" s="2" t="str">
        <f>HYPERLINK("http://maps.live.com/default.aspx?v=2&amp;lvl=15&amp;sp=Point.47.67636_-122.293323_6515 32 Ave NE&amp;cp=47.67636~-122.293323","Map")</f>
        <v>Map</v>
      </c>
      <c r="N2205" s="2" t="str">
        <f>HYPERLINK("http://i-0.rfimg.us/photo/1/bigphoto/445/28039445_4.jpg","Photo")</f>
        <v>Photo</v>
      </c>
      <c r="AG2205">
        <v>47.676360000000003</v>
      </c>
      <c r="AH2205">
        <v>-122.293323</v>
      </c>
      <c r="AI2205" t="s">
        <v>66</v>
      </c>
      <c r="AJ2205">
        <v>98115</v>
      </c>
      <c r="AN2205">
        <v>285000</v>
      </c>
      <c r="BC2205" s="22">
        <v>39513.08792824074</v>
      </c>
      <c r="BI2205" s="22">
        <v>39549.294907407406</v>
      </c>
      <c r="BL2205">
        <v>10999</v>
      </c>
      <c r="BM2205">
        <v>1535115</v>
      </c>
      <c r="BN2205" t="s">
        <v>1718</v>
      </c>
      <c r="BO2205" s="17">
        <f t="shared" ca="1" si="34"/>
        <v>36.221477662038524</v>
      </c>
      <c r="BP2205" t="b">
        <v>0</v>
      </c>
      <c r="BQ2205">
        <v>1</v>
      </c>
      <c r="BR2205" t="s">
        <v>1667</v>
      </c>
      <c r="BS2205">
        <v>32</v>
      </c>
      <c r="BT2205" t="b">
        <v>0</v>
      </c>
      <c r="BV2205" t="s">
        <v>1668</v>
      </c>
      <c r="BW2205">
        <v>6515</v>
      </c>
      <c r="BX2205" t="s">
        <v>1738</v>
      </c>
      <c r="BY2205">
        <v>314669</v>
      </c>
      <c r="BZ2205" t="s">
        <v>3167</v>
      </c>
      <c r="CA2205">
        <v>1</v>
      </c>
      <c r="CB2205" t="b">
        <v>1</v>
      </c>
      <c r="CC2205">
        <v>0</v>
      </c>
      <c r="CD2205" t="b">
        <v>0</v>
      </c>
      <c r="CE2205" t="b">
        <v>0</v>
      </c>
      <c r="CF2205" t="b">
        <v>0</v>
      </c>
      <c r="CG2205">
        <v>2992249</v>
      </c>
      <c r="CH2205" t="s">
        <v>1681</v>
      </c>
      <c r="CI2205" s="10">
        <v>549950</v>
      </c>
      <c r="CJ2205" s="7">
        <v>36539</v>
      </c>
    </row>
    <row r="2206" spans="1:88">
      <c r="A2206">
        <v>28039457</v>
      </c>
      <c r="B2206" s="2" t="str">
        <f>HYPERLINK("http://www.redfin.com/stingray/do/printable-listing?listing-id=1535676","Active")</f>
        <v>Active</v>
      </c>
      <c r="D2206" t="s">
        <v>3959</v>
      </c>
      <c r="E2206" t="s">
        <v>1657</v>
      </c>
      <c r="F2206">
        <v>339950</v>
      </c>
      <c r="G2206">
        <v>2008</v>
      </c>
      <c r="H2206">
        <v>0</v>
      </c>
      <c r="I2206">
        <v>0</v>
      </c>
      <c r="J2206">
        <v>2</v>
      </c>
      <c r="K2206">
        <v>1.5</v>
      </c>
      <c r="M2206" s="2" t="str">
        <f>HYPERLINK("http://maps.live.com/default.aspx?v=2&amp;lvl=15&amp;sp=adr.Undisclosed,98144","Map")</f>
        <v>Map</v>
      </c>
      <c r="N2206" s="2" t="str">
        <f>HYPERLINK("http://i-0.rfimg.us/photo/1/bigphoto/457/28039457_1.jpg","Photo")</f>
        <v>Photo</v>
      </c>
      <c r="AI2206" t="s">
        <v>66</v>
      </c>
      <c r="AJ2206">
        <v>98144</v>
      </c>
      <c r="BC2206" s="22">
        <v>39513.400347222225</v>
      </c>
      <c r="BI2206" s="22">
        <v>39549.294907407406</v>
      </c>
      <c r="BL2206">
        <v>6799</v>
      </c>
      <c r="BM2206">
        <v>1535676</v>
      </c>
      <c r="BN2206" t="s">
        <v>1829</v>
      </c>
      <c r="BO2206" s="17">
        <f t="shared" ca="1" si="34"/>
        <v>35.909058680554153</v>
      </c>
      <c r="BP2206" t="b">
        <v>0</v>
      </c>
      <c r="BQ2206">
        <v>1</v>
      </c>
      <c r="BT2206" t="b">
        <v>1</v>
      </c>
      <c r="BV2206" t="s">
        <v>1668</v>
      </c>
      <c r="BY2206">
        <v>0</v>
      </c>
      <c r="BZ2206" t="s">
        <v>4311</v>
      </c>
      <c r="CA2206">
        <v>1</v>
      </c>
      <c r="CB2206" t="b">
        <v>1</v>
      </c>
      <c r="CC2206">
        <v>0</v>
      </c>
      <c r="CD2206" t="b">
        <v>0</v>
      </c>
      <c r="CE2206" t="b">
        <v>0</v>
      </c>
      <c r="CF2206" t="b">
        <v>0</v>
      </c>
      <c r="CG2206" t="s">
        <v>1870</v>
      </c>
      <c r="CH2206" t="s">
        <v>1681</v>
      </c>
      <c r="CI2206" s="10">
        <v>339950</v>
      </c>
    </row>
    <row r="2207" spans="1:88">
      <c r="A2207">
        <v>28039459</v>
      </c>
      <c r="B2207" s="15" t="str">
        <f>HYPERLINK("http://www.redfin.com/stingray/do/printable-listing?listing-id=1535565","Subject To Inspection")</f>
        <v>Subject To Inspection</v>
      </c>
      <c r="D2207" t="s">
        <v>3959</v>
      </c>
      <c r="E2207" t="s">
        <v>1657</v>
      </c>
      <c r="F2207">
        <v>339950</v>
      </c>
      <c r="G2207">
        <v>2008</v>
      </c>
      <c r="H2207">
        <v>0</v>
      </c>
      <c r="I2207">
        <v>0</v>
      </c>
      <c r="J2207">
        <v>2</v>
      </c>
      <c r="K2207">
        <v>1.5</v>
      </c>
      <c r="M2207" s="2" t="str">
        <f>HYPERLINK("http://maps.live.com/default.aspx?v=2&amp;lvl=15&amp;sp=adr.Undisclosed,98144","Map")</f>
        <v>Map</v>
      </c>
      <c r="N2207" s="2" t="str">
        <f>HYPERLINK("http://i-0.rfimg.us/photo/1/bigphoto/459/28039459_0.jpg","Photo")</f>
        <v>Photo</v>
      </c>
      <c r="AI2207" t="s">
        <v>66</v>
      </c>
      <c r="AJ2207">
        <v>98144</v>
      </c>
      <c r="BC2207" s="22">
        <v>39513.389733796299</v>
      </c>
      <c r="BI2207" s="22">
        <v>39545.917314814818</v>
      </c>
      <c r="BL2207">
        <v>6799</v>
      </c>
      <c r="BM2207">
        <v>1535565</v>
      </c>
      <c r="BN2207" t="s">
        <v>1829</v>
      </c>
      <c r="BO2207" s="17">
        <f t="shared" ca="1" si="34"/>
        <v>35.919672106479993</v>
      </c>
      <c r="BP2207" t="b">
        <v>0</v>
      </c>
      <c r="BQ2207">
        <v>1</v>
      </c>
      <c r="BT2207" t="b">
        <v>1</v>
      </c>
      <c r="BV2207" t="s">
        <v>1668</v>
      </c>
      <c r="BY2207">
        <v>0</v>
      </c>
      <c r="BZ2207" t="s">
        <v>1713</v>
      </c>
      <c r="CA2207">
        <v>1</v>
      </c>
      <c r="CB2207" t="b">
        <v>1</v>
      </c>
      <c r="CC2207">
        <v>0</v>
      </c>
      <c r="CD2207" t="b">
        <v>0</v>
      </c>
      <c r="CE2207" t="b">
        <v>0</v>
      </c>
      <c r="CF2207" t="b">
        <v>0</v>
      </c>
      <c r="CG2207" t="s">
        <v>1870</v>
      </c>
      <c r="CH2207" t="s">
        <v>1681</v>
      </c>
      <c r="CI2207" s="10">
        <v>339950</v>
      </c>
    </row>
    <row r="2208" spans="1:88">
      <c r="A2208">
        <v>28039496</v>
      </c>
      <c r="B2208" s="2" t="str">
        <f>HYPERLINK("http://www.redfin.com/stingray/do/printable-listing?listing-id=1535528","Active")</f>
        <v>Active</v>
      </c>
      <c r="D2208" t="s">
        <v>5204</v>
      </c>
      <c r="E2208" t="s">
        <v>5403</v>
      </c>
      <c r="F2208">
        <v>439950</v>
      </c>
      <c r="G2208">
        <v>1955</v>
      </c>
      <c r="H2208">
        <v>1250</v>
      </c>
      <c r="I2208">
        <v>7260</v>
      </c>
      <c r="J2208">
        <v>3</v>
      </c>
      <c r="K2208">
        <v>1.5</v>
      </c>
      <c r="M2208" s="2" t="str">
        <f>HYPERLINK("http://maps.live.com/default.aspx?v=2&amp;lvl=15&amp;sp=Point.47.596915_-122.145658_1513 146th Ave SE&amp;cp=47.596915~-122.145658","Map")</f>
        <v>Map</v>
      </c>
      <c r="N2208" s="2" t="str">
        <f>HYPERLINK("http://i-0.rfimg.us/photo/1/bigphoto/496/28039496_0.jpg","Photo")</f>
        <v>Photo</v>
      </c>
      <c r="AG2208">
        <v>47.596915000000003</v>
      </c>
      <c r="AH2208">
        <v>-122.145658</v>
      </c>
      <c r="AI2208" t="s">
        <v>369</v>
      </c>
      <c r="AJ2208">
        <v>98007</v>
      </c>
      <c r="AN2208">
        <v>355000</v>
      </c>
      <c r="BC2208" s="22">
        <v>39513.379641203705</v>
      </c>
      <c r="BI2208" s="22">
        <v>39549.294907407406</v>
      </c>
      <c r="BL2208">
        <v>8799</v>
      </c>
      <c r="BM2208">
        <v>1535528</v>
      </c>
      <c r="BN2208" t="s">
        <v>1823</v>
      </c>
      <c r="BO2208" s="17">
        <f t="shared" ca="1" si="34"/>
        <v>35.92976469907444</v>
      </c>
      <c r="BP2208" t="b">
        <v>0</v>
      </c>
      <c r="BQ2208">
        <v>1</v>
      </c>
      <c r="BR2208" t="s">
        <v>1667</v>
      </c>
      <c r="BS2208" t="s">
        <v>5404</v>
      </c>
      <c r="BT2208" t="b">
        <v>0</v>
      </c>
      <c r="BV2208" t="s">
        <v>1668</v>
      </c>
      <c r="BW2208">
        <v>1513</v>
      </c>
      <c r="BX2208" t="s">
        <v>3856</v>
      </c>
      <c r="BY2208">
        <v>427473</v>
      </c>
      <c r="BZ2208" t="s">
        <v>1747</v>
      </c>
      <c r="CA2208">
        <v>1</v>
      </c>
      <c r="CB2208" t="b">
        <v>1</v>
      </c>
      <c r="CC2208">
        <v>0</v>
      </c>
      <c r="CD2208" t="b">
        <v>0</v>
      </c>
      <c r="CE2208" t="b">
        <v>0</v>
      </c>
      <c r="CF2208" t="b">
        <v>0</v>
      </c>
      <c r="CG2208">
        <v>2500652</v>
      </c>
      <c r="CH2208" t="s">
        <v>1681</v>
      </c>
      <c r="CI2208" s="10">
        <v>439950</v>
      </c>
      <c r="CJ2208" s="7">
        <v>38609</v>
      </c>
    </row>
    <row r="2209" spans="1:90">
      <c r="A2209">
        <v>28039501</v>
      </c>
      <c r="B2209" s="2" t="str">
        <f>HYPERLINK("http://www.redfin.com/stingray/do/printable-listing?listing-id=1559387","Active")</f>
        <v>Active</v>
      </c>
      <c r="D2209" t="s">
        <v>3249</v>
      </c>
      <c r="E2209" t="s">
        <v>3592</v>
      </c>
      <c r="F2209">
        <v>599950</v>
      </c>
      <c r="G2209">
        <v>1925</v>
      </c>
      <c r="H2209">
        <v>0</v>
      </c>
      <c r="I2209">
        <v>0</v>
      </c>
      <c r="J2209">
        <v>2</v>
      </c>
      <c r="K2209">
        <v>1</v>
      </c>
      <c r="M2209" s="2" t="str">
        <f>HYPERLINK("http://maps.live.com/default.aspx?v=2&amp;lvl=15&amp;sp=Point.47.641007_-122.363073_424 W McGraw Pl&amp;cp=47.641007~-122.363073","Map")</f>
        <v>Map</v>
      </c>
      <c r="N2209" s="2" t="str">
        <f>HYPERLINK("http://i-0.rfimg.us/photo/1/bigphoto/501/28039501_0.jpg","Photo")</f>
        <v>Photo</v>
      </c>
      <c r="AG2209">
        <v>47.641007000000002</v>
      </c>
      <c r="AH2209">
        <v>-122.363073</v>
      </c>
      <c r="AI2209" t="s">
        <v>66</v>
      </c>
      <c r="AJ2209">
        <v>98119</v>
      </c>
      <c r="AN2209">
        <v>430000</v>
      </c>
      <c r="BC2209" s="22">
        <v>39521.44427083333</v>
      </c>
      <c r="BI2209" s="22">
        <v>39549.294907407406</v>
      </c>
      <c r="BL2209">
        <v>11999</v>
      </c>
      <c r="BM2209">
        <v>1559387</v>
      </c>
      <c r="BN2209" t="s">
        <v>1685</v>
      </c>
      <c r="BO2209" s="17">
        <f t="shared" ca="1" si="34"/>
        <v>27.865135069449025</v>
      </c>
      <c r="BP2209" t="b">
        <v>0</v>
      </c>
      <c r="BQ2209">
        <v>1</v>
      </c>
      <c r="BR2209" t="s">
        <v>1842</v>
      </c>
      <c r="BS2209" t="s">
        <v>3593</v>
      </c>
      <c r="BT2209" t="b">
        <v>0</v>
      </c>
      <c r="BU2209" t="s">
        <v>2423</v>
      </c>
      <c r="BV2209" t="s">
        <v>1668</v>
      </c>
      <c r="BW2209">
        <v>424</v>
      </c>
      <c r="BY2209">
        <v>131447</v>
      </c>
      <c r="BZ2209" t="s">
        <v>1713</v>
      </c>
      <c r="CA2209">
        <v>1</v>
      </c>
      <c r="CB2209" t="b">
        <v>1</v>
      </c>
      <c r="CC2209">
        <v>0</v>
      </c>
      <c r="CD2209" t="b">
        <v>0</v>
      </c>
      <c r="CE2209" t="b">
        <v>0</v>
      </c>
      <c r="CF2209" t="b">
        <v>0</v>
      </c>
      <c r="CG2209">
        <v>2544202</v>
      </c>
      <c r="CH2209" t="s">
        <v>1681</v>
      </c>
      <c r="CI2209" s="10">
        <v>599950</v>
      </c>
      <c r="CJ2209" s="7">
        <v>38559</v>
      </c>
    </row>
    <row r="2210" spans="1:90">
      <c r="A2210">
        <v>28039509</v>
      </c>
      <c r="B2210" s="2" t="str">
        <f>HYPERLINK("http://www.redfin.com/stingray/do/printable-listing?listing-id=1536659","Active")</f>
        <v>Active</v>
      </c>
      <c r="D2210" t="s">
        <v>5490</v>
      </c>
      <c r="E2210" t="s">
        <v>5658</v>
      </c>
      <c r="F2210">
        <v>1048000</v>
      </c>
      <c r="G2210">
        <v>1995</v>
      </c>
      <c r="H2210">
        <v>3470</v>
      </c>
      <c r="I2210">
        <v>12153</v>
      </c>
      <c r="J2210">
        <v>4</v>
      </c>
      <c r="K2210">
        <v>2.5</v>
      </c>
      <c r="M2210" s="2" t="str">
        <f>HYPERLINK("http://maps.live.com/default.aspx?v=2&amp;lvl=15&amp;sp=Point.47.548872_-122.118573_5998 166th Ave SE&amp;cp=47.548872~-122.118573","Map")</f>
        <v>Map</v>
      </c>
      <c r="N2210" s="2" t="str">
        <f>HYPERLINK("http://i-0.rfimg.us/photo/1/bigphoto/509/28039509_0.jpg","Photo")</f>
        <v>Photo</v>
      </c>
      <c r="AG2210">
        <v>47.548872000000003</v>
      </c>
      <c r="AH2210">
        <v>-122.118573</v>
      </c>
      <c r="AI2210" t="s">
        <v>369</v>
      </c>
      <c r="AJ2210">
        <v>98006</v>
      </c>
      <c r="AN2210">
        <v>970000</v>
      </c>
      <c r="BC2210" s="22">
        <v>39513.588935185187</v>
      </c>
      <c r="BI2210" s="22">
        <v>39549.294907407406</v>
      </c>
      <c r="BL2210">
        <v>20960</v>
      </c>
      <c r="BM2210">
        <v>1536659</v>
      </c>
      <c r="BN2210" t="s">
        <v>1768</v>
      </c>
      <c r="BO2210" s="17">
        <f t="shared" ca="1" si="34"/>
        <v>35.720470717591525</v>
      </c>
      <c r="BP2210" t="b">
        <v>0</v>
      </c>
      <c r="BQ2210">
        <v>1</v>
      </c>
      <c r="BR2210" t="s">
        <v>1667</v>
      </c>
      <c r="BS2210" t="s">
        <v>5194</v>
      </c>
      <c r="BT2210" t="b">
        <v>0</v>
      </c>
      <c r="BV2210" t="s">
        <v>1668</v>
      </c>
      <c r="BW2210">
        <v>5998</v>
      </c>
      <c r="BX2210" t="s">
        <v>3856</v>
      </c>
      <c r="BY2210">
        <v>418811</v>
      </c>
      <c r="BZ2210" t="s">
        <v>1672</v>
      </c>
      <c r="CA2210">
        <v>1</v>
      </c>
      <c r="CB2210" t="b">
        <v>1</v>
      </c>
      <c r="CC2210">
        <v>0</v>
      </c>
      <c r="CD2210" t="b">
        <v>0</v>
      </c>
      <c r="CE2210" t="b">
        <v>0</v>
      </c>
      <c r="CF2210" t="b">
        <v>0</v>
      </c>
      <c r="CG2210">
        <v>2473520</v>
      </c>
      <c r="CH2210" t="s">
        <v>1681</v>
      </c>
      <c r="CI2210" s="10">
        <v>1048000</v>
      </c>
      <c r="CJ2210" s="7">
        <v>38974</v>
      </c>
    </row>
    <row r="2211" spans="1:90">
      <c r="A2211">
        <v>28039525</v>
      </c>
      <c r="B2211" s="15" t="str">
        <f>HYPERLINK("http://www.redfin.com/stingray/do/printable-listing?listing-id=1535733","Subject To Inspection")</f>
        <v>Subject To Inspection</v>
      </c>
      <c r="D2211" t="s">
        <v>99</v>
      </c>
      <c r="E2211" t="s">
        <v>2120</v>
      </c>
      <c r="F2211">
        <v>649000</v>
      </c>
      <c r="G2211">
        <v>1927</v>
      </c>
      <c r="H2211">
        <v>1450</v>
      </c>
      <c r="I2211">
        <v>9494</v>
      </c>
      <c r="J2211">
        <v>2</v>
      </c>
      <c r="K2211">
        <v>1</v>
      </c>
      <c r="M2211" s="2" t="str">
        <f>HYPERLINK("http://maps.live.com/default.aspx?v=2&amp;lvl=15&amp;sp=Point.47.692983_-122.367689_8805 Dibble Ave N&amp;cp=47.692983~-122.367689","Map")</f>
        <v>Map</v>
      </c>
      <c r="N2211" s="2" t="str">
        <f>HYPERLINK("http://i-0.rfimg.us/photo/1/bigphoto/525/28039525_0.jpg","Photo")</f>
        <v>Photo</v>
      </c>
      <c r="AG2211">
        <v>47.692982999999998</v>
      </c>
      <c r="AH2211">
        <v>-122.367689</v>
      </c>
      <c r="AI2211" t="s">
        <v>66</v>
      </c>
      <c r="AJ2211">
        <v>98117</v>
      </c>
      <c r="BC2211" s="22">
        <v>39513.410671296297</v>
      </c>
      <c r="BI2211" s="7">
        <v>39539</v>
      </c>
      <c r="BL2211">
        <v>12980</v>
      </c>
      <c r="BM2211">
        <v>1535733</v>
      </c>
      <c r="BN2211" t="s">
        <v>1814</v>
      </c>
      <c r="BO2211" s="17">
        <f t="shared" ca="1" si="34"/>
        <v>35.898734722220979</v>
      </c>
      <c r="BP2211" t="b">
        <v>0</v>
      </c>
      <c r="BQ2211">
        <v>1</v>
      </c>
      <c r="BR2211" t="s">
        <v>1667</v>
      </c>
      <c r="BS2211" t="s">
        <v>1717</v>
      </c>
      <c r="BT2211" t="b">
        <v>0</v>
      </c>
      <c r="BV2211" t="s">
        <v>1668</v>
      </c>
      <c r="BW2211">
        <v>8805</v>
      </c>
      <c r="BX2211" t="s">
        <v>1712</v>
      </c>
      <c r="BY2211">
        <v>100646</v>
      </c>
      <c r="BZ2211" t="s">
        <v>1762</v>
      </c>
      <c r="CA2211">
        <v>1</v>
      </c>
      <c r="CB2211" t="b">
        <v>1</v>
      </c>
      <c r="CC2211">
        <v>0</v>
      </c>
      <c r="CD2211" t="b">
        <v>0</v>
      </c>
      <c r="CE2211" t="b">
        <v>1</v>
      </c>
      <c r="CF2211" t="b">
        <v>0</v>
      </c>
      <c r="CG2211">
        <v>2830218</v>
      </c>
      <c r="CH2211" t="s">
        <v>1681</v>
      </c>
      <c r="CI2211" s="10">
        <v>649000</v>
      </c>
    </row>
    <row r="2212" spans="1:90">
      <c r="A2212">
        <v>28039579</v>
      </c>
      <c r="B2212" s="2" t="str">
        <f>HYPERLINK("http://www.redfin.com/stingray/do/printable-listing?listing-id=1536028","Active")</f>
        <v>Active</v>
      </c>
      <c r="D2212" t="s">
        <v>369</v>
      </c>
      <c r="E2212" t="s">
        <v>5594</v>
      </c>
      <c r="F2212">
        <v>719000</v>
      </c>
      <c r="G2212">
        <v>1984</v>
      </c>
      <c r="H2212">
        <v>2402</v>
      </c>
      <c r="I2212">
        <v>9158</v>
      </c>
      <c r="J2212">
        <v>4</v>
      </c>
      <c r="K2212">
        <v>2.5</v>
      </c>
      <c r="M2212" s="2" t="str">
        <f>HYPERLINK("http://maps.live.com/default.aspx?v=2&amp;lvl=15&amp;sp=Point.47.547606_-122.140272_14918 SE 61st Ct&amp;cp=47.547606~-122.140272","Map")</f>
        <v>Map</v>
      </c>
      <c r="N2212" s="2" t="str">
        <f>HYPERLINK("http://i-0.rfimg.us/photo/1/bigphoto/579/28039579_0.jpg","Photo")</f>
        <v>Photo</v>
      </c>
      <c r="AG2212">
        <v>47.547606000000002</v>
      </c>
      <c r="AH2212">
        <v>-122.140272</v>
      </c>
      <c r="AI2212" t="s">
        <v>369</v>
      </c>
      <c r="AJ2212">
        <v>98006</v>
      </c>
      <c r="AN2212">
        <v>380500</v>
      </c>
      <c r="BC2212" s="22">
        <v>39513.484733796293</v>
      </c>
      <c r="BI2212" s="7">
        <v>39535</v>
      </c>
      <c r="BL2212">
        <v>14380</v>
      </c>
      <c r="BM2212">
        <v>1536028</v>
      </c>
      <c r="BN2212" t="s">
        <v>1674</v>
      </c>
      <c r="BO2212" s="17">
        <f t="shared" ca="1" si="34"/>
        <v>35.824672106486105</v>
      </c>
      <c r="BP2212" t="b">
        <v>0</v>
      </c>
      <c r="BQ2212">
        <v>1</v>
      </c>
      <c r="BR2212" t="s">
        <v>3768</v>
      </c>
      <c r="BS2212" t="s">
        <v>2431</v>
      </c>
      <c r="BT2212" t="b">
        <v>0</v>
      </c>
      <c r="BU2212" t="s">
        <v>3856</v>
      </c>
      <c r="BV2212" t="s">
        <v>1668</v>
      </c>
      <c r="BW2212">
        <v>14918</v>
      </c>
      <c r="BY2212">
        <v>239307</v>
      </c>
      <c r="BZ2212" t="s">
        <v>1672</v>
      </c>
      <c r="CA2212">
        <v>1</v>
      </c>
      <c r="CB2212" t="b">
        <v>1</v>
      </c>
      <c r="CC2212">
        <v>0</v>
      </c>
      <c r="CD2212" t="b">
        <v>0</v>
      </c>
      <c r="CE2212" t="b">
        <v>0</v>
      </c>
      <c r="CF2212" t="b">
        <v>0</v>
      </c>
      <c r="CG2212">
        <v>2670289</v>
      </c>
      <c r="CH2212" t="s">
        <v>1681</v>
      </c>
      <c r="CI2212" s="10">
        <v>719000</v>
      </c>
      <c r="CJ2212" s="7">
        <v>36643</v>
      </c>
    </row>
    <row r="2213" spans="1:90">
      <c r="A2213">
        <v>28039594</v>
      </c>
      <c r="B2213" s="2" t="str">
        <f>HYPERLINK("http://www.redfin.com/stingray/do/printable-listing?listing-id=1535943","Active")</f>
        <v>Active</v>
      </c>
      <c r="D2213" t="s">
        <v>3704</v>
      </c>
      <c r="E2213" t="s">
        <v>4233</v>
      </c>
      <c r="F2213">
        <v>825000</v>
      </c>
      <c r="G2213">
        <v>1963</v>
      </c>
      <c r="H2213">
        <v>2320</v>
      </c>
      <c r="I2213">
        <v>4000</v>
      </c>
      <c r="J2213">
        <v>3</v>
      </c>
      <c r="K2213">
        <v>2</v>
      </c>
      <c r="M2213" s="2" t="str">
        <f>HYPERLINK("http://maps.live.com/default.aspx?v=2&amp;lvl=15&amp;sp=Point.47.62645_-122.29993_2425 E Aloha St&amp;cp=47.62645~-122.29993","Map")</f>
        <v>Map</v>
      </c>
      <c r="N2213" s="2" t="str">
        <f>HYPERLINK("http://i-0.rfimg.us/photo/1/bigphoto/594/28039594_0.jpg","Photo")</f>
        <v>Photo</v>
      </c>
      <c r="AG2213">
        <v>47.626449999999998</v>
      </c>
      <c r="AH2213">
        <v>-122.29993</v>
      </c>
      <c r="AI2213" t="s">
        <v>66</v>
      </c>
      <c r="AJ2213">
        <v>98112</v>
      </c>
      <c r="AN2213">
        <v>780000</v>
      </c>
      <c r="BC2213" s="22">
        <v>39513.464166666665</v>
      </c>
      <c r="BI2213" s="22">
        <v>39549.294907407406</v>
      </c>
      <c r="BL2213">
        <v>16500</v>
      </c>
      <c r="BM2213">
        <v>1535943</v>
      </c>
      <c r="BN2213" t="s">
        <v>1674</v>
      </c>
      <c r="BO2213" s="17">
        <f t="shared" ca="1" si="34"/>
        <v>35.845239236114139</v>
      </c>
      <c r="BP2213" t="b">
        <v>0</v>
      </c>
      <c r="BQ2213">
        <v>1</v>
      </c>
      <c r="BR2213" t="s">
        <v>1686</v>
      </c>
      <c r="BS2213" t="s">
        <v>4234</v>
      </c>
      <c r="BT2213" t="b">
        <v>0</v>
      </c>
      <c r="BU2213" t="s">
        <v>2436</v>
      </c>
      <c r="BV2213" t="s">
        <v>1668</v>
      </c>
      <c r="BW2213">
        <v>2425</v>
      </c>
      <c r="BY2213">
        <v>147107</v>
      </c>
      <c r="BZ2213" t="s">
        <v>4235</v>
      </c>
      <c r="CA2213">
        <v>1</v>
      </c>
      <c r="CB2213" t="b">
        <v>1</v>
      </c>
      <c r="CC2213">
        <v>0</v>
      </c>
      <c r="CD2213" t="b">
        <v>0</v>
      </c>
      <c r="CE2213" t="b">
        <v>0</v>
      </c>
      <c r="CF2213" t="b">
        <v>0</v>
      </c>
      <c r="CG2213">
        <v>2832811</v>
      </c>
      <c r="CH2213" t="s">
        <v>1681</v>
      </c>
      <c r="CI2213" s="10">
        <v>825000</v>
      </c>
      <c r="CJ2213" s="7">
        <v>39156</v>
      </c>
    </row>
    <row r="2214" spans="1:90">
      <c r="A2214">
        <v>28039604</v>
      </c>
      <c r="B2214" s="2" t="str">
        <f>HYPERLINK("http://www.redfin.com/stingray/do/printable-listing?listing-id=1541389","Active")</f>
        <v>Active</v>
      </c>
      <c r="D2214" t="s">
        <v>194</v>
      </c>
      <c r="E2214" t="s">
        <v>2830</v>
      </c>
      <c r="F2214" s="19">
        <v>619000</v>
      </c>
      <c r="G2214">
        <v>1948</v>
      </c>
      <c r="H2214">
        <v>2540</v>
      </c>
      <c r="I2214">
        <v>7650</v>
      </c>
      <c r="J2214">
        <v>4</v>
      </c>
      <c r="K2214">
        <v>2</v>
      </c>
      <c r="M2214" s="2" t="str">
        <f>HYPERLINK("http://maps.live.com/default.aspx?v=2&amp;lvl=15&amp;sp=Point.47.695484_-122.28854_3542 NE 92nd St&amp;cp=47.695484~-122.28854","Map")</f>
        <v>Map</v>
      </c>
      <c r="N2214" s="2" t="str">
        <f>HYPERLINK("http://i-0.rfimg.us/photo/1/bigphoto/604/28039604_0.jpg","Photo")</f>
        <v>Photo</v>
      </c>
      <c r="AG2214">
        <v>47.695484</v>
      </c>
      <c r="AH2214">
        <v>-122.28854</v>
      </c>
      <c r="AI2214" t="s">
        <v>66</v>
      </c>
      <c r="AJ2214">
        <v>98115</v>
      </c>
      <c r="AN2214">
        <v>300000</v>
      </c>
      <c r="BC2214" s="22">
        <v>39514.807268518518</v>
      </c>
      <c r="BI2214" s="22">
        <v>39549.294907407406</v>
      </c>
      <c r="BL2214">
        <v>12700</v>
      </c>
      <c r="BM2214">
        <v>1541389</v>
      </c>
      <c r="BN2214" t="s">
        <v>2829</v>
      </c>
      <c r="BO2214" s="17">
        <f t="shared" ca="1" si="34"/>
        <v>34.502137384261005</v>
      </c>
      <c r="BP2214" t="b">
        <v>0</v>
      </c>
      <c r="BQ2214">
        <v>1</v>
      </c>
      <c r="BR2214" t="s">
        <v>1686</v>
      </c>
      <c r="BS2214" t="s">
        <v>2726</v>
      </c>
      <c r="BT2214" t="b">
        <v>0</v>
      </c>
      <c r="BU2214" t="s">
        <v>1738</v>
      </c>
      <c r="BV2214" t="s">
        <v>1668</v>
      </c>
      <c r="BW2214">
        <v>3542</v>
      </c>
      <c r="BY2214">
        <v>316384</v>
      </c>
      <c r="BZ2214" t="s">
        <v>1672</v>
      </c>
      <c r="CA2214">
        <v>1</v>
      </c>
      <c r="CB2214" t="b">
        <v>1</v>
      </c>
      <c r="CC2214">
        <v>0</v>
      </c>
      <c r="CD2214" t="b">
        <v>0</v>
      </c>
      <c r="CE2214" t="b">
        <v>0</v>
      </c>
      <c r="CF2214" t="b">
        <v>0</v>
      </c>
      <c r="CG2214">
        <v>2886714</v>
      </c>
      <c r="CH2214" t="s">
        <v>1681</v>
      </c>
      <c r="CI2214" s="10">
        <v>635000</v>
      </c>
      <c r="CJ2214" s="7">
        <v>37412</v>
      </c>
      <c r="CL2214" t="s">
        <v>6570</v>
      </c>
    </row>
    <row r="2215" spans="1:90">
      <c r="A2215">
        <v>28039615</v>
      </c>
      <c r="B2215" s="2" t="str">
        <f>HYPERLINK("http://www.redfin.com/stingray/do/printable-listing?listing-id=1535910","Active")</f>
        <v>Active</v>
      </c>
      <c r="D2215" t="s">
        <v>99</v>
      </c>
      <c r="E2215" t="s">
        <v>1784</v>
      </c>
      <c r="F2215">
        <v>489000</v>
      </c>
      <c r="G2215">
        <v>1952</v>
      </c>
      <c r="H2215">
        <v>2020</v>
      </c>
      <c r="I2215">
        <v>6397</v>
      </c>
      <c r="J2215">
        <v>3</v>
      </c>
      <c r="K2215">
        <v>2</v>
      </c>
      <c r="M2215" s="2" t="str">
        <f>HYPERLINK("http://maps.live.com/default.aspx?v=2&amp;lvl=15&amp;sp=Point.47.695363_-122.368332_9036 9th Ave NW&amp;cp=47.695363~-122.368332","Map")</f>
        <v>Map</v>
      </c>
      <c r="N2215" s="2" t="str">
        <f>HYPERLINK("http://i-0.rfimg.us/photo/1/bigphoto/615/28039615_0.jpg","Photo")</f>
        <v>Photo</v>
      </c>
      <c r="AG2215">
        <v>47.695363</v>
      </c>
      <c r="AH2215">
        <v>-122.368332</v>
      </c>
      <c r="AI2215" t="s">
        <v>66</v>
      </c>
      <c r="AJ2215">
        <v>98117</v>
      </c>
      <c r="AN2215">
        <v>216500</v>
      </c>
      <c r="BC2215" s="22">
        <v>39513.453530092593</v>
      </c>
      <c r="BI2215" s="22">
        <v>39549.294907407406</v>
      </c>
      <c r="BL2215">
        <v>9780</v>
      </c>
      <c r="BM2215">
        <v>1535910</v>
      </c>
      <c r="BN2215" t="s">
        <v>1783</v>
      </c>
      <c r="BO2215" s="17">
        <f t="shared" ca="1" si="34"/>
        <v>35.85587592592492</v>
      </c>
      <c r="BP2215" t="b">
        <v>0</v>
      </c>
      <c r="BQ2215">
        <v>1</v>
      </c>
      <c r="BR2215" t="s">
        <v>1667</v>
      </c>
      <c r="BS2215" t="s">
        <v>1785</v>
      </c>
      <c r="BT2215" t="b">
        <v>0</v>
      </c>
      <c r="BV2215" t="s">
        <v>1668</v>
      </c>
      <c r="BW2215">
        <v>9036</v>
      </c>
      <c r="BX2215" t="s">
        <v>1669</v>
      </c>
      <c r="BY2215">
        <v>100123</v>
      </c>
      <c r="BZ2215" t="s">
        <v>1672</v>
      </c>
      <c r="CA2215">
        <v>1</v>
      </c>
      <c r="CB2215" t="b">
        <v>1</v>
      </c>
      <c r="CC2215">
        <v>0</v>
      </c>
      <c r="CD2215" t="b">
        <v>0</v>
      </c>
      <c r="CE2215" t="b">
        <v>1</v>
      </c>
      <c r="CF2215" t="b">
        <v>0</v>
      </c>
      <c r="CG2215">
        <v>2427231</v>
      </c>
      <c r="CH2215" t="s">
        <v>1681</v>
      </c>
      <c r="CI2215" s="10">
        <v>489000</v>
      </c>
      <c r="CJ2215" s="7">
        <v>36661</v>
      </c>
    </row>
    <row r="2216" spans="1:90">
      <c r="A2216">
        <v>28039621</v>
      </c>
      <c r="B2216" s="2" t="str">
        <f>HYPERLINK("http://www.redfin.com/stingray/do/printable-listing?listing-id=1535945","Active")</f>
        <v>Active</v>
      </c>
      <c r="D2216" t="s">
        <v>78</v>
      </c>
      <c r="E2216" t="s">
        <v>1771</v>
      </c>
      <c r="F2216" s="19">
        <v>479900</v>
      </c>
      <c r="G2216">
        <v>1950</v>
      </c>
      <c r="H2216">
        <v>0</v>
      </c>
      <c r="I2216">
        <v>5023</v>
      </c>
      <c r="J2216">
        <v>2</v>
      </c>
      <c r="K2216">
        <v>1.25</v>
      </c>
      <c r="M2216" s="2" t="str">
        <f>HYPERLINK("http://maps.live.com/default.aspx?v=2&amp;lvl=15&amp;sp=Point.47.688109_-122.394001_8046 29th Ave NW&amp;cp=47.688109~-122.394001","Map")</f>
        <v>Map</v>
      </c>
      <c r="N2216" s="2" t="str">
        <f>HYPERLINK("http://i-0.rfimg.us/photo/1/bigphoto/621/28039621_0.jpg","Photo")</f>
        <v>Photo</v>
      </c>
      <c r="AG2216">
        <v>47.688108999999997</v>
      </c>
      <c r="AH2216">
        <v>-122.394001</v>
      </c>
      <c r="AI2216" t="s">
        <v>66</v>
      </c>
      <c r="AJ2216">
        <v>98117</v>
      </c>
      <c r="BC2216" s="22">
        <v>39513.464166666665</v>
      </c>
      <c r="BI2216" s="22">
        <v>39549.294907407406</v>
      </c>
      <c r="BL2216">
        <v>9998</v>
      </c>
      <c r="BM2216">
        <v>1535945</v>
      </c>
      <c r="BN2216" t="s">
        <v>1770</v>
      </c>
      <c r="BO2216" s="17">
        <f t="shared" ca="1" si="34"/>
        <v>35.845239351852797</v>
      </c>
      <c r="BP2216" t="b">
        <v>0</v>
      </c>
      <c r="BQ2216">
        <v>1</v>
      </c>
      <c r="BR2216" t="s">
        <v>1667</v>
      </c>
      <c r="BS2216" t="s">
        <v>1772</v>
      </c>
      <c r="BT2216" t="b">
        <v>0</v>
      </c>
      <c r="BV2216" t="s">
        <v>1668</v>
      </c>
      <c r="BW2216">
        <v>8046</v>
      </c>
      <c r="BX2216" t="s">
        <v>1669</v>
      </c>
      <c r="BY2216">
        <v>164287</v>
      </c>
      <c r="BZ2216" t="s">
        <v>1747</v>
      </c>
      <c r="CA2216">
        <v>1</v>
      </c>
      <c r="CB2216" t="b">
        <v>1</v>
      </c>
      <c r="CC2216">
        <v>0</v>
      </c>
      <c r="CD2216" t="b">
        <v>0</v>
      </c>
      <c r="CE2216" t="b">
        <v>1</v>
      </c>
      <c r="CF2216" t="b">
        <v>0</v>
      </c>
      <c r="CG2216">
        <v>2499429</v>
      </c>
      <c r="CH2216" t="s">
        <v>1681</v>
      </c>
      <c r="CI2216" s="10">
        <v>499900</v>
      </c>
      <c r="CL2216" t="s">
        <v>2129</v>
      </c>
    </row>
    <row r="2217" spans="1:90">
      <c r="A2217">
        <v>28039640</v>
      </c>
      <c r="B2217" s="2" t="str">
        <f>HYPERLINK("http://www.redfin.com/stingray/do/printable-listing?listing-id=1536772","Active")</f>
        <v>Active</v>
      </c>
      <c r="D2217" t="s">
        <v>192</v>
      </c>
      <c r="E2217" t="s">
        <v>2185</v>
      </c>
      <c r="F2217">
        <v>495000</v>
      </c>
      <c r="G2217">
        <v>1961</v>
      </c>
      <c r="H2217">
        <v>1770</v>
      </c>
      <c r="I2217">
        <v>6380</v>
      </c>
      <c r="J2217">
        <v>3</v>
      </c>
      <c r="K2217">
        <v>2</v>
      </c>
      <c r="M2217" s="2" t="str">
        <f>HYPERLINK("http://maps.live.com/default.aspx?v=2&amp;lvl=15&amp;sp=Point.47.69154_-122.318599_838 86TH St&amp;cp=47.69154~-122.318599","Map")</f>
        <v>Map</v>
      </c>
      <c r="N2217" s="2" t="str">
        <f>HYPERLINK("http://i-0.rfimg.us/photo/1/bigphoto/640/28039640_1.jpg","Photo")</f>
        <v>Photo</v>
      </c>
      <c r="AG2217">
        <v>47.691540000000003</v>
      </c>
      <c r="AH2217">
        <v>-122.31859900000001</v>
      </c>
      <c r="AI2217" t="s">
        <v>66</v>
      </c>
      <c r="AJ2217">
        <v>98115</v>
      </c>
      <c r="AN2217">
        <v>451900</v>
      </c>
      <c r="BC2217" s="22">
        <v>39513.610601851855</v>
      </c>
      <c r="BI2217" s="7">
        <v>39533</v>
      </c>
      <c r="BL2217">
        <v>9900</v>
      </c>
      <c r="BM2217">
        <v>1536772</v>
      </c>
      <c r="BN2217" t="s">
        <v>3028</v>
      </c>
      <c r="BO2217" s="17">
        <f t="shared" ca="1" si="34"/>
        <v>35.698804050924082</v>
      </c>
      <c r="BP2217" t="b">
        <v>0</v>
      </c>
      <c r="BQ2217">
        <v>1</v>
      </c>
      <c r="BR2217" t="s">
        <v>1686</v>
      </c>
      <c r="BS2217" t="s">
        <v>3029</v>
      </c>
      <c r="BT2217" t="b">
        <v>0</v>
      </c>
      <c r="BV2217" t="s">
        <v>1668</v>
      </c>
      <c r="BW2217">
        <v>838</v>
      </c>
      <c r="BY2217">
        <v>109867</v>
      </c>
      <c r="BZ2217" t="s">
        <v>3030</v>
      </c>
      <c r="CA2217">
        <v>1</v>
      </c>
      <c r="CB2217" t="b">
        <v>1</v>
      </c>
      <c r="CC2217">
        <v>0</v>
      </c>
      <c r="CD2217" t="b">
        <v>0</v>
      </c>
      <c r="CE2217" t="b">
        <v>0</v>
      </c>
      <c r="CF2217" t="b">
        <v>0</v>
      </c>
      <c r="CG2217">
        <v>2527562</v>
      </c>
      <c r="CH2217" t="s">
        <v>1681</v>
      </c>
      <c r="CI2217" s="10">
        <v>495000</v>
      </c>
      <c r="CJ2217" s="7">
        <v>39218</v>
      </c>
    </row>
    <row r="2218" spans="1:90">
      <c r="A2218">
        <v>28039643</v>
      </c>
      <c r="B2218" s="2" t="str">
        <f>HYPERLINK("http://www.redfin.com/stingray/do/printable-listing?listing-id=1542564","Active")</f>
        <v>Active</v>
      </c>
      <c r="D2218" t="s">
        <v>369</v>
      </c>
      <c r="E2218" t="s">
        <v>5308</v>
      </c>
      <c r="F2218">
        <v>424500</v>
      </c>
      <c r="G2218">
        <v>1959</v>
      </c>
      <c r="H2218">
        <v>1370</v>
      </c>
      <c r="I2218">
        <v>7590</v>
      </c>
      <c r="J2218">
        <v>3</v>
      </c>
      <c r="K2218">
        <v>1.5</v>
      </c>
      <c r="M2218" s="2" t="str">
        <f>HYPERLINK("http://maps.live.com/default.aspx?v=2&amp;lvl=15&amp;sp=Point.47.621636_-122.1207_1324 164th Pl NE&amp;cp=47.621636~-122.1207","Map")</f>
        <v>Map</v>
      </c>
      <c r="N2218" s="2" t="str">
        <f>HYPERLINK("http://i-0.rfimg.us/photo/1/bigphoto/643/28039643_0.jpg","Photo")</f>
        <v>Photo</v>
      </c>
      <c r="AG2218">
        <v>47.621636000000002</v>
      </c>
      <c r="AH2218">
        <v>-122.1207</v>
      </c>
      <c r="AI2218" t="s">
        <v>369</v>
      </c>
      <c r="AJ2218">
        <v>98008</v>
      </c>
      <c r="AN2218">
        <v>269500</v>
      </c>
      <c r="BC2218" s="22">
        <v>39515.379560185182</v>
      </c>
      <c r="BI2218" s="22">
        <v>39549.294907407406</v>
      </c>
      <c r="BL2218">
        <v>8490</v>
      </c>
      <c r="BM2218">
        <v>1542564</v>
      </c>
      <c r="BN2218" t="s">
        <v>5307</v>
      </c>
      <c r="BO2218" s="17">
        <f t="shared" ca="1" si="34"/>
        <v>33.929845717597345</v>
      </c>
      <c r="BP2218" t="b">
        <v>0</v>
      </c>
      <c r="BQ2218">
        <v>1</v>
      </c>
      <c r="BR2218" t="s">
        <v>1842</v>
      </c>
      <c r="BS2218" t="s">
        <v>5306</v>
      </c>
      <c r="BT2218" t="b">
        <v>0</v>
      </c>
      <c r="BV2218" t="s">
        <v>1668</v>
      </c>
      <c r="BW2218">
        <v>1324</v>
      </c>
      <c r="BX2218" t="s">
        <v>1738</v>
      </c>
      <c r="BY2218">
        <v>499955</v>
      </c>
      <c r="BZ2218" t="s">
        <v>1670</v>
      </c>
      <c r="CA2218">
        <v>1</v>
      </c>
      <c r="CB2218" t="b">
        <v>1</v>
      </c>
      <c r="CC2218">
        <v>0</v>
      </c>
      <c r="CD2218" t="b">
        <v>0</v>
      </c>
      <c r="CE2218" t="b">
        <v>0</v>
      </c>
      <c r="CF2218" t="b">
        <v>0</v>
      </c>
      <c r="CG2218">
        <v>2856268</v>
      </c>
      <c r="CH2218" t="s">
        <v>1681</v>
      </c>
      <c r="CI2218" s="10">
        <v>424500</v>
      </c>
      <c r="CJ2218" s="7">
        <v>38035</v>
      </c>
    </row>
    <row r="2219" spans="1:90">
      <c r="A2219">
        <v>28039645</v>
      </c>
      <c r="B2219" s="2" t="str">
        <f>HYPERLINK("http://www.redfin.com/stingray/do/printable-listing?listing-id=1537407","Active")</f>
        <v>Active</v>
      </c>
      <c r="D2219" s="19" t="s">
        <v>3066</v>
      </c>
      <c r="E2219" t="s">
        <v>4449</v>
      </c>
      <c r="F2219">
        <v>454950</v>
      </c>
      <c r="G2219">
        <v>1981</v>
      </c>
      <c r="H2219">
        <v>1590</v>
      </c>
      <c r="I2219">
        <v>7350</v>
      </c>
      <c r="J2219">
        <v>3</v>
      </c>
      <c r="K2219">
        <v>1.75</v>
      </c>
      <c r="M2219" s="2" t="str">
        <f>HYPERLINK("http://maps.live.com/default.aspx?v=2&amp;lvl=15&amp;sp=Point.47.702997_-122.173255_12614 NE 114 Pl&amp;cp=47.702997~-122.173255","Map")</f>
        <v>Map</v>
      </c>
      <c r="N2219" s="2" t="str">
        <f>HYPERLINK("http://i-0.rfimg.us/photo/1/bigphoto/645/28039645_1.jpg","Photo")</f>
        <v>Photo</v>
      </c>
      <c r="AG2219">
        <v>47.702997000000003</v>
      </c>
      <c r="AH2219">
        <v>-122.173255</v>
      </c>
      <c r="AI2219" t="s">
        <v>1058</v>
      </c>
      <c r="AJ2219">
        <v>98033</v>
      </c>
      <c r="AN2219">
        <v>394900</v>
      </c>
      <c r="BC2219" s="22">
        <v>39513.735925925925</v>
      </c>
      <c r="BI2219" s="22">
        <v>39549.294907407406</v>
      </c>
      <c r="BL2219">
        <v>9099</v>
      </c>
      <c r="BM2219">
        <v>1537407</v>
      </c>
      <c r="BN2219" t="s">
        <v>1768</v>
      </c>
      <c r="BO2219" s="17">
        <f t="shared" ca="1" si="34"/>
        <v>35.573479976854287</v>
      </c>
      <c r="BP2219" t="b">
        <v>0</v>
      </c>
      <c r="BQ2219">
        <v>1</v>
      </c>
      <c r="BR2219" t="s">
        <v>1842</v>
      </c>
      <c r="BS2219">
        <v>114</v>
      </c>
      <c r="BT2219" t="b">
        <v>0</v>
      </c>
      <c r="BU2219" t="s">
        <v>1738</v>
      </c>
      <c r="BV2219" t="s">
        <v>1668</v>
      </c>
      <c r="BW2219">
        <v>12614</v>
      </c>
      <c r="BY2219">
        <v>511762</v>
      </c>
      <c r="BZ2219" t="s">
        <v>1756</v>
      </c>
      <c r="CA2219">
        <v>1</v>
      </c>
      <c r="CB2219" t="b">
        <v>1</v>
      </c>
      <c r="CC2219">
        <v>0</v>
      </c>
      <c r="CD2219" t="b">
        <v>0</v>
      </c>
      <c r="CE2219" t="b">
        <v>0</v>
      </c>
      <c r="CF2219" t="b">
        <v>0</v>
      </c>
      <c r="CG2219">
        <v>2405266</v>
      </c>
      <c r="CH2219" t="s">
        <v>1681</v>
      </c>
      <c r="CI2219" s="10">
        <v>454950</v>
      </c>
      <c r="CJ2219" s="7">
        <v>38474</v>
      </c>
    </row>
    <row r="2220" spans="1:90">
      <c r="A2220">
        <v>28039651</v>
      </c>
      <c r="B2220" s="2" t="str">
        <f>HYPERLINK("http://www.redfin.com/stingray/do/printable-listing?listing-id=1536030","Active")</f>
        <v>Active</v>
      </c>
      <c r="D2220" t="s">
        <v>3685</v>
      </c>
      <c r="E2220" t="s">
        <v>3800</v>
      </c>
      <c r="F2220" s="19">
        <v>574950</v>
      </c>
      <c r="G2220">
        <v>2001</v>
      </c>
      <c r="H2220">
        <v>1152</v>
      </c>
      <c r="I2220">
        <v>0</v>
      </c>
      <c r="J2220">
        <v>2</v>
      </c>
      <c r="K2220">
        <v>2.5</v>
      </c>
      <c r="M2220" s="2" t="str">
        <f>HYPERLINK("http://maps.live.com/default.aspx?v=2&amp;lvl=15&amp;sp=Point.47.63638_-122.278672_1921 42nd Ave E&amp;cp=47.63638~-122.278672","Map")</f>
        <v>Map</v>
      </c>
      <c r="N2220" s="2" t="str">
        <f>HYPERLINK("http://i-0.rfimg.us/photo/1/bigphoto/651/28039651_0.jpg","Photo")</f>
        <v>Photo</v>
      </c>
      <c r="AG2220">
        <v>47.636380000000003</v>
      </c>
      <c r="AH2220">
        <v>-122.278672</v>
      </c>
      <c r="AI2220" t="s">
        <v>66</v>
      </c>
      <c r="AJ2220">
        <v>98112</v>
      </c>
      <c r="BC2220" s="22">
        <v>39513.484884259262</v>
      </c>
      <c r="BI2220" s="22">
        <v>39549.294907407406</v>
      </c>
      <c r="BL2220">
        <v>11980</v>
      </c>
      <c r="BM2220">
        <v>1536030</v>
      </c>
      <c r="BN2220" t="s">
        <v>1690</v>
      </c>
      <c r="BO2220" s="17">
        <f t="shared" ca="1" si="34"/>
        <v>35.824521643517073</v>
      </c>
      <c r="BP2220" t="b">
        <v>0</v>
      </c>
      <c r="BQ2220">
        <v>1</v>
      </c>
      <c r="BR2220" t="s">
        <v>1667</v>
      </c>
      <c r="BS2220" t="s">
        <v>3371</v>
      </c>
      <c r="BT2220" t="b">
        <v>0</v>
      </c>
      <c r="BV2220" t="s">
        <v>1668</v>
      </c>
      <c r="BW2220">
        <v>1921</v>
      </c>
      <c r="BX2220" t="s">
        <v>2436</v>
      </c>
      <c r="BY2220">
        <v>12423331</v>
      </c>
      <c r="BZ2220" t="s">
        <v>1670</v>
      </c>
      <c r="CA2220">
        <v>1</v>
      </c>
      <c r="CB2220" t="b">
        <v>1</v>
      </c>
      <c r="CC2220">
        <v>0</v>
      </c>
      <c r="CD2220" t="b">
        <v>0</v>
      </c>
      <c r="CE2220" t="b">
        <v>0</v>
      </c>
      <c r="CF2220" t="b">
        <v>0</v>
      </c>
      <c r="CG2220">
        <v>15627079</v>
      </c>
      <c r="CH2220" t="s">
        <v>1681</v>
      </c>
      <c r="CI2220" s="10">
        <v>599000</v>
      </c>
    </row>
    <row r="2221" spans="1:90">
      <c r="A2221">
        <v>28039674</v>
      </c>
      <c r="B2221" s="2" t="str">
        <f>HYPERLINK("http://www.redfin.com/stingray/do/printable-listing?listing-id=1538940","Active")</f>
        <v>Active</v>
      </c>
      <c r="D2221" t="s">
        <v>5121</v>
      </c>
      <c r="E2221" t="s">
        <v>5381</v>
      </c>
      <c r="F2221">
        <v>999950</v>
      </c>
      <c r="G2221">
        <v>1951</v>
      </c>
      <c r="H2221">
        <v>2170</v>
      </c>
      <c r="I2221">
        <v>24700</v>
      </c>
      <c r="J2221">
        <v>4</v>
      </c>
      <c r="K2221">
        <v>2.5</v>
      </c>
      <c r="M2221" s="2" t="str">
        <f>HYPERLINK("http://maps.live.com/default.aspx?v=2&amp;lvl=15&amp;sp=Point.47.580577_-122.189507_3263 113th Ave SE&amp;cp=47.580577~-122.189507","Map")</f>
        <v>Map</v>
      </c>
      <c r="N2221" s="2" t="str">
        <f>HYPERLINK("http://i-0.rfimg.us/photo/1/bigphoto/674/28039674_1.jpg","Photo")</f>
        <v>Photo</v>
      </c>
      <c r="AG2221">
        <v>47.580576999999998</v>
      </c>
      <c r="AH2221">
        <v>-122.18950700000001</v>
      </c>
      <c r="AI2221" t="s">
        <v>369</v>
      </c>
      <c r="AJ2221">
        <v>98004</v>
      </c>
      <c r="AN2221">
        <v>2450</v>
      </c>
      <c r="BC2221" s="22">
        <v>39514.36923611111</v>
      </c>
      <c r="BI2221" s="22">
        <v>39549.294907407406</v>
      </c>
      <c r="BL2221">
        <v>19999</v>
      </c>
      <c r="BM2221">
        <v>1538940</v>
      </c>
      <c r="BN2221" t="s">
        <v>1768</v>
      </c>
      <c r="BO2221" s="17">
        <f t="shared" ca="1" si="34"/>
        <v>34.940169791669177</v>
      </c>
      <c r="BP2221" t="b">
        <v>0</v>
      </c>
      <c r="BQ2221">
        <v>1</v>
      </c>
      <c r="BR2221" t="s">
        <v>1667</v>
      </c>
      <c r="BS2221" t="s">
        <v>4394</v>
      </c>
      <c r="BT2221" t="b">
        <v>0</v>
      </c>
      <c r="BV2221" t="s">
        <v>1668</v>
      </c>
      <c r="BW2221">
        <v>3263</v>
      </c>
      <c r="BX2221" t="s">
        <v>3856</v>
      </c>
      <c r="BY2221">
        <v>510336</v>
      </c>
      <c r="BZ2221" t="s">
        <v>1689</v>
      </c>
      <c r="CA2221">
        <v>1</v>
      </c>
      <c r="CB2221" t="b">
        <v>1</v>
      </c>
      <c r="CC2221">
        <v>0</v>
      </c>
      <c r="CD2221" t="b">
        <v>0</v>
      </c>
      <c r="CE2221" t="b">
        <v>0</v>
      </c>
      <c r="CF2221" t="b">
        <v>0</v>
      </c>
      <c r="CG2221">
        <v>2874408</v>
      </c>
      <c r="CH2221" t="s">
        <v>1681</v>
      </c>
      <c r="CI2221" s="10">
        <v>999950</v>
      </c>
      <c r="CJ2221" s="7">
        <v>35208</v>
      </c>
    </row>
    <row r="2222" spans="1:90">
      <c r="A2222">
        <v>28039687</v>
      </c>
      <c r="B2222" s="2" t="str">
        <f>HYPERLINK("http://www.redfin.com/stingray/do/printable-listing?listing-id=1539288","Active")</f>
        <v>Active</v>
      </c>
      <c r="D2222" t="s">
        <v>63</v>
      </c>
      <c r="E2222" t="s">
        <v>1811</v>
      </c>
      <c r="F2222">
        <v>500000</v>
      </c>
      <c r="G2222">
        <v>1975</v>
      </c>
      <c r="H2222">
        <v>2100</v>
      </c>
      <c r="I2222">
        <v>5000</v>
      </c>
      <c r="J2222">
        <v>3</v>
      </c>
      <c r="K2222">
        <v>1.75</v>
      </c>
      <c r="M2222" s="2" t="str">
        <f>HYPERLINK("http://maps.live.com/default.aspx?v=2&amp;lvl=15&amp;sp=Point.47.678711_-122.372683_6728 13th Ave NW&amp;cp=47.678711~-122.372683","Map")</f>
        <v>Map</v>
      </c>
      <c r="N2222" s="2" t="str">
        <f>HYPERLINK("http://i-0.rfimg.us/photo/1/bigphoto/687/28039687_0.jpg","Photo")</f>
        <v>Photo</v>
      </c>
      <c r="AG2222">
        <v>47.678711</v>
      </c>
      <c r="AH2222">
        <v>-122.37268299999999</v>
      </c>
      <c r="AI2222" t="s">
        <v>66</v>
      </c>
      <c r="AJ2222">
        <v>98117</v>
      </c>
      <c r="AN2222">
        <v>142000</v>
      </c>
      <c r="BC2222" s="22">
        <v>39514.421990740739</v>
      </c>
      <c r="BI2222" s="22">
        <v>39549.294907407406</v>
      </c>
      <c r="BL2222">
        <v>10000</v>
      </c>
      <c r="BM2222">
        <v>1539288</v>
      </c>
      <c r="BN2222" t="s">
        <v>1725</v>
      </c>
      <c r="BO2222" s="17">
        <f t="shared" ca="1" si="34"/>
        <v>34.887415277778928</v>
      </c>
      <c r="BP2222" t="b">
        <v>0</v>
      </c>
      <c r="BQ2222">
        <v>1</v>
      </c>
      <c r="BR2222" t="s">
        <v>1667</v>
      </c>
      <c r="BS2222" t="s">
        <v>1809</v>
      </c>
      <c r="BT2222" t="b">
        <v>0</v>
      </c>
      <c r="BV2222" t="s">
        <v>1668</v>
      </c>
      <c r="BW2222">
        <v>6728</v>
      </c>
      <c r="BX2222" t="s">
        <v>1669</v>
      </c>
      <c r="BY2222">
        <v>498220</v>
      </c>
      <c r="BZ2222" t="s">
        <v>1745</v>
      </c>
      <c r="CA2222">
        <v>1</v>
      </c>
      <c r="CB2222" t="b">
        <v>1</v>
      </c>
      <c r="CC2222">
        <v>0</v>
      </c>
      <c r="CD2222" t="b">
        <v>0</v>
      </c>
      <c r="CE2222" t="b">
        <v>1</v>
      </c>
      <c r="CF2222" t="b">
        <v>0</v>
      </c>
      <c r="CG2222">
        <v>2591330</v>
      </c>
      <c r="CH2222" t="s">
        <v>1681</v>
      </c>
      <c r="CI2222" s="10">
        <v>500000</v>
      </c>
      <c r="CJ2222" s="7">
        <v>33975</v>
      </c>
    </row>
    <row r="2223" spans="1:90">
      <c r="A2223">
        <v>28039714</v>
      </c>
      <c r="B2223" s="2" t="str">
        <f>HYPERLINK("http://www.redfin.com/stingray/do/printable-listing?listing-id=1539293","Active")</f>
        <v>Active</v>
      </c>
      <c r="D2223" t="s">
        <v>2845</v>
      </c>
      <c r="E2223" t="s">
        <v>3032</v>
      </c>
      <c r="F2223">
        <v>1299000</v>
      </c>
      <c r="G2223">
        <v>1990</v>
      </c>
      <c r="H2223">
        <v>4050</v>
      </c>
      <c r="I2223">
        <v>16757</v>
      </c>
      <c r="J2223">
        <v>5</v>
      </c>
      <c r="K2223">
        <v>3.75</v>
      </c>
      <c r="M2223" s="2" t="str">
        <f>HYPERLINK("http://maps.live.com/default.aspx?v=2&amp;lvl=15&amp;sp=Point.47.691472_-122.278641_8875 Paisley Pl NE&amp;cp=47.691472~-122.278641","Map")</f>
        <v>Map</v>
      </c>
      <c r="N2223" s="2" t="str">
        <f>HYPERLINK("http://i-0.rfimg.us/photo/1/bigphoto/714/28039714_1.jpg","Photo")</f>
        <v>Photo</v>
      </c>
      <c r="AG2223">
        <v>47.691471999999997</v>
      </c>
      <c r="AH2223">
        <v>-122.27864099999999</v>
      </c>
      <c r="AI2223" t="s">
        <v>66</v>
      </c>
      <c r="AJ2223">
        <v>98115</v>
      </c>
      <c r="BC2223" s="22">
        <v>39514.422013888892</v>
      </c>
      <c r="BI2223" s="22">
        <v>39549.294907407406</v>
      </c>
      <c r="BL2223">
        <v>25980</v>
      </c>
      <c r="BM2223">
        <v>1539293</v>
      </c>
      <c r="BN2223" t="s">
        <v>1710</v>
      </c>
      <c r="BO2223" s="17">
        <f t="shared" ca="1" si="34"/>
        <v>34.887392013886711</v>
      </c>
      <c r="BP2223" t="b">
        <v>0</v>
      </c>
      <c r="BQ2223">
        <v>1</v>
      </c>
      <c r="BR2223" t="s">
        <v>1842</v>
      </c>
      <c r="BS2223" t="s">
        <v>3033</v>
      </c>
      <c r="BT2223" t="b">
        <v>0</v>
      </c>
      <c r="BV2223" t="s">
        <v>1668</v>
      </c>
      <c r="BW2223">
        <v>8875</v>
      </c>
      <c r="BX2223" t="s">
        <v>1738</v>
      </c>
      <c r="BY2223">
        <v>12423743</v>
      </c>
      <c r="BZ2223" t="s">
        <v>1709</v>
      </c>
      <c r="CA2223">
        <v>1</v>
      </c>
      <c r="CB2223" t="b">
        <v>1</v>
      </c>
      <c r="CC2223">
        <v>0</v>
      </c>
      <c r="CD2223" t="b">
        <v>0</v>
      </c>
      <c r="CE2223" t="b">
        <v>0</v>
      </c>
      <c r="CF2223" t="b">
        <v>0</v>
      </c>
      <c r="CG2223">
        <v>15627491</v>
      </c>
      <c r="CH2223" t="s">
        <v>1681</v>
      </c>
      <c r="CI2223" s="10">
        <v>1299000</v>
      </c>
    </row>
    <row r="2224" spans="1:90">
      <c r="A2224">
        <v>28039731</v>
      </c>
      <c r="B2224" s="2" t="str">
        <f>HYPERLINK("http://www.redfin.com/stingray/do/printable-listing?listing-id=1536884","Active")</f>
        <v>Active</v>
      </c>
      <c r="D2224" t="s">
        <v>395</v>
      </c>
      <c r="E2224" t="s">
        <v>2121</v>
      </c>
      <c r="F2224">
        <v>229950</v>
      </c>
      <c r="G2224">
        <v>1967</v>
      </c>
      <c r="H2224">
        <v>1079</v>
      </c>
      <c r="I2224">
        <v>0</v>
      </c>
      <c r="J2224">
        <v>2</v>
      </c>
      <c r="K2224">
        <v>1.75</v>
      </c>
      <c r="M2224" s="2" t="str">
        <f>HYPERLINK("http://maps.live.com/default.aspx?v=2&amp;lvl=15&amp;sp=adr.18904 8th Ave NE nC329 (Unable to map),98177","Map")</f>
        <v>Map</v>
      </c>
      <c r="N2224" s="2" t="str">
        <f>HYPERLINK("http://i-0.rfimg.us/photo/1/bigphoto/731/28039731_0.jpg","Photo")</f>
        <v>Photo</v>
      </c>
      <c r="AI2224" t="s">
        <v>395</v>
      </c>
      <c r="AJ2224">
        <v>98177</v>
      </c>
      <c r="AM2224" t="s">
        <v>2122</v>
      </c>
      <c r="BC2224" s="22">
        <v>39513.633611111109</v>
      </c>
      <c r="BI2224" s="7">
        <v>39522</v>
      </c>
      <c r="BL2224">
        <v>3899</v>
      </c>
      <c r="BM2224">
        <v>1536884</v>
      </c>
      <c r="BN2224" t="s">
        <v>1899</v>
      </c>
      <c r="BO2224" s="17">
        <f t="shared" ca="1" si="34"/>
        <v>35.675794907408999</v>
      </c>
      <c r="BP2224" t="b">
        <v>0</v>
      </c>
      <c r="BQ2224">
        <v>1</v>
      </c>
      <c r="BR2224" t="s">
        <v>1667</v>
      </c>
      <c r="BS2224" t="s">
        <v>1723</v>
      </c>
      <c r="BT2224" t="b">
        <v>0</v>
      </c>
      <c r="BV2224" t="s">
        <v>1668</v>
      </c>
      <c r="BW2224">
        <v>18904</v>
      </c>
      <c r="BX2224" t="s">
        <v>1738</v>
      </c>
      <c r="BY2224">
        <v>0</v>
      </c>
      <c r="BZ2224" t="s">
        <v>1670</v>
      </c>
      <c r="CA2224">
        <v>1</v>
      </c>
      <c r="CB2224" t="b">
        <v>1</v>
      </c>
      <c r="CC2224">
        <v>0</v>
      </c>
      <c r="CD2224" t="b">
        <v>0</v>
      </c>
      <c r="CE2224" t="b">
        <v>1</v>
      </c>
      <c r="CF2224" t="b">
        <v>0</v>
      </c>
      <c r="CG2224" t="s">
        <v>1870</v>
      </c>
      <c r="CH2224" t="s">
        <v>1666</v>
      </c>
      <c r="CI2224" s="10">
        <v>229950</v>
      </c>
    </row>
    <row r="2225" spans="1:88">
      <c r="A2225">
        <v>28039744</v>
      </c>
      <c r="B2225" s="2" t="str">
        <f>HYPERLINK("http://www.redfin.com/stingray/do/printable-listing?listing-id=1536579","Active")</f>
        <v>Active</v>
      </c>
      <c r="D2225" t="s">
        <v>4596</v>
      </c>
      <c r="E2225" t="s">
        <v>4650</v>
      </c>
      <c r="F2225">
        <v>739900</v>
      </c>
      <c r="G2225">
        <v>2008</v>
      </c>
      <c r="H2225">
        <v>3054</v>
      </c>
      <c r="I2225">
        <v>6425</v>
      </c>
      <c r="J2225">
        <v>4</v>
      </c>
      <c r="K2225">
        <v>2.5</v>
      </c>
      <c r="M2225" s="2" t="str">
        <f>HYPERLINK("http://maps.live.com/default.aspx?v=2&amp;lvl=15&amp;sp=adr.16779 NE 86th Ct (Unable to map),98052","Map")</f>
        <v>Map</v>
      </c>
      <c r="N2225" s="2" t="str">
        <f>HYPERLINK("http://i-0.rfimg.us/photo/1/bigphoto/744/28039744_0.jpg","Photo")</f>
        <v>Photo</v>
      </c>
      <c r="AI2225" t="s">
        <v>4363</v>
      </c>
      <c r="AJ2225">
        <v>98052</v>
      </c>
      <c r="BC2225" s="22">
        <v>39513.577743055554</v>
      </c>
      <c r="BI2225" s="22">
        <v>39549.294907407406</v>
      </c>
      <c r="BL2225">
        <v>14798</v>
      </c>
      <c r="BM2225">
        <v>1536579</v>
      </c>
      <c r="BN2225" t="s">
        <v>1798</v>
      </c>
      <c r="BO2225" s="17">
        <f t="shared" ca="1" si="34"/>
        <v>35.73166284722538</v>
      </c>
      <c r="BP2225" t="b">
        <v>0</v>
      </c>
      <c r="BQ2225">
        <v>1</v>
      </c>
      <c r="BR2225" t="s">
        <v>3768</v>
      </c>
      <c r="BS2225" t="s">
        <v>2866</v>
      </c>
      <c r="BT2225" t="b">
        <v>0</v>
      </c>
      <c r="BU2225" t="s">
        <v>1738</v>
      </c>
      <c r="BV2225" t="s">
        <v>1668</v>
      </c>
      <c r="BW2225">
        <v>16779</v>
      </c>
      <c r="BY2225">
        <v>0</v>
      </c>
      <c r="BZ2225" t="s">
        <v>1684</v>
      </c>
      <c r="CA2225">
        <v>1</v>
      </c>
      <c r="CB2225" t="b">
        <v>1</v>
      </c>
      <c r="CC2225">
        <v>0</v>
      </c>
      <c r="CD2225" t="b">
        <v>0</v>
      </c>
      <c r="CE2225" t="b">
        <v>0</v>
      </c>
      <c r="CF2225" t="b">
        <v>0</v>
      </c>
      <c r="CG2225" t="s">
        <v>1870</v>
      </c>
      <c r="CH2225" t="s">
        <v>1681</v>
      </c>
      <c r="CI2225" s="10">
        <v>739900</v>
      </c>
    </row>
    <row r="2226" spans="1:88">
      <c r="A2226">
        <v>28039756</v>
      </c>
      <c r="B2226" s="2" t="str">
        <f>HYPERLINK("http://www.redfin.com/stingray/do/printable-listing?listing-id=1539371","Active")</f>
        <v>Active</v>
      </c>
      <c r="D2226" t="s">
        <v>5490</v>
      </c>
      <c r="E2226" t="s">
        <v>5647</v>
      </c>
      <c r="F2226" s="19">
        <v>985950</v>
      </c>
      <c r="G2226">
        <v>2008</v>
      </c>
      <c r="H2226">
        <v>3310</v>
      </c>
      <c r="I2226">
        <v>6646</v>
      </c>
      <c r="J2226">
        <v>4</v>
      </c>
      <c r="K2226">
        <v>3.5</v>
      </c>
      <c r="M2226" s="2" t="str">
        <f>HYPERLINK("http://maps.live.com/default.aspx?v=2&amp;lvl=15&amp;sp=Point.47.564237_-122.125424_16048 SE 45th Pl&amp;cp=47.564237~-122.125424","Map")</f>
        <v>Map</v>
      </c>
      <c r="N2226" s="2" t="str">
        <f>HYPERLINK("http://i-0.rfimg.us/photo/1/bigphoto/756/28039756_3.jpg","Photo")</f>
        <v>Photo</v>
      </c>
      <c r="AG2226">
        <v>47.564236999999999</v>
      </c>
      <c r="AH2226">
        <v>-122.125424</v>
      </c>
      <c r="AI2226" t="s">
        <v>5280</v>
      </c>
      <c r="AJ2226">
        <v>98066</v>
      </c>
      <c r="BC2226" s="22">
        <v>39514.432013888887</v>
      </c>
      <c r="BI2226" s="22">
        <v>39549.294907407406</v>
      </c>
      <c r="BL2226">
        <v>20518</v>
      </c>
      <c r="BM2226">
        <v>1539371</v>
      </c>
      <c r="BN2226" t="s">
        <v>1674</v>
      </c>
      <c r="BO2226" s="17">
        <f t="shared" ca="1" si="34"/>
        <v>34.877392013891949</v>
      </c>
      <c r="BP2226" t="b">
        <v>0</v>
      </c>
      <c r="BQ2226">
        <v>1</v>
      </c>
      <c r="BR2226" t="s">
        <v>1842</v>
      </c>
      <c r="BS2226" t="s">
        <v>2667</v>
      </c>
      <c r="BT2226" t="b">
        <v>0</v>
      </c>
      <c r="BU2226" t="s">
        <v>3856</v>
      </c>
      <c r="BV2226" t="s">
        <v>1668</v>
      </c>
      <c r="BW2226">
        <v>16048</v>
      </c>
      <c r="BY2226">
        <v>12423765</v>
      </c>
      <c r="BZ2226" t="s">
        <v>5648</v>
      </c>
      <c r="CA2226">
        <v>1</v>
      </c>
      <c r="CB2226" t="b">
        <v>0</v>
      </c>
      <c r="CC2226">
        <v>0</v>
      </c>
      <c r="CD2226" t="b">
        <v>0</v>
      </c>
      <c r="CE2226" t="b">
        <v>0</v>
      </c>
      <c r="CF2226" t="b">
        <v>0</v>
      </c>
      <c r="CG2226">
        <v>15627513</v>
      </c>
      <c r="CH2226" t="s">
        <v>1681</v>
      </c>
      <c r="CI2226" s="10">
        <v>1025900</v>
      </c>
    </row>
    <row r="2227" spans="1:88">
      <c r="A2227">
        <v>28039784</v>
      </c>
      <c r="B2227" s="2" t="str">
        <f>HYPERLINK("http://www.redfin.com/stingray/do/printable-listing?listing-id=1548140","Active")</f>
        <v>Active</v>
      </c>
      <c r="D2227" t="s">
        <v>3704</v>
      </c>
      <c r="E2227" t="s">
        <v>4084</v>
      </c>
      <c r="F2227">
        <v>675000</v>
      </c>
      <c r="G2227">
        <v>1908</v>
      </c>
      <c r="H2227">
        <v>2384</v>
      </c>
      <c r="I2227">
        <v>2401</v>
      </c>
      <c r="J2227">
        <v>4</v>
      </c>
      <c r="K2227">
        <v>2.5</v>
      </c>
      <c r="M2227" s="2" t="str">
        <f>HYPERLINK("http://maps.live.com/default.aspx?v=2&amp;lvl=15&amp;sp=Point.47.618927_-122.31879_1014 E Denny St&amp;cp=47.618927~-122.31879","Map")</f>
        <v>Map</v>
      </c>
      <c r="N2227" s="2" t="str">
        <f>HYPERLINK("http://i-0.rfimg.us/photo/1/bigphoto/784/28039784_0.jpg","Photo")</f>
        <v>Photo</v>
      </c>
      <c r="AG2227">
        <v>47.618926999999999</v>
      </c>
      <c r="AH2227">
        <v>-122.31879000000001</v>
      </c>
      <c r="AI2227" t="s">
        <v>66</v>
      </c>
      <c r="AJ2227">
        <v>98122</v>
      </c>
      <c r="BC2227" s="22">
        <v>39518.118842592594</v>
      </c>
      <c r="BI2227" s="7">
        <v>39538</v>
      </c>
      <c r="BL2227">
        <v>13500</v>
      </c>
      <c r="BM2227">
        <v>1548140</v>
      </c>
      <c r="BN2227" t="s">
        <v>1810</v>
      </c>
      <c r="BO2227" s="17">
        <f t="shared" ca="1" si="34"/>
        <v>31.190563310185098</v>
      </c>
      <c r="BP2227" t="b">
        <v>0</v>
      </c>
      <c r="BQ2227">
        <v>1</v>
      </c>
      <c r="BR2227" t="s">
        <v>1686</v>
      </c>
      <c r="BS2227" t="s">
        <v>4085</v>
      </c>
      <c r="BT2227" t="b">
        <v>0</v>
      </c>
      <c r="BU2227" t="s">
        <v>2436</v>
      </c>
      <c r="BV2227" t="s">
        <v>1668</v>
      </c>
      <c r="BW2227">
        <v>1014</v>
      </c>
      <c r="BY2227">
        <v>143618</v>
      </c>
      <c r="BZ2227" t="s">
        <v>1672</v>
      </c>
      <c r="CA2227">
        <v>1</v>
      </c>
      <c r="CB2227" t="b">
        <v>1</v>
      </c>
      <c r="CC2227">
        <v>0</v>
      </c>
      <c r="CD2227" t="b">
        <v>0</v>
      </c>
      <c r="CE2227" t="b">
        <v>0</v>
      </c>
      <c r="CF2227" t="b">
        <v>0</v>
      </c>
      <c r="CG2227">
        <v>2947199</v>
      </c>
      <c r="CH2227" t="s">
        <v>1681</v>
      </c>
      <c r="CI2227" s="10">
        <v>675000</v>
      </c>
    </row>
    <row r="2228" spans="1:88">
      <c r="A2228">
        <v>28039786</v>
      </c>
      <c r="B2228" s="2" t="str">
        <f>HYPERLINK("http://www.redfin.com/stingray/do/printable-listing?listing-id=1536507","Active")</f>
        <v>Active</v>
      </c>
      <c r="D2228" t="s">
        <v>78</v>
      </c>
      <c r="E2228" t="s">
        <v>1284</v>
      </c>
      <c r="F2228">
        <v>988950</v>
      </c>
      <c r="G2228">
        <v>2008</v>
      </c>
      <c r="H2228">
        <v>3654</v>
      </c>
      <c r="I2228">
        <v>3880</v>
      </c>
      <c r="J2228">
        <v>4</v>
      </c>
      <c r="K2228">
        <v>3.25</v>
      </c>
      <c r="M2228" s="2" t="str">
        <f>HYPERLINK("http://maps.live.com/default.aspx?v=2&amp;lvl=15&amp;sp=Point.47.688136_-122.389035_8045 25th Ave NW&amp;cp=47.688136~-122.389035","Map")</f>
        <v>Map</v>
      </c>
      <c r="N2228" s="2" t="str">
        <f>HYPERLINK("http://i-0.rfimg.us/photo/1/bigphoto/786/28039786_.jpg","Photo")</f>
        <v>Photo</v>
      </c>
      <c r="AG2228">
        <v>47.688136</v>
      </c>
      <c r="AH2228">
        <v>-122.38903500000001</v>
      </c>
      <c r="AI2228" t="s">
        <v>66</v>
      </c>
      <c r="AJ2228">
        <v>98117</v>
      </c>
      <c r="AN2228">
        <v>250000</v>
      </c>
      <c r="BC2228" s="22">
        <v>39513.567893518521</v>
      </c>
      <c r="BI2228" s="22">
        <v>39545.917314814818</v>
      </c>
      <c r="BL2228">
        <v>19779</v>
      </c>
      <c r="BM2228">
        <v>1536507</v>
      </c>
      <c r="BN2228" t="s">
        <v>1770</v>
      </c>
      <c r="BO2228" s="17">
        <f t="shared" ca="1" si="34"/>
        <v>35.741512499997043</v>
      </c>
      <c r="BP2228" t="b">
        <v>0</v>
      </c>
      <c r="BQ2228">
        <v>1</v>
      </c>
      <c r="BR2228" t="s">
        <v>1667</v>
      </c>
      <c r="BS2228" t="s">
        <v>1819</v>
      </c>
      <c r="BT2228" t="b">
        <v>0</v>
      </c>
      <c r="BV2228" t="s">
        <v>1668</v>
      </c>
      <c r="BW2228">
        <v>8045</v>
      </c>
      <c r="BX2228" t="s">
        <v>1669</v>
      </c>
      <c r="BY2228">
        <v>166598</v>
      </c>
      <c r="CA2228">
        <v>1</v>
      </c>
      <c r="CB2228" t="b">
        <v>1</v>
      </c>
      <c r="CC2228">
        <v>0</v>
      </c>
      <c r="CD2228" t="b">
        <v>0</v>
      </c>
      <c r="CE2228" t="b">
        <v>1</v>
      </c>
      <c r="CF2228" t="b">
        <v>0</v>
      </c>
      <c r="CG2228">
        <v>2674385</v>
      </c>
      <c r="CH2228" t="s">
        <v>1681</v>
      </c>
      <c r="CI2228" s="10">
        <v>988950</v>
      </c>
      <c r="CJ2228" s="7">
        <v>38895</v>
      </c>
    </row>
    <row r="2229" spans="1:88">
      <c r="A2229">
        <v>28039800</v>
      </c>
      <c r="B2229" s="2" t="str">
        <f>HYPERLINK("http://www.redfin.com/stingray/do/printable-listing?listing-id=1542279","Active")</f>
        <v>Active</v>
      </c>
      <c r="D2229" t="s">
        <v>226</v>
      </c>
      <c r="E2229" t="s">
        <v>3181</v>
      </c>
      <c r="F2229">
        <v>389950</v>
      </c>
      <c r="G2229">
        <v>1952</v>
      </c>
      <c r="H2229">
        <v>0</v>
      </c>
      <c r="I2229">
        <v>7125</v>
      </c>
      <c r="J2229">
        <v>0</v>
      </c>
      <c r="K2229">
        <v>0</v>
      </c>
      <c r="M2229" s="2" t="str">
        <f>HYPERLINK("http://maps.live.com/default.aspx?v=2&amp;lvl=15&amp;sp=Point.47.663862_-122.303714_4724 22 Ave NE&amp;cp=47.663862~-122.303714","Map")</f>
        <v>Map</v>
      </c>
      <c r="N2229" s="2" t="str">
        <f>HYPERLINK("http://i-0.rfimg.us/photo/1/bigphoto/800/28039800_0.jpg","Photo")</f>
        <v>Photo</v>
      </c>
      <c r="AG2229">
        <v>47.663862000000002</v>
      </c>
      <c r="AH2229">
        <v>-122.303714</v>
      </c>
      <c r="AI2229" t="s">
        <v>66</v>
      </c>
      <c r="AJ2229">
        <v>98105</v>
      </c>
      <c r="AN2229">
        <v>339990</v>
      </c>
      <c r="BC2229" s="22">
        <v>39515.150613425925</v>
      </c>
      <c r="BI2229" s="22">
        <v>39549.294907407406</v>
      </c>
      <c r="BL2229">
        <v>7799</v>
      </c>
      <c r="BM2229">
        <v>1542279</v>
      </c>
      <c r="BN2229" t="s">
        <v>3180</v>
      </c>
      <c r="BO2229" s="17">
        <f t="shared" ca="1" si="34"/>
        <v>34.158792476853705</v>
      </c>
      <c r="BP2229" t="b">
        <v>0</v>
      </c>
      <c r="BQ2229">
        <v>1</v>
      </c>
      <c r="BR2229" t="s">
        <v>1667</v>
      </c>
      <c r="BS2229">
        <v>22</v>
      </c>
      <c r="BT2229" t="b">
        <v>0</v>
      </c>
      <c r="BV2229" t="s">
        <v>1668</v>
      </c>
      <c r="BW2229">
        <v>4724</v>
      </c>
      <c r="BX2229" t="s">
        <v>1738</v>
      </c>
      <c r="BY2229">
        <v>2086526</v>
      </c>
      <c r="BZ2229" t="s">
        <v>1684</v>
      </c>
      <c r="CA2229">
        <v>1</v>
      </c>
      <c r="CB2229" t="b">
        <v>1</v>
      </c>
      <c r="CC2229">
        <v>0</v>
      </c>
      <c r="CD2229" t="b">
        <v>0</v>
      </c>
      <c r="CE2229" t="b">
        <v>0</v>
      </c>
      <c r="CF2229" t="b">
        <v>0</v>
      </c>
      <c r="CG2229">
        <v>2826679</v>
      </c>
      <c r="CH2229" t="s">
        <v>1681</v>
      </c>
      <c r="CI2229" s="10">
        <v>389950</v>
      </c>
      <c r="CJ2229" s="7">
        <v>38806</v>
      </c>
    </row>
    <row r="2230" spans="1:88">
      <c r="A2230">
        <v>28039802</v>
      </c>
      <c r="B2230" s="2" t="str">
        <f>HYPERLINK("http://www.redfin.com/stingray/do/printable-listing?listing-id=1536581","Active")</f>
        <v>Active</v>
      </c>
      <c r="D2230" t="s">
        <v>101</v>
      </c>
      <c r="E2230" t="s">
        <v>1904</v>
      </c>
      <c r="F2230">
        <v>869000</v>
      </c>
      <c r="G2230">
        <v>1947</v>
      </c>
      <c r="H2230">
        <v>3660</v>
      </c>
      <c r="I2230">
        <v>0</v>
      </c>
      <c r="J2230">
        <v>4</v>
      </c>
      <c r="K2230">
        <v>3</v>
      </c>
      <c r="M2230" s="2" t="str">
        <f>HYPERLINK("http://maps.live.com/default.aspx?v=2&amp;lvl=15&amp;sp=Point.47.699535_-122.38011_1735 NW 97th St&amp;cp=47.699535~-122.38011","Map")</f>
        <v>Map</v>
      </c>
      <c r="N2230" s="2" t="str">
        <f>HYPERLINK("http://i-0.rfimg.us/photo/1/bigphoto/802/28039802_0.jpg","Photo")</f>
        <v>Photo</v>
      </c>
      <c r="AG2230">
        <v>47.699534999999997</v>
      </c>
      <c r="AH2230">
        <v>-122.38011</v>
      </c>
      <c r="AI2230" t="s">
        <v>66</v>
      </c>
      <c r="AJ2230">
        <v>98117</v>
      </c>
      <c r="AN2230">
        <v>550000</v>
      </c>
      <c r="BC2230" s="22">
        <v>39513.577766203707</v>
      </c>
      <c r="BI2230" s="22">
        <v>39549.294907407406</v>
      </c>
      <c r="BL2230">
        <v>17380</v>
      </c>
      <c r="BM2230">
        <v>1536581</v>
      </c>
      <c r="BN2230" t="s">
        <v>1702</v>
      </c>
      <c r="BO2230" s="17">
        <f t="shared" ca="1" si="34"/>
        <v>35.731639814810478</v>
      </c>
      <c r="BP2230" t="b">
        <v>0</v>
      </c>
      <c r="BQ2230">
        <v>1</v>
      </c>
      <c r="BR2230" t="s">
        <v>1686</v>
      </c>
      <c r="BS2230" t="s">
        <v>1840</v>
      </c>
      <c r="BT2230" t="b">
        <v>0</v>
      </c>
      <c r="BU2230" t="s">
        <v>1669</v>
      </c>
      <c r="BV2230" t="s">
        <v>1668</v>
      </c>
      <c r="BW2230">
        <v>1735</v>
      </c>
      <c r="BY2230">
        <v>289133</v>
      </c>
      <c r="BZ2230" t="s">
        <v>1745</v>
      </c>
      <c r="CA2230">
        <v>1</v>
      </c>
      <c r="CB2230" t="b">
        <v>1</v>
      </c>
      <c r="CC2230">
        <v>0</v>
      </c>
      <c r="CD2230" t="b">
        <v>0</v>
      </c>
      <c r="CE2230" t="b">
        <v>1</v>
      </c>
      <c r="CF2230" t="b">
        <v>0</v>
      </c>
      <c r="CG2230">
        <v>2726875</v>
      </c>
      <c r="CH2230" t="s">
        <v>1681</v>
      </c>
      <c r="CI2230" s="10">
        <v>869000</v>
      </c>
      <c r="CJ2230" s="7">
        <v>36852</v>
      </c>
    </row>
    <row r="2231" spans="1:88">
      <c r="A2231">
        <v>28039806</v>
      </c>
      <c r="B2231" s="2" t="str">
        <f>HYPERLINK("http://www.redfin.com/stingray/do/printable-listing?listing-id=1536578","Active")</f>
        <v>Active</v>
      </c>
      <c r="D2231" t="s">
        <v>226</v>
      </c>
      <c r="E2231" t="s">
        <v>3182</v>
      </c>
      <c r="F2231">
        <v>819950</v>
      </c>
      <c r="G2231">
        <v>1916</v>
      </c>
      <c r="H2231">
        <v>3050</v>
      </c>
      <c r="I2231">
        <v>4280</v>
      </c>
      <c r="J2231">
        <v>5</v>
      </c>
      <c r="K2231">
        <v>4.5</v>
      </c>
      <c r="M2231" s="2" t="str">
        <f>HYPERLINK("http://maps.live.com/default.aspx?v=2&amp;lvl=15&amp;sp=Point.47.666222_-122.320363_5042 7th Ave NE&amp;cp=47.666222~-122.320363","Map")</f>
        <v>Map</v>
      </c>
      <c r="N2231" s="2" t="str">
        <f>HYPERLINK("http://i-0.rfimg.us/photo/1/bigphoto/806/28039806_0.jpg","Photo")</f>
        <v>Photo</v>
      </c>
      <c r="AG2231">
        <v>47.666221999999998</v>
      </c>
      <c r="AH2231">
        <v>-122.320363</v>
      </c>
      <c r="AI2231" t="s">
        <v>66</v>
      </c>
      <c r="AJ2231">
        <v>98105</v>
      </c>
      <c r="AN2231">
        <v>339950</v>
      </c>
      <c r="BC2231" s="22">
        <v>39513.577731481484</v>
      </c>
      <c r="BI2231" s="22">
        <v>39549.294907407406</v>
      </c>
      <c r="BL2231">
        <v>16399</v>
      </c>
      <c r="BM2231">
        <v>1536578</v>
      </c>
      <c r="BN2231" t="s">
        <v>1737</v>
      </c>
      <c r="BO2231" s="17">
        <f t="shared" ca="1" si="34"/>
        <v>35.731674421294883</v>
      </c>
      <c r="BP2231" t="b">
        <v>0</v>
      </c>
      <c r="BQ2231">
        <v>1</v>
      </c>
      <c r="BR2231" t="s">
        <v>1667</v>
      </c>
      <c r="BS2231" t="s">
        <v>1859</v>
      </c>
      <c r="BT2231" t="b">
        <v>0</v>
      </c>
      <c r="BV2231" t="s">
        <v>1668</v>
      </c>
      <c r="BW2231">
        <v>5042</v>
      </c>
      <c r="BX2231" t="s">
        <v>1738</v>
      </c>
      <c r="BY2231">
        <v>312115</v>
      </c>
      <c r="BZ2231" t="s">
        <v>1672</v>
      </c>
      <c r="CA2231">
        <v>1</v>
      </c>
      <c r="CB2231" t="b">
        <v>1</v>
      </c>
      <c r="CC2231">
        <v>0</v>
      </c>
      <c r="CD2231" t="b">
        <v>0</v>
      </c>
      <c r="CE2231" t="b">
        <v>0</v>
      </c>
      <c r="CF2231" t="b">
        <v>0</v>
      </c>
      <c r="CG2231">
        <v>2491986</v>
      </c>
      <c r="CH2231" t="s">
        <v>1681</v>
      </c>
      <c r="CI2231" s="10">
        <v>819950</v>
      </c>
      <c r="CJ2231" s="7">
        <v>38042</v>
      </c>
    </row>
    <row r="2232" spans="1:88">
      <c r="A2232">
        <v>28039870</v>
      </c>
      <c r="B2232" s="2" t="str">
        <f>HYPERLINK("http://www.redfin.com/stingray/do/printable-listing?listing-id=1540055","Active")</f>
        <v>Active</v>
      </c>
      <c r="D2232" t="s">
        <v>983</v>
      </c>
      <c r="E2232" t="s">
        <v>2935</v>
      </c>
      <c r="F2232" s="19">
        <v>699500</v>
      </c>
      <c r="G2232">
        <v>1927</v>
      </c>
      <c r="H2232">
        <v>1870</v>
      </c>
      <c r="I2232">
        <v>11700</v>
      </c>
      <c r="J2232">
        <v>4</v>
      </c>
      <c r="K2232">
        <v>2</v>
      </c>
      <c r="M2232" s="2" t="str">
        <f>HYPERLINK("http://maps.live.com/default.aspx?v=2&amp;lvl=15&amp;sp=Point.47.705271_-122.278041_4602 NE 106th St&amp;cp=47.705271~-122.278041","Map")</f>
        <v>Map</v>
      </c>
      <c r="N2232" s="2" t="str">
        <f>HYPERLINK("http://i-0.rfimg.us/photo/1/bigphoto/870/28039870_1.jpg","Photo")</f>
        <v>Photo</v>
      </c>
      <c r="AG2232">
        <v>47.705271000000003</v>
      </c>
      <c r="AH2232">
        <v>-122.278041</v>
      </c>
      <c r="AI2232" t="s">
        <v>66</v>
      </c>
      <c r="AJ2232">
        <v>98125</v>
      </c>
      <c r="BC2232" s="22">
        <v>39514.569918981484</v>
      </c>
      <c r="BI2232" s="22">
        <v>39549.294907407406</v>
      </c>
      <c r="BL2232">
        <v>14580</v>
      </c>
      <c r="BM2232">
        <v>1540055</v>
      </c>
      <c r="BN2232" t="s">
        <v>1710</v>
      </c>
      <c r="BO2232" s="17">
        <f t="shared" ca="1" si="34"/>
        <v>34.739486921294883</v>
      </c>
      <c r="BP2232" t="b">
        <v>0</v>
      </c>
      <c r="BQ2232">
        <v>1</v>
      </c>
      <c r="BR2232" t="s">
        <v>1686</v>
      </c>
      <c r="BS2232" t="s">
        <v>2936</v>
      </c>
      <c r="BT2232" t="b">
        <v>0</v>
      </c>
      <c r="BU2232" t="s">
        <v>1738</v>
      </c>
      <c r="BV2232" t="s">
        <v>1668</v>
      </c>
      <c r="BW2232">
        <v>4602</v>
      </c>
      <c r="BY2232">
        <v>12423885</v>
      </c>
      <c r="BZ2232" t="s">
        <v>1709</v>
      </c>
      <c r="CA2232">
        <v>1</v>
      </c>
      <c r="CB2232" t="b">
        <v>1</v>
      </c>
      <c r="CC2232">
        <v>0</v>
      </c>
      <c r="CD2232" t="b">
        <v>0</v>
      </c>
      <c r="CE2232" t="b">
        <v>0</v>
      </c>
      <c r="CF2232" t="b">
        <v>0</v>
      </c>
      <c r="CG2232">
        <v>15627633</v>
      </c>
      <c r="CH2232" t="s">
        <v>1681</v>
      </c>
      <c r="CI2232" s="10">
        <v>729000</v>
      </c>
    </row>
    <row r="2233" spans="1:88">
      <c r="A2233">
        <v>28039873</v>
      </c>
      <c r="B2233" s="2" t="str">
        <f>HYPERLINK("http://www.redfin.com/stingray/do/printable-listing?listing-id=1536807","Active")</f>
        <v>Active</v>
      </c>
      <c r="D2233" t="s">
        <v>5565</v>
      </c>
      <c r="E2233" t="s">
        <v>5824</v>
      </c>
      <c r="F2233">
        <v>469950</v>
      </c>
      <c r="G2233">
        <v>1955</v>
      </c>
      <c r="H2233">
        <v>2860</v>
      </c>
      <c r="I2233">
        <v>17947</v>
      </c>
      <c r="J2233">
        <v>3</v>
      </c>
      <c r="K2233">
        <v>1.75</v>
      </c>
      <c r="M2233" s="2" t="str">
        <f>HYPERLINK("http://maps.live.com/default.aspx?v=2&amp;lvl=15&amp;sp=Point.47.562973_-122.181417_4635 119th Ave SE&amp;cp=47.562973~-122.181417","Map")</f>
        <v>Map</v>
      </c>
      <c r="N2233" s="2" t="str">
        <f>HYPERLINK("http://i-0.rfimg.us/photo/1/bigphoto/873/28039873_0.jpg","Photo")</f>
        <v>Photo</v>
      </c>
      <c r="AG2233">
        <v>47.562973</v>
      </c>
      <c r="AH2233">
        <v>-122.181417</v>
      </c>
      <c r="AI2233" t="s">
        <v>369</v>
      </c>
      <c r="AJ2233">
        <v>98006</v>
      </c>
      <c r="AN2233">
        <v>265000</v>
      </c>
      <c r="BC2233" s="22">
        <v>39513.620023148149</v>
      </c>
      <c r="BI2233" s="22">
        <v>39549.294907407406</v>
      </c>
      <c r="BL2233">
        <v>9399</v>
      </c>
      <c r="BM2233">
        <v>1536807</v>
      </c>
      <c r="BN2233" t="s">
        <v>5823</v>
      </c>
      <c r="BO2233" s="17">
        <f t="shared" ca="1" si="34"/>
        <v>35.68938275463006</v>
      </c>
      <c r="BP2233" t="b">
        <v>0</v>
      </c>
      <c r="BQ2233">
        <v>1</v>
      </c>
      <c r="BR2233" t="s">
        <v>1667</v>
      </c>
      <c r="BS2233" t="s">
        <v>4573</v>
      </c>
      <c r="BT2233" t="b">
        <v>0</v>
      </c>
      <c r="BV2233" t="s">
        <v>1668</v>
      </c>
      <c r="BW2233">
        <v>4635</v>
      </c>
      <c r="BX2233" t="s">
        <v>3856</v>
      </c>
      <c r="BY2233">
        <v>413406</v>
      </c>
      <c r="BZ2233" t="s">
        <v>1743</v>
      </c>
      <c r="CA2233">
        <v>1</v>
      </c>
      <c r="CB2233" t="b">
        <v>1</v>
      </c>
      <c r="CC2233">
        <v>0</v>
      </c>
      <c r="CD2233" t="b">
        <v>0</v>
      </c>
      <c r="CE2233" t="b">
        <v>0</v>
      </c>
      <c r="CF2233" t="b">
        <v>0</v>
      </c>
      <c r="CG2233">
        <v>2766864</v>
      </c>
      <c r="CH2233" t="s">
        <v>1681</v>
      </c>
      <c r="CI2233" s="10">
        <v>469950</v>
      </c>
      <c r="CJ2233" s="7">
        <v>36945</v>
      </c>
    </row>
    <row r="2234" spans="1:88">
      <c r="A2234">
        <v>28039876</v>
      </c>
      <c r="B2234" s="2" t="str">
        <f>HYPERLINK("http://www.redfin.com/stingray/do/printable-listing?listing-id=1539382","Active")</f>
        <v>Active</v>
      </c>
      <c r="D2234" t="s">
        <v>5153</v>
      </c>
      <c r="E2234" t="s">
        <v>5328</v>
      </c>
      <c r="F2234" s="19">
        <v>519000</v>
      </c>
      <c r="G2234">
        <v>1955</v>
      </c>
      <c r="H2234">
        <v>1380</v>
      </c>
      <c r="I2234">
        <v>9896</v>
      </c>
      <c r="J2234">
        <v>4</v>
      </c>
      <c r="K2234">
        <v>3</v>
      </c>
      <c r="M2234" s="2" t="str">
        <f>HYPERLINK("http://maps.live.com/default.aspx?v=2&amp;lvl=15&amp;sp=Point.47.574771_-122.151165_14204 SE 40th St&amp;cp=47.574771~-122.151165","Map")</f>
        <v>Map</v>
      </c>
      <c r="N2234" s="2" t="str">
        <f>HYPERLINK("http://i-0.rfimg.us/photo/1/bigphoto/876/28039876_1.jpg","Photo")</f>
        <v>Photo</v>
      </c>
      <c r="AG2234">
        <v>47.574770999999998</v>
      </c>
      <c r="AH2234">
        <v>-122.15116500000001</v>
      </c>
      <c r="AI2234" t="s">
        <v>369</v>
      </c>
      <c r="AJ2234">
        <v>98006</v>
      </c>
      <c r="AN2234">
        <v>178700</v>
      </c>
      <c r="BC2234" s="22">
        <v>39514.432071759256</v>
      </c>
      <c r="BI2234" s="22">
        <v>39549.294907407406</v>
      </c>
      <c r="BL2234">
        <v>10980</v>
      </c>
      <c r="BM2234">
        <v>1539382</v>
      </c>
      <c r="BN2234" t="s">
        <v>1810</v>
      </c>
      <c r="BO2234" s="17">
        <f t="shared" ca="1" si="34"/>
        <v>34.877334143522603</v>
      </c>
      <c r="BP2234" t="b">
        <v>0</v>
      </c>
      <c r="BQ2234">
        <v>1</v>
      </c>
      <c r="BR2234" t="s">
        <v>1686</v>
      </c>
      <c r="BS2234" t="s">
        <v>2832</v>
      </c>
      <c r="BT2234" t="b">
        <v>0</v>
      </c>
      <c r="BU2234" t="s">
        <v>3856</v>
      </c>
      <c r="BV2234" t="s">
        <v>1668</v>
      </c>
      <c r="BW2234">
        <v>14204</v>
      </c>
      <c r="BY2234">
        <v>234922</v>
      </c>
      <c r="BZ2234" t="s">
        <v>2429</v>
      </c>
      <c r="CA2234">
        <v>1</v>
      </c>
      <c r="CB2234" t="b">
        <v>1</v>
      </c>
      <c r="CC2234">
        <v>0</v>
      </c>
      <c r="CD2234" t="b">
        <v>0</v>
      </c>
      <c r="CE2234" t="b">
        <v>0</v>
      </c>
      <c r="CF2234" t="b">
        <v>0</v>
      </c>
      <c r="CG2234">
        <v>2744432</v>
      </c>
      <c r="CH2234" t="s">
        <v>1681</v>
      </c>
      <c r="CI2234" s="10">
        <v>549000</v>
      </c>
      <c r="CJ2234" s="7">
        <v>36223</v>
      </c>
    </row>
    <row r="2235" spans="1:88">
      <c r="A2235">
        <v>28039896</v>
      </c>
      <c r="B2235" s="2" t="str">
        <f>HYPERLINK("http://www.redfin.com/stingray/do/printable-listing?listing-id=1536877","Active")</f>
        <v>Active</v>
      </c>
      <c r="D2235" t="s">
        <v>3249</v>
      </c>
      <c r="E2235" t="s">
        <v>3517</v>
      </c>
      <c r="F2235" s="19">
        <v>598500</v>
      </c>
      <c r="G2235">
        <v>1948</v>
      </c>
      <c r="H2235">
        <v>0</v>
      </c>
      <c r="I2235">
        <v>0</v>
      </c>
      <c r="J2235">
        <v>4</v>
      </c>
      <c r="K2235">
        <v>1.75</v>
      </c>
      <c r="M2235" s="2" t="str">
        <f>HYPERLINK("http://maps.live.com/default.aspx?v=2&amp;lvl=15&amp;sp=Point.47.648063_-122.373236_3046 13th Ave W&amp;cp=47.648063~-122.373236","Map")</f>
        <v>Map</v>
      </c>
      <c r="N2235" s="2" t="str">
        <f>HYPERLINK("http://i-0.rfimg.us/photo/1/bigphoto/896/28039896_3.jpg","Photo")</f>
        <v>Photo</v>
      </c>
      <c r="AG2235">
        <v>47.648063</v>
      </c>
      <c r="AH2235">
        <v>-122.37323600000001</v>
      </c>
      <c r="AI2235" t="s">
        <v>66</v>
      </c>
      <c r="AJ2235">
        <v>98119</v>
      </c>
      <c r="AN2235">
        <v>215000</v>
      </c>
      <c r="BC2235" s="22">
        <v>39513.633333333331</v>
      </c>
      <c r="BI2235" s="22">
        <v>39549.294907407406</v>
      </c>
      <c r="BL2235">
        <v>12399</v>
      </c>
      <c r="BM2235">
        <v>1536877</v>
      </c>
      <c r="BN2235" t="s">
        <v>1673</v>
      </c>
      <c r="BO2235" s="17">
        <f t="shared" ca="1" si="34"/>
        <v>35.67607256944757</v>
      </c>
      <c r="BP2235" t="b">
        <v>0</v>
      </c>
      <c r="BQ2235">
        <v>1</v>
      </c>
      <c r="BR2235" t="s">
        <v>1667</v>
      </c>
      <c r="BS2235" t="s">
        <v>1809</v>
      </c>
      <c r="BT2235" t="b">
        <v>0</v>
      </c>
      <c r="BV2235" t="s">
        <v>1668</v>
      </c>
      <c r="BW2235">
        <v>3046</v>
      </c>
      <c r="BX2235" t="s">
        <v>2423</v>
      </c>
      <c r="BY2235">
        <v>130393</v>
      </c>
      <c r="BZ2235" t="s">
        <v>3518</v>
      </c>
      <c r="CA2235">
        <v>1</v>
      </c>
      <c r="CB2235" t="b">
        <v>1</v>
      </c>
      <c r="CC2235">
        <v>0</v>
      </c>
      <c r="CD2235" t="b">
        <v>0</v>
      </c>
      <c r="CE2235" t="b">
        <v>0</v>
      </c>
      <c r="CF2235" t="b">
        <v>0</v>
      </c>
      <c r="CG2235">
        <v>2366619</v>
      </c>
      <c r="CH2235" t="s">
        <v>1681</v>
      </c>
      <c r="CI2235" s="10">
        <v>619950</v>
      </c>
      <c r="CJ2235" s="7">
        <v>34227</v>
      </c>
    </row>
    <row r="2236" spans="1:88">
      <c r="A2236">
        <v>28039953</v>
      </c>
      <c r="B2236" s="2" t="str">
        <f>HYPERLINK("http://www.redfin.com/stingray/do/printable-listing?listing-id=1553746","Active")</f>
        <v>Active</v>
      </c>
      <c r="D2236" t="s">
        <v>3704</v>
      </c>
      <c r="E2236" t="s">
        <v>4068</v>
      </c>
      <c r="F2236" s="19">
        <v>549500</v>
      </c>
      <c r="G2236">
        <v>1909</v>
      </c>
      <c r="H2236">
        <v>1980</v>
      </c>
      <c r="I2236">
        <v>3840</v>
      </c>
      <c r="J2236">
        <v>3</v>
      </c>
      <c r="K2236">
        <v>1.75</v>
      </c>
      <c r="M2236" s="2" t="str">
        <f>HYPERLINK("http://maps.live.com/default.aspx?v=2&amp;lvl=15&amp;sp=Point.47.61001_-122.315051_824 13 Ave&amp;cp=47.61001~-122.315051","Map")</f>
        <v>Map</v>
      </c>
      <c r="N2236" s="2" t="str">
        <f>HYPERLINK("http://i-0.rfimg.us/photo/1/bigphoto/953/28039953_1.jpg","Photo")</f>
        <v>Photo</v>
      </c>
      <c r="AG2236">
        <v>47.610010000000003</v>
      </c>
      <c r="AH2236">
        <v>-122.315051</v>
      </c>
      <c r="AI2236" t="s">
        <v>66</v>
      </c>
      <c r="AJ2236">
        <v>98122</v>
      </c>
      <c r="AN2236">
        <v>349900</v>
      </c>
      <c r="BC2236" s="22">
        <v>39519.745185185187</v>
      </c>
      <c r="BI2236" s="22">
        <v>39549.294907407406</v>
      </c>
      <c r="BL2236">
        <v>11560</v>
      </c>
      <c r="BM2236">
        <v>1553746</v>
      </c>
      <c r="BN2236" t="s">
        <v>1715</v>
      </c>
      <c r="BO2236" s="17">
        <f t="shared" ca="1" si="34"/>
        <v>29.564220717591525</v>
      </c>
      <c r="BP2236" t="b">
        <v>0</v>
      </c>
      <c r="BQ2236">
        <v>1</v>
      </c>
      <c r="BR2236" t="s">
        <v>1667</v>
      </c>
      <c r="BS2236">
        <v>13</v>
      </c>
      <c r="BT2236" t="b">
        <v>0</v>
      </c>
      <c r="BV2236" t="s">
        <v>1668</v>
      </c>
      <c r="BW2236">
        <v>824</v>
      </c>
      <c r="BY2236">
        <v>143542</v>
      </c>
      <c r="BZ2236" t="s">
        <v>4069</v>
      </c>
      <c r="CA2236">
        <v>1</v>
      </c>
      <c r="CB2236" t="b">
        <v>1</v>
      </c>
      <c r="CC2236">
        <v>0</v>
      </c>
      <c r="CD2236" t="b">
        <v>0</v>
      </c>
      <c r="CE2236" t="b">
        <v>0</v>
      </c>
      <c r="CF2236" t="b">
        <v>0</v>
      </c>
      <c r="CG2236">
        <v>2962503</v>
      </c>
      <c r="CH2236" t="s">
        <v>1681</v>
      </c>
      <c r="CI2236" s="10">
        <v>578000</v>
      </c>
      <c r="CJ2236" s="7">
        <v>37852</v>
      </c>
    </row>
    <row r="2237" spans="1:88">
      <c r="A2237">
        <v>28039966</v>
      </c>
      <c r="B2237" s="2" t="str">
        <f>HYPERLINK("http://www.redfin.com/stingray/do/printable-listing?listing-id=1537020","Active")</f>
        <v>Active</v>
      </c>
      <c r="D2237" t="s">
        <v>3064</v>
      </c>
      <c r="E2237" t="s">
        <v>6132</v>
      </c>
      <c r="F2237" s="19">
        <v>379000</v>
      </c>
      <c r="G2237">
        <v>2006</v>
      </c>
      <c r="H2237">
        <v>1982</v>
      </c>
      <c r="I2237">
        <v>4854</v>
      </c>
      <c r="J2237">
        <v>4</v>
      </c>
      <c r="K2237">
        <v>3</v>
      </c>
      <c r="M2237" s="2" t="str">
        <f>HYPERLINK("http://maps.live.com/default.aspx?v=2&amp;lvl=15&amp;sp=Point.47.505293_-122.164902_1421 Union Ave NE&amp;cp=47.505293~-122.164902","Map")</f>
        <v>Map</v>
      </c>
      <c r="N2237" s="2" t="str">
        <f>HYPERLINK("http://i-0.rfimg.us/photo/1/bigphoto/966/28039966_2.jpg","Photo")</f>
        <v>Photo</v>
      </c>
      <c r="AG2237" s="19">
        <v>47.505053316006197</v>
      </c>
      <c r="AH2237" s="19">
        <v>-122.164916396141</v>
      </c>
      <c r="AI2237" t="s">
        <v>1077</v>
      </c>
      <c r="AJ2237">
        <v>98059</v>
      </c>
      <c r="AN2237">
        <v>350000</v>
      </c>
      <c r="BC2237" s="22">
        <v>39513.664826388886</v>
      </c>
      <c r="BI2237" s="22">
        <v>39549.294907407406</v>
      </c>
      <c r="BL2237">
        <v>7979</v>
      </c>
      <c r="BM2237">
        <v>1537020</v>
      </c>
      <c r="BN2237" t="s">
        <v>1725</v>
      </c>
      <c r="BO2237" s="17">
        <f t="shared" ca="1" si="34"/>
        <v>35.644579513893405</v>
      </c>
      <c r="BP2237" t="b">
        <v>0</v>
      </c>
      <c r="BQ2237">
        <v>1</v>
      </c>
      <c r="BR2237" t="s">
        <v>1667</v>
      </c>
      <c r="BS2237" t="s">
        <v>4075</v>
      </c>
      <c r="BT2237" t="b">
        <v>0</v>
      </c>
      <c r="BV2237" t="s">
        <v>1668</v>
      </c>
      <c r="BW2237">
        <v>1421</v>
      </c>
      <c r="BX2237" t="s">
        <v>1738</v>
      </c>
      <c r="BY2237">
        <v>2092333</v>
      </c>
      <c r="BZ2237" t="s">
        <v>6133</v>
      </c>
      <c r="CA2237">
        <v>1</v>
      </c>
      <c r="CB2237" t="b">
        <v>1</v>
      </c>
      <c r="CC2237">
        <v>0</v>
      </c>
      <c r="CD2237" t="b">
        <v>0</v>
      </c>
      <c r="CE2237" t="b">
        <v>0</v>
      </c>
      <c r="CF2237" t="b">
        <v>0</v>
      </c>
      <c r="CG2237">
        <v>2931375</v>
      </c>
      <c r="CH2237" t="s">
        <v>1681</v>
      </c>
      <c r="CI2237" s="10">
        <v>398950</v>
      </c>
      <c r="CJ2237" s="7">
        <v>38741</v>
      </c>
    </row>
    <row r="2238" spans="1:88">
      <c r="A2238">
        <v>28039982</v>
      </c>
      <c r="B2238" s="15" t="str">
        <f>HYPERLINK("http://www.redfin.com/stingray/do/printable-listing?listing-id=1537031","Subject To Inspection")</f>
        <v>Subject To Inspection</v>
      </c>
      <c r="D2238" t="s">
        <v>100</v>
      </c>
      <c r="E2238" t="s">
        <v>3644</v>
      </c>
      <c r="F2238" s="19">
        <v>499950</v>
      </c>
      <c r="G2238">
        <v>2008</v>
      </c>
      <c r="H2238">
        <v>0</v>
      </c>
      <c r="I2238">
        <v>0</v>
      </c>
      <c r="J2238">
        <v>3</v>
      </c>
      <c r="K2238">
        <v>2.25</v>
      </c>
      <c r="M2238" s="2" t="str">
        <f>HYPERLINK("http://maps.live.com/default.aspx?v=2&amp;lvl=15&amp;sp=Point.47.653284_-122.356395_3636 Palatine Ave N&amp;cp=47.653284~-122.356395","Map")</f>
        <v>Map</v>
      </c>
      <c r="N2238" s="2" t="str">
        <f>HYPERLINK("http://i-0.rfimg.us/photo/1/bigphoto/982/28039982_0.jpg","Photo")</f>
        <v>Photo</v>
      </c>
      <c r="AG2238">
        <v>47.653283999999999</v>
      </c>
      <c r="AH2238">
        <v>-122.35639500000001</v>
      </c>
      <c r="AI2238" t="s">
        <v>66</v>
      </c>
      <c r="AJ2238">
        <v>98103</v>
      </c>
      <c r="BC2238" s="22">
        <v>39513.673321759263</v>
      </c>
      <c r="BI2238" s="22">
        <v>39549.294907407406</v>
      </c>
      <c r="BL2238">
        <v>10399</v>
      </c>
      <c r="BM2238">
        <v>1537031</v>
      </c>
      <c r="BN2238" t="s">
        <v>1746</v>
      </c>
      <c r="BO2238" s="17">
        <f t="shared" ca="1" si="34"/>
        <v>35.6360841435162</v>
      </c>
      <c r="BP2238" t="b">
        <v>0</v>
      </c>
      <c r="BQ2238">
        <v>1</v>
      </c>
      <c r="BR2238" t="s">
        <v>1667</v>
      </c>
      <c r="BS2238" t="s">
        <v>2605</v>
      </c>
      <c r="BT2238" t="b">
        <v>0</v>
      </c>
      <c r="BV2238" t="s">
        <v>1668</v>
      </c>
      <c r="BW2238">
        <v>3636</v>
      </c>
      <c r="BX2238" t="s">
        <v>1712</v>
      </c>
      <c r="BY2238">
        <v>12279277</v>
      </c>
      <c r="BZ2238" t="s">
        <v>1670</v>
      </c>
      <c r="CA2238">
        <v>1</v>
      </c>
      <c r="CB2238" t="b">
        <v>1</v>
      </c>
      <c r="CC2238">
        <v>0</v>
      </c>
      <c r="CD2238" t="b">
        <v>0</v>
      </c>
      <c r="CE2238" t="b">
        <v>0</v>
      </c>
      <c r="CF2238" t="b">
        <v>0</v>
      </c>
      <c r="CG2238">
        <v>15492208</v>
      </c>
      <c r="CH2238" t="s">
        <v>1681</v>
      </c>
      <c r="CI2238" s="10">
        <v>519950</v>
      </c>
    </row>
    <row r="2239" spans="1:88">
      <c r="A2239">
        <v>28040011</v>
      </c>
      <c r="B2239" s="2" t="str">
        <f>HYPERLINK("http://www.redfin.com/stingray/do/printable-listing?listing-id=1537167","Active")</f>
        <v>Active</v>
      </c>
      <c r="D2239" t="s">
        <v>3885</v>
      </c>
      <c r="E2239" t="s">
        <v>5942</v>
      </c>
      <c r="F2239">
        <v>599950</v>
      </c>
      <c r="G2239">
        <v>2001</v>
      </c>
      <c r="H2239">
        <v>2610</v>
      </c>
      <c r="I2239">
        <v>5188</v>
      </c>
      <c r="J2239">
        <v>4</v>
      </c>
      <c r="K2239">
        <v>2.5</v>
      </c>
      <c r="M2239" s="2" t="str">
        <f>HYPERLINK("http://maps.live.com/default.aspx?v=2&amp;lvl=15&amp;sp=Point.47.521305_-122.19318_3303 Lincoln Ave NE&amp;cp=47.521305~-122.19318","Map")</f>
        <v>Map</v>
      </c>
      <c r="N2239" s="2" t="str">
        <f>HYPERLINK("http://i-0.rfimg.us/photo/1/bigphoto/011/28040011_1.jpg","Photo")</f>
        <v>Photo</v>
      </c>
      <c r="AG2239">
        <v>47.521304999999998</v>
      </c>
      <c r="AH2239">
        <v>-122.19318</v>
      </c>
      <c r="AI2239" t="s">
        <v>1077</v>
      </c>
      <c r="AJ2239">
        <v>98056</v>
      </c>
      <c r="AN2239">
        <v>448000</v>
      </c>
      <c r="BC2239" s="22">
        <v>39513.693842592591</v>
      </c>
      <c r="BI2239" s="22">
        <v>39549.294907407406</v>
      </c>
      <c r="BL2239">
        <v>11999</v>
      </c>
      <c r="BM2239">
        <v>1537167</v>
      </c>
      <c r="BN2239" t="s">
        <v>3236</v>
      </c>
      <c r="BO2239" s="17">
        <f t="shared" ca="1" si="34"/>
        <v>35.615563310188008</v>
      </c>
      <c r="BP2239" t="b">
        <v>0</v>
      </c>
      <c r="BQ2239">
        <v>1</v>
      </c>
      <c r="BR2239" t="s">
        <v>1667</v>
      </c>
      <c r="BS2239" t="s">
        <v>5939</v>
      </c>
      <c r="BT2239" t="b">
        <v>0</v>
      </c>
      <c r="BV2239" t="s">
        <v>1668</v>
      </c>
      <c r="BW2239">
        <v>3303</v>
      </c>
      <c r="BX2239" t="s">
        <v>1738</v>
      </c>
      <c r="BY2239">
        <v>417812</v>
      </c>
      <c r="BZ2239" t="s">
        <v>5943</v>
      </c>
      <c r="CA2239">
        <v>1</v>
      </c>
      <c r="CB2239" t="b">
        <v>1</v>
      </c>
      <c r="CC2239">
        <v>0</v>
      </c>
      <c r="CD2239" t="b">
        <v>0</v>
      </c>
      <c r="CE2239" t="b">
        <v>0</v>
      </c>
      <c r="CF2239" t="b">
        <v>0</v>
      </c>
      <c r="CG2239">
        <v>2971736</v>
      </c>
      <c r="CH2239" t="s">
        <v>1681</v>
      </c>
      <c r="CI2239" s="10">
        <v>599950</v>
      </c>
      <c r="CJ2239" s="7">
        <v>38188</v>
      </c>
    </row>
    <row r="2240" spans="1:88">
      <c r="A2240">
        <v>28040033</v>
      </c>
      <c r="B2240" s="2" t="str">
        <f>HYPERLINK("http://www.redfin.com/stingray/do/printable-listing?listing-id=1537275","Active")</f>
        <v>Active</v>
      </c>
      <c r="D2240" t="s">
        <v>226</v>
      </c>
      <c r="E2240" t="s">
        <v>1535</v>
      </c>
      <c r="F2240">
        <v>499950</v>
      </c>
      <c r="G2240">
        <v>1926</v>
      </c>
      <c r="H2240">
        <v>1540</v>
      </c>
      <c r="I2240">
        <v>4284</v>
      </c>
      <c r="J2240">
        <v>3</v>
      </c>
      <c r="K2240">
        <v>1.75</v>
      </c>
      <c r="M2240" s="2" t="str">
        <f>HYPERLINK("http://maps.live.com/default.aspx?v=2&amp;lvl=15&amp;sp=Point.47.668835_-122.324174_330 NE 55th St&amp;cp=47.668835~-122.324174","Map")</f>
        <v>Map</v>
      </c>
      <c r="N2240" s="2" t="str">
        <f>HYPERLINK("http://i-0.rfimg.us/photo/1/bigphoto/033/28040033_0.jpg","Photo")</f>
        <v>Photo</v>
      </c>
      <c r="AG2240">
        <v>47.668835000000001</v>
      </c>
      <c r="AH2240">
        <v>-122.324174</v>
      </c>
      <c r="AI2240" t="s">
        <v>66</v>
      </c>
      <c r="AJ2240">
        <v>98105</v>
      </c>
      <c r="AN2240">
        <v>300000</v>
      </c>
      <c r="BC2240" s="22">
        <v>39513.709421296298</v>
      </c>
      <c r="BI2240" s="22">
        <v>39549.294907407406</v>
      </c>
      <c r="BL2240">
        <v>9999</v>
      </c>
      <c r="BM2240">
        <v>1537275</v>
      </c>
      <c r="BN2240" t="s">
        <v>1737</v>
      </c>
      <c r="BO2240" s="17">
        <f t="shared" ca="1" si="34"/>
        <v>35.599984722219233</v>
      </c>
      <c r="BP2240" t="b">
        <v>0</v>
      </c>
      <c r="BQ2240">
        <v>1</v>
      </c>
      <c r="BR2240" t="s">
        <v>1686</v>
      </c>
      <c r="BS2240" t="s">
        <v>2514</v>
      </c>
      <c r="BT2240" t="b">
        <v>0</v>
      </c>
      <c r="BU2240" t="s">
        <v>1738</v>
      </c>
      <c r="BV2240" t="s">
        <v>1668</v>
      </c>
      <c r="BW2240">
        <v>330</v>
      </c>
      <c r="BY2240">
        <v>305517</v>
      </c>
      <c r="BZ2240" t="s">
        <v>1672</v>
      </c>
      <c r="CA2240">
        <v>1</v>
      </c>
      <c r="CB2240" t="b">
        <v>1</v>
      </c>
      <c r="CC2240">
        <v>0</v>
      </c>
      <c r="CD2240" t="b">
        <v>0</v>
      </c>
      <c r="CE2240" t="b">
        <v>0</v>
      </c>
      <c r="CF2240" t="b">
        <v>0</v>
      </c>
      <c r="CG2240">
        <v>2965101</v>
      </c>
      <c r="CH2240" t="s">
        <v>1681</v>
      </c>
      <c r="CI2240" s="10">
        <v>499950</v>
      </c>
      <c r="CJ2240" s="7">
        <v>38260</v>
      </c>
    </row>
    <row r="2241" spans="1:90">
      <c r="A2241">
        <v>28040038</v>
      </c>
      <c r="B2241" s="2" t="str">
        <f>HYPERLINK("http://www.redfin.com/stingray/do/printable-listing?listing-id=1544408","Active")</f>
        <v>Active</v>
      </c>
      <c r="D2241" t="s">
        <v>3721</v>
      </c>
      <c r="E2241" t="s">
        <v>4108</v>
      </c>
      <c r="F2241" s="19">
        <v>2495000</v>
      </c>
      <c r="G2241">
        <v>2007</v>
      </c>
      <c r="H2241">
        <v>4800</v>
      </c>
      <c r="I2241">
        <v>9097</v>
      </c>
      <c r="J2241">
        <v>6</v>
      </c>
      <c r="K2241">
        <v>4.5</v>
      </c>
      <c r="M2241" s="2" t="str">
        <f>HYPERLINK("http://maps.live.com/default.aspx?v=2&amp;lvl=15&amp;sp=Point.47.625904_-122.290536_628 32nd Ave E&amp;cp=47.625904~-122.290536","Map")</f>
        <v>Map</v>
      </c>
      <c r="N2241" s="2" t="str">
        <f>HYPERLINK("http://i-0.rfimg.us/photo/1/bigphoto/038/28040038_2.jpg","Photo")</f>
        <v>Photo</v>
      </c>
      <c r="AG2241">
        <v>47.625903999999998</v>
      </c>
      <c r="AH2241">
        <v>-122.290536</v>
      </c>
      <c r="AI2241" t="s">
        <v>66</v>
      </c>
      <c r="AJ2241">
        <v>98112</v>
      </c>
      <c r="AN2241">
        <v>480000</v>
      </c>
      <c r="BC2241" s="22">
        <v>39516.692696759259</v>
      </c>
      <c r="BI2241" s="22">
        <v>39549.294907407406</v>
      </c>
      <c r="BL2241">
        <v>55000</v>
      </c>
      <c r="BM2241">
        <v>1544408</v>
      </c>
      <c r="BN2241" t="s">
        <v>1710</v>
      </c>
      <c r="BO2241" s="17">
        <f t="shared" ca="1" si="34"/>
        <v>32.616709143519984</v>
      </c>
      <c r="BP2241" t="b">
        <v>0</v>
      </c>
      <c r="BQ2241">
        <v>1</v>
      </c>
      <c r="BR2241" t="s">
        <v>1667</v>
      </c>
      <c r="BS2241" t="s">
        <v>1733</v>
      </c>
      <c r="BT2241" t="b">
        <v>0</v>
      </c>
      <c r="BV2241" t="s">
        <v>1668</v>
      </c>
      <c r="BW2241">
        <v>628</v>
      </c>
      <c r="BX2241" t="s">
        <v>2436</v>
      </c>
      <c r="BY2241">
        <v>139841</v>
      </c>
      <c r="BZ2241" t="s">
        <v>2016</v>
      </c>
      <c r="CA2241">
        <v>1</v>
      </c>
      <c r="CB2241" t="b">
        <v>1</v>
      </c>
      <c r="CC2241">
        <v>0</v>
      </c>
      <c r="CD2241" t="b">
        <v>0</v>
      </c>
      <c r="CE2241" t="b">
        <v>0</v>
      </c>
      <c r="CF2241" t="b">
        <v>0</v>
      </c>
      <c r="CG2241">
        <v>2779094</v>
      </c>
      <c r="CH2241" t="s">
        <v>1681</v>
      </c>
      <c r="CI2241" s="10">
        <v>2750000</v>
      </c>
      <c r="CJ2241" s="7">
        <v>38688</v>
      </c>
    </row>
    <row r="2242" spans="1:90">
      <c r="A2242">
        <v>28040043</v>
      </c>
      <c r="B2242" s="2" t="str">
        <f>HYPERLINK("http://www.redfin.com/stingray/do/printable-listing?listing-id=1539251","Active")</f>
        <v>Active</v>
      </c>
      <c r="D2242" t="s">
        <v>63</v>
      </c>
      <c r="E2242" t="s">
        <v>1726</v>
      </c>
      <c r="F2242" s="19">
        <v>485000</v>
      </c>
      <c r="G2242">
        <v>1941</v>
      </c>
      <c r="H2242">
        <v>2060</v>
      </c>
      <c r="I2242">
        <v>5700</v>
      </c>
      <c r="J2242">
        <v>3</v>
      </c>
      <c r="K2242">
        <v>2</v>
      </c>
      <c r="M2242" s="2" t="str">
        <f>HYPERLINK("http://maps.live.com/default.aspx?v=2&amp;lvl=15&amp;sp=Point.47.685729_-122.366421_7809 8th Ave NW&amp;cp=47.685729~-122.366421","Map")</f>
        <v>Map</v>
      </c>
      <c r="N2242" s="2" t="str">
        <f>HYPERLINK("http://i-0.rfimg.us/photo/1/bigphoto/043/28040043_0.jpg","Photo")</f>
        <v>Photo</v>
      </c>
      <c r="AG2242">
        <v>47.685729000000002</v>
      </c>
      <c r="AH2242">
        <v>-122.366421</v>
      </c>
      <c r="AI2242" t="s">
        <v>66</v>
      </c>
      <c r="AJ2242">
        <v>98117</v>
      </c>
      <c r="AN2242">
        <v>115601</v>
      </c>
      <c r="BC2242" s="22">
        <v>39514.410694444443</v>
      </c>
      <c r="BI2242" s="22">
        <v>39549.294907407406</v>
      </c>
      <c r="BL2242">
        <v>10000</v>
      </c>
      <c r="BM2242">
        <v>1539251</v>
      </c>
      <c r="BN2242" t="s">
        <v>1725</v>
      </c>
      <c r="BO2242" s="17">
        <f t="shared" ref="BO2242:BO2305" ca="1" si="35">NOW()-BC2242</f>
        <v>34.898711574074696</v>
      </c>
      <c r="BP2242" t="b">
        <v>0</v>
      </c>
      <c r="BQ2242">
        <v>1</v>
      </c>
      <c r="BR2242" t="s">
        <v>1667</v>
      </c>
      <c r="BS2242" t="s">
        <v>1723</v>
      </c>
      <c r="BT2242" t="b">
        <v>0</v>
      </c>
      <c r="BV2242" t="s">
        <v>1668</v>
      </c>
      <c r="BW2242">
        <v>7809</v>
      </c>
      <c r="BX2242" t="s">
        <v>1669</v>
      </c>
      <c r="BY2242">
        <v>495006</v>
      </c>
      <c r="BZ2242" t="s">
        <v>1670</v>
      </c>
      <c r="CA2242">
        <v>1</v>
      </c>
      <c r="CB2242" t="b">
        <v>1</v>
      </c>
      <c r="CC2242">
        <v>0</v>
      </c>
      <c r="CD2242" t="b">
        <v>0</v>
      </c>
      <c r="CE2242" t="b">
        <v>1</v>
      </c>
      <c r="CF2242" t="b">
        <v>0</v>
      </c>
      <c r="CG2242">
        <v>2928047</v>
      </c>
      <c r="CH2242" t="s">
        <v>1681</v>
      </c>
      <c r="CI2242" s="10">
        <v>500000</v>
      </c>
      <c r="CJ2242" s="7">
        <v>38699</v>
      </c>
    </row>
    <row r="2243" spans="1:90">
      <c r="A2243">
        <v>28040045</v>
      </c>
      <c r="B2243" s="2" t="str">
        <f>HYPERLINK("http://www.redfin.com/stingray/do/printable-listing?listing-id=1537314","Active")</f>
        <v>Active</v>
      </c>
      <c r="D2243" t="s">
        <v>4663</v>
      </c>
      <c r="E2243" t="s">
        <v>4923</v>
      </c>
      <c r="F2243">
        <v>509950</v>
      </c>
      <c r="G2243">
        <v>1959</v>
      </c>
      <c r="H2243">
        <v>0</v>
      </c>
      <c r="I2243">
        <v>14440</v>
      </c>
      <c r="J2243">
        <v>4</v>
      </c>
      <c r="K2243">
        <v>2.5</v>
      </c>
      <c r="M2243" s="2" t="str">
        <f>HYPERLINK("http://maps.live.com/default.aspx?v=2&amp;lvl=15&amp;sp=Point.47.661542_-122.176734_12216 NE 61st St&amp;cp=47.661542~-122.176734","Map")</f>
        <v>Map</v>
      </c>
      <c r="N2243" s="2" t="str">
        <f>HYPERLINK("http://i-0.rfimg.us/photo/1/bigphoto/045/28040045_3.jpg","Photo")</f>
        <v>Photo</v>
      </c>
      <c r="AG2243">
        <v>47.661541999999997</v>
      </c>
      <c r="AH2243">
        <v>-122.176734</v>
      </c>
      <c r="AI2243" t="s">
        <v>1058</v>
      </c>
      <c r="AJ2243">
        <v>98033</v>
      </c>
      <c r="BC2243" s="22">
        <v>39513.715520833335</v>
      </c>
      <c r="BI2243" s="22">
        <v>39549.294907407406</v>
      </c>
      <c r="BL2243">
        <v>10199</v>
      </c>
      <c r="BM2243">
        <v>1537314</v>
      </c>
      <c r="BN2243" t="s">
        <v>1688</v>
      </c>
      <c r="BO2243" s="17">
        <f t="shared" ca="1" si="35"/>
        <v>35.593885069443786</v>
      </c>
      <c r="BP2243" t="b">
        <v>0</v>
      </c>
      <c r="BQ2243">
        <v>1</v>
      </c>
      <c r="BR2243" t="s">
        <v>1686</v>
      </c>
      <c r="BS2243" t="s">
        <v>2431</v>
      </c>
      <c r="BT2243" t="b">
        <v>0</v>
      </c>
      <c r="BU2243" t="s">
        <v>1738</v>
      </c>
      <c r="BV2243" t="s">
        <v>1668</v>
      </c>
      <c r="BW2243">
        <v>12216</v>
      </c>
      <c r="BY2243">
        <v>516296</v>
      </c>
      <c r="BZ2243" t="s">
        <v>4924</v>
      </c>
      <c r="CA2243">
        <v>1</v>
      </c>
      <c r="CB2243" t="b">
        <v>1</v>
      </c>
      <c r="CC2243">
        <v>0</v>
      </c>
      <c r="CD2243" t="b">
        <v>0</v>
      </c>
      <c r="CE2243" t="b">
        <v>0</v>
      </c>
      <c r="CF2243" t="b">
        <v>0</v>
      </c>
      <c r="CG2243">
        <v>2579332</v>
      </c>
      <c r="CH2243" t="s">
        <v>1681</v>
      </c>
      <c r="CI2243" s="10">
        <v>509950</v>
      </c>
    </row>
    <row r="2244" spans="1:90">
      <c r="A2244">
        <v>28040066</v>
      </c>
      <c r="B2244" s="15" t="str">
        <f>HYPERLINK("http://www.redfin.com/stingray/do/printable-listing?listing-id=1537441","Subject To Inspection")</f>
        <v>Subject To Inspection</v>
      </c>
      <c r="D2244" t="s">
        <v>100</v>
      </c>
      <c r="E2244" t="s">
        <v>3292</v>
      </c>
      <c r="F2244">
        <v>499950</v>
      </c>
      <c r="G2244">
        <v>2008</v>
      </c>
      <c r="H2244">
        <v>1364</v>
      </c>
      <c r="I2244">
        <v>0</v>
      </c>
      <c r="J2244">
        <v>3</v>
      </c>
      <c r="K2244">
        <v>2.75</v>
      </c>
      <c r="M2244" s="2" t="str">
        <f>HYPERLINK("http://maps.live.com/default.aspx?v=2&amp;lvl=15&amp;sp=Point.47.653723_-122.356268_3634 Palatine Ave N&amp;cp=47.653723~-122.356268","Map")</f>
        <v>Map</v>
      </c>
      <c r="N2244" s="2" t="str">
        <f>HYPERLINK("http://i-0.rfimg.us/photo/1/bigphoto/066/28040066_1.jpg","Photo")</f>
        <v>Photo</v>
      </c>
      <c r="AG2244" s="19">
        <v>47.653241000000001</v>
      </c>
      <c r="AH2244" s="19">
        <v>-122.35639500000001</v>
      </c>
      <c r="AI2244" t="s">
        <v>66</v>
      </c>
      <c r="AJ2244">
        <v>98107</v>
      </c>
      <c r="AN2244">
        <v>725000</v>
      </c>
      <c r="BC2244" s="22">
        <v>39513.745092592595</v>
      </c>
      <c r="BI2244" s="22">
        <v>39549.294907407406</v>
      </c>
      <c r="BL2244">
        <v>9999</v>
      </c>
      <c r="BM2244">
        <v>1537441</v>
      </c>
      <c r="BN2244" t="s">
        <v>1737</v>
      </c>
      <c r="BO2244" s="17">
        <f t="shared" ca="1" si="35"/>
        <v>35.564313310183934</v>
      </c>
      <c r="BP2244" t="b">
        <v>0</v>
      </c>
      <c r="BQ2244">
        <v>1</v>
      </c>
      <c r="BR2244" t="s">
        <v>1667</v>
      </c>
      <c r="BS2244" t="s">
        <v>2605</v>
      </c>
      <c r="BT2244" t="b">
        <v>0</v>
      </c>
      <c r="BV2244" t="s">
        <v>1668</v>
      </c>
      <c r="BW2244">
        <v>3634</v>
      </c>
      <c r="BX2244" t="s">
        <v>1712</v>
      </c>
      <c r="BY2244">
        <v>302720</v>
      </c>
      <c r="BZ2244" t="s">
        <v>3293</v>
      </c>
      <c r="CA2244">
        <v>1</v>
      </c>
      <c r="CB2244" t="b">
        <v>1</v>
      </c>
      <c r="CC2244">
        <v>0</v>
      </c>
      <c r="CD2244" t="b">
        <v>0</v>
      </c>
      <c r="CE2244" t="b">
        <v>0</v>
      </c>
      <c r="CF2244" t="b">
        <v>0</v>
      </c>
      <c r="CG2244">
        <v>2454723</v>
      </c>
      <c r="CH2244" t="s">
        <v>1681</v>
      </c>
      <c r="CI2244" s="10">
        <v>499950</v>
      </c>
      <c r="CJ2244" s="7">
        <v>38936</v>
      </c>
    </row>
    <row r="2245" spans="1:90">
      <c r="A2245">
        <v>28040067</v>
      </c>
      <c r="B2245" s="2" t="str">
        <f>HYPERLINK("http://www.redfin.com/stingray/do/printable-listing?listing-id=1544028","Active")</f>
        <v>Active</v>
      </c>
      <c r="D2245" t="s">
        <v>1969</v>
      </c>
      <c r="E2245" t="s">
        <v>1657</v>
      </c>
      <c r="F2245">
        <v>665000</v>
      </c>
      <c r="G2245">
        <v>1978</v>
      </c>
      <c r="H2245">
        <v>3500</v>
      </c>
      <c r="I2245">
        <v>13270</v>
      </c>
      <c r="J2245">
        <v>5</v>
      </c>
      <c r="K2245">
        <v>3</v>
      </c>
      <c r="M2245" s="2" t="str">
        <f>HYPERLINK("http://maps.live.com/default.aspx?v=2&amp;lvl=15&amp;sp=adr.Undisclosed,98177","Map")</f>
        <v>Map</v>
      </c>
      <c r="N2245" s="2" t="str">
        <f>HYPERLINK("http://i-0.rfimg.us/photo/1/bigphoto/067/28040067_1.jpg","Photo")</f>
        <v>Photo</v>
      </c>
      <c r="AI2245" t="s">
        <v>395</v>
      </c>
      <c r="AJ2245">
        <v>98177</v>
      </c>
      <c r="BC2245" s="22">
        <v>39516.421296296299</v>
      </c>
      <c r="BI2245" s="22">
        <v>39549.294907407406</v>
      </c>
      <c r="BL2245">
        <v>13300</v>
      </c>
      <c r="BM2245">
        <v>1544028</v>
      </c>
      <c r="BN2245" t="s">
        <v>1675</v>
      </c>
      <c r="BO2245" s="17">
        <f t="shared" ca="1" si="35"/>
        <v>32.88810972221836</v>
      </c>
      <c r="BP2245" t="b">
        <v>0</v>
      </c>
      <c r="BQ2245">
        <v>1</v>
      </c>
      <c r="BT2245" t="b">
        <v>1</v>
      </c>
      <c r="BV2245" t="s">
        <v>1668</v>
      </c>
      <c r="BY2245">
        <v>0</v>
      </c>
      <c r="BZ2245" t="s">
        <v>1679</v>
      </c>
      <c r="CA2245">
        <v>1</v>
      </c>
      <c r="CB2245" t="b">
        <v>1</v>
      </c>
      <c r="CC2245">
        <v>0</v>
      </c>
      <c r="CD2245" t="b">
        <v>0</v>
      </c>
      <c r="CE2245" t="b">
        <v>1</v>
      </c>
      <c r="CF2245" t="b">
        <v>0</v>
      </c>
      <c r="CG2245" t="s">
        <v>1870</v>
      </c>
      <c r="CH2245" t="s">
        <v>1681</v>
      </c>
      <c r="CI2245" s="10">
        <v>665000</v>
      </c>
    </row>
    <row r="2246" spans="1:90">
      <c r="A2246">
        <v>28040106</v>
      </c>
      <c r="B2246" s="2" t="str">
        <f>HYPERLINK("http://www.redfin.com/stingray/do/printable-listing?listing-id=1540747","Active")</f>
        <v>Active</v>
      </c>
      <c r="D2246" t="s">
        <v>4542</v>
      </c>
      <c r="E2246" t="s">
        <v>4700</v>
      </c>
      <c r="F2246">
        <v>1234950</v>
      </c>
      <c r="G2246">
        <v>2007</v>
      </c>
      <c r="H2246">
        <v>3585</v>
      </c>
      <c r="I2246">
        <v>5934</v>
      </c>
      <c r="J2246">
        <v>4</v>
      </c>
      <c r="K2246">
        <v>3.5</v>
      </c>
      <c r="M2246" s="2" t="str">
        <f>HYPERLINK("http://maps.live.com/default.aspx?v=2&amp;lvl=15&amp;sp=Point.47.685721_-122.198052_1224 5TH Pl&amp;cp=47.685721~-122.198052","Map")</f>
        <v>Map</v>
      </c>
      <c r="N2246" s="2" t="str">
        <f>HYPERLINK("http://i-0.rfimg.us/photo/1/bigphoto/106/28040106_0.jpg","Photo")</f>
        <v>Photo</v>
      </c>
      <c r="AG2246">
        <v>47.685721000000001</v>
      </c>
      <c r="AH2246">
        <v>-122.198052</v>
      </c>
      <c r="AI2246" t="s">
        <v>1058</v>
      </c>
      <c r="AJ2246">
        <v>98033</v>
      </c>
      <c r="AN2246">
        <v>470000</v>
      </c>
      <c r="BC2246" s="22">
        <v>39514.65347222222</v>
      </c>
      <c r="BI2246" s="7">
        <v>39533</v>
      </c>
      <c r="BL2246">
        <v>24699</v>
      </c>
      <c r="BM2246">
        <v>1540747</v>
      </c>
      <c r="BN2246" t="s">
        <v>3028</v>
      </c>
      <c r="BO2246" s="17">
        <f t="shared" ca="1" si="35"/>
        <v>34.655933680558519</v>
      </c>
      <c r="BP2246" t="b">
        <v>0</v>
      </c>
      <c r="BQ2246">
        <v>1</v>
      </c>
      <c r="BR2246" t="s">
        <v>1842</v>
      </c>
      <c r="BS2246" t="s">
        <v>4701</v>
      </c>
      <c r="BT2246" t="b">
        <v>0</v>
      </c>
      <c r="BV2246" t="s">
        <v>1668</v>
      </c>
      <c r="BW2246">
        <v>1224</v>
      </c>
      <c r="BY2246">
        <v>462159</v>
      </c>
      <c r="BZ2246" t="s">
        <v>1672</v>
      </c>
      <c r="CA2246">
        <v>1</v>
      </c>
      <c r="CB2246" t="b">
        <v>1</v>
      </c>
      <c r="CC2246">
        <v>0</v>
      </c>
      <c r="CD2246" t="b">
        <v>0</v>
      </c>
      <c r="CE2246" t="b">
        <v>0</v>
      </c>
      <c r="CF2246" t="b">
        <v>0</v>
      </c>
      <c r="CG2246">
        <v>2872846</v>
      </c>
      <c r="CH2246" t="s">
        <v>1681</v>
      </c>
      <c r="CI2246" s="10">
        <v>1234950</v>
      </c>
      <c r="CJ2246" s="7">
        <v>38792</v>
      </c>
    </row>
    <row r="2247" spans="1:90">
      <c r="A2247">
        <v>28040144</v>
      </c>
      <c r="B2247" s="2" t="str">
        <f>HYPERLINK("http://www.redfin.com/stingray/do/printable-listing?listing-id=1538055","Active")</f>
        <v>Active</v>
      </c>
      <c r="D2247" t="s">
        <v>5281</v>
      </c>
      <c r="E2247" t="s">
        <v>5864</v>
      </c>
      <c r="F2247" s="19">
        <v>749950</v>
      </c>
      <c r="G2247">
        <v>1979</v>
      </c>
      <c r="H2247">
        <v>2700</v>
      </c>
      <c r="I2247">
        <v>7412</v>
      </c>
      <c r="J2247">
        <v>4</v>
      </c>
      <c r="K2247">
        <v>2.5</v>
      </c>
      <c r="M2247" s="2" t="str">
        <f>HYPERLINK("http://maps.live.com/default.aspx?v=2&amp;lvl=15&amp;sp=Point.47.563116_-122.082395_4561 193rd Pl SE&amp;cp=47.563116~-122.082395","Map")</f>
        <v>Map</v>
      </c>
      <c r="N2247" s="2" t="str">
        <f>HYPERLINK("http://i-0.rfimg.us/photo/1/bigphoto/144/28040144_0.jpg","Photo")</f>
        <v>Photo</v>
      </c>
      <c r="AG2247">
        <v>47.563116000000001</v>
      </c>
      <c r="AH2247">
        <v>-122.08239500000001</v>
      </c>
      <c r="AI2247" t="s">
        <v>5280</v>
      </c>
      <c r="AJ2247">
        <v>98027</v>
      </c>
      <c r="AN2247">
        <v>725000</v>
      </c>
      <c r="BC2247" s="22">
        <v>39514.344907407409</v>
      </c>
      <c r="BI2247" s="22">
        <v>39549.294907407406</v>
      </c>
      <c r="BL2247">
        <v>15500</v>
      </c>
      <c r="BM2247">
        <v>1538055</v>
      </c>
      <c r="BN2247" t="s">
        <v>1674</v>
      </c>
      <c r="BO2247" s="17">
        <f t="shared" ca="1" si="35"/>
        <v>34.964498495370208</v>
      </c>
      <c r="BP2247" t="b">
        <v>0</v>
      </c>
      <c r="BQ2247">
        <v>1</v>
      </c>
      <c r="BR2247" t="s">
        <v>1842</v>
      </c>
      <c r="BS2247" t="s">
        <v>5608</v>
      </c>
      <c r="BT2247" t="b">
        <v>0</v>
      </c>
      <c r="BV2247" t="s">
        <v>1668</v>
      </c>
      <c r="BW2247">
        <v>4561</v>
      </c>
      <c r="BX2247" t="s">
        <v>3856</v>
      </c>
      <c r="BY2247">
        <v>327435</v>
      </c>
      <c r="BZ2247" t="s">
        <v>1672</v>
      </c>
      <c r="CA2247">
        <v>1</v>
      </c>
      <c r="CB2247" t="b">
        <v>1</v>
      </c>
      <c r="CC2247">
        <v>0</v>
      </c>
      <c r="CD2247" t="b">
        <v>0</v>
      </c>
      <c r="CE2247" t="b">
        <v>0</v>
      </c>
      <c r="CF2247" t="b">
        <v>0</v>
      </c>
      <c r="CG2247">
        <v>2886508</v>
      </c>
      <c r="CH2247" t="s">
        <v>1681</v>
      </c>
      <c r="CI2247" s="10">
        <v>775000</v>
      </c>
      <c r="CJ2247" s="7">
        <v>38820</v>
      </c>
    </row>
    <row r="2248" spans="1:90">
      <c r="A2248">
        <v>28040145</v>
      </c>
      <c r="B2248" s="2" t="str">
        <f>HYPERLINK("http://www.redfin.com/stingray/do/printable-listing?listing-id=1539381","Active")</f>
        <v>Active</v>
      </c>
      <c r="D2248" t="s">
        <v>192</v>
      </c>
      <c r="E2248" t="s">
        <v>2182</v>
      </c>
      <c r="F2248">
        <v>375000</v>
      </c>
      <c r="G2248">
        <v>1938</v>
      </c>
      <c r="H2248">
        <v>1420</v>
      </c>
      <c r="I2248">
        <v>0</v>
      </c>
      <c r="J2248">
        <v>2</v>
      </c>
      <c r="K2248">
        <v>1</v>
      </c>
      <c r="M2248" s="2" t="str">
        <f>HYPERLINK("http://maps.live.com/default.aspx?v=2&amp;lvl=15&amp;sp=Point.47.699486_-122.30716_9701 20th Ave NE&amp;cp=47.699486~-122.30716","Map")</f>
        <v>Map</v>
      </c>
      <c r="N2248" s="2" t="str">
        <f>HYPERLINK("http://i-0.rfimg.us/photo/1/bigphoto/145/28040145_2.jpg","Photo")</f>
        <v>Photo</v>
      </c>
      <c r="AG2248">
        <v>47.699486</v>
      </c>
      <c r="AH2248">
        <v>-122.30716</v>
      </c>
      <c r="AI2248" t="s">
        <v>66</v>
      </c>
      <c r="AJ2248">
        <v>98115</v>
      </c>
      <c r="AN2248">
        <v>178150</v>
      </c>
      <c r="BC2248" s="22">
        <v>39514.432060185187</v>
      </c>
      <c r="BI2248" s="22">
        <v>39549.294907407406</v>
      </c>
      <c r="BL2248">
        <v>7500</v>
      </c>
      <c r="BM2248">
        <v>1539381</v>
      </c>
      <c r="BN2248" t="s">
        <v>1702</v>
      </c>
      <c r="BO2248" s="17">
        <f t="shared" ca="1" si="35"/>
        <v>34.877345717592107</v>
      </c>
      <c r="BP2248" t="b">
        <v>0</v>
      </c>
      <c r="BQ2248">
        <v>1</v>
      </c>
      <c r="BR2248" t="s">
        <v>1667</v>
      </c>
      <c r="BS2248" t="s">
        <v>1844</v>
      </c>
      <c r="BT2248" t="b">
        <v>0</v>
      </c>
      <c r="BV2248" t="s">
        <v>1668</v>
      </c>
      <c r="BW2248">
        <v>9701</v>
      </c>
      <c r="BX2248" t="s">
        <v>1738</v>
      </c>
      <c r="BY2248">
        <v>108099</v>
      </c>
      <c r="BZ2248" t="s">
        <v>2916</v>
      </c>
      <c r="CA2248">
        <v>1</v>
      </c>
      <c r="CB2248" t="b">
        <v>1</v>
      </c>
      <c r="CC2248">
        <v>0</v>
      </c>
      <c r="CD2248" t="b">
        <v>0</v>
      </c>
      <c r="CE2248" t="b">
        <v>0</v>
      </c>
      <c r="CF2248" t="b">
        <v>0</v>
      </c>
      <c r="CG2248">
        <v>2496987</v>
      </c>
      <c r="CH2248" t="s">
        <v>1681</v>
      </c>
      <c r="CI2248" s="10">
        <v>375000</v>
      </c>
      <c r="CJ2248" s="7">
        <v>36460</v>
      </c>
      <c r="CL2248" t="s">
        <v>2325</v>
      </c>
    </row>
    <row r="2249" spans="1:90">
      <c r="A2249">
        <v>28040146</v>
      </c>
      <c r="B2249" s="15" t="str">
        <f>HYPERLINK("http://www.redfin.com/stingray/do/printable-listing?listing-id=1539370","Subject To Inspection")</f>
        <v>Subject To Inspection</v>
      </c>
      <c r="D2249" t="s">
        <v>4974</v>
      </c>
      <c r="E2249" t="s">
        <v>5026</v>
      </c>
      <c r="F2249" s="19">
        <v>879000</v>
      </c>
      <c r="G2249">
        <v>1953</v>
      </c>
      <c r="H2249">
        <v>1880</v>
      </c>
      <c r="I2249">
        <v>9260</v>
      </c>
      <c r="J2249">
        <v>3</v>
      </c>
      <c r="K2249">
        <v>2.25</v>
      </c>
      <c r="M2249" s="2" t="str">
        <f>HYPERLINK("http://maps.live.com/default.aspx?v=2&amp;lvl=15&amp;sp=Point.47.624859_-122.198512_10471 NE 17th St&amp;cp=47.624859~-122.198512","Map")</f>
        <v>Map</v>
      </c>
      <c r="N2249" s="2" t="str">
        <f>HYPERLINK("http://i-0.rfimg.us/photo/1/bigphoto/146/28040146_2.jpg","Photo")</f>
        <v>Photo</v>
      </c>
      <c r="AG2249">
        <v>47.624859000000001</v>
      </c>
      <c r="AH2249">
        <v>-122.19851199999999</v>
      </c>
      <c r="AI2249" t="s">
        <v>369</v>
      </c>
      <c r="AJ2249">
        <v>98004</v>
      </c>
      <c r="AN2249">
        <v>912000</v>
      </c>
      <c r="BC2249" s="22">
        <v>39514.432013888887</v>
      </c>
      <c r="BI2249" s="22">
        <v>39549.294907407406</v>
      </c>
      <c r="BL2249">
        <v>19960</v>
      </c>
      <c r="BM2249">
        <v>1539370</v>
      </c>
      <c r="BN2249" t="s">
        <v>1768</v>
      </c>
      <c r="BO2249" s="17">
        <f t="shared" ca="1" si="35"/>
        <v>34.877392013891949</v>
      </c>
      <c r="BP2249" t="b">
        <v>0</v>
      </c>
      <c r="BQ2249">
        <v>1</v>
      </c>
      <c r="BR2249" t="s">
        <v>1686</v>
      </c>
      <c r="BS2249" t="s">
        <v>1683</v>
      </c>
      <c r="BT2249" t="b">
        <v>0</v>
      </c>
      <c r="BU2249" t="s">
        <v>1738</v>
      </c>
      <c r="BV2249" t="s">
        <v>1668</v>
      </c>
      <c r="BW2249">
        <v>10471</v>
      </c>
      <c r="BY2249">
        <v>505967</v>
      </c>
      <c r="BZ2249" t="s">
        <v>5027</v>
      </c>
      <c r="CA2249">
        <v>1</v>
      </c>
      <c r="CB2249" t="b">
        <v>1</v>
      </c>
      <c r="CC2249">
        <v>0</v>
      </c>
      <c r="CD2249" t="b">
        <v>0</v>
      </c>
      <c r="CE2249" t="b">
        <v>0</v>
      </c>
      <c r="CF2249" t="b">
        <v>0</v>
      </c>
      <c r="CG2249">
        <v>2401533</v>
      </c>
      <c r="CH2249" t="s">
        <v>1681</v>
      </c>
      <c r="CI2249" s="10">
        <v>998000</v>
      </c>
      <c r="CJ2249" s="7">
        <v>39149</v>
      </c>
    </row>
    <row r="2250" spans="1:90">
      <c r="A2250">
        <v>28040151</v>
      </c>
      <c r="B2250" s="2" t="str">
        <f>HYPERLINK("http://www.redfin.com/stingray/do/printable-listing?listing-id=1539286","Active")</f>
        <v>Active</v>
      </c>
      <c r="D2250" t="s">
        <v>5565</v>
      </c>
      <c r="E2250" t="s">
        <v>5825</v>
      </c>
      <c r="F2250" s="19">
        <v>429000</v>
      </c>
      <c r="G2250">
        <v>1955</v>
      </c>
      <c r="H2250">
        <v>0</v>
      </c>
      <c r="I2250">
        <v>17300</v>
      </c>
      <c r="J2250">
        <v>4</v>
      </c>
      <c r="K2250">
        <v>1.75</v>
      </c>
      <c r="M2250" s="2" t="str">
        <f>HYPERLINK("http://maps.live.com/default.aspx?v=2&amp;lvl=15&amp;sp=Point.47.565695_-122.181833_4465 Lake Heights St&amp;cp=47.565695~-122.181833","Map")</f>
        <v>Map</v>
      </c>
      <c r="N2250" s="2" t="str">
        <f>HYPERLINK("http://i-0.rfimg.us/photo/1/bigphoto/151/28040151_0.jpg","Photo")</f>
        <v>Photo</v>
      </c>
      <c r="AG2250">
        <v>47.565694999999998</v>
      </c>
      <c r="AH2250">
        <v>-122.181833</v>
      </c>
      <c r="AI2250" t="s">
        <v>369</v>
      </c>
      <c r="AJ2250">
        <v>98006</v>
      </c>
      <c r="AN2250">
        <v>375000</v>
      </c>
      <c r="BC2250" s="22">
        <v>39514.421967592592</v>
      </c>
      <c r="BI2250" s="22">
        <v>39549.294907407406</v>
      </c>
      <c r="BL2250">
        <v>8980</v>
      </c>
      <c r="BM2250">
        <v>1539286</v>
      </c>
      <c r="BN2250" t="s">
        <v>1768</v>
      </c>
      <c r="BO2250" s="17">
        <f t="shared" ca="1" si="35"/>
        <v>34.887438310186553</v>
      </c>
      <c r="BP2250" t="b">
        <v>0</v>
      </c>
      <c r="BQ2250">
        <v>1</v>
      </c>
      <c r="BR2250" t="s">
        <v>1686</v>
      </c>
      <c r="BS2250" t="s">
        <v>5826</v>
      </c>
      <c r="BT2250" t="b">
        <v>0</v>
      </c>
      <c r="BV2250" t="s">
        <v>1668</v>
      </c>
      <c r="BW2250">
        <v>4465</v>
      </c>
      <c r="BY2250">
        <v>415469</v>
      </c>
      <c r="BZ2250" s="21">
        <v>0</v>
      </c>
      <c r="CA2250">
        <v>1</v>
      </c>
      <c r="CB2250" t="b">
        <v>1</v>
      </c>
      <c r="CC2250">
        <v>0</v>
      </c>
      <c r="CD2250" t="b">
        <v>0</v>
      </c>
      <c r="CE2250" t="b">
        <v>0</v>
      </c>
      <c r="CF2250" t="b">
        <v>0</v>
      </c>
      <c r="CG2250">
        <v>2380490</v>
      </c>
      <c r="CH2250" t="s">
        <v>1681</v>
      </c>
      <c r="CI2250" s="10">
        <v>449000</v>
      </c>
      <c r="CJ2250" s="7">
        <v>38625</v>
      </c>
    </row>
    <row r="2251" spans="1:90">
      <c r="A2251">
        <v>28040153</v>
      </c>
      <c r="B2251" s="2" t="str">
        <f>HYPERLINK("http://www.redfin.com/stingray/do/printable-listing?listing-id=1538008","Active")</f>
        <v>Active</v>
      </c>
      <c r="D2251" t="s">
        <v>3885</v>
      </c>
      <c r="E2251" t="s">
        <v>5642</v>
      </c>
      <c r="F2251">
        <v>845000</v>
      </c>
      <c r="G2251">
        <v>2003</v>
      </c>
      <c r="H2251">
        <v>3350</v>
      </c>
      <c r="I2251">
        <v>7200</v>
      </c>
      <c r="J2251">
        <v>4</v>
      </c>
      <c r="K2251">
        <v>3.75</v>
      </c>
      <c r="M2251" s="2" t="str">
        <f>HYPERLINK("http://maps.live.com/default.aspx?v=2&amp;lvl=15&amp;sp=Point.47.539193_-122.158796_7006 135th Pl SE&amp;cp=47.539193~-122.158796","Map")</f>
        <v>Map</v>
      </c>
      <c r="N2251" s="2" t="str">
        <f>HYPERLINK("http://i-0.rfimg.us/photo/1/bigphoto/153/28040153_3.jpg","Photo")</f>
        <v>Photo</v>
      </c>
      <c r="AG2251">
        <v>47.539192999999997</v>
      </c>
      <c r="AH2251">
        <v>-122.158796</v>
      </c>
      <c r="AI2251" t="s">
        <v>3885</v>
      </c>
      <c r="AJ2251">
        <v>98059</v>
      </c>
      <c r="AN2251">
        <v>779900</v>
      </c>
      <c r="BC2251" s="22">
        <v>39514.344594907408</v>
      </c>
      <c r="BI2251" s="22">
        <v>39549.294907407406</v>
      </c>
      <c r="BL2251">
        <v>16900</v>
      </c>
      <c r="BM2251">
        <v>1538008</v>
      </c>
      <c r="BN2251" t="s">
        <v>4202</v>
      </c>
      <c r="BO2251" s="17">
        <f t="shared" ca="1" si="35"/>
        <v>34.964810995370499</v>
      </c>
      <c r="BP2251" t="b">
        <v>0</v>
      </c>
      <c r="BQ2251">
        <v>1</v>
      </c>
      <c r="BR2251" t="s">
        <v>1842</v>
      </c>
      <c r="BS2251" t="s">
        <v>3909</v>
      </c>
      <c r="BT2251" t="b">
        <v>0</v>
      </c>
      <c r="BV2251" t="s">
        <v>1668</v>
      </c>
      <c r="BW2251">
        <v>7006</v>
      </c>
      <c r="BX2251" t="s">
        <v>3856</v>
      </c>
      <c r="BY2251">
        <v>416420</v>
      </c>
      <c r="BZ2251" t="s">
        <v>5643</v>
      </c>
      <c r="CA2251">
        <v>1</v>
      </c>
      <c r="CB2251" t="b">
        <v>1</v>
      </c>
      <c r="CC2251">
        <v>0</v>
      </c>
      <c r="CD2251" t="b">
        <v>0</v>
      </c>
      <c r="CE2251" t="b">
        <v>0</v>
      </c>
      <c r="CF2251" t="b">
        <v>0</v>
      </c>
      <c r="CG2251">
        <v>2704099</v>
      </c>
      <c r="CH2251" t="s">
        <v>1681</v>
      </c>
      <c r="CI2251" s="10">
        <v>845000</v>
      </c>
      <c r="CJ2251" s="7">
        <v>38205</v>
      </c>
    </row>
    <row r="2252" spans="1:90">
      <c r="A2252">
        <v>28040162</v>
      </c>
      <c r="B2252" s="2" t="str">
        <f>HYPERLINK("http://www.redfin.com/stingray/do/printable-listing?listing-id=1538006","Active")</f>
        <v>Active</v>
      </c>
      <c r="D2252" t="s">
        <v>3739</v>
      </c>
      <c r="E2252" t="s">
        <v>3790</v>
      </c>
      <c r="F2252">
        <v>875000</v>
      </c>
      <c r="G2252">
        <v>1906</v>
      </c>
      <c r="H2252">
        <v>4510</v>
      </c>
      <c r="I2252">
        <v>0</v>
      </c>
      <c r="J2252">
        <v>5</v>
      </c>
      <c r="K2252">
        <v>2.5</v>
      </c>
      <c r="M2252" s="2" t="str">
        <f>HYPERLINK("http://maps.live.com/default.aspx?v=2&amp;lvl=15&amp;sp=Point.47.645209_-122.321731_2722 Harvard Ave E&amp;cp=47.645209~-122.321731","Map")</f>
        <v>Map</v>
      </c>
      <c r="N2252" s="2" t="str">
        <f>HYPERLINK("http://i-0.rfimg.us/photo/1/bigphoto/162/28040162_0.jpg","Photo")</f>
        <v>Photo</v>
      </c>
      <c r="AG2252">
        <v>47.645209000000001</v>
      </c>
      <c r="AH2252">
        <v>-122.321731</v>
      </c>
      <c r="AI2252" t="s">
        <v>66</v>
      </c>
      <c r="AJ2252">
        <v>98102</v>
      </c>
      <c r="AN2252">
        <v>419000</v>
      </c>
      <c r="BC2252" s="22">
        <v>39514.344560185185</v>
      </c>
      <c r="BI2252" s="22">
        <v>39549.294907407406</v>
      </c>
      <c r="BL2252">
        <v>17500</v>
      </c>
      <c r="BM2252">
        <v>1538006</v>
      </c>
      <c r="BN2252" t="s">
        <v>1674</v>
      </c>
      <c r="BO2252" s="17">
        <f t="shared" ca="1" si="35"/>
        <v>34.964845717593562</v>
      </c>
      <c r="BP2252" t="b">
        <v>0</v>
      </c>
      <c r="BQ2252">
        <v>1</v>
      </c>
      <c r="BR2252" t="s">
        <v>1667</v>
      </c>
      <c r="BS2252" t="s">
        <v>3737</v>
      </c>
      <c r="BT2252" t="b">
        <v>0</v>
      </c>
      <c r="BV2252" t="s">
        <v>1668</v>
      </c>
      <c r="BW2252">
        <v>2722</v>
      </c>
      <c r="BX2252" t="s">
        <v>2436</v>
      </c>
      <c r="BY2252">
        <v>135481</v>
      </c>
      <c r="BZ2252" t="s">
        <v>1676</v>
      </c>
      <c r="CA2252">
        <v>1</v>
      </c>
      <c r="CB2252" t="b">
        <v>1</v>
      </c>
      <c r="CC2252">
        <v>0</v>
      </c>
      <c r="CD2252" t="b">
        <v>0</v>
      </c>
      <c r="CE2252" t="b">
        <v>0</v>
      </c>
      <c r="CF2252" t="b">
        <v>0</v>
      </c>
      <c r="CG2252">
        <v>2378930</v>
      </c>
      <c r="CH2252" t="s">
        <v>1681</v>
      </c>
      <c r="CI2252" s="10">
        <v>875000</v>
      </c>
      <c r="CJ2252" s="7">
        <v>36802</v>
      </c>
    </row>
    <row r="2253" spans="1:90">
      <c r="A2253">
        <v>28040174</v>
      </c>
      <c r="B2253" s="15" t="str">
        <f>HYPERLINK("http://www.redfin.com/stingray/do/printable-listing?listing-id=1551987","Subject To Inspection")</f>
        <v>Subject To Inspection</v>
      </c>
      <c r="D2253" t="s">
        <v>3704</v>
      </c>
      <c r="E2253" t="s">
        <v>4106</v>
      </c>
      <c r="F2253">
        <v>624950</v>
      </c>
      <c r="G2253">
        <v>2002</v>
      </c>
      <c r="H2253">
        <v>1440</v>
      </c>
      <c r="I2253">
        <v>0</v>
      </c>
      <c r="J2253">
        <v>3</v>
      </c>
      <c r="K2253">
        <v>2.5</v>
      </c>
      <c r="M2253" s="2" t="str">
        <f>HYPERLINK("http://maps.live.com/default.aspx?v=2&amp;lvl=15&amp;sp=Point.47.623331_-122.313395_510 Malden Ave E&amp;cp=47.623331~-122.313395","Map")</f>
        <v>Map</v>
      </c>
      <c r="N2253" s="2" t="str">
        <f>HYPERLINK("http://i-0.rfimg.us/photo/1/bigphoto/174/28040174_1.jpg","Photo")</f>
        <v>Photo</v>
      </c>
      <c r="AG2253">
        <v>47.623331</v>
      </c>
      <c r="AH2253">
        <v>-122.313395</v>
      </c>
      <c r="AI2253" t="s">
        <v>66</v>
      </c>
      <c r="AJ2253">
        <v>98112</v>
      </c>
      <c r="BC2253" s="22">
        <v>39519.36886574074</v>
      </c>
      <c r="BI2253" s="7">
        <v>39535</v>
      </c>
      <c r="BL2253">
        <v>12499</v>
      </c>
      <c r="BM2253">
        <v>1551987</v>
      </c>
      <c r="BN2253" t="s">
        <v>1715</v>
      </c>
      <c r="BO2253" s="17">
        <f t="shared" ca="1" si="35"/>
        <v>29.940540162038815</v>
      </c>
      <c r="BP2253" t="b">
        <v>0</v>
      </c>
      <c r="BQ2253">
        <v>1</v>
      </c>
      <c r="BR2253" t="s">
        <v>1667</v>
      </c>
      <c r="BS2253" t="s">
        <v>4107</v>
      </c>
      <c r="BT2253" t="b">
        <v>0</v>
      </c>
      <c r="BV2253" t="s">
        <v>1668</v>
      </c>
      <c r="BW2253">
        <v>510</v>
      </c>
      <c r="BX2253" t="s">
        <v>2436</v>
      </c>
      <c r="BY2253">
        <v>12426289</v>
      </c>
      <c r="BZ2253" t="s">
        <v>1704</v>
      </c>
      <c r="CA2253">
        <v>1</v>
      </c>
      <c r="CB2253" t="b">
        <v>1</v>
      </c>
      <c r="CC2253">
        <v>0</v>
      </c>
      <c r="CD2253" t="b">
        <v>0</v>
      </c>
      <c r="CE2253" t="b">
        <v>0</v>
      </c>
      <c r="CF2253" t="b">
        <v>0</v>
      </c>
      <c r="CG2253">
        <v>15630037</v>
      </c>
      <c r="CH2253" t="s">
        <v>1681</v>
      </c>
      <c r="CI2253" s="10">
        <v>624950</v>
      </c>
    </row>
    <row r="2254" spans="1:90">
      <c r="A2254">
        <v>28040199</v>
      </c>
      <c r="B2254" s="2" t="str">
        <f>HYPERLINK("http://www.redfin.com/stingray/do/printable-listing?listing-id=1538263","Active")</f>
        <v>Active</v>
      </c>
      <c r="D2254" t="s">
        <v>3066</v>
      </c>
      <c r="E2254" t="s">
        <v>4917</v>
      </c>
      <c r="F2254" s="19">
        <v>678000</v>
      </c>
      <c r="G2254">
        <v>1968</v>
      </c>
      <c r="H2254">
        <v>3240</v>
      </c>
      <c r="I2254">
        <v>14500</v>
      </c>
      <c r="J2254">
        <v>4</v>
      </c>
      <c r="K2254">
        <v>2.5</v>
      </c>
      <c r="M2254" s="2" t="str">
        <f>HYPERLINK("http://maps.live.com/default.aspx?v=2&amp;lvl=15&amp;sp=Point.47.666855_-122.136906_6815 153rd Ave NE&amp;cp=47.666855~-122.136906","Map")</f>
        <v>Map</v>
      </c>
      <c r="N2254" s="2" t="str">
        <f>HYPERLINK("http://i-0.rfimg.us/photo/1/bigphoto/199/28040199_2.jpg","Photo")</f>
        <v>Photo</v>
      </c>
      <c r="AG2254">
        <v>47.666854999999998</v>
      </c>
      <c r="AH2254">
        <v>-122.136906</v>
      </c>
      <c r="AI2254" t="s">
        <v>4363</v>
      </c>
      <c r="AJ2254">
        <v>98052</v>
      </c>
      <c r="AN2254">
        <v>395000</v>
      </c>
      <c r="BC2254" s="22">
        <v>39514.348900462966</v>
      </c>
      <c r="BI2254" s="22">
        <v>39549.294907407406</v>
      </c>
      <c r="BL2254">
        <v>14000</v>
      </c>
      <c r="BM2254">
        <v>1538263</v>
      </c>
      <c r="BN2254" t="s">
        <v>4054</v>
      </c>
      <c r="BO2254" s="17">
        <f t="shared" ca="1" si="35"/>
        <v>34.96050543981255</v>
      </c>
      <c r="BP2254" t="b">
        <v>0</v>
      </c>
      <c r="BQ2254">
        <v>1</v>
      </c>
      <c r="BR2254" t="s">
        <v>1667</v>
      </c>
      <c r="BS2254" t="s">
        <v>4918</v>
      </c>
      <c r="BT2254" t="b">
        <v>0</v>
      </c>
      <c r="BV2254" t="s">
        <v>1668</v>
      </c>
      <c r="BW2254">
        <v>6815</v>
      </c>
      <c r="BX2254" t="s">
        <v>1738</v>
      </c>
      <c r="BY2254">
        <v>516407</v>
      </c>
      <c r="BZ2254" t="s">
        <v>3173</v>
      </c>
      <c r="CA2254">
        <v>1</v>
      </c>
      <c r="CB2254" t="b">
        <v>1</v>
      </c>
      <c r="CC2254">
        <v>0</v>
      </c>
      <c r="CD2254" t="b">
        <v>0</v>
      </c>
      <c r="CE2254" t="b">
        <v>0</v>
      </c>
      <c r="CF2254" t="b">
        <v>0</v>
      </c>
      <c r="CG2254">
        <v>2696302</v>
      </c>
      <c r="CH2254" t="s">
        <v>1681</v>
      </c>
      <c r="CI2254" s="10">
        <v>700000</v>
      </c>
      <c r="CJ2254" s="7">
        <v>37454</v>
      </c>
    </row>
    <row r="2255" spans="1:90">
      <c r="A2255">
        <v>28040201</v>
      </c>
      <c r="B2255" s="2" t="str">
        <f>HYPERLINK("http://www.redfin.com/stingray/do/printable-listing?listing-id=1538759","Active")</f>
        <v>Active</v>
      </c>
      <c r="D2255" t="s">
        <v>100</v>
      </c>
      <c r="E2255" t="s">
        <v>1424</v>
      </c>
      <c r="F2255">
        <v>425000</v>
      </c>
      <c r="G2255">
        <v>1927</v>
      </c>
      <c r="H2255">
        <v>1670</v>
      </c>
      <c r="I2255">
        <v>3025</v>
      </c>
      <c r="J2255">
        <v>2</v>
      </c>
      <c r="K2255">
        <v>1.75</v>
      </c>
      <c r="M2255" s="2" t="str">
        <f>HYPERLINK("http://maps.live.com/default.aspx?v=2&amp;lvl=15&amp;sp=Point.47.656182_-122.360334_227 NW 41st St&amp;cp=47.656182~-122.360334","Map")</f>
        <v>Map</v>
      </c>
      <c r="N2255" s="2" t="str">
        <f>HYPERLINK("http://i-0.rfimg.us/photo/1/bigphoto/201/28040201_0.jpg","Photo")</f>
        <v>Photo</v>
      </c>
      <c r="AG2255">
        <v>47.656182000000001</v>
      </c>
      <c r="AH2255">
        <v>-122.36033399999999</v>
      </c>
      <c r="AI2255" t="s">
        <v>66</v>
      </c>
      <c r="AJ2255">
        <v>98107</v>
      </c>
      <c r="AN2255">
        <v>460000</v>
      </c>
      <c r="BC2255" s="22">
        <v>39514.359097222223</v>
      </c>
      <c r="BI2255" s="7">
        <v>39538</v>
      </c>
      <c r="BL2255">
        <v>8500</v>
      </c>
      <c r="BM2255">
        <v>1538759</v>
      </c>
      <c r="BN2255" t="s">
        <v>1690</v>
      </c>
      <c r="BO2255" s="17">
        <f t="shared" ca="1" si="35"/>
        <v>34.950308680556191</v>
      </c>
      <c r="BP2255" t="b">
        <v>0</v>
      </c>
      <c r="BQ2255">
        <v>1</v>
      </c>
      <c r="BR2255" t="s">
        <v>1686</v>
      </c>
      <c r="BS2255" t="s">
        <v>3222</v>
      </c>
      <c r="BT2255" t="b">
        <v>0</v>
      </c>
      <c r="BU2255" t="s">
        <v>1669</v>
      </c>
      <c r="BV2255" t="s">
        <v>1668</v>
      </c>
      <c r="BW2255">
        <v>227</v>
      </c>
      <c r="BY2255">
        <v>301957</v>
      </c>
      <c r="BZ2255" s="21">
        <v>0</v>
      </c>
      <c r="CA2255">
        <v>1</v>
      </c>
      <c r="CB2255" t="b">
        <v>1</v>
      </c>
      <c r="CC2255">
        <v>0</v>
      </c>
      <c r="CD2255" t="b">
        <v>0</v>
      </c>
      <c r="CE2255" t="b">
        <v>0</v>
      </c>
      <c r="CF2255" t="b">
        <v>0</v>
      </c>
      <c r="CG2255">
        <v>2780068</v>
      </c>
      <c r="CH2255" t="s">
        <v>1681</v>
      </c>
      <c r="CI2255" s="10">
        <v>425000</v>
      </c>
      <c r="CJ2255" s="7">
        <v>39142</v>
      </c>
    </row>
    <row r="2256" spans="1:90">
      <c r="A2256">
        <v>28040203</v>
      </c>
      <c r="B2256" s="2" t="str">
        <f>HYPERLINK("http://www.redfin.com/stingray/do/printable-listing?listing-id=1555096","Active")</f>
        <v>Active</v>
      </c>
      <c r="D2256" t="s">
        <v>4542</v>
      </c>
      <c r="E2256" t="s">
        <v>4657</v>
      </c>
      <c r="F2256">
        <v>699000</v>
      </c>
      <c r="G2256">
        <v>1924</v>
      </c>
      <c r="H2256">
        <v>2330</v>
      </c>
      <c r="I2256">
        <v>13500</v>
      </c>
      <c r="J2256">
        <v>3</v>
      </c>
      <c r="K2256">
        <v>0.75</v>
      </c>
      <c r="M2256" s="2" t="str">
        <f>HYPERLINK("http://maps.live.com/default.aspx?v=2&amp;lvl=15&amp;sp=Point.47.693635_-122.209555_11 21st Pl&amp;cp=47.693635~-122.209555","Map")</f>
        <v>Map</v>
      </c>
      <c r="N2256" s="2" t="str">
        <f>HYPERLINK("http://i-0.rfimg.us/photo/1/bigphoto/203/28040203_1.jpg","Photo")</f>
        <v>Photo</v>
      </c>
      <c r="AG2256">
        <v>47.693635</v>
      </c>
      <c r="AH2256">
        <v>-122.20955499999999</v>
      </c>
      <c r="AI2256" t="s">
        <v>1058</v>
      </c>
      <c r="AJ2256">
        <v>98033</v>
      </c>
      <c r="AN2256">
        <v>175000</v>
      </c>
      <c r="BC2256" s="22">
        <v>39520.327627314815</v>
      </c>
      <c r="BI2256" s="22">
        <v>39549.294907407406</v>
      </c>
      <c r="BL2256">
        <v>13980</v>
      </c>
      <c r="BM2256">
        <v>1555096</v>
      </c>
      <c r="BN2256" t="s">
        <v>1725</v>
      </c>
      <c r="BO2256" s="17">
        <f t="shared" ca="1" si="35"/>
        <v>28.981778587964072</v>
      </c>
      <c r="BP2256" t="b">
        <v>0</v>
      </c>
      <c r="BQ2256">
        <v>1</v>
      </c>
      <c r="BR2256" t="s">
        <v>1842</v>
      </c>
      <c r="BS2256" t="s">
        <v>1903</v>
      </c>
      <c r="BT2256" t="b">
        <v>0</v>
      </c>
      <c r="BV2256" t="s">
        <v>1668</v>
      </c>
      <c r="BW2256">
        <v>11</v>
      </c>
      <c r="BY2256">
        <v>462869</v>
      </c>
      <c r="BZ2256" t="s">
        <v>4658</v>
      </c>
      <c r="CA2256">
        <v>1</v>
      </c>
      <c r="CB2256" t="b">
        <v>1</v>
      </c>
      <c r="CC2256">
        <v>0</v>
      </c>
      <c r="CD2256" t="b">
        <v>0</v>
      </c>
      <c r="CE2256" t="b">
        <v>0</v>
      </c>
      <c r="CF2256" t="b">
        <v>0</v>
      </c>
      <c r="CG2256">
        <v>2791695</v>
      </c>
      <c r="CH2256" t="s">
        <v>1681</v>
      </c>
      <c r="CI2256" s="10">
        <v>699000</v>
      </c>
      <c r="CJ2256" s="7">
        <v>35156</v>
      </c>
    </row>
    <row r="2257" spans="1:89">
      <c r="A2257">
        <v>28040258</v>
      </c>
      <c r="B2257" s="2" t="str">
        <f>HYPERLINK("http://www.redfin.com/stingray/do/printable-listing?listing-id=1539235","Active")</f>
        <v>Active</v>
      </c>
      <c r="D2257" t="s">
        <v>60</v>
      </c>
      <c r="E2257" t="s">
        <v>2620</v>
      </c>
      <c r="F2257">
        <v>541500</v>
      </c>
      <c r="G2257">
        <v>2000</v>
      </c>
      <c r="H2257">
        <v>1740</v>
      </c>
      <c r="I2257">
        <v>4040</v>
      </c>
      <c r="J2257">
        <v>3</v>
      </c>
      <c r="K2257">
        <v>2.5</v>
      </c>
      <c r="M2257" s="2" t="str">
        <f>HYPERLINK("http://maps.live.com/default.aspx?v=2&amp;lvl=15&amp;sp=Point.47.689606_-122.342999_1133 N 84th St&amp;cp=47.689606~-122.342999","Map")</f>
        <v>Map</v>
      </c>
      <c r="N2257" s="2" t="str">
        <f>HYPERLINK("http://i-0.rfimg.us/photo/1/bigphoto/258/28040258_0.jpg","Photo")</f>
        <v>Photo</v>
      </c>
      <c r="AG2257">
        <v>47.689605999999998</v>
      </c>
      <c r="AH2257">
        <v>-122.34299900000001</v>
      </c>
      <c r="AI2257" t="s">
        <v>66</v>
      </c>
      <c r="AJ2257">
        <v>98103</v>
      </c>
      <c r="BC2257" s="22">
        <v>39514.400787037041</v>
      </c>
      <c r="BI2257" s="22">
        <v>39549.294907407406</v>
      </c>
      <c r="BL2257">
        <v>10830</v>
      </c>
      <c r="BM2257">
        <v>1539235</v>
      </c>
      <c r="BN2257" t="s">
        <v>1768</v>
      </c>
      <c r="BO2257" s="17">
        <f t="shared" ca="1" si="35"/>
        <v>34.908618981477048</v>
      </c>
      <c r="BP2257" t="b">
        <v>0</v>
      </c>
      <c r="BQ2257">
        <v>1</v>
      </c>
      <c r="BR2257" t="s">
        <v>1686</v>
      </c>
      <c r="BS2257" t="s">
        <v>1826</v>
      </c>
      <c r="BT2257" t="b">
        <v>0</v>
      </c>
      <c r="BU2257" t="s">
        <v>1712</v>
      </c>
      <c r="BV2257" t="s">
        <v>1668</v>
      </c>
      <c r="BW2257">
        <v>1133</v>
      </c>
      <c r="BY2257">
        <v>306600</v>
      </c>
      <c r="BZ2257" t="s">
        <v>1713</v>
      </c>
      <c r="CA2257">
        <v>1</v>
      </c>
      <c r="CB2257" t="b">
        <v>1</v>
      </c>
      <c r="CC2257">
        <v>0</v>
      </c>
      <c r="CD2257" t="b">
        <v>0</v>
      </c>
      <c r="CE2257" t="b">
        <v>0</v>
      </c>
      <c r="CF2257" t="b">
        <v>0</v>
      </c>
      <c r="CG2257">
        <v>2587058</v>
      </c>
      <c r="CH2257" t="s">
        <v>1681</v>
      </c>
      <c r="CI2257" s="10">
        <v>541500</v>
      </c>
    </row>
    <row r="2258" spans="1:89">
      <c r="A2258">
        <v>28040280</v>
      </c>
      <c r="B2258" s="2" t="str">
        <f>HYPERLINK("http://www.redfin.com/stingray/do/printable-listing?listing-id=1539579","Active")</f>
        <v>Active</v>
      </c>
      <c r="D2258" t="s">
        <v>1023</v>
      </c>
      <c r="E2258" t="s">
        <v>2123</v>
      </c>
      <c r="F2258">
        <v>600000</v>
      </c>
      <c r="G2258">
        <v>1922</v>
      </c>
      <c r="H2258">
        <v>2040</v>
      </c>
      <c r="I2258">
        <v>5000</v>
      </c>
      <c r="J2258">
        <v>3</v>
      </c>
      <c r="K2258">
        <v>1</v>
      </c>
      <c r="M2258" s="2" t="str">
        <f>HYPERLINK("http://maps.live.com/default.aspx?v=2&amp;lvl=15&amp;sp=Point.47.68_-122.397627_3045 NW 71st St&amp;cp=47.68~-122.397627","Map")</f>
        <v>Map</v>
      </c>
      <c r="N2258" s="2" t="str">
        <f>HYPERLINK("http://i-0.rfimg.us/photo/1/bigphoto/280/28040280_1.jpg","Photo")</f>
        <v>Photo</v>
      </c>
      <c r="AG2258">
        <v>47.68</v>
      </c>
      <c r="AH2258">
        <v>-122.397627</v>
      </c>
      <c r="AI2258" t="s">
        <v>66</v>
      </c>
      <c r="AJ2258">
        <v>98117</v>
      </c>
      <c r="AN2258">
        <v>467000</v>
      </c>
      <c r="BC2258" s="22">
        <v>39514.474942129629</v>
      </c>
      <c r="BI2258" s="7">
        <v>39522</v>
      </c>
      <c r="BL2258">
        <v>12000</v>
      </c>
      <c r="BM2258">
        <v>1539579</v>
      </c>
      <c r="BN2258" t="s">
        <v>1702</v>
      </c>
      <c r="BO2258" s="17">
        <f t="shared" ca="1" si="35"/>
        <v>34.834463888888422</v>
      </c>
      <c r="BP2258" t="b">
        <v>0</v>
      </c>
      <c r="BQ2258">
        <v>1</v>
      </c>
      <c r="BR2258" t="s">
        <v>1686</v>
      </c>
      <c r="BS2258" t="s">
        <v>1830</v>
      </c>
      <c r="BT2258" t="b">
        <v>0</v>
      </c>
      <c r="BU2258" t="s">
        <v>1669</v>
      </c>
      <c r="BV2258" t="s">
        <v>1668</v>
      </c>
      <c r="BW2258">
        <v>3045</v>
      </c>
      <c r="BY2258">
        <v>166354</v>
      </c>
      <c r="BZ2258" t="s">
        <v>1836</v>
      </c>
      <c r="CA2258">
        <v>1</v>
      </c>
      <c r="CB2258" t="b">
        <v>1</v>
      </c>
      <c r="CC2258">
        <v>0</v>
      </c>
      <c r="CD2258" t="b">
        <v>0</v>
      </c>
      <c r="CE2258" t="b">
        <v>1</v>
      </c>
      <c r="CF2258" t="b">
        <v>0</v>
      </c>
      <c r="CG2258">
        <v>2794047</v>
      </c>
      <c r="CH2258" t="s">
        <v>1681</v>
      </c>
      <c r="CI2258" s="10">
        <v>600000</v>
      </c>
      <c r="CJ2258" s="7">
        <v>38343</v>
      </c>
    </row>
    <row r="2259" spans="1:89">
      <c r="A2259">
        <v>28040285</v>
      </c>
      <c r="B2259" s="2" t="str">
        <f>HYPERLINK("http://www.redfin.com/stingray/do/printable-listing?listing-id=1540001","Active")</f>
        <v>Active</v>
      </c>
      <c r="D2259" t="s">
        <v>78</v>
      </c>
      <c r="E2259" t="s">
        <v>1907</v>
      </c>
      <c r="F2259" s="19">
        <v>550000</v>
      </c>
      <c r="G2259">
        <v>1909</v>
      </c>
      <c r="H2259">
        <v>2220</v>
      </c>
      <c r="I2259">
        <v>3036</v>
      </c>
      <c r="J2259">
        <v>4</v>
      </c>
      <c r="K2259">
        <v>2.25</v>
      </c>
      <c r="M2259" s="2" t="str">
        <f>HYPERLINK("http://maps.live.com/default.aspx?v=2&amp;lvl=15&amp;sp=Point.47.679657_-122.380798_7002 19th Ave NW&amp;cp=47.679657~-122.380798","Map")</f>
        <v>Map</v>
      </c>
      <c r="N2259" s="2" t="str">
        <f>HYPERLINK("http://i-0.rfimg.us/photo/1/bigphoto/285/28040285_0.jpg","Photo")</f>
        <v>Photo</v>
      </c>
      <c r="AG2259">
        <v>47.679656999999999</v>
      </c>
      <c r="AH2259">
        <v>-122.380798</v>
      </c>
      <c r="AI2259" t="s">
        <v>66</v>
      </c>
      <c r="AJ2259">
        <v>98117</v>
      </c>
      <c r="AN2259">
        <v>172000</v>
      </c>
      <c r="BC2259" s="22">
        <v>39514.55878472222</v>
      </c>
      <c r="BI2259" s="22">
        <v>39549.294907407406</v>
      </c>
      <c r="BL2259">
        <v>12500</v>
      </c>
      <c r="BM2259">
        <v>1540001</v>
      </c>
      <c r="BN2259" t="s">
        <v>1674</v>
      </c>
      <c r="BO2259" s="17">
        <f t="shared" ca="1" si="35"/>
        <v>34.75062129629805</v>
      </c>
      <c r="BP2259" t="b">
        <v>0</v>
      </c>
      <c r="BQ2259">
        <v>1</v>
      </c>
      <c r="BR2259" t="s">
        <v>1667</v>
      </c>
      <c r="BS2259" t="s">
        <v>1906</v>
      </c>
      <c r="BT2259" t="b">
        <v>0</v>
      </c>
      <c r="BV2259" t="s">
        <v>1668</v>
      </c>
      <c r="BW2259">
        <v>7002</v>
      </c>
      <c r="BX2259" t="s">
        <v>1669</v>
      </c>
      <c r="BY2259">
        <v>166473</v>
      </c>
      <c r="BZ2259" t="s">
        <v>1713</v>
      </c>
      <c r="CA2259">
        <v>1</v>
      </c>
      <c r="CB2259" t="b">
        <v>1</v>
      </c>
      <c r="CC2259">
        <v>0</v>
      </c>
      <c r="CD2259" t="b">
        <v>0</v>
      </c>
      <c r="CE2259" t="b">
        <v>1</v>
      </c>
      <c r="CF2259" t="b">
        <v>0</v>
      </c>
      <c r="CG2259">
        <v>2763546</v>
      </c>
      <c r="CH2259" t="s">
        <v>1681</v>
      </c>
      <c r="CI2259" s="10">
        <v>625000</v>
      </c>
      <c r="CJ2259" s="7">
        <v>35858</v>
      </c>
      <c r="CK2259" t="s">
        <v>2272</v>
      </c>
    </row>
    <row r="2260" spans="1:89">
      <c r="A2260">
        <v>28040291</v>
      </c>
      <c r="B2260" s="2" t="str">
        <f>HYPERLINK("http://www.redfin.com/stingray/do/printable-listing?listing-id=1544995","Active")</f>
        <v>Active</v>
      </c>
      <c r="D2260" t="s">
        <v>1152</v>
      </c>
      <c r="E2260" t="s">
        <v>3138</v>
      </c>
      <c r="F2260">
        <v>825000</v>
      </c>
      <c r="G2260">
        <v>1943</v>
      </c>
      <c r="H2260">
        <v>2820</v>
      </c>
      <c r="I2260">
        <v>7216</v>
      </c>
      <c r="J2260">
        <v>4</v>
      </c>
      <c r="K2260">
        <v>2</v>
      </c>
      <c r="M2260" s="2" t="str">
        <f>HYPERLINK("http://maps.live.com/default.aspx?v=2&amp;lvl=15&amp;sp=Point.47.673907_-122.27198_6201 52nd Ave NE&amp;cp=47.673907~-122.27198","Map")</f>
        <v>Map</v>
      </c>
      <c r="N2260" s="2" t="str">
        <f>HYPERLINK("http://i-0.rfimg.us/photo/1/bigphoto/291/28040291_3.jpg","Photo")</f>
        <v>Photo</v>
      </c>
      <c r="AG2260">
        <v>47.673907</v>
      </c>
      <c r="AH2260">
        <v>-122.27198</v>
      </c>
      <c r="AI2260" t="s">
        <v>66</v>
      </c>
      <c r="AJ2260">
        <v>98115</v>
      </c>
      <c r="AN2260">
        <v>749500</v>
      </c>
      <c r="BC2260" s="22">
        <v>39517.327141203707</v>
      </c>
      <c r="BI2260" s="22">
        <v>39549.294907407406</v>
      </c>
      <c r="BL2260">
        <v>16500</v>
      </c>
      <c r="BM2260">
        <v>1544995</v>
      </c>
      <c r="BN2260" t="s">
        <v>1710</v>
      </c>
      <c r="BO2260" s="17">
        <f t="shared" ca="1" si="35"/>
        <v>31.982264699072402</v>
      </c>
      <c r="BP2260" t="b">
        <v>0</v>
      </c>
      <c r="BQ2260">
        <v>1</v>
      </c>
      <c r="BR2260" t="s">
        <v>1667</v>
      </c>
      <c r="BS2260" t="s">
        <v>2455</v>
      </c>
      <c r="BT2260" t="b">
        <v>0</v>
      </c>
      <c r="BV2260" t="s">
        <v>1668</v>
      </c>
      <c r="BW2260">
        <v>6201</v>
      </c>
      <c r="BX2260" t="s">
        <v>1738</v>
      </c>
      <c r="BY2260">
        <v>320224</v>
      </c>
      <c r="BZ2260" t="s">
        <v>3139</v>
      </c>
      <c r="CA2260">
        <v>1</v>
      </c>
      <c r="CB2260" t="b">
        <v>1</v>
      </c>
      <c r="CC2260">
        <v>0</v>
      </c>
      <c r="CD2260" t="b">
        <v>0</v>
      </c>
      <c r="CE2260" t="b">
        <v>0</v>
      </c>
      <c r="CF2260" t="b">
        <v>0</v>
      </c>
      <c r="CG2260">
        <v>2686773</v>
      </c>
      <c r="CH2260" t="s">
        <v>1681</v>
      </c>
      <c r="CI2260" s="10">
        <v>825000</v>
      </c>
      <c r="CJ2260" s="7">
        <v>38944</v>
      </c>
    </row>
    <row r="2261" spans="1:89">
      <c r="A2261">
        <v>28040307</v>
      </c>
      <c r="B2261" s="2" t="str">
        <f>HYPERLINK("http://www.redfin.com/stingray/do/printable-listing?listing-id=1539383","Active")</f>
        <v>Active</v>
      </c>
      <c r="D2261" t="s">
        <v>4611</v>
      </c>
      <c r="E2261" t="s">
        <v>5004</v>
      </c>
      <c r="F2261" s="19">
        <v>568900</v>
      </c>
      <c r="G2261">
        <v>1973</v>
      </c>
      <c r="H2261">
        <v>2340</v>
      </c>
      <c r="I2261">
        <v>12900</v>
      </c>
      <c r="J2261">
        <v>4</v>
      </c>
      <c r="K2261">
        <v>2.5</v>
      </c>
      <c r="M2261" s="2" t="str">
        <f>HYPERLINK("http://maps.live.com/default.aspx?v=2&amp;lvl=15&amp;sp=Point.47.665439_-122.14237_14811 NE 67th St&amp;cp=47.665439~-122.14237","Map")</f>
        <v>Map</v>
      </c>
      <c r="N2261" s="2" t="str">
        <f>HYPERLINK("http://i-0.rfimg.us/photo/1/bigphoto/307/28040307_0.jpg","Photo")</f>
        <v>Photo</v>
      </c>
      <c r="AG2261">
        <v>47.665438999999999</v>
      </c>
      <c r="AH2261">
        <v>-122.14237</v>
      </c>
      <c r="AI2261" t="s">
        <v>4363</v>
      </c>
      <c r="AJ2261">
        <v>98052</v>
      </c>
      <c r="AN2261">
        <v>349500</v>
      </c>
      <c r="BC2261" s="22">
        <v>39514.43209490741</v>
      </c>
      <c r="BI2261" s="22">
        <v>39549.294907407406</v>
      </c>
      <c r="BL2261">
        <v>11778</v>
      </c>
      <c r="BM2261">
        <v>1539383</v>
      </c>
      <c r="BN2261" t="s">
        <v>4882</v>
      </c>
      <c r="BO2261" s="17">
        <f t="shared" ca="1" si="35"/>
        <v>34.877310995369044</v>
      </c>
      <c r="BP2261" t="b">
        <v>0</v>
      </c>
      <c r="BQ2261">
        <v>1</v>
      </c>
      <c r="BR2261" t="s">
        <v>1686</v>
      </c>
      <c r="BS2261" t="s">
        <v>1864</v>
      </c>
      <c r="BT2261" t="b">
        <v>0</v>
      </c>
      <c r="BU2261" t="s">
        <v>1738</v>
      </c>
      <c r="BV2261" t="s">
        <v>1668</v>
      </c>
      <c r="BW2261">
        <v>14811</v>
      </c>
      <c r="BY2261">
        <v>516195</v>
      </c>
      <c r="BZ2261" t="s">
        <v>1762</v>
      </c>
      <c r="CA2261">
        <v>1</v>
      </c>
      <c r="CB2261" t="b">
        <v>1</v>
      </c>
      <c r="CC2261">
        <v>0</v>
      </c>
      <c r="CD2261" t="b">
        <v>0</v>
      </c>
      <c r="CE2261" t="b">
        <v>0</v>
      </c>
      <c r="CF2261" t="b">
        <v>0</v>
      </c>
      <c r="CG2261">
        <v>2840900</v>
      </c>
      <c r="CH2261" t="s">
        <v>1681</v>
      </c>
      <c r="CI2261" s="10">
        <v>588900</v>
      </c>
      <c r="CJ2261" s="7">
        <v>37879</v>
      </c>
    </row>
    <row r="2262" spans="1:89">
      <c r="A2262">
        <v>28040321</v>
      </c>
      <c r="B2262" s="2" t="str">
        <f>HYPERLINK("http://www.redfin.com/stingray/do/printable-listing?listing-id=1539444","Active")</f>
        <v>Active</v>
      </c>
      <c r="D2262" t="s">
        <v>3249</v>
      </c>
      <c r="E2262" t="s">
        <v>4335</v>
      </c>
      <c r="F2262">
        <v>1775000</v>
      </c>
      <c r="G2262">
        <v>2007</v>
      </c>
      <c r="H2262">
        <v>3770</v>
      </c>
      <c r="I2262">
        <v>6000</v>
      </c>
      <c r="J2262">
        <v>4</v>
      </c>
      <c r="K2262">
        <v>4</v>
      </c>
      <c r="M2262" s="2" t="str">
        <f>HYPERLINK("http://maps.live.com/default.aspx?v=2&amp;lvl=15&amp;sp=Point.47.627939_-122.364955_609 W Kinnear Pl&amp;cp=47.627939~-122.364955","Map")</f>
        <v>Map</v>
      </c>
      <c r="N2262" s="2" t="str">
        <f>HYPERLINK("http://i-0.rfimg.us/photo/1/bigphoto/321/28040321_0.jpg","Photo")</f>
        <v>Photo</v>
      </c>
      <c r="AG2262">
        <v>47.627938999999998</v>
      </c>
      <c r="AH2262">
        <v>-122.36495499999999</v>
      </c>
      <c r="AI2262" t="s">
        <v>66</v>
      </c>
      <c r="AJ2262">
        <v>98119</v>
      </c>
      <c r="AN2262">
        <v>866000</v>
      </c>
      <c r="BC2262" s="22">
        <v>39514.442685185182</v>
      </c>
      <c r="BI2262" s="22">
        <v>39549.294907407406</v>
      </c>
      <c r="BL2262">
        <v>35500</v>
      </c>
      <c r="BM2262">
        <v>1539444</v>
      </c>
      <c r="BN2262" t="s">
        <v>1829</v>
      </c>
      <c r="BO2262" s="17">
        <f t="shared" ca="1" si="35"/>
        <v>34.866720717596763</v>
      </c>
      <c r="BP2262" t="b">
        <v>0</v>
      </c>
      <c r="BQ2262">
        <v>1</v>
      </c>
      <c r="BR2262" t="s">
        <v>1842</v>
      </c>
      <c r="BS2262" t="s">
        <v>4336</v>
      </c>
      <c r="BT2262" t="b">
        <v>0</v>
      </c>
      <c r="BU2262" t="s">
        <v>2423</v>
      </c>
      <c r="BV2262" t="s">
        <v>1668</v>
      </c>
      <c r="BW2262">
        <v>609</v>
      </c>
      <c r="BY2262">
        <v>133858</v>
      </c>
      <c r="BZ2262" t="s">
        <v>1672</v>
      </c>
      <c r="CA2262">
        <v>1</v>
      </c>
      <c r="CB2262" t="b">
        <v>1</v>
      </c>
      <c r="CC2262">
        <v>0</v>
      </c>
      <c r="CD2262" t="b">
        <v>0</v>
      </c>
      <c r="CE2262" t="b">
        <v>0</v>
      </c>
      <c r="CF2262" t="b">
        <v>0</v>
      </c>
      <c r="CG2262">
        <v>2893605</v>
      </c>
      <c r="CH2262" t="s">
        <v>1681</v>
      </c>
      <c r="CI2262" s="10">
        <v>1775000</v>
      </c>
      <c r="CJ2262" s="7">
        <v>39115</v>
      </c>
    </row>
    <row r="2263" spans="1:89">
      <c r="A2263">
        <v>28040368</v>
      </c>
      <c r="B2263" s="2" t="str">
        <f>HYPERLINK("http://www.redfin.com/stingray/do/printable-listing?listing-id=1539599","Subject To Inspection")</f>
        <v>Subject To Inspection</v>
      </c>
      <c r="D2263" t="s">
        <v>100</v>
      </c>
      <c r="E2263" t="s">
        <v>3349</v>
      </c>
      <c r="F2263">
        <v>499950</v>
      </c>
      <c r="G2263">
        <v>2008</v>
      </c>
      <c r="H2263">
        <v>0</v>
      </c>
      <c r="I2263">
        <v>0</v>
      </c>
      <c r="J2263">
        <v>3</v>
      </c>
      <c r="K2263">
        <v>2.5</v>
      </c>
      <c r="M2263" s="2" t="str">
        <f>HYPERLINK("http://maps.live.com/default.aspx?v=2&amp;lvl=15&amp;sp=Point.47.653587_-122.357324_3620 1st Ave NW&amp;cp=47.653587~-122.357324","Map")</f>
        <v>Map</v>
      </c>
      <c r="N2263" s="2" t="str">
        <f>HYPERLINK("http://i-0.rfimg.us/photo/1/bigphoto/368/28040368_1.jpg","Photo")</f>
        <v>Photo</v>
      </c>
      <c r="AG2263">
        <v>47.653587000000002</v>
      </c>
      <c r="AH2263">
        <v>-122.35732400000001</v>
      </c>
      <c r="AI2263" t="s">
        <v>66</v>
      </c>
      <c r="AJ2263">
        <v>98103</v>
      </c>
      <c r="AN2263">
        <v>747500</v>
      </c>
      <c r="BC2263" s="22">
        <v>39514.484861111108</v>
      </c>
      <c r="BI2263" s="22">
        <v>39547.913935185185</v>
      </c>
      <c r="BL2263">
        <v>9999</v>
      </c>
      <c r="BM2263">
        <v>1539599</v>
      </c>
      <c r="BN2263" t="s">
        <v>1725</v>
      </c>
      <c r="BO2263" s="17">
        <f t="shared" ca="1" si="35"/>
        <v>34.824544791670633</v>
      </c>
      <c r="BP2263" t="b">
        <v>0</v>
      </c>
      <c r="BQ2263">
        <v>2</v>
      </c>
      <c r="BR2263" t="s">
        <v>1667</v>
      </c>
      <c r="BS2263" t="s">
        <v>1822</v>
      </c>
      <c r="BT2263" t="b">
        <v>0</v>
      </c>
      <c r="BV2263" t="s">
        <v>1668</v>
      </c>
      <c r="BW2263">
        <v>3620</v>
      </c>
      <c r="BX2263" t="s">
        <v>1669</v>
      </c>
      <c r="BY2263">
        <v>303515</v>
      </c>
      <c r="BZ2263" t="s">
        <v>3350</v>
      </c>
      <c r="CA2263">
        <v>1</v>
      </c>
      <c r="CB2263" t="b">
        <v>1</v>
      </c>
      <c r="CC2263">
        <v>0</v>
      </c>
      <c r="CD2263" t="b">
        <v>0</v>
      </c>
      <c r="CE2263" t="b">
        <v>0</v>
      </c>
      <c r="CF2263" t="b">
        <v>0</v>
      </c>
      <c r="CG2263">
        <v>2790383</v>
      </c>
      <c r="CH2263" t="s">
        <v>1681</v>
      </c>
      <c r="CI2263" s="10">
        <v>499950</v>
      </c>
      <c r="CJ2263" s="7">
        <v>39041</v>
      </c>
    </row>
    <row r="2264" spans="1:89">
      <c r="A2264">
        <v>28040437</v>
      </c>
      <c r="B2264" s="2" t="str">
        <f>HYPERLINK("http://www.redfin.com/stingray/do/printable-listing?listing-id=1539739","Active")</f>
        <v>Active</v>
      </c>
      <c r="D2264" t="s">
        <v>4974</v>
      </c>
      <c r="E2264" t="s">
        <v>5056</v>
      </c>
      <c r="F2264">
        <v>839000</v>
      </c>
      <c r="G2264">
        <v>1954</v>
      </c>
      <c r="H2264">
        <v>1710</v>
      </c>
      <c r="I2264">
        <v>7994</v>
      </c>
      <c r="J2264">
        <v>4</v>
      </c>
      <c r="K2264">
        <v>2</v>
      </c>
      <c r="M2264" s="2" t="str">
        <f>HYPERLINK("http://maps.live.com/default.aspx?v=2&amp;lvl=15&amp;sp=Point.47.635665_-122.197975_2815 107th Ave NE&amp;cp=47.635665~-122.197975","Map")</f>
        <v>Map</v>
      </c>
      <c r="N2264" s="2" t="str">
        <f>HYPERLINK("http://i-0.rfimg.us/photo/1/bigphoto/437/28040437_0.jpg","Photo")</f>
        <v>Photo</v>
      </c>
      <c r="AG2264">
        <v>47.635665000000003</v>
      </c>
      <c r="AH2264">
        <v>-122.197975</v>
      </c>
      <c r="AI2264" t="s">
        <v>369</v>
      </c>
      <c r="AJ2264">
        <v>98004</v>
      </c>
      <c r="AN2264">
        <v>736000</v>
      </c>
      <c r="BC2264" s="22">
        <v>39514.50681712963</v>
      </c>
      <c r="BI2264" s="22">
        <v>39549.294907407406</v>
      </c>
      <c r="BL2264">
        <v>16780</v>
      </c>
      <c r="BM2264">
        <v>1539739</v>
      </c>
      <c r="BN2264" t="s">
        <v>1735</v>
      </c>
      <c r="BO2264" s="17">
        <f t="shared" ca="1" si="35"/>
        <v>34.802588773149182</v>
      </c>
      <c r="BP2264" t="b">
        <v>0</v>
      </c>
      <c r="BQ2264">
        <v>1</v>
      </c>
      <c r="BR2264" t="s">
        <v>1667</v>
      </c>
      <c r="BS2264" t="s">
        <v>2678</v>
      </c>
      <c r="BT2264" t="b">
        <v>0</v>
      </c>
      <c r="BV2264" t="s">
        <v>1668</v>
      </c>
      <c r="BW2264">
        <v>2815</v>
      </c>
      <c r="BX2264" t="s">
        <v>1738</v>
      </c>
      <c r="BY2264">
        <v>506752</v>
      </c>
      <c r="BZ2264" t="s">
        <v>1676</v>
      </c>
      <c r="CA2264">
        <v>1</v>
      </c>
      <c r="CB2264" t="b">
        <v>1</v>
      </c>
      <c r="CC2264">
        <v>0</v>
      </c>
      <c r="CD2264" t="b">
        <v>0</v>
      </c>
      <c r="CE2264" t="b">
        <v>0</v>
      </c>
      <c r="CF2264" t="b">
        <v>0</v>
      </c>
      <c r="CG2264">
        <v>2502680</v>
      </c>
      <c r="CH2264" t="s">
        <v>1681</v>
      </c>
      <c r="CI2264" s="10">
        <v>839000</v>
      </c>
      <c r="CJ2264" s="7">
        <v>38765</v>
      </c>
    </row>
    <row r="2265" spans="1:89">
      <c r="A2265">
        <v>28040441</v>
      </c>
      <c r="B2265" s="15" t="str">
        <f>HYPERLINK("http://www.redfin.com/stingray/do/printable-listing?listing-id=1557393","Subject To Inspection")</f>
        <v>Subject To Inspection</v>
      </c>
      <c r="D2265" t="s">
        <v>3064</v>
      </c>
      <c r="E2265" t="s">
        <v>4703</v>
      </c>
      <c r="F2265">
        <v>799950</v>
      </c>
      <c r="G2265">
        <v>1987</v>
      </c>
      <c r="H2265">
        <v>2235</v>
      </c>
      <c r="I2265">
        <v>9420</v>
      </c>
      <c r="J2265">
        <v>3</v>
      </c>
      <c r="K2265">
        <v>2.5</v>
      </c>
      <c r="M2265" s="2" t="str">
        <f>HYPERLINK("http://maps.live.com/default.aspx?v=2&amp;lvl=15&amp;sp=Point.47.686819_-122.190464_9603 112th Ave NE&amp;cp=47.686819~-122.190464","Map")</f>
        <v>Map</v>
      </c>
      <c r="N2265" s="2" t="str">
        <f>HYPERLINK("http://i-0.rfimg.us/photo/1/bigphoto/441/28040441_1.jpg","Photo")</f>
        <v>Photo</v>
      </c>
      <c r="AG2265">
        <v>47.686819</v>
      </c>
      <c r="AH2265">
        <v>-122.19046400000001</v>
      </c>
      <c r="AI2265" t="s">
        <v>1058</v>
      </c>
      <c r="AJ2265">
        <v>98033</v>
      </c>
      <c r="AN2265">
        <v>446300</v>
      </c>
      <c r="BC2265" s="22">
        <v>39520.849398148152</v>
      </c>
      <c r="BI2265" s="22">
        <v>39544.927187499998</v>
      </c>
      <c r="BL2265">
        <v>15999</v>
      </c>
      <c r="BM2265">
        <v>1557393</v>
      </c>
      <c r="BN2265" t="s">
        <v>1798</v>
      </c>
      <c r="BO2265" s="17">
        <f t="shared" ca="1" si="35"/>
        <v>28.460007754627441</v>
      </c>
      <c r="BP2265" t="b">
        <v>0</v>
      </c>
      <c r="BQ2265">
        <v>1</v>
      </c>
      <c r="BR2265" t="s">
        <v>1667</v>
      </c>
      <c r="BS2265" t="s">
        <v>4382</v>
      </c>
      <c r="BT2265" t="b">
        <v>0</v>
      </c>
      <c r="BV2265" t="s">
        <v>1668</v>
      </c>
      <c r="BW2265">
        <v>9603</v>
      </c>
      <c r="BX2265" t="s">
        <v>1738</v>
      </c>
      <c r="BY2265">
        <v>463988</v>
      </c>
      <c r="BZ2265" t="s">
        <v>1709</v>
      </c>
      <c r="CA2265">
        <v>1</v>
      </c>
      <c r="CB2265" t="b">
        <v>1</v>
      </c>
      <c r="CC2265">
        <v>0</v>
      </c>
      <c r="CD2265" t="b">
        <v>0</v>
      </c>
      <c r="CE2265" t="b">
        <v>0</v>
      </c>
      <c r="CF2265" t="b">
        <v>0</v>
      </c>
      <c r="CG2265">
        <v>2661001</v>
      </c>
      <c r="CH2265" t="s">
        <v>1681</v>
      </c>
      <c r="CI2265" s="10">
        <v>799950</v>
      </c>
      <c r="CJ2265" s="7">
        <v>37152</v>
      </c>
    </row>
    <row r="2266" spans="1:89">
      <c r="A2266">
        <v>28040444</v>
      </c>
      <c r="B2266" s="2" t="str">
        <f>HYPERLINK("http://www.redfin.com/stingray/do/printable-listing?listing-id=1539737","Active")</f>
        <v>Active</v>
      </c>
      <c r="D2266" t="s">
        <v>3885</v>
      </c>
      <c r="E2266" t="s">
        <v>5763</v>
      </c>
      <c r="F2266">
        <v>859950</v>
      </c>
      <c r="G2266">
        <v>2003</v>
      </c>
      <c r="H2266">
        <v>3050</v>
      </c>
      <c r="I2266">
        <v>4775</v>
      </c>
      <c r="J2266">
        <v>5</v>
      </c>
      <c r="K2266">
        <v>2.75</v>
      </c>
      <c r="M2266" s="2" t="str">
        <f>HYPERLINK("http://maps.live.com/default.aspx?v=2&amp;lvl=15&amp;sp=Point.47.522397_-122.155562_8913 139th Ave SE&amp;cp=47.522397~-122.155562","Map")</f>
        <v>Map</v>
      </c>
      <c r="N2266" s="2" t="str">
        <f>HYPERLINK("http://i-0.rfimg.us/photo/1/bigphoto/444/28040444_0.jpg","Photo")</f>
        <v>Photo</v>
      </c>
      <c r="AG2266">
        <v>47.522396999999998</v>
      </c>
      <c r="AH2266">
        <v>-122.155562</v>
      </c>
      <c r="AI2266" t="s">
        <v>3885</v>
      </c>
      <c r="AJ2266">
        <v>98059</v>
      </c>
      <c r="AN2266">
        <v>481800</v>
      </c>
      <c r="BC2266" s="22">
        <v>39514.506805555553</v>
      </c>
      <c r="BI2266" s="22">
        <v>39549.294907407406</v>
      </c>
      <c r="BL2266">
        <v>17199</v>
      </c>
      <c r="BM2266">
        <v>1539737</v>
      </c>
      <c r="BN2266" t="s">
        <v>1737</v>
      </c>
      <c r="BO2266" s="17">
        <f t="shared" ca="1" si="35"/>
        <v>34.802600347225962</v>
      </c>
      <c r="BP2266" t="b">
        <v>0</v>
      </c>
      <c r="BQ2266">
        <v>1</v>
      </c>
      <c r="BR2266" t="s">
        <v>1667</v>
      </c>
      <c r="BS2266" t="s">
        <v>4423</v>
      </c>
      <c r="BT2266" t="b">
        <v>0</v>
      </c>
      <c r="BV2266" t="s">
        <v>1668</v>
      </c>
      <c r="BW2266">
        <v>8913</v>
      </c>
      <c r="BX2266" t="s">
        <v>3856</v>
      </c>
      <c r="BY2266">
        <v>416444</v>
      </c>
      <c r="BZ2266" t="s">
        <v>1672</v>
      </c>
      <c r="CA2266">
        <v>1</v>
      </c>
      <c r="CB2266" t="b">
        <v>1</v>
      </c>
      <c r="CC2266">
        <v>0</v>
      </c>
      <c r="CD2266" t="b">
        <v>0</v>
      </c>
      <c r="CE2266" t="b">
        <v>0</v>
      </c>
      <c r="CF2266" t="b">
        <v>0</v>
      </c>
      <c r="CG2266">
        <v>2574512</v>
      </c>
      <c r="CH2266" t="s">
        <v>1681</v>
      </c>
      <c r="CI2266" s="10">
        <v>859950</v>
      </c>
      <c r="CJ2266" s="7">
        <v>37784</v>
      </c>
    </row>
    <row r="2267" spans="1:89">
      <c r="A2267">
        <v>28040485</v>
      </c>
      <c r="B2267" s="15" t="str">
        <f>HYPERLINK("http://www.redfin.com/stingray/do/printable-listing?listing-id=1539910","Subject To Inspection")</f>
        <v>Subject To Inspection</v>
      </c>
      <c r="D2267" t="s">
        <v>1115</v>
      </c>
      <c r="E2267" t="s">
        <v>3081</v>
      </c>
      <c r="F2267" s="19">
        <v>508000</v>
      </c>
      <c r="G2267">
        <v>1950</v>
      </c>
      <c r="H2267">
        <v>1580</v>
      </c>
      <c r="I2267">
        <v>6615</v>
      </c>
      <c r="J2267">
        <v>2</v>
      </c>
      <c r="K2267">
        <v>1.5</v>
      </c>
      <c r="M2267" s="2" t="str">
        <f>HYPERLINK("http://maps.live.com/default.aspx?v=2&amp;lvl=15&amp;sp=Point.47.67734_-122.281319_6553 44th Ave NE&amp;cp=47.67734~-122.281319","Map")</f>
        <v>Map</v>
      </c>
      <c r="N2267" s="2" t="str">
        <f>HYPERLINK("http://i-0.rfimg.us/photo/1/bigphoto/485/28040485_0.jpg","Photo")</f>
        <v>Photo</v>
      </c>
      <c r="AG2267">
        <v>47.677340000000001</v>
      </c>
      <c r="AH2267">
        <v>-122.281319</v>
      </c>
      <c r="AI2267" t="s">
        <v>66</v>
      </c>
      <c r="AJ2267">
        <v>98115</v>
      </c>
      <c r="AN2267">
        <v>450000</v>
      </c>
      <c r="BC2267" s="22">
        <v>39514.536851851852</v>
      </c>
      <c r="BI2267" s="22">
        <v>39545.917314814818</v>
      </c>
      <c r="BL2267">
        <v>10380</v>
      </c>
      <c r="BM2267">
        <v>1539910</v>
      </c>
      <c r="BN2267" t="s">
        <v>1715</v>
      </c>
      <c r="BO2267" s="17">
        <f t="shared" ca="1" si="35"/>
        <v>34.772554050927283</v>
      </c>
      <c r="BP2267" t="b">
        <v>0</v>
      </c>
      <c r="BQ2267">
        <v>1</v>
      </c>
      <c r="BR2267" t="s">
        <v>1667</v>
      </c>
      <c r="BS2267" t="s">
        <v>3082</v>
      </c>
      <c r="BT2267" t="b">
        <v>0</v>
      </c>
      <c r="BV2267" t="s">
        <v>1668</v>
      </c>
      <c r="BW2267">
        <v>6553</v>
      </c>
      <c r="BX2267" t="s">
        <v>1738</v>
      </c>
      <c r="BY2267">
        <v>315068</v>
      </c>
      <c r="BZ2267" t="s">
        <v>3083</v>
      </c>
      <c r="CA2267">
        <v>1</v>
      </c>
      <c r="CB2267" t="b">
        <v>1</v>
      </c>
      <c r="CC2267">
        <v>0</v>
      </c>
      <c r="CD2267" t="b">
        <v>0</v>
      </c>
      <c r="CE2267" t="b">
        <v>0</v>
      </c>
      <c r="CF2267" t="b">
        <v>0</v>
      </c>
      <c r="CG2267">
        <v>2468763</v>
      </c>
      <c r="CH2267" t="s">
        <v>1681</v>
      </c>
      <c r="CI2267" s="10">
        <v>519000</v>
      </c>
      <c r="CJ2267" s="7">
        <v>38492</v>
      </c>
    </row>
    <row r="2268" spans="1:89">
      <c r="A2268">
        <v>28040504</v>
      </c>
      <c r="B2268" s="15" t="str">
        <f>HYPERLINK("http://www.redfin.com/stingray/do/printable-listing?listing-id=1542720","Subject To Inspection")</f>
        <v>Subject To Inspection</v>
      </c>
      <c r="D2268" t="s">
        <v>5113</v>
      </c>
      <c r="E2268" t="s">
        <v>5127</v>
      </c>
      <c r="F2268">
        <v>684000</v>
      </c>
      <c r="G2268">
        <v>1977</v>
      </c>
      <c r="H2268">
        <v>2810</v>
      </c>
      <c r="I2268">
        <v>14240</v>
      </c>
      <c r="J2268">
        <v>4</v>
      </c>
      <c r="K2268">
        <v>2.5</v>
      </c>
      <c r="M2268" s="2" t="str">
        <f>HYPERLINK("http://maps.live.com/default.aspx?v=2&amp;lvl=15&amp;sp=Point.47.626801_-122.090197_18529 NE 19 Pl&amp;cp=47.626801~-122.090197","Map")</f>
        <v>Map</v>
      </c>
      <c r="N2268" s="2" t="str">
        <f>HYPERLINK("http://i-0.rfimg.us/photo/1/bigphoto/504/28040504_0.jpg","Photo")</f>
        <v>Photo</v>
      </c>
      <c r="AG2268">
        <v>47.626801</v>
      </c>
      <c r="AH2268">
        <v>-122.090197</v>
      </c>
      <c r="AI2268" t="s">
        <v>369</v>
      </c>
      <c r="AJ2268">
        <v>98008</v>
      </c>
      <c r="BC2268" s="22">
        <v>39515.473414351851</v>
      </c>
      <c r="BI2268" s="7">
        <v>39540</v>
      </c>
      <c r="BL2268">
        <v>13680</v>
      </c>
      <c r="BM2268">
        <v>1542720</v>
      </c>
      <c r="BN2268" t="s">
        <v>3236</v>
      </c>
      <c r="BO2268" s="17">
        <f t="shared" ca="1" si="35"/>
        <v>33.835991550928156</v>
      </c>
      <c r="BP2268" t="b">
        <v>0</v>
      </c>
      <c r="BQ2268">
        <v>1</v>
      </c>
      <c r="BR2268" t="s">
        <v>1842</v>
      </c>
      <c r="BS2268">
        <v>19</v>
      </c>
      <c r="BT2268" t="b">
        <v>0</v>
      </c>
      <c r="BU2268" t="s">
        <v>1738</v>
      </c>
      <c r="BV2268" t="s">
        <v>1668</v>
      </c>
      <c r="BW2268">
        <v>18529</v>
      </c>
      <c r="BY2268">
        <v>504686</v>
      </c>
      <c r="BZ2268" t="s">
        <v>1670</v>
      </c>
      <c r="CA2268">
        <v>1</v>
      </c>
      <c r="CB2268" t="b">
        <v>1</v>
      </c>
      <c r="CC2268">
        <v>0</v>
      </c>
      <c r="CD2268" t="b">
        <v>0</v>
      </c>
      <c r="CE2268" t="b">
        <v>0</v>
      </c>
      <c r="CF2268" t="b">
        <v>0</v>
      </c>
      <c r="CG2268">
        <v>2943995</v>
      </c>
      <c r="CH2268" t="s">
        <v>1681</v>
      </c>
      <c r="CI2268" s="10">
        <v>684000</v>
      </c>
    </row>
    <row r="2269" spans="1:89">
      <c r="A2269">
        <v>28040525</v>
      </c>
      <c r="B2269" s="2" t="str">
        <f>HYPERLINK("http://www.redfin.com/stingray/do/printable-listing?listing-id=1540288","Active")</f>
        <v>Active</v>
      </c>
      <c r="D2269" t="s">
        <v>4041</v>
      </c>
      <c r="E2269" t="s">
        <v>4039</v>
      </c>
      <c r="F2269">
        <v>399950</v>
      </c>
      <c r="G2269">
        <v>2005</v>
      </c>
      <c r="H2269">
        <v>1460</v>
      </c>
      <c r="I2269">
        <v>1586</v>
      </c>
      <c r="J2269">
        <v>2</v>
      </c>
      <c r="K2269">
        <v>2.5</v>
      </c>
      <c r="M2269" s="2" t="str">
        <f>HYPERLINK("http://maps.live.com/default.aspx?v=2&amp;lvl=15&amp;sp=Point.47.602837_-122.316263_1222 E Fir St&amp;cp=47.602837~-122.316263","Map")</f>
        <v>Map</v>
      </c>
      <c r="N2269" s="2" t="str">
        <f>HYPERLINK("http://i-0.rfimg.us/photo/1/bigphoto/525/28040525_1.jpg","Photo")</f>
        <v>Photo</v>
      </c>
      <c r="AG2269">
        <v>47.602837000000001</v>
      </c>
      <c r="AH2269">
        <v>-122.31626300000001</v>
      </c>
      <c r="AI2269" t="s">
        <v>66</v>
      </c>
      <c r="AJ2269">
        <v>98122</v>
      </c>
      <c r="BC2269" s="22">
        <v>39514.599907407406</v>
      </c>
      <c r="BI2269" s="22">
        <v>39549.294907407406</v>
      </c>
      <c r="BL2269">
        <v>7999</v>
      </c>
      <c r="BM2269">
        <v>1540288</v>
      </c>
      <c r="BN2269" t="s">
        <v>1794</v>
      </c>
      <c r="BO2269" s="17">
        <f t="shared" ca="1" si="35"/>
        <v>34.709498495372827</v>
      </c>
      <c r="BP2269" t="b">
        <v>0</v>
      </c>
      <c r="BQ2269">
        <v>1</v>
      </c>
      <c r="BR2269" t="s">
        <v>1686</v>
      </c>
      <c r="BS2269" t="s">
        <v>4040</v>
      </c>
      <c r="BT2269" t="b">
        <v>0</v>
      </c>
      <c r="BU2269" t="s">
        <v>2436</v>
      </c>
      <c r="BV2269" t="s">
        <v>1668</v>
      </c>
      <c r="BW2269">
        <v>1222</v>
      </c>
      <c r="BY2269">
        <v>12423974</v>
      </c>
      <c r="BZ2269" t="s">
        <v>1836</v>
      </c>
      <c r="CA2269">
        <v>1</v>
      </c>
      <c r="CB2269" t="b">
        <v>1</v>
      </c>
      <c r="CC2269">
        <v>0</v>
      </c>
      <c r="CD2269" t="b">
        <v>0</v>
      </c>
      <c r="CE2269" t="b">
        <v>0</v>
      </c>
      <c r="CF2269" t="b">
        <v>0</v>
      </c>
      <c r="CG2269">
        <v>15627722</v>
      </c>
      <c r="CH2269" t="s">
        <v>1681</v>
      </c>
      <c r="CI2269" s="10">
        <v>399950</v>
      </c>
    </row>
    <row r="2270" spans="1:89">
      <c r="A2270">
        <v>28040534</v>
      </c>
      <c r="B2270" s="15" t="str">
        <f>HYPERLINK("http://www.redfin.com/stingray/do/printable-listing?listing-id=1542745","Subject To Inspection")</f>
        <v>Subject To Inspection</v>
      </c>
      <c r="D2270" t="s">
        <v>63</v>
      </c>
      <c r="E2270" t="s">
        <v>1951</v>
      </c>
      <c r="F2270">
        <v>270000</v>
      </c>
      <c r="G2270">
        <v>1914</v>
      </c>
      <c r="H2270">
        <v>600</v>
      </c>
      <c r="I2270">
        <v>1800</v>
      </c>
      <c r="J2270">
        <v>2</v>
      </c>
      <c r="K2270">
        <v>1.5</v>
      </c>
      <c r="M2270" s="2" t="str">
        <f>HYPERLINK("http://maps.live.com/default.aspx?v=2&amp;lvl=15&amp;sp=Point.47.678544_-122.366343_6724 Division Ave NW&amp;cp=47.678544~-122.366343","Map")</f>
        <v>Map</v>
      </c>
      <c r="N2270" s="2" t="str">
        <f>HYPERLINK("http://i-0.rfimg.us/photo/1/bigphoto/534/28040534_1.jpg","Photo")</f>
        <v>Photo</v>
      </c>
      <c r="AG2270">
        <v>47.678544000000002</v>
      </c>
      <c r="AH2270">
        <v>-122.366343</v>
      </c>
      <c r="AI2270" t="s">
        <v>66</v>
      </c>
      <c r="AJ2270">
        <v>98117</v>
      </c>
      <c r="AN2270">
        <v>119000</v>
      </c>
      <c r="BC2270" s="22">
        <v>39515.484594907408</v>
      </c>
      <c r="BI2270" s="22">
        <v>39549.294907407406</v>
      </c>
      <c r="BL2270">
        <v>5100</v>
      </c>
      <c r="BM2270">
        <v>1542745</v>
      </c>
      <c r="BN2270" t="s">
        <v>1749</v>
      </c>
      <c r="BO2270" s="17">
        <f t="shared" ca="1" si="35"/>
        <v>33.824811111109739</v>
      </c>
      <c r="BP2270" t="b">
        <v>0</v>
      </c>
      <c r="BQ2270">
        <v>1</v>
      </c>
      <c r="BR2270" t="s">
        <v>1667</v>
      </c>
      <c r="BS2270" t="s">
        <v>1891</v>
      </c>
      <c r="BT2270" t="b">
        <v>0</v>
      </c>
      <c r="BV2270" t="s">
        <v>1668</v>
      </c>
      <c r="BW2270">
        <v>6724</v>
      </c>
      <c r="BX2270" t="s">
        <v>1669</v>
      </c>
      <c r="BY2270">
        <v>497260</v>
      </c>
      <c r="BZ2270" t="s">
        <v>1952</v>
      </c>
      <c r="CA2270">
        <v>1</v>
      </c>
      <c r="CB2270" t="b">
        <v>1</v>
      </c>
      <c r="CC2270">
        <v>0</v>
      </c>
      <c r="CD2270" t="b">
        <v>1</v>
      </c>
      <c r="CE2270" t="b">
        <v>0</v>
      </c>
      <c r="CF2270" t="b">
        <v>0</v>
      </c>
      <c r="CG2270">
        <v>2626924</v>
      </c>
      <c r="CH2270" t="s">
        <v>1681</v>
      </c>
      <c r="CI2270" s="10">
        <v>270000</v>
      </c>
      <c r="CJ2270" s="7">
        <v>37186</v>
      </c>
    </row>
    <row r="2271" spans="1:89">
      <c r="A2271">
        <v>28040537</v>
      </c>
      <c r="B2271" s="2" t="str">
        <f>HYPERLINK("http://www.redfin.com/stingray/do/printable-listing?listing-id=1540352","Active")</f>
        <v>Active</v>
      </c>
      <c r="D2271" t="s">
        <v>3249</v>
      </c>
      <c r="E2271" t="s">
        <v>3393</v>
      </c>
      <c r="F2271" s="19">
        <v>529900</v>
      </c>
      <c r="G2271">
        <v>1931</v>
      </c>
      <c r="H2271">
        <v>2170</v>
      </c>
      <c r="I2271">
        <v>0</v>
      </c>
      <c r="J2271">
        <v>3</v>
      </c>
      <c r="K2271">
        <v>2</v>
      </c>
      <c r="M2271" s="2" t="str">
        <f>HYPERLINK("http://maps.live.com/default.aspx?v=2&amp;lvl=15&amp;sp=Point.47.635694_-122.372424_1830 12th Ave&amp;cp=47.635694~-122.372424","Map")</f>
        <v>Map</v>
      </c>
      <c r="N2271" s="2" t="str">
        <f>HYPERLINK("http://i-0.rfimg.us/photo/1/bigphoto/537/28040537_0.jpg","Photo")</f>
        <v>Photo</v>
      </c>
      <c r="AG2271">
        <v>47.635694000000001</v>
      </c>
      <c r="AH2271">
        <v>-122.372424</v>
      </c>
      <c r="AI2271" t="s">
        <v>66</v>
      </c>
      <c r="AJ2271">
        <v>98119</v>
      </c>
      <c r="AN2271">
        <v>130000</v>
      </c>
      <c r="BC2271" s="22">
        <v>39514.621435185189</v>
      </c>
      <c r="BI2271" s="22">
        <v>39549.294907407406</v>
      </c>
      <c r="BL2271">
        <v>10998</v>
      </c>
      <c r="BM2271">
        <v>1540352</v>
      </c>
      <c r="BN2271" t="s">
        <v>1766</v>
      </c>
      <c r="BO2271" s="17">
        <f t="shared" ca="1" si="35"/>
        <v>34.68797071759036</v>
      </c>
      <c r="BP2271" t="b">
        <v>0</v>
      </c>
      <c r="BQ2271">
        <v>1</v>
      </c>
      <c r="BR2271" t="s">
        <v>1667</v>
      </c>
      <c r="BS2271" t="s">
        <v>1803</v>
      </c>
      <c r="BT2271" t="b">
        <v>0</v>
      </c>
      <c r="BV2271" t="s">
        <v>1668</v>
      </c>
      <c r="BW2271">
        <v>1830</v>
      </c>
      <c r="BY2271">
        <v>135118</v>
      </c>
      <c r="BZ2271" t="s">
        <v>1745</v>
      </c>
      <c r="CA2271">
        <v>1</v>
      </c>
      <c r="CB2271" t="b">
        <v>1</v>
      </c>
      <c r="CC2271">
        <v>0</v>
      </c>
      <c r="CD2271" t="b">
        <v>0</v>
      </c>
      <c r="CE2271" t="b">
        <v>0</v>
      </c>
      <c r="CF2271" t="b">
        <v>0</v>
      </c>
      <c r="CG2271">
        <v>2880596</v>
      </c>
      <c r="CH2271" t="s">
        <v>1681</v>
      </c>
      <c r="CI2271" s="10">
        <v>549900</v>
      </c>
      <c r="CJ2271" s="7">
        <v>38840</v>
      </c>
    </row>
    <row r="2272" spans="1:89">
      <c r="A2272">
        <v>28040543</v>
      </c>
      <c r="B2272" s="2" t="str">
        <f>HYPERLINK("http://www.redfin.com/stingray/do/printable-listing?listing-id=1541701","Active")</f>
        <v>Active</v>
      </c>
      <c r="D2272" t="s">
        <v>5926</v>
      </c>
      <c r="E2272" t="s">
        <v>6048</v>
      </c>
      <c r="F2272">
        <v>630000</v>
      </c>
      <c r="G2272">
        <v>2001</v>
      </c>
      <c r="H2272">
        <v>2600</v>
      </c>
      <c r="I2272">
        <v>10673</v>
      </c>
      <c r="J2272">
        <v>5</v>
      </c>
      <c r="K2272">
        <v>2.5</v>
      </c>
      <c r="M2272" s="2" t="str">
        <f>HYPERLINK("http://maps.live.com/default.aspx?v=2&amp;lvl=15&amp;sp=Point.47.515763_-122.195936_1803 NE 27th Ct&amp;cp=47.515763~-122.195936","Map")</f>
        <v>Map</v>
      </c>
      <c r="N2272" s="2" t="str">
        <f>HYPERLINK("http://i-0.rfimg.us/photo/1/bigphoto/543/28040543_0.jpg","Photo")</f>
        <v>Photo</v>
      </c>
      <c r="AG2272">
        <v>47.515763</v>
      </c>
      <c r="AH2272">
        <v>-122.195936</v>
      </c>
      <c r="AI2272" t="s">
        <v>1077</v>
      </c>
      <c r="AJ2272">
        <v>98056</v>
      </c>
      <c r="AN2272">
        <v>353900</v>
      </c>
      <c r="BC2272" s="22">
        <v>39514.97383101852</v>
      </c>
      <c r="BI2272" s="22">
        <v>39549.294907407406</v>
      </c>
      <c r="BL2272">
        <v>12600</v>
      </c>
      <c r="BM2272">
        <v>1541701</v>
      </c>
      <c r="BN2272" t="s">
        <v>6047</v>
      </c>
      <c r="BO2272" s="17">
        <f t="shared" ca="1" si="35"/>
        <v>34.335574884258676</v>
      </c>
      <c r="BP2272" t="b">
        <v>0</v>
      </c>
      <c r="BQ2272">
        <v>1</v>
      </c>
      <c r="BR2272" t="s">
        <v>3768</v>
      </c>
      <c r="BS2272" t="s">
        <v>1751</v>
      </c>
      <c r="BT2272" t="b">
        <v>0</v>
      </c>
      <c r="BU2272" t="s">
        <v>1738</v>
      </c>
      <c r="BV2272" t="s">
        <v>1668</v>
      </c>
      <c r="BW2272">
        <v>1803</v>
      </c>
      <c r="BY2272">
        <v>410923</v>
      </c>
      <c r="BZ2272" t="s">
        <v>1801</v>
      </c>
      <c r="CA2272">
        <v>1</v>
      </c>
      <c r="CB2272" t="b">
        <v>1</v>
      </c>
      <c r="CC2272">
        <v>0</v>
      </c>
      <c r="CD2272" t="b">
        <v>0</v>
      </c>
      <c r="CE2272" t="b">
        <v>0</v>
      </c>
      <c r="CF2272" t="b">
        <v>0</v>
      </c>
      <c r="CG2272">
        <v>2984737</v>
      </c>
      <c r="CH2272" t="s">
        <v>1681</v>
      </c>
      <c r="CI2272" s="10">
        <v>630000</v>
      </c>
      <c r="CJ2272" s="7">
        <v>37190</v>
      </c>
    </row>
    <row r="2273" spans="1:90">
      <c r="A2273">
        <v>28040549</v>
      </c>
      <c r="B2273" s="2" t="str">
        <f>HYPERLINK("http://www.redfin.com/stingray/do/printable-listing?listing-id=1540145","Active")</f>
        <v>Active</v>
      </c>
      <c r="D2273" t="s">
        <v>5139</v>
      </c>
      <c r="E2273" t="s">
        <v>5155</v>
      </c>
      <c r="F2273">
        <v>1100000</v>
      </c>
      <c r="G2273">
        <v>1954</v>
      </c>
      <c r="H2273">
        <v>2610</v>
      </c>
      <c r="I2273">
        <v>13194</v>
      </c>
      <c r="J2273">
        <v>4</v>
      </c>
      <c r="K2273">
        <v>2.5</v>
      </c>
      <c r="M2273" s="2" t="str">
        <f>HYPERLINK("http://maps.live.com/default.aspx?v=2&amp;lvl=15&amp;sp=Point.47.590158_-122.241181_2243 74th Ave SE&amp;cp=47.590158~-122.241181","Map")</f>
        <v>Map</v>
      </c>
      <c r="N2273" s="2" t="str">
        <f>HYPERLINK("http://i-0.rfimg.us/photo/1/bigphoto/549/28040549_2.jpg","Photo")</f>
        <v>Photo</v>
      </c>
      <c r="AG2273">
        <v>47.590158000000002</v>
      </c>
      <c r="AH2273">
        <v>-122.241181</v>
      </c>
      <c r="AI2273" t="s">
        <v>5139</v>
      </c>
      <c r="AJ2273">
        <v>98040</v>
      </c>
      <c r="BC2273" s="22">
        <v>39514.578935185185</v>
      </c>
      <c r="BI2273" s="22">
        <v>39549.294907407406</v>
      </c>
      <c r="BL2273">
        <v>22000</v>
      </c>
      <c r="BM2273">
        <v>1540145</v>
      </c>
      <c r="BN2273" t="s">
        <v>1674</v>
      </c>
      <c r="BO2273" s="17">
        <f t="shared" ca="1" si="35"/>
        <v>34.730470717593562</v>
      </c>
      <c r="BP2273" t="b">
        <v>0</v>
      </c>
      <c r="BQ2273">
        <v>1</v>
      </c>
      <c r="BR2273" t="s">
        <v>1667</v>
      </c>
      <c r="BS2273" t="s">
        <v>1795</v>
      </c>
      <c r="BT2273" t="b">
        <v>0</v>
      </c>
      <c r="BV2273" t="s">
        <v>1668</v>
      </c>
      <c r="BW2273">
        <v>2243</v>
      </c>
      <c r="BX2273" t="s">
        <v>3856</v>
      </c>
      <c r="BY2273">
        <v>258157</v>
      </c>
      <c r="BZ2273" t="s">
        <v>2340</v>
      </c>
      <c r="CA2273">
        <v>1</v>
      </c>
      <c r="CB2273" t="b">
        <v>1</v>
      </c>
      <c r="CC2273">
        <v>0</v>
      </c>
      <c r="CD2273" t="b">
        <v>0</v>
      </c>
      <c r="CE2273" t="b">
        <v>0</v>
      </c>
      <c r="CF2273" t="b">
        <v>0</v>
      </c>
      <c r="CG2273">
        <v>2737986</v>
      </c>
      <c r="CH2273" t="s">
        <v>1681</v>
      </c>
      <c r="CI2273" s="10">
        <v>1100000</v>
      </c>
    </row>
    <row r="2274" spans="1:90">
      <c r="A2274">
        <v>28040569</v>
      </c>
      <c r="B2274" s="2" t="str">
        <f>HYPERLINK("http://www.redfin.com/stingray/do/printable-listing?listing-id=1540285","Active")</f>
        <v>Active</v>
      </c>
      <c r="D2274" t="s">
        <v>983</v>
      </c>
      <c r="E2274" t="s">
        <v>2833</v>
      </c>
      <c r="F2274">
        <v>1850000</v>
      </c>
      <c r="G2274">
        <v>2001</v>
      </c>
      <c r="H2274">
        <v>0</v>
      </c>
      <c r="I2274">
        <v>1680</v>
      </c>
      <c r="J2274">
        <v>2</v>
      </c>
      <c r="K2274">
        <v>0</v>
      </c>
      <c r="M2274" s="2" t="str">
        <f>HYPERLINK("http://maps.live.com/default.aspx?v=2&amp;lvl=15&amp;sp=Point.47.715612_-122.277499_11740 Riviera Pl NE&amp;cp=47.715612~-122.277499","Map")</f>
        <v>Map</v>
      </c>
      <c r="N2274" s="2" t="str">
        <f>HYPERLINK("http://i-0.rfimg.us/photo/1/bigphoto/569/28040569_0.jpg","Photo")</f>
        <v>Photo</v>
      </c>
      <c r="AG2274">
        <v>47.715612</v>
      </c>
      <c r="AH2274">
        <v>-122.27749900000001</v>
      </c>
      <c r="AI2274" t="s">
        <v>66</v>
      </c>
      <c r="AJ2274">
        <v>98125</v>
      </c>
      <c r="AN2274">
        <v>260000</v>
      </c>
      <c r="BC2274" s="22">
        <v>39514.599895833337</v>
      </c>
      <c r="BI2274" s="22">
        <v>39549.294907407406</v>
      </c>
      <c r="BL2274">
        <v>37000</v>
      </c>
      <c r="BM2274">
        <v>1540285</v>
      </c>
      <c r="BN2274" t="s">
        <v>1702</v>
      </c>
      <c r="BO2274" s="17">
        <f t="shared" ca="1" si="35"/>
        <v>34.709510069442331</v>
      </c>
      <c r="BP2274" t="b">
        <v>0</v>
      </c>
      <c r="BQ2274">
        <v>1</v>
      </c>
      <c r="BR2274" t="s">
        <v>1842</v>
      </c>
      <c r="BS2274" t="s">
        <v>2834</v>
      </c>
      <c r="BT2274" t="b">
        <v>0</v>
      </c>
      <c r="BV2274" t="s">
        <v>1668</v>
      </c>
      <c r="BW2274">
        <v>11740</v>
      </c>
      <c r="BX2274" t="s">
        <v>1738</v>
      </c>
      <c r="BY2274">
        <v>319999</v>
      </c>
      <c r="BZ2274" t="s">
        <v>2835</v>
      </c>
      <c r="CA2274">
        <v>1</v>
      </c>
      <c r="CB2274" t="b">
        <v>1</v>
      </c>
      <c r="CC2274">
        <v>0</v>
      </c>
      <c r="CD2274" t="b">
        <v>0</v>
      </c>
      <c r="CE2274" t="b">
        <v>0</v>
      </c>
      <c r="CF2274" t="b">
        <v>0</v>
      </c>
      <c r="CG2274">
        <v>316466</v>
      </c>
      <c r="CH2274" t="s">
        <v>1681</v>
      </c>
      <c r="CI2274" s="10">
        <v>1850000</v>
      </c>
      <c r="CJ2274" s="7">
        <v>36007</v>
      </c>
    </row>
    <row r="2275" spans="1:90">
      <c r="A2275">
        <v>28040593</v>
      </c>
      <c r="B2275" s="2" t="str">
        <f>HYPERLINK("http://www.redfin.com/stingray/do/printable-listing?listing-id=1540283","Active")</f>
        <v>Active</v>
      </c>
      <c r="D2275" t="s">
        <v>3079</v>
      </c>
      <c r="E2275" t="s">
        <v>4656</v>
      </c>
      <c r="F2275">
        <v>1199000</v>
      </c>
      <c r="G2275">
        <v>2003</v>
      </c>
      <c r="H2275">
        <v>2230</v>
      </c>
      <c r="I2275">
        <v>5750</v>
      </c>
      <c r="J2275">
        <v>3</v>
      </c>
      <c r="K2275">
        <v>2.5</v>
      </c>
      <c r="M2275" s="2" t="str">
        <f>HYPERLINK("http://maps.live.com/default.aspx?v=2&amp;lvl=15&amp;sp=Point.47.693843_-122.212624_1850 9th St W&amp;cp=47.693843~-122.212624","Map")</f>
        <v>Map</v>
      </c>
      <c r="N2275" s="2" t="str">
        <f>HYPERLINK("http://i-0.rfimg.us/photo/1/bigphoto/593/28040593_0.jpg","Photo")</f>
        <v>Photo</v>
      </c>
      <c r="AG2275">
        <v>47.693843000000001</v>
      </c>
      <c r="AH2275">
        <v>-122.21262400000001</v>
      </c>
      <c r="AI2275" t="s">
        <v>1058</v>
      </c>
      <c r="AJ2275">
        <v>98033</v>
      </c>
      <c r="AN2275">
        <v>717000</v>
      </c>
      <c r="BC2275" s="22">
        <v>39514.59988425926</v>
      </c>
      <c r="BI2275" s="22">
        <v>39549.294907407406</v>
      </c>
      <c r="BL2275">
        <v>23980</v>
      </c>
      <c r="BM2275">
        <v>1540283</v>
      </c>
      <c r="BN2275" t="s">
        <v>2556</v>
      </c>
      <c r="BO2275" s="17">
        <f t="shared" ca="1" si="35"/>
        <v>34.709521643519111</v>
      </c>
      <c r="BP2275" t="b">
        <v>0</v>
      </c>
      <c r="BQ2275">
        <v>1</v>
      </c>
      <c r="BR2275" t="s">
        <v>1686</v>
      </c>
      <c r="BS2275" t="s">
        <v>1785</v>
      </c>
      <c r="BT2275" t="b">
        <v>0</v>
      </c>
      <c r="BV2275" t="s">
        <v>1668</v>
      </c>
      <c r="BW2275">
        <v>1850</v>
      </c>
      <c r="BX2275" t="s">
        <v>2423</v>
      </c>
      <c r="BY2275">
        <v>461104</v>
      </c>
      <c r="BZ2275" t="s">
        <v>1801</v>
      </c>
      <c r="CA2275">
        <v>1</v>
      </c>
      <c r="CB2275" t="b">
        <v>1</v>
      </c>
      <c r="CC2275">
        <v>0</v>
      </c>
      <c r="CD2275" t="b">
        <v>0</v>
      </c>
      <c r="CE2275" t="b">
        <v>0</v>
      </c>
      <c r="CF2275" t="b">
        <v>0</v>
      </c>
      <c r="CG2275">
        <v>2435609</v>
      </c>
      <c r="CH2275" t="s">
        <v>1681</v>
      </c>
      <c r="CI2275" s="10">
        <v>1199000</v>
      </c>
      <c r="CJ2275" s="7">
        <v>38093</v>
      </c>
    </row>
    <row r="2276" spans="1:90">
      <c r="A2276">
        <v>28040639</v>
      </c>
      <c r="B2276" s="2" t="str">
        <f>HYPERLINK("http://www.redfin.com/stingray/do/printable-listing?listing-id=1541187","Subject To Inspection")</f>
        <v>Subject To Inspection</v>
      </c>
      <c r="D2276" t="s">
        <v>5281</v>
      </c>
      <c r="E2276" t="s">
        <v>5322</v>
      </c>
      <c r="F2276">
        <v>592465</v>
      </c>
      <c r="G2276">
        <v>1973</v>
      </c>
      <c r="H2276">
        <v>0</v>
      </c>
      <c r="I2276">
        <v>8200</v>
      </c>
      <c r="J2276">
        <v>5</v>
      </c>
      <c r="K2276">
        <v>2.5</v>
      </c>
      <c r="M2276" s="2" t="str">
        <f>HYPERLINK("http://maps.live.com/default.aspx?v=2&amp;lvl=15&amp;sp=Point.47.567488_-122.087971_18905 SE 43 St&amp;cp=47.567488~-122.087971","Map")</f>
        <v>Map</v>
      </c>
      <c r="N2276" s="2" t="str">
        <f>HYPERLINK("http://i-0.rfimg.us/photo/1/bigphoto/639/28040639_1.jpg","Photo")</f>
        <v>Photo</v>
      </c>
      <c r="AG2276">
        <v>47.567487999999997</v>
      </c>
      <c r="AH2276">
        <v>-122.087971</v>
      </c>
      <c r="AI2276" t="s">
        <v>5280</v>
      </c>
      <c r="AJ2276">
        <v>98027</v>
      </c>
      <c r="AN2276">
        <v>324950</v>
      </c>
      <c r="BC2276" s="22">
        <v>39514.725787037038</v>
      </c>
      <c r="BI2276" s="7">
        <v>39533</v>
      </c>
      <c r="BL2276">
        <v>11849</v>
      </c>
      <c r="BM2276">
        <v>1541187</v>
      </c>
      <c r="BN2276" t="s">
        <v>1674</v>
      </c>
      <c r="BO2276" s="17">
        <f t="shared" ca="1" si="35"/>
        <v>34.5836188657413</v>
      </c>
      <c r="BP2276" t="b">
        <v>0</v>
      </c>
      <c r="BQ2276">
        <v>2</v>
      </c>
      <c r="BR2276" t="s">
        <v>1686</v>
      </c>
      <c r="BS2276">
        <v>43</v>
      </c>
      <c r="BT2276" t="b">
        <v>0</v>
      </c>
      <c r="BU2276" t="s">
        <v>3856</v>
      </c>
      <c r="BV2276" t="s">
        <v>1668</v>
      </c>
      <c r="BW2276">
        <v>18905</v>
      </c>
      <c r="BY2276">
        <v>326483</v>
      </c>
      <c r="BZ2276" t="s">
        <v>1704</v>
      </c>
      <c r="CA2276">
        <v>1</v>
      </c>
      <c r="CB2276" t="b">
        <v>1</v>
      </c>
      <c r="CC2276">
        <v>0</v>
      </c>
      <c r="CD2276" t="b">
        <v>0</v>
      </c>
      <c r="CE2276" t="b">
        <v>0</v>
      </c>
      <c r="CF2276" t="b">
        <v>0</v>
      </c>
      <c r="CG2276">
        <v>2390014</v>
      </c>
      <c r="CH2276" t="s">
        <v>1681</v>
      </c>
      <c r="CI2276" s="10">
        <v>592465</v>
      </c>
      <c r="CJ2276" s="7">
        <v>36731</v>
      </c>
    </row>
    <row r="2277" spans="1:90">
      <c r="A2277">
        <v>28040687</v>
      </c>
      <c r="B2277" s="2" t="str">
        <f>HYPERLINK("http://www.redfin.com/stingray/do/printable-listing?listing-id=1540668","Active")</f>
        <v>Active</v>
      </c>
      <c r="D2277" t="s">
        <v>3924</v>
      </c>
      <c r="E2277" t="s">
        <v>4083</v>
      </c>
      <c r="F2277">
        <v>439500</v>
      </c>
      <c r="G2277">
        <v>2006</v>
      </c>
      <c r="H2277">
        <v>1300</v>
      </c>
      <c r="I2277">
        <v>0</v>
      </c>
      <c r="J2277">
        <v>2</v>
      </c>
      <c r="K2277">
        <v>2.25</v>
      </c>
      <c r="M2277" s="2" t="str">
        <f>HYPERLINK("http://maps.live.com/default.aspx?v=2&amp;lvl=15&amp;sp=Point.47.618183_-122.302349_1818 23rd Ave&amp;cp=47.618183~-122.302349","Map")</f>
        <v>Map</v>
      </c>
      <c r="N2277" s="2" t="str">
        <f>HYPERLINK("http://i-0.rfimg.us/photo/1/bigphoto/687/28040687_0.jpg","Photo")</f>
        <v>Photo</v>
      </c>
      <c r="AG2277">
        <v>47.618183000000002</v>
      </c>
      <c r="AH2277">
        <v>-122.30234900000001</v>
      </c>
      <c r="AI2277" t="s">
        <v>66</v>
      </c>
      <c r="AJ2277">
        <v>98122</v>
      </c>
      <c r="BC2277" s="22">
        <v>39514.642847222225</v>
      </c>
      <c r="BI2277" s="22">
        <v>39549.294907407406</v>
      </c>
      <c r="BL2277">
        <v>8790</v>
      </c>
      <c r="BM2277">
        <v>1540668</v>
      </c>
      <c r="BN2277" t="s">
        <v>1823</v>
      </c>
      <c r="BO2277" s="17">
        <f t="shared" ca="1" si="35"/>
        <v>34.666558680553862</v>
      </c>
      <c r="BP2277" t="b">
        <v>0</v>
      </c>
      <c r="BQ2277">
        <v>1</v>
      </c>
      <c r="BR2277" t="s">
        <v>1667</v>
      </c>
      <c r="BS2277" t="s">
        <v>1839</v>
      </c>
      <c r="BT2277" t="b">
        <v>0</v>
      </c>
      <c r="BV2277" t="s">
        <v>1668</v>
      </c>
      <c r="BW2277">
        <v>1818</v>
      </c>
      <c r="BY2277">
        <v>12412274</v>
      </c>
      <c r="BZ2277" t="s">
        <v>1701</v>
      </c>
      <c r="CA2277">
        <v>1</v>
      </c>
      <c r="CB2277" t="b">
        <v>1</v>
      </c>
      <c r="CC2277">
        <v>0</v>
      </c>
      <c r="CD2277" t="b">
        <v>0</v>
      </c>
      <c r="CE2277" t="b">
        <v>0</v>
      </c>
      <c r="CF2277" t="b">
        <v>0</v>
      </c>
      <c r="CG2277">
        <v>15616022</v>
      </c>
      <c r="CH2277" t="s">
        <v>1681</v>
      </c>
      <c r="CI2277" s="10">
        <v>439500</v>
      </c>
    </row>
    <row r="2278" spans="1:90">
      <c r="A2278">
        <v>28040731</v>
      </c>
      <c r="B2278" s="2" t="str">
        <f>HYPERLINK("http://www.redfin.com/stingray/do/printable-listing?listing-id=1540824","Active")</f>
        <v>Active</v>
      </c>
      <c r="D2278" t="s">
        <v>3066</v>
      </c>
      <c r="E2278" t="s">
        <v>4675</v>
      </c>
      <c r="F2278">
        <v>464500</v>
      </c>
      <c r="G2278">
        <v>1997</v>
      </c>
      <c r="H2278">
        <v>1590</v>
      </c>
      <c r="I2278">
        <v>2088</v>
      </c>
      <c r="J2278">
        <v>2</v>
      </c>
      <c r="K2278">
        <v>2</v>
      </c>
      <c r="M2278" s="2" t="str">
        <f>HYPERLINK("http://maps.live.com/default.aspx?v=2&amp;lvl=15&amp;sp=Point.47.68974_-122.175014_12418 NE 100th St&amp;cp=47.68974~-122.175014","Map")</f>
        <v>Map</v>
      </c>
      <c r="N2278" s="2" t="str">
        <f>HYPERLINK("http://i-0.rfimg.us/photo/1/bigphoto/731/28040731_1.jpg","Photo")</f>
        <v>Photo</v>
      </c>
      <c r="AG2278">
        <v>47.68974</v>
      </c>
      <c r="AH2278">
        <v>-122.175014</v>
      </c>
      <c r="AI2278" t="s">
        <v>1058</v>
      </c>
      <c r="AJ2278">
        <v>98033</v>
      </c>
      <c r="AN2278">
        <v>273000</v>
      </c>
      <c r="BC2278" s="22">
        <v>39514.672789351855</v>
      </c>
      <c r="BI2278" s="22">
        <v>39549.294907407406</v>
      </c>
      <c r="BL2278">
        <v>9290</v>
      </c>
      <c r="BM2278">
        <v>1540824</v>
      </c>
      <c r="BN2278" t="s">
        <v>1829</v>
      </c>
      <c r="BO2278" s="17">
        <f t="shared" ca="1" si="35"/>
        <v>34.636616550924373</v>
      </c>
      <c r="BP2278" t="b">
        <v>0</v>
      </c>
      <c r="BQ2278">
        <v>1</v>
      </c>
      <c r="BR2278" t="s">
        <v>1686</v>
      </c>
      <c r="BS2278" t="s">
        <v>2806</v>
      </c>
      <c r="BT2278" t="b">
        <v>0</v>
      </c>
      <c r="BU2278" t="s">
        <v>1738</v>
      </c>
      <c r="BV2278" t="s">
        <v>1668</v>
      </c>
      <c r="BW2278">
        <v>12418</v>
      </c>
      <c r="BY2278">
        <v>512113</v>
      </c>
      <c r="BZ2278" t="s">
        <v>1756</v>
      </c>
      <c r="CA2278">
        <v>1</v>
      </c>
      <c r="CB2278" t="b">
        <v>1</v>
      </c>
      <c r="CC2278">
        <v>0</v>
      </c>
      <c r="CD2278" t="b">
        <v>0</v>
      </c>
      <c r="CE2278" t="b">
        <v>0</v>
      </c>
      <c r="CF2278" t="b">
        <v>0</v>
      </c>
      <c r="CG2278">
        <v>2452918</v>
      </c>
      <c r="CH2278" t="s">
        <v>1681</v>
      </c>
      <c r="CI2278" s="10">
        <v>464500</v>
      </c>
      <c r="CJ2278" s="7">
        <v>37708</v>
      </c>
    </row>
    <row r="2279" spans="1:90">
      <c r="A2279">
        <v>28040739</v>
      </c>
      <c r="B2279" s="2" t="str">
        <f>HYPERLINK("http://www.redfin.com/stingray/do/printable-listing?listing-id=1540739","Active")</f>
        <v>Active</v>
      </c>
      <c r="D2279" t="s">
        <v>60</v>
      </c>
      <c r="E2279" t="s">
        <v>2193</v>
      </c>
      <c r="F2279" s="19">
        <v>439000</v>
      </c>
      <c r="G2279">
        <v>1922</v>
      </c>
      <c r="H2279">
        <v>1920</v>
      </c>
      <c r="I2279">
        <v>3000</v>
      </c>
      <c r="J2279">
        <v>3</v>
      </c>
      <c r="K2279">
        <v>1</v>
      </c>
      <c r="M2279" s="2" t="str">
        <f>HYPERLINK("http://maps.live.com/default.aspx?v=2&amp;lvl=15&amp;sp=Point.47.674718_-122.322602_6311 6th Ave NE&amp;cp=47.674718~-122.322602","Map")</f>
        <v>Map</v>
      </c>
      <c r="N2279" s="2" t="str">
        <f>HYPERLINK("http://i-0.rfimg.us/photo/1/bigphoto/739/28040739_0.jpg","Photo")</f>
        <v>Photo</v>
      </c>
      <c r="AG2279">
        <v>47.674717999999999</v>
      </c>
      <c r="AH2279">
        <v>-122.322602</v>
      </c>
      <c r="AI2279" t="s">
        <v>66</v>
      </c>
      <c r="AJ2279">
        <v>98115</v>
      </c>
      <c r="AN2279">
        <v>310000</v>
      </c>
      <c r="BC2279" s="22">
        <v>39514.653229166666</v>
      </c>
      <c r="BI2279" s="22">
        <v>39549.294907407406</v>
      </c>
      <c r="BL2279">
        <v>9380</v>
      </c>
      <c r="BM2279">
        <v>1540739</v>
      </c>
      <c r="BN2279" t="s">
        <v>2777</v>
      </c>
      <c r="BO2279" s="17">
        <f t="shared" ca="1" si="35"/>
        <v>34.656176736112684</v>
      </c>
      <c r="BP2279" t="b">
        <v>0</v>
      </c>
      <c r="BQ2279">
        <v>1</v>
      </c>
      <c r="BR2279" t="s">
        <v>1667</v>
      </c>
      <c r="BS2279" t="s">
        <v>1739</v>
      </c>
      <c r="BT2279" t="b">
        <v>0</v>
      </c>
      <c r="BV2279" t="s">
        <v>1668</v>
      </c>
      <c r="BW2279">
        <v>6311</v>
      </c>
      <c r="BX2279" t="s">
        <v>1738</v>
      </c>
      <c r="BY2279">
        <v>304686</v>
      </c>
      <c r="BZ2279" t="s">
        <v>1701</v>
      </c>
      <c r="CA2279">
        <v>1</v>
      </c>
      <c r="CB2279" t="b">
        <v>1</v>
      </c>
      <c r="CC2279">
        <v>0</v>
      </c>
      <c r="CD2279" t="b">
        <v>0</v>
      </c>
      <c r="CE2279" t="b">
        <v>0</v>
      </c>
      <c r="CF2279" t="b">
        <v>0</v>
      </c>
      <c r="CG2279">
        <v>2690910</v>
      </c>
      <c r="CH2279" t="s">
        <v>1681</v>
      </c>
      <c r="CI2279" s="10">
        <v>469000</v>
      </c>
      <c r="CJ2279" s="7">
        <v>38289</v>
      </c>
    </row>
    <row r="2280" spans="1:90">
      <c r="A2280">
        <v>28040753</v>
      </c>
      <c r="B2280" s="2" t="str">
        <f>HYPERLINK("http://www.redfin.com/stingray/do/printable-listing?listing-id=1540792","Active")</f>
        <v>Active</v>
      </c>
      <c r="D2280" t="s">
        <v>4639</v>
      </c>
      <c r="E2280" t="s">
        <v>4635</v>
      </c>
      <c r="F2280">
        <v>599950</v>
      </c>
      <c r="G2280">
        <v>2008</v>
      </c>
      <c r="H2280">
        <v>2815</v>
      </c>
      <c r="I2280">
        <v>6230</v>
      </c>
      <c r="J2280">
        <v>4</v>
      </c>
      <c r="K2280">
        <v>2.5</v>
      </c>
      <c r="M2280" s="2" t="str">
        <f>HYPERLINK("http://maps.live.com/default.aspx?v=2&amp;lvl=15&amp;sp=adr.5 171st St SW nXX (Unable to map),98037","Map")</f>
        <v>Map</v>
      </c>
      <c r="N2280" s="2" t="str">
        <f>HYPERLINK("http://i-0.rfimg.us/photo/1/bigphoto/753/28040753_1.jpg","Photo")</f>
        <v>Photo</v>
      </c>
      <c r="AI2280" t="s">
        <v>4638</v>
      </c>
      <c r="AJ2280">
        <v>98037</v>
      </c>
      <c r="AM2280" t="s">
        <v>4636</v>
      </c>
      <c r="BC2280" s="22">
        <v>39514.662858796299</v>
      </c>
      <c r="BI2280" s="22">
        <v>39549.294907407406</v>
      </c>
      <c r="BL2280">
        <v>11999</v>
      </c>
      <c r="BM2280">
        <v>1540792</v>
      </c>
      <c r="BN2280" t="s">
        <v>1899</v>
      </c>
      <c r="BO2280" s="17">
        <f t="shared" ca="1" si="35"/>
        <v>34.646547106480284</v>
      </c>
      <c r="BP2280" t="b">
        <v>0</v>
      </c>
      <c r="BQ2280">
        <v>1</v>
      </c>
      <c r="BR2280" t="s">
        <v>1686</v>
      </c>
      <c r="BS2280" t="s">
        <v>4637</v>
      </c>
      <c r="BT2280" t="b">
        <v>0</v>
      </c>
      <c r="BV2280" t="s">
        <v>1668</v>
      </c>
      <c r="BW2280">
        <v>5</v>
      </c>
      <c r="BX2280" t="s">
        <v>1869</v>
      </c>
      <c r="BY2280">
        <v>0</v>
      </c>
      <c r="BZ2280" t="s">
        <v>2373</v>
      </c>
      <c r="CA2280">
        <v>1</v>
      </c>
      <c r="CB2280" t="b">
        <v>1</v>
      </c>
      <c r="CC2280">
        <v>0</v>
      </c>
      <c r="CD2280" t="b">
        <v>0</v>
      </c>
      <c r="CE2280" t="b">
        <v>0</v>
      </c>
      <c r="CF2280" t="b">
        <v>0</v>
      </c>
      <c r="CG2280" t="s">
        <v>1870</v>
      </c>
      <c r="CH2280" t="s">
        <v>1681</v>
      </c>
      <c r="CI2280" s="10">
        <v>599950</v>
      </c>
    </row>
    <row r="2281" spans="1:90">
      <c r="A2281">
        <v>28040850</v>
      </c>
      <c r="B2281" s="2" t="str">
        <f>HYPERLINK("http://www.redfin.com/stingray/do/printable-listing?listing-id=1540919","Active")</f>
        <v>Active</v>
      </c>
      <c r="D2281" t="s">
        <v>4542</v>
      </c>
      <c r="E2281" t="s">
        <v>4705</v>
      </c>
      <c r="F2281">
        <v>559950</v>
      </c>
      <c r="G2281">
        <v>1965</v>
      </c>
      <c r="H2281">
        <v>1450</v>
      </c>
      <c r="I2281">
        <v>6526</v>
      </c>
      <c r="J2281">
        <v>3</v>
      </c>
      <c r="K2281">
        <v>1.75</v>
      </c>
      <c r="M2281" s="2" t="str">
        <f>HYPERLINK("http://maps.live.com/default.aspx?v=2&amp;lvl=15&amp;sp=Point.47.686233_-122.199442_1303 5th St&amp;cp=47.686233~-122.199442","Map")</f>
        <v>Map</v>
      </c>
      <c r="N2281" s="2" t="str">
        <f>HYPERLINK("http://i-0.rfimg.us/photo/1/bigphoto/850/28040850_1.jpg","Photo")</f>
        <v>Photo</v>
      </c>
      <c r="AG2281">
        <v>47.686233000000001</v>
      </c>
      <c r="AH2281">
        <v>-122.199442</v>
      </c>
      <c r="AI2281" t="s">
        <v>1058</v>
      </c>
      <c r="AJ2281">
        <v>98033</v>
      </c>
      <c r="AN2281">
        <v>440000</v>
      </c>
      <c r="BC2281" s="22">
        <v>39514.693854166668</v>
      </c>
      <c r="BI2281" s="22">
        <v>39549.294907407406</v>
      </c>
      <c r="BL2281">
        <v>11199</v>
      </c>
      <c r="BM2281">
        <v>1540919</v>
      </c>
      <c r="BN2281" t="s">
        <v>3236</v>
      </c>
      <c r="BO2281" s="17">
        <f t="shared" ca="1" si="35"/>
        <v>34.615551736111229</v>
      </c>
      <c r="BP2281" t="b">
        <v>0</v>
      </c>
      <c r="BQ2281">
        <v>1</v>
      </c>
      <c r="BR2281" t="s">
        <v>1686</v>
      </c>
      <c r="BS2281" t="s">
        <v>1832</v>
      </c>
      <c r="BT2281" t="b">
        <v>0</v>
      </c>
      <c r="BV2281" t="s">
        <v>1668</v>
      </c>
      <c r="BW2281">
        <v>1303</v>
      </c>
      <c r="BY2281">
        <v>464364</v>
      </c>
      <c r="BZ2281" t="s">
        <v>4706</v>
      </c>
      <c r="CA2281">
        <v>1</v>
      </c>
      <c r="CB2281" t="b">
        <v>1</v>
      </c>
      <c r="CC2281">
        <v>0</v>
      </c>
      <c r="CD2281" t="b">
        <v>0</v>
      </c>
      <c r="CE2281" t="b">
        <v>0</v>
      </c>
      <c r="CF2281" t="b">
        <v>0</v>
      </c>
      <c r="CG2281">
        <v>2464993</v>
      </c>
      <c r="CH2281" t="s">
        <v>1681</v>
      </c>
      <c r="CI2281" s="10">
        <v>559950</v>
      </c>
      <c r="CJ2281" s="7">
        <v>38336</v>
      </c>
      <c r="CL2281" t="s">
        <v>2347</v>
      </c>
    </row>
    <row r="2282" spans="1:90">
      <c r="A2282">
        <v>28040926</v>
      </c>
      <c r="B2282" s="2" t="str">
        <f>HYPERLINK("http://www.redfin.com/stingray/do/printable-listing?listing-id=1544460","Active")</f>
        <v>Active</v>
      </c>
      <c r="D2282" t="s">
        <v>5606</v>
      </c>
      <c r="E2282" t="s">
        <v>5604</v>
      </c>
      <c r="F2282" s="19">
        <v>839000</v>
      </c>
      <c r="G2282">
        <v>1966</v>
      </c>
      <c r="H2282">
        <v>1880</v>
      </c>
      <c r="I2282">
        <v>9525</v>
      </c>
      <c r="J2282">
        <v>4</v>
      </c>
      <c r="K2282">
        <v>1.75</v>
      </c>
      <c r="M2282" s="2" t="str">
        <f>HYPERLINK("http://maps.live.com/default.aspx?v=2&amp;lvl=15&amp;sp=Point.47.562464_-122.217939_4657 91st Ave SE&amp;cp=47.562464~-122.217939","Map")</f>
        <v>Map</v>
      </c>
      <c r="N2282" s="2" t="str">
        <f>HYPERLINK("http://i-0.rfimg.us/photo/1/bigphoto/926/28040926_1.jpg","Photo")</f>
        <v>Photo</v>
      </c>
      <c r="AG2282">
        <v>47.562463999999999</v>
      </c>
      <c r="AH2282">
        <v>-122.217939</v>
      </c>
      <c r="AI2282" t="s">
        <v>5139</v>
      </c>
      <c r="AJ2282">
        <v>98040</v>
      </c>
      <c r="AN2282">
        <v>350000</v>
      </c>
      <c r="BC2282" s="22">
        <v>39516.743969907409</v>
      </c>
      <c r="BI2282" s="22">
        <v>39549.294907407406</v>
      </c>
      <c r="BL2282">
        <v>17180</v>
      </c>
      <c r="BM2282">
        <v>1544460</v>
      </c>
      <c r="BN2282" t="s">
        <v>1674</v>
      </c>
      <c r="BO2282" s="17">
        <f t="shared" ca="1" si="35"/>
        <v>32.565435995369626</v>
      </c>
      <c r="BP2282" t="b">
        <v>0</v>
      </c>
      <c r="BQ2282">
        <v>1</v>
      </c>
      <c r="BR2282" t="s">
        <v>1667</v>
      </c>
      <c r="BS2282" t="s">
        <v>2818</v>
      </c>
      <c r="BT2282" t="b">
        <v>0</v>
      </c>
      <c r="BV2282" t="s">
        <v>1668</v>
      </c>
      <c r="BW2282">
        <v>4657</v>
      </c>
      <c r="BX2282" t="s">
        <v>3856</v>
      </c>
      <c r="BY2282">
        <v>256527</v>
      </c>
      <c r="BZ2282" t="s">
        <v>5605</v>
      </c>
      <c r="CA2282">
        <v>1</v>
      </c>
      <c r="CB2282" t="b">
        <v>1</v>
      </c>
      <c r="CC2282">
        <v>0</v>
      </c>
      <c r="CD2282" t="b">
        <v>0</v>
      </c>
      <c r="CE2282" t="b">
        <v>0</v>
      </c>
      <c r="CF2282" t="b">
        <v>0</v>
      </c>
      <c r="CG2282">
        <v>2641559</v>
      </c>
      <c r="CH2282" t="s">
        <v>1681</v>
      </c>
      <c r="CI2282" s="10">
        <v>859000</v>
      </c>
      <c r="CJ2282" s="7">
        <v>37686</v>
      </c>
    </row>
    <row r="2283" spans="1:90">
      <c r="A2283">
        <v>28040962</v>
      </c>
      <c r="B2283" s="2" t="str">
        <f>HYPERLINK("http://www.redfin.com/stingray/do/printable-listing?listing-id=1541500","Active")</f>
        <v>Active</v>
      </c>
      <c r="D2283" t="s">
        <v>5195</v>
      </c>
      <c r="E2283" t="s">
        <v>5193</v>
      </c>
      <c r="F2283" s="19">
        <v>499950</v>
      </c>
      <c r="G2283">
        <v>1964</v>
      </c>
      <c r="H2283">
        <v>1600</v>
      </c>
      <c r="I2283">
        <v>7400</v>
      </c>
      <c r="J2283">
        <v>4</v>
      </c>
      <c r="K2283">
        <v>2</v>
      </c>
      <c r="M2283" s="2" t="str">
        <f>HYPERLINK("http://maps.live.com/default.aspx?v=2&amp;lvl=15&amp;sp=Point.47.586427_-122.120006_2641 166th Ave SE&amp;cp=47.586427~-122.120006","Map")</f>
        <v>Map</v>
      </c>
      <c r="N2283" s="2" t="str">
        <f>HYPERLINK("http://i-0.rfimg.us/photo/1/bigphoto/962/28040962_0.jpg","Photo")</f>
        <v>Photo</v>
      </c>
      <c r="AG2283">
        <v>47.586427</v>
      </c>
      <c r="AH2283">
        <v>-122.120006</v>
      </c>
      <c r="AI2283" t="s">
        <v>369</v>
      </c>
      <c r="AJ2283">
        <v>98008</v>
      </c>
      <c r="AN2283">
        <v>478000</v>
      </c>
      <c r="BC2283" s="22">
        <v>39514.870312500003</v>
      </c>
      <c r="BI2283" s="22">
        <v>39549.294907407406</v>
      </c>
      <c r="BL2283">
        <v>10380</v>
      </c>
      <c r="BM2283">
        <v>1541500</v>
      </c>
      <c r="BN2283" t="s">
        <v>1674</v>
      </c>
      <c r="BO2283" s="17">
        <f t="shared" ca="1" si="35"/>
        <v>34.439093402776052</v>
      </c>
      <c r="BP2283" t="b">
        <v>0</v>
      </c>
      <c r="BQ2283">
        <v>1</v>
      </c>
      <c r="BR2283" t="s">
        <v>1667</v>
      </c>
      <c r="BS2283" t="s">
        <v>5194</v>
      </c>
      <c r="BT2283" t="b">
        <v>0</v>
      </c>
      <c r="BV2283" t="s">
        <v>1668</v>
      </c>
      <c r="BW2283">
        <v>2641</v>
      </c>
      <c r="BX2283" t="s">
        <v>3856</v>
      </c>
      <c r="BY2283">
        <v>428954</v>
      </c>
      <c r="BZ2283" t="s">
        <v>1741</v>
      </c>
      <c r="CA2283">
        <v>1</v>
      </c>
      <c r="CB2283" t="b">
        <v>1</v>
      </c>
      <c r="CC2283">
        <v>0</v>
      </c>
      <c r="CD2283" t="b">
        <v>0</v>
      </c>
      <c r="CE2283" t="b">
        <v>0</v>
      </c>
      <c r="CF2283" t="b">
        <v>0</v>
      </c>
      <c r="CG2283">
        <v>2493382</v>
      </c>
      <c r="CH2283" t="s">
        <v>1681</v>
      </c>
      <c r="CI2283" s="10">
        <v>519000</v>
      </c>
      <c r="CJ2283" s="7">
        <v>39128</v>
      </c>
    </row>
    <row r="2284" spans="1:90">
      <c r="A2284">
        <v>28040987</v>
      </c>
      <c r="B2284" s="2" t="str">
        <f>HYPERLINK("http://www.redfin.com/stingray/do/printable-listing?listing-id=1541700","Active")</f>
        <v>Active</v>
      </c>
      <c r="D2284" t="s">
        <v>2552</v>
      </c>
      <c r="E2284" t="s">
        <v>3429</v>
      </c>
      <c r="F2284">
        <v>950000</v>
      </c>
      <c r="G2284">
        <v>1950</v>
      </c>
      <c r="H2284">
        <v>2400</v>
      </c>
      <c r="I2284">
        <v>9000</v>
      </c>
      <c r="J2284">
        <v>3</v>
      </c>
      <c r="K2284">
        <v>1.75</v>
      </c>
      <c r="M2284" s="2" t="str">
        <f>HYPERLINK("http://maps.live.com/default.aspx?v=2&amp;lvl=15&amp;sp=Point.47.643616_-122.409258_2612 W Viewmont Way W&amp;cp=47.643616~-122.409258","Map")</f>
        <v>Map</v>
      </c>
      <c r="N2284" s="2" t="str">
        <f>HYPERLINK("http://i-0.rfimg.us/photo/1/bigphoto/987/28040987_B.jpg","Photo")</f>
        <v>Photo</v>
      </c>
      <c r="AG2284">
        <v>47.643616000000002</v>
      </c>
      <c r="AH2284">
        <v>-122.40925799999999</v>
      </c>
      <c r="AI2284" t="s">
        <v>66</v>
      </c>
      <c r="AJ2284">
        <v>98199</v>
      </c>
      <c r="AN2284">
        <v>320000</v>
      </c>
      <c r="BC2284" s="22">
        <v>39514.973819444444</v>
      </c>
      <c r="BI2284" s="22">
        <v>39549.294907407406</v>
      </c>
      <c r="BL2284">
        <v>19000</v>
      </c>
      <c r="BM2284">
        <v>1541700</v>
      </c>
      <c r="BN2284" t="s">
        <v>1678</v>
      </c>
      <c r="BO2284" s="17">
        <f t="shared" ca="1" si="35"/>
        <v>34.335586458335456</v>
      </c>
      <c r="BP2284" t="b">
        <v>0</v>
      </c>
      <c r="BQ2284">
        <v>1</v>
      </c>
      <c r="BR2284" t="s">
        <v>2463</v>
      </c>
      <c r="BS2284" t="s">
        <v>3383</v>
      </c>
      <c r="BT2284" t="b">
        <v>0</v>
      </c>
      <c r="BU2284" t="s">
        <v>2423</v>
      </c>
      <c r="BV2284" t="s">
        <v>1668</v>
      </c>
      <c r="BW2284">
        <v>2612</v>
      </c>
      <c r="BX2284" t="s">
        <v>2423</v>
      </c>
      <c r="BY2284">
        <v>125435</v>
      </c>
      <c r="BZ2284" t="s">
        <v>3430</v>
      </c>
      <c r="CA2284">
        <v>1</v>
      </c>
      <c r="CB2284" t="b">
        <v>1</v>
      </c>
      <c r="CC2284">
        <v>0</v>
      </c>
      <c r="CD2284" t="b">
        <v>0</v>
      </c>
      <c r="CE2284" t="b">
        <v>0</v>
      </c>
      <c r="CF2284" t="b">
        <v>0</v>
      </c>
      <c r="CG2284">
        <v>2879400</v>
      </c>
      <c r="CH2284" t="s">
        <v>1681</v>
      </c>
      <c r="CI2284" s="10">
        <v>950000</v>
      </c>
      <c r="CJ2284" s="7">
        <v>35012</v>
      </c>
    </row>
    <row r="2285" spans="1:90">
      <c r="A2285">
        <v>28040991</v>
      </c>
      <c r="B2285" s="2" t="str">
        <f>HYPERLINK("http://www.redfin.com/stingray/do/printable-listing?listing-id=1542270","Active")</f>
        <v>Active</v>
      </c>
      <c r="D2285" t="s">
        <v>5204</v>
      </c>
      <c r="E2285" t="s">
        <v>5310</v>
      </c>
      <c r="F2285" s="19">
        <v>374950</v>
      </c>
      <c r="G2285">
        <v>1961</v>
      </c>
      <c r="H2285">
        <v>1080</v>
      </c>
      <c r="I2285">
        <v>7710</v>
      </c>
      <c r="J2285">
        <v>3</v>
      </c>
      <c r="K2285">
        <v>1</v>
      </c>
      <c r="M2285" s="2" t="str">
        <f>HYPERLINK("http://maps.live.com/default.aspx?v=2&amp;lvl=15&amp;sp=Point.47.622543_-122.114995_16859 NE 14th Pl&amp;cp=47.622543~-122.114995","Map")</f>
        <v>Map</v>
      </c>
      <c r="N2285" s="2" t="str">
        <f>HYPERLINK("http://i-0.rfimg.us/photo/1/bigphoto/991/28040991_0.jpg","Photo")</f>
        <v>Photo</v>
      </c>
      <c r="AG2285">
        <v>47.622543</v>
      </c>
      <c r="AH2285">
        <v>-122.11499499999999</v>
      </c>
      <c r="AI2285" t="s">
        <v>369</v>
      </c>
      <c r="AJ2285">
        <v>98008</v>
      </c>
      <c r="AN2285">
        <v>255340</v>
      </c>
      <c r="BC2285" s="22">
        <v>39515.087997685187</v>
      </c>
      <c r="BI2285" s="22">
        <v>39549.294907407406</v>
      </c>
      <c r="BL2285">
        <v>7579</v>
      </c>
      <c r="BM2285">
        <v>1542270</v>
      </c>
      <c r="BN2285" t="s">
        <v>3171</v>
      </c>
      <c r="BO2285" s="17">
        <f t="shared" ca="1" si="35"/>
        <v>34.221408217592398</v>
      </c>
      <c r="BP2285" t="b">
        <v>0</v>
      </c>
      <c r="BQ2285">
        <v>1</v>
      </c>
      <c r="BR2285" t="s">
        <v>1842</v>
      </c>
      <c r="BS2285" t="s">
        <v>1900</v>
      </c>
      <c r="BT2285" t="b">
        <v>0</v>
      </c>
      <c r="BU2285" t="s">
        <v>1738</v>
      </c>
      <c r="BV2285" t="s">
        <v>1668</v>
      </c>
      <c r="BW2285">
        <v>16859</v>
      </c>
      <c r="BY2285">
        <v>431647</v>
      </c>
      <c r="BZ2285" t="s">
        <v>1672</v>
      </c>
      <c r="CA2285">
        <v>1</v>
      </c>
      <c r="CB2285" t="b">
        <v>1</v>
      </c>
      <c r="CC2285">
        <v>0</v>
      </c>
      <c r="CD2285" t="b">
        <v>0</v>
      </c>
      <c r="CE2285" t="b">
        <v>0</v>
      </c>
      <c r="CF2285" t="b">
        <v>0</v>
      </c>
      <c r="CG2285">
        <v>2881261</v>
      </c>
      <c r="CH2285" t="s">
        <v>1681</v>
      </c>
      <c r="CI2285" s="10">
        <v>378950</v>
      </c>
      <c r="CJ2285" s="7">
        <v>38106</v>
      </c>
    </row>
    <row r="2286" spans="1:90">
      <c r="A2286">
        <v>28041012</v>
      </c>
      <c r="B2286" s="2" t="str">
        <f>HYPERLINK("http://www.redfin.com/stingray/do/printable-listing?listing-id=1542587","Active")</f>
        <v>Active</v>
      </c>
      <c r="D2286" t="s">
        <v>3885</v>
      </c>
      <c r="E2286" t="s">
        <v>5699</v>
      </c>
      <c r="F2286">
        <v>649950</v>
      </c>
      <c r="G2286">
        <v>2004</v>
      </c>
      <c r="H2286">
        <v>2820</v>
      </c>
      <c r="I2286">
        <v>30013</v>
      </c>
      <c r="J2286">
        <v>4</v>
      </c>
      <c r="K2286">
        <v>2.5</v>
      </c>
      <c r="M2286" s="2" t="str">
        <f>HYPERLINK("http://maps.live.com/default.aspx?v=2&amp;lvl=15&amp;sp=Point.47.534663_-122.186477_11515 SE 76th St&amp;cp=47.534663~-122.186477","Map")</f>
        <v>Map</v>
      </c>
      <c r="N2286" s="2" t="str">
        <f>HYPERLINK("http://i-0.rfimg.us/photo/1/bigphoto/012/28041012_0.jpg","Photo")</f>
        <v>Photo</v>
      </c>
      <c r="AG2286">
        <v>47.534663000000002</v>
      </c>
      <c r="AH2286">
        <v>-122.186477</v>
      </c>
      <c r="AI2286" t="s">
        <v>3885</v>
      </c>
      <c r="AJ2286">
        <v>98056</v>
      </c>
      <c r="AN2286">
        <v>98000</v>
      </c>
      <c r="BC2286" s="22">
        <v>39515.389560185184</v>
      </c>
      <c r="BI2286" s="22">
        <v>39549.294907407406</v>
      </c>
      <c r="BL2286">
        <v>12999</v>
      </c>
      <c r="BM2286">
        <v>1542587</v>
      </c>
      <c r="BN2286" t="s">
        <v>1674</v>
      </c>
      <c r="BO2286" s="17">
        <f t="shared" ca="1" si="35"/>
        <v>33.919845717595308</v>
      </c>
      <c r="BP2286" t="b">
        <v>0</v>
      </c>
      <c r="BQ2286">
        <v>1</v>
      </c>
      <c r="BR2286" t="s">
        <v>1686</v>
      </c>
      <c r="BS2286" t="s">
        <v>2057</v>
      </c>
      <c r="BT2286" t="b">
        <v>0</v>
      </c>
      <c r="BU2286" t="s">
        <v>3856</v>
      </c>
      <c r="BV2286" t="s">
        <v>1668</v>
      </c>
      <c r="BW2286">
        <v>11515</v>
      </c>
      <c r="BY2286">
        <v>2062548</v>
      </c>
      <c r="BZ2286" t="s">
        <v>1672</v>
      </c>
      <c r="CA2286">
        <v>1</v>
      </c>
      <c r="CB2286" t="b">
        <v>1</v>
      </c>
      <c r="CC2286">
        <v>0</v>
      </c>
      <c r="CD2286" t="b">
        <v>0</v>
      </c>
      <c r="CE2286" t="b">
        <v>0</v>
      </c>
      <c r="CF2286" t="b">
        <v>0</v>
      </c>
      <c r="CG2286">
        <v>2405879</v>
      </c>
      <c r="CH2286" t="s">
        <v>1681</v>
      </c>
      <c r="CI2286" s="10">
        <v>649950</v>
      </c>
      <c r="CJ2286" s="7">
        <v>37628</v>
      </c>
    </row>
    <row r="2287" spans="1:90">
      <c r="A2287">
        <v>28041034</v>
      </c>
      <c r="B2287" s="2" t="str">
        <f>HYPERLINK("http://www.redfin.com/stingray/do/printable-listing?listing-id=1542619","Active")</f>
        <v>Active</v>
      </c>
      <c r="D2287" t="s">
        <v>55</v>
      </c>
      <c r="E2287" t="s">
        <v>2715</v>
      </c>
      <c r="F2287">
        <v>349950</v>
      </c>
      <c r="G2287">
        <v>2008</v>
      </c>
      <c r="H2287">
        <v>1200</v>
      </c>
      <c r="I2287">
        <v>0</v>
      </c>
      <c r="J2287">
        <v>2</v>
      </c>
      <c r="K2287">
        <v>1.5</v>
      </c>
      <c r="M2287" s="2" t="str">
        <f>HYPERLINK("http://maps.live.com/default.aspx?v=2&amp;lvl=15&amp;sp=Point.47.696708_-122.348295_737 N 94th nA&amp;cp=47.696708~-122.348295","Map")</f>
        <v>Map</v>
      </c>
      <c r="N2287" s="2" t="str">
        <f>HYPERLINK("http://i-0.rfimg.us/photo/1/bigphoto/034/28041034_0.jpg","Photo")</f>
        <v>Photo</v>
      </c>
      <c r="AG2287">
        <v>47.696708000000001</v>
      </c>
      <c r="AH2287">
        <v>-122.34829499999999</v>
      </c>
      <c r="AI2287" t="s">
        <v>66</v>
      </c>
      <c r="AJ2287">
        <v>98103</v>
      </c>
      <c r="AM2287" t="s">
        <v>1722</v>
      </c>
      <c r="BC2287" s="22">
        <v>39515.410624999997</v>
      </c>
      <c r="BI2287" s="22">
        <v>39549.294907407406</v>
      </c>
      <c r="BL2287">
        <v>6999</v>
      </c>
      <c r="BM2287">
        <v>1542619</v>
      </c>
      <c r="BN2287" t="s">
        <v>2714</v>
      </c>
      <c r="BO2287" s="17">
        <f t="shared" ca="1" si="35"/>
        <v>33.898780902782164</v>
      </c>
      <c r="BP2287" t="b">
        <v>0</v>
      </c>
      <c r="BQ2287">
        <v>1</v>
      </c>
      <c r="BS2287" t="s">
        <v>2716</v>
      </c>
      <c r="BT2287" t="b">
        <v>0</v>
      </c>
      <c r="BU2287" t="s">
        <v>1712</v>
      </c>
      <c r="BV2287" t="s">
        <v>1668</v>
      </c>
      <c r="BW2287">
        <v>737</v>
      </c>
      <c r="BY2287">
        <v>12424992</v>
      </c>
      <c r="BZ2287" t="s">
        <v>1741</v>
      </c>
      <c r="CA2287">
        <v>1</v>
      </c>
      <c r="CB2287" t="b">
        <v>1</v>
      </c>
      <c r="CC2287">
        <v>0</v>
      </c>
      <c r="CD2287" t="b">
        <v>0</v>
      </c>
      <c r="CE2287" t="b">
        <v>0</v>
      </c>
      <c r="CF2287" t="b">
        <v>0</v>
      </c>
      <c r="CG2287">
        <v>15628740</v>
      </c>
      <c r="CH2287" t="s">
        <v>1681</v>
      </c>
      <c r="CI2287" s="10">
        <v>349950</v>
      </c>
    </row>
    <row r="2288" spans="1:90">
      <c r="A2288">
        <v>28041039</v>
      </c>
      <c r="B2288" s="2" t="str">
        <f>HYPERLINK("http://www.redfin.com/stingray/do/printable-listing?listing-id=1542706","Active")</f>
        <v>Active</v>
      </c>
      <c r="D2288" t="s">
        <v>192</v>
      </c>
      <c r="E2288" t="s">
        <v>2190</v>
      </c>
      <c r="F2288">
        <v>485000</v>
      </c>
      <c r="G2288">
        <v>1929</v>
      </c>
      <c r="H2288">
        <v>1930</v>
      </c>
      <c r="I2288">
        <v>3800</v>
      </c>
      <c r="J2288">
        <v>3</v>
      </c>
      <c r="K2288">
        <v>1</v>
      </c>
      <c r="M2288" s="2" t="str">
        <f>HYPERLINK("http://maps.live.com/default.aspx?v=2&amp;lvl=15&amp;sp=Point.47.688818_-122.311439_8209 16th Ave NE&amp;cp=47.688818~-122.311439","Map")</f>
        <v>Map</v>
      </c>
      <c r="N2288" s="2" t="str">
        <f>HYPERLINK("http://i-0.rfimg.us/photo/1/bigphoto/039/28041039_0.jpg","Photo")</f>
        <v>Photo</v>
      </c>
      <c r="AG2288">
        <v>47.688817999999998</v>
      </c>
      <c r="AH2288">
        <v>-122.31143899999999</v>
      </c>
      <c r="AI2288" t="s">
        <v>66</v>
      </c>
      <c r="AJ2288">
        <v>98115</v>
      </c>
      <c r="AN2288">
        <v>375800</v>
      </c>
      <c r="BC2288" s="22">
        <v>39515.463240740741</v>
      </c>
      <c r="BI2288" s="22">
        <v>39549.294907407406</v>
      </c>
      <c r="BL2288">
        <v>9700</v>
      </c>
      <c r="BM2288">
        <v>1542706</v>
      </c>
      <c r="BN2288" t="s">
        <v>1725</v>
      </c>
      <c r="BO2288" s="17">
        <f t="shared" ca="1" si="35"/>
        <v>33.846165162038233</v>
      </c>
      <c r="BP2288" t="b">
        <v>0</v>
      </c>
      <c r="BQ2288">
        <v>1</v>
      </c>
      <c r="BR2288" t="s">
        <v>1667</v>
      </c>
      <c r="BS2288" t="s">
        <v>1695</v>
      </c>
      <c r="BT2288" t="b">
        <v>0</v>
      </c>
      <c r="BV2288" t="s">
        <v>1668</v>
      </c>
      <c r="BW2288">
        <v>8209</v>
      </c>
      <c r="BX2288" t="s">
        <v>1738</v>
      </c>
      <c r="BY2288">
        <v>107480</v>
      </c>
      <c r="BZ2288" t="s">
        <v>1745</v>
      </c>
      <c r="CA2288">
        <v>1</v>
      </c>
      <c r="CB2288" t="b">
        <v>1</v>
      </c>
      <c r="CC2288">
        <v>0</v>
      </c>
      <c r="CD2288" t="b">
        <v>0</v>
      </c>
      <c r="CE2288" t="b">
        <v>0</v>
      </c>
      <c r="CF2288" t="b">
        <v>0</v>
      </c>
      <c r="CG2288">
        <v>2405483</v>
      </c>
      <c r="CH2288" t="s">
        <v>1681</v>
      </c>
      <c r="CI2288" s="10">
        <v>485000</v>
      </c>
      <c r="CJ2288" s="7">
        <v>38449</v>
      </c>
    </row>
    <row r="2289" spans="1:90">
      <c r="A2289">
        <v>28041044</v>
      </c>
      <c r="B2289" s="2" t="str">
        <f>HYPERLINK("http://www.redfin.com/stingray/do/printable-listing?listing-id=1560409","Active")</f>
        <v>Active</v>
      </c>
      <c r="D2289" t="s">
        <v>100</v>
      </c>
      <c r="E2289" t="s">
        <v>3331</v>
      </c>
      <c r="F2289" s="19">
        <v>655000</v>
      </c>
      <c r="G2289">
        <v>1926</v>
      </c>
      <c r="H2289">
        <v>2170</v>
      </c>
      <c r="I2289">
        <v>2494</v>
      </c>
      <c r="J2289">
        <v>4</v>
      </c>
      <c r="K2289">
        <v>2</v>
      </c>
      <c r="M2289" s="2" t="str">
        <f>HYPERLINK("http://maps.live.com/default.aspx?v=2&amp;lvl=15&amp;sp=Point.47.654489_-122.353621_417 N Bowdoin Pl&amp;cp=47.654489~-122.353621","Map")</f>
        <v>Map</v>
      </c>
      <c r="N2289" s="2" t="str">
        <f>HYPERLINK("http://i-0.rfimg.us/photo/1/bigphoto/044/28041044_0.jpg","Photo")</f>
        <v>Photo</v>
      </c>
      <c r="AG2289">
        <v>47.654488999999998</v>
      </c>
      <c r="AH2289">
        <v>-122.353621</v>
      </c>
      <c r="AI2289" t="s">
        <v>66</v>
      </c>
      <c r="AJ2289">
        <v>98103</v>
      </c>
      <c r="AN2289">
        <v>600000</v>
      </c>
      <c r="BC2289" s="22">
        <v>39521.615972222222</v>
      </c>
      <c r="BI2289" s="22">
        <v>39549.294907407406</v>
      </c>
      <c r="BL2289">
        <v>13300</v>
      </c>
      <c r="BM2289">
        <v>1560409</v>
      </c>
      <c r="BN2289" t="s">
        <v>1674</v>
      </c>
      <c r="BO2289" s="17">
        <f t="shared" ca="1" si="35"/>
        <v>27.693433680557064</v>
      </c>
      <c r="BP2289" t="b">
        <v>0</v>
      </c>
      <c r="BQ2289">
        <v>1</v>
      </c>
      <c r="BR2289" t="s">
        <v>1842</v>
      </c>
      <c r="BS2289" t="s">
        <v>3332</v>
      </c>
      <c r="BT2289" t="b">
        <v>0</v>
      </c>
      <c r="BU2289" t="s">
        <v>1712</v>
      </c>
      <c r="BV2289" t="s">
        <v>1668</v>
      </c>
      <c r="BW2289">
        <v>417</v>
      </c>
      <c r="BY2289">
        <v>302706</v>
      </c>
      <c r="BZ2289" t="s">
        <v>1672</v>
      </c>
      <c r="CA2289">
        <v>1</v>
      </c>
      <c r="CB2289" t="b">
        <v>1</v>
      </c>
      <c r="CC2289">
        <v>0</v>
      </c>
      <c r="CD2289" t="b">
        <v>0</v>
      </c>
      <c r="CE2289" t="b">
        <v>0</v>
      </c>
      <c r="CF2289" t="b">
        <v>0</v>
      </c>
      <c r="CG2289">
        <v>2363336</v>
      </c>
      <c r="CH2289" t="s">
        <v>1681</v>
      </c>
      <c r="CI2289" s="10">
        <v>665000</v>
      </c>
      <c r="CJ2289" s="7">
        <v>38776</v>
      </c>
    </row>
    <row r="2290" spans="1:90">
      <c r="A2290">
        <v>28041076</v>
      </c>
      <c r="B2290" s="2" t="str">
        <f>HYPERLINK("http://www.redfin.com/stingray/do/printable-listing?listing-id=1544228","Active")</f>
        <v>Active</v>
      </c>
      <c r="D2290" t="s">
        <v>3704</v>
      </c>
      <c r="E2290" t="s">
        <v>4082</v>
      </c>
      <c r="F2290" s="19">
        <v>524000</v>
      </c>
      <c r="G2290">
        <v>2006</v>
      </c>
      <c r="H2290">
        <v>1435</v>
      </c>
      <c r="I2290">
        <v>1089</v>
      </c>
      <c r="J2290">
        <v>3</v>
      </c>
      <c r="K2290">
        <v>2.25</v>
      </c>
      <c r="M2290" s="2" t="str">
        <f>HYPERLINK("http://maps.live.com/default.aspx?v=2&amp;lvl=15&amp;sp=Point.47.622461_-122.317493_416 11 Ave E&amp;cp=47.622461~-122.317493","Map")</f>
        <v>Map</v>
      </c>
      <c r="N2290" s="2" t="str">
        <f>HYPERLINK("http://i-0.rfimg.us/photo/1/bigphoto/076/28041076_.jpg","Photo")</f>
        <v>Photo</v>
      </c>
      <c r="AG2290">
        <v>47.622461000000001</v>
      </c>
      <c r="AH2290">
        <v>-122.317493</v>
      </c>
      <c r="AI2290" t="s">
        <v>66</v>
      </c>
      <c r="AJ2290">
        <v>98102</v>
      </c>
      <c r="BC2290" s="22">
        <v>39516.588495370372</v>
      </c>
      <c r="BI2290" s="22">
        <v>39549.294907407406</v>
      </c>
      <c r="BL2290">
        <v>11198</v>
      </c>
      <c r="BM2290">
        <v>1544228</v>
      </c>
      <c r="BN2290" t="s">
        <v>4081</v>
      </c>
      <c r="BO2290" s="17">
        <f t="shared" ca="1" si="35"/>
        <v>32.720910532407288</v>
      </c>
      <c r="BP2290" t="b">
        <v>0</v>
      </c>
      <c r="BQ2290">
        <v>1</v>
      </c>
      <c r="BR2290" t="s">
        <v>1667</v>
      </c>
      <c r="BS2290">
        <v>11</v>
      </c>
      <c r="BT2290" t="b">
        <v>0</v>
      </c>
      <c r="BV2290" t="s">
        <v>1668</v>
      </c>
      <c r="BW2290">
        <v>416</v>
      </c>
      <c r="BX2290" t="s">
        <v>2436</v>
      </c>
      <c r="BY2290">
        <v>12312472</v>
      </c>
      <c r="CA2290">
        <v>1</v>
      </c>
      <c r="CB2290" t="b">
        <v>1</v>
      </c>
      <c r="CC2290">
        <v>0</v>
      </c>
      <c r="CD2290" t="b">
        <v>0</v>
      </c>
      <c r="CE2290" t="b">
        <v>0</v>
      </c>
      <c r="CF2290" t="b">
        <v>0</v>
      </c>
      <c r="CG2290">
        <v>15519052</v>
      </c>
      <c r="CH2290" t="s">
        <v>1681</v>
      </c>
      <c r="CI2290" s="10">
        <v>559900</v>
      </c>
    </row>
    <row r="2291" spans="1:90">
      <c r="A2291">
        <v>28041082</v>
      </c>
      <c r="B2291" s="2" t="str">
        <f>HYPERLINK("http://www.redfin.com/stingray/do/printable-listing?listing-id=1542703","Subject To Inspection")</f>
        <v>Subject To Inspection</v>
      </c>
      <c r="D2291" t="s">
        <v>1058</v>
      </c>
      <c r="E2291" t="s">
        <v>4440</v>
      </c>
      <c r="F2291">
        <v>539950</v>
      </c>
      <c r="G2291">
        <v>1965</v>
      </c>
      <c r="H2291">
        <v>2300</v>
      </c>
      <c r="I2291">
        <v>11640</v>
      </c>
      <c r="J2291">
        <v>4</v>
      </c>
      <c r="K2291">
        <v>2</v>
      </c>
      <c r="M2291" s="2" t="str">
        <f>HYPERLINK("http://maps.live.com/default.aspx?v=2&amp;lvl=15&amp;sp=Point.47.704781_-122.205298_10106 NE 116th Pl&amp;cp=47.704781~-122.205298","Map")</f>
        <v>Map</v>
      </c>
      <c r="N2291" s="2" t="str">
        <f>HYPERLINK("http://i-0.rfimg.us/photo/1/bigphoto/082/28041082_0.jpg","Photo")</f>
        <v>Photo</v>
      </c>
      <c r="AG2291">
        <v>47.704780999999997</v>
      </c>
      <c r="AH2291">
        <v>-122.205298</v>
      </c>
      <c r="AI2291" t="s">
        <v>1058</v>
      </c>
      <c r="AJ2291">
        <v>98034</v>
      </c>
      <c r="AN2291">
        <v>384950</v>
      </c>
      <c r="BC2291" s="22">
        <v>39515.463159722225</v>
      </c>
      <c r="BI2291" s="7">
        <v>39532</v>
      </c>
      <c r="BL2291">
        <v>10799</v>
      </c>
      <c r="BM2291">
        <v>1542703</v>
      </c>
      <c r="BN2291" t="s">
        <v>2203</v>
      </c>
      <c r="BO2291" s="17">
        <f t="shared" ca="1" si="35"/>
        <v>33.846246180553862</v>
      </c>
      <c r="BP2291" t="b">
        <v>0</v>
      </c>
      <c r="BQ2291">
        <v>2</v>
      </c>
      <c r="BR2291" t="s">
        <v>1842</v>
      </c>
      <c r="BS2291" t="s">
        <v>4441</v>
      </c>
      <c r="BT2291" t="b">
        <v>0</v>
      </c>
      <c r="BU2291" t="s">
        <v>1738</v>
      </c>
      <c r="BV2291" t="s">
        <v>1668</v>
      </c>
      <c r="BW2291">
        <v>10106</v>
      </c>
      <c r="BY2291">
        <v>456661</v>
      </c>
      <c r="BZ2291" t="s">
        <v>1672</v>
      </c>
      <c r="CA2291">
        <v>1</v>
      </c>
      <c r="CB2291" t="b">
        <v>1</v>
      </c>
      <c r="CC2291">
        <v>0</v>
      </c>
      <c r="CD2291" t="b">
        <v>0</v>
      </c>
      <c r="CE2291" t="b">
        <v>0</v>
      </c>
      <c r="CF2291" t="b">
        <v>0</v>
      </c>
      <c r="CG2291">
        <v>2784968</v>
      </c>
      <c r="CH2291" t="s">
        <v>1681</v>
      </c>
      <c r="CI2291" s="10">
        <v>539950</v>
      </c>
      <c r="CJ2291" s="7">
        <v>38610</v>
      </c>
    </row>
    <row r="2292" spans="1:90">
      <c r="A2292">
        <v>28041096</v>
      </c>
      <c r="B2292" s="15" t="str">
        <f>HYPERLINK("http://www.redfin.com/stingray/do/printable-listing?listing-id=1543938","Subject To Inspection")</f>
        <v>Subject To Inspection</v>
      </c>
      <c r="D2292" t="s">
        <v>3302</v>
      </c>
      <c r="E2292" t="s">
        <v>3677</v>
      </c>
      <c r="F2292" s="19">
        <v>589950</v>
      </c>
      <c r="G2292">
        <v>2006</v>
      </c>
      <c r="H2292">
        <v>1270</v>
      </c>
      <c r="I2292">
        <v>1182</v>
      </c>
      <c r="J2292">
        <v>3</v>
      </c>
      <c r="K2292">
        <v>2.25</v>
      </c>
      <c r="M2292" s="2" t="str">
        <f>HYPERLINK("http://maps.live.com/default.aspx?v=2&amp;lvl=15&amp;sp=Point.47.637602_-122.326895_2008 Yale Ave E nA&amp;cp=47.637602~-122.326895","Map")</f>
        <v>Map</v>
      </c>
      <c r="N2292" s="2" t="str">
        <f>HYPERLINK("http://i-0.rfimg.us/photo/1/bigphoto/096/28041096_3.jpg","Photo")</f>
        <v>Photo</v>
      </c>
      <c r="AG2292">
        <v>47.637602000000001</v>
      </c>
      <c r="AH2292">
        <v>-122.32689499999999</v>
      </c>
      <c r="AI2292" t="s">
        <v>66</v>
      </c>
      <c r="AJ2292">
        <v>98102</v>
      </c>
      <c r="AM2292" t="s">
        <v>1722</v>
      </c>
      <c r="BC2292" s="22">
        <v>39516.306342592594</v>
      </c>
      <c r="BI2292" s="22">
        <v>39549.294907407406</v>
      </c>
      <c r="BL2292">
        <v>11919</v>
      </c>
      <c r="BM2292">
        <v>1543938</v>
      </c>
      <c r="BN2292" t="s">
        <v>1678</v>
      </c>
      <c r="BO2292" s="17">
        <f t="shared" ca="1" si="35"/>
        <v>33.003063310185098</v>
      </c>
      <c r="BP2292" t="b">
        <v>0</v>
      </c>
      <c r="BQ2292">
        <v>1</v>
      </c>
      <c r="BR2292" t="s">
        <v>1667</v>
      </c>
      <c r="BS2292" t="s">
        <v>3678</v>
      </c>
      <c r="BT2292" t="b">
        <v>0</v>
      </c>
      <c r="BV2292" t="s">
        <v>1668</v>
      </c>
      <c r="BW2292">
        <v>2008</v>
      </c>
      <c r="BX2292" t="s">
        <v>2436</v>
      </c>
      <c r="BY2292">
        <v>12425189</v>
      </c>
      <c r="BZ2292" t="s">
        <v>2707</v>
      </c>
      <c r="CA2292">
        <v>1</v>
      </c>
      <c r="CB2292" t="b">
        <v>1</v>
      </c>
      <c r="CC2292">
        <v>0</v>
      </c>
      <c r="CD2292" t="b">
        <v>0</v>
      </c>
      <c r="CE2292" t="b">
        <v>0</v>
      </c>
      <c r="CF2292" t="b">
        <v>0</v>
      </c>
      <c r="CG2292">
        <v>15628937</v>
      </c>
      <c r="CH2292" t="s">
        <v>1681</v>
      </c>
      <c r="CI2292" s="10">
        <v>595950</v>
      </c>
    </row>
    <row r="2293" spans="1:90">
      <c r="A2293">
        <v>28041152</v>
      </c>
      <c r="B2293" s="2" t="str">
        <f>HYPERLINK("http://www.redfin.com/stingray/do/printable-listing?listing-id=1543030","Active")</f>
        <v>Active</v>
      </c>
      <c r="D2293" t="s">
        <v>5139</v>
      </c>
      <c r="E2293" t="s">
        <v>5336</v>
      </c>
      <c r="F2293">
        <v>748000</v>
      </c>
      <c r="G2293">
        <v>1955</v>
      </c>
      <c r="H2293">
        <v>1690</v>
      </c>
      <c r="I2293">
        <v>7140</v>
      </c>
      <c r="J2293">
        <v>3</v>
      </c>
      <c r="K2293">
        <v>1.75</v>
      </c>
      <c r="M2293" s="2" t="str">
        <f>HYPERLINK("http://maps.live.com/default.aspx?v=2&amp;lvl=15&amp;sp=Point.47.574019_-122.215836_4016 92nd Ave SE&amp;cp=47.574019~-122.215836","Map")</f>
        <v>Map</v>
      </c>
      <c r="N2293" s="2" t="str">
        <f>HYPERLINK("http://i-0.rfimg.us/photo/1/bigphoto/152/28041152_0.jpg","Photo")</f>
        <v>Photo</v>
      </c>
      <c r="AG2293">
        <v>47.574019</v>
      </c>
      <c r="AH2293">
        <v>-122.215836</v>
      </c>
      <c r="AI2293" t="s">
        <v>5139</v>
      </c>
      <c r="AJ2293">
        <v>98040</v>
      </c>
      <c r="AN2293">
        <v>625000</v>
      </c>
      <c r="BC2293" s="22">
        <v>39515.578020833331</v>
      </c>
      <c r="BI2293" s="22">
        <v>39549.294907407406</v>
      </c>
      <c r="BL2293">
        <v>14960</v>
      </c>
      <c r="BM2293">
        <v>1543030</v>
      </c>
      <c r="BN2293" t="s">
        <v>1823</v>
      </c>
      <c r="BO2293" s="17">
        <f t="shared" ca="1" si="35"/>
        <v>33.731385069448152</v>
      </c>
      <c r="BP2293" t="b">
        <v>0</v>
      </c>
      <c r="BQ2293">
        <v>1</v>
      </c>
      <c r="BR2293" t="s">
        <v>1667</v>
      </c>
      <c r="BS2293" t="s">
        <v>2726</v>
      </c>
      <c r="BT2293" t="b">
        <v>0</v>
      </c>
      <c r="BV2293" t="s">
        <v>1668</v>
      </c>
      <c r="BW2293">
        <v>4016</v>
      </c>
      <c r="BX2293" t="s">
        <v>3856</v>
      </c>
      <c r="BY2293">
        <v>256723</v>
      </c>
      <c r="BZ2293" t="s">
        <v>1747</v>
      </c>
      <c r="CA2293">
        <v>1</v>
      </c>
      <c r="CB2293" t="b">
        <v>1</v>
      </c>
      <c r="CC2293">
        <v>0</v>
      </c>
      <c r="CD2293" t="b">
        <v>0</v>
      </c>
      <c r="CE2293" t="b">
        <v>0</v>
      </c>
      <c r="CF2293" t="b">
        <v>0</v>
      </c>
      <c r="CG2293">
        <v>2952134</v>
      </c>
      <c r="CH2293" t="s">
        <v>1681</v>
      </c>
      <c r="CI2293" s="10">
        <v>748000</v>
      </c>
      <c r="CJ2293" s="7">
        <v>38918</v>
      </c>
    </row>
    <row r="2294" spans="1:90">
      <c r="A2294">
        <v>28041178</v>
      </c>
      <c r="B2294" s="15" t="str">
        <f>HYPERLINK("http://www.redfin.com/stingray/do/printable-listing?listing-id=1544993","Subject To Inspection")</f>
        <v>Subject To Inspection</v>
      </c>
      <c r="D2294" t="s">
        <v>3685</v>
      </c>
      <c r="E2294" t="s">
        <v>3740</v>
      </c>
      <c r="F2294">
        <v>1395000</v>
      </c>
      <c r="G2294">
        <v>1926</v>
      </c>
      <c r="H2294">
        <v>3098</v>
      </c>
      <c r="I2294">
        <v>4000</v>
      </c>
      <c r="J2294">
        <v>3</v>
      </c>
      <c r="K2294">
        <v>3.25</v>
      </c>
      <c r="M2294" s="2" t="str">
        <f>HYPERLINK("http://maps.live.com/default.aspx?v=2&amp;lvl=15&amp;sp=Point.47.63926_-122.279277_4102 E Lynn St&amp;cp=47.63926~-122.279277","Map")</f>
        <v>Map</v>
      </c>
      <c r="N2294" s="2" t="str">
        <f>HYPERLINK("http://i-0.rfimg.us/photo/1/bigphoto/178/28041178_0.jpg","Photo")</f>
        <v>Photo</v>
      </c>
      <c r="AG2294">
        <v>47.63926</v>
      </c>
      <c r="AH2294">
        <v>-122.27927699999999</v>
      </c>
      <c r="AI2294" t="s">
        <v>66</v>
      </c>
      <c r="AJ2294">
        <v>98112</v>
      </c>
      <c r="AN2294">
        <v>267500</v>
      </c>
      <c r="BC2294" s="22">
        <v>39517.327106481483</v>
      </c>
      <c r="BI2294" s="22">
        <v>39549.294907407406</v>
      </c>
      <c r="BL2294">
        <v>27900</v>
      </c>
      <c r="BM2294">
        <v>1544993</v>
      </c>
      <c r="BN2294" t="s">
        <v>1829</v>
      </c>
      <c r="BO2294" s="17">
        <f t="shared" ca="1" si="35"/>
        <v>31.982299421295465</v>
      </c>
      <c r="BP2294" t="b">
        <v>0</v>
      </c>
      <c r="BQ2294">
        <v>1</v>
      </c>
      <c r="BR2294" t="s">
        <v>1686</v>
      </c>
      <c r="BS2294" t="s">
        <v>3731</v>
      </c>
      <c r="BT2294" t="b">
        <v>0</v>
      </c>
      <c r="BU2294" t="s">
        <v>2436</v>
      </c>
      <c r="BV2294" t="s">
        <v>1668</v>
      </c>
      <c r="BW2294">
        <v>4102</v>
      </c>
      <c r="BY2294">
        <v>140289</v>
      </c>
      <c r="BZ2294" t="s">
        <v>1672</v>
      </c>
      <c r="CA2294">
        <v>1</v>
      </c>
      <c r="CB2294" t="b">
        <v>1</v>
      </c>
      <c r="CC2294">
        <v>0</v>
      </c>
      <c r="CD2294" t="b">
        <v>0</v>
      </c>
      <c r="CE2294" t="b">
        <v>0</v>
      </c>
      <c r="CF2294" t="b">
        <v>0</v>
      </c>
      <c r="CG2294">
        <v>2392650</v>
      </c>
      <c r="CH2294" t="s">
        <v>1681</v>
      </c>
      <c r="CI2294" s="10">
        <v>1395000</v>
      </c>
      <c r="CJ2294" s="7">
        <v>35452</v>
      </c>
    </row>
    <row r="2295" spans="1:90">
      <c r="A2295">
        <v>28041195</v>
      </c>
      <c r="B2295" s="2" t="str">
        <f>HYPERLINK("http://www.redfin.com/stingray/do/printable-listing?listing-id=1548391","Active")</f>
        <v>Active</v>
      </c>
      <c r="D2295" t="s">
        <v>99</v>
      </c>
      <c r="E2295" t="s">
        <v>2161</v>
      </c>
      <c r="F2295">
        <v>430000</v>
      </c>
      <c r="G2295">
        <v>1949</v>
      </c>
      <c r="H2295">
        <v>980</v>
      </c>
      <c r="I2295">
        <v>6930</v>
      </c>
      <c r="J2295">
        <v>2</v>
      </c>
      <c r="K2295">
        <v>1</v>
      </c>
      <c r="M2295" s="2" t="str">
        <f>HYPERLINK("http://maps.live.com/default.aspx?v=2&amp;lvl=15&amp;sp=Point.47.704569_-122.372369_10344 13th Ave NW&amp;cp=47.704569~-122.372369","Map")</f>
        <v>Map</v>
      </c>
      <c r="N2295" s="2" t="str">
        <f>HYPERLINK("http://i-0.rfimg.us/photo/1/bigphoto/195/28041195_1.jpg","Photo")</f>
        <v>Photo</v>
      </c>
      <c r="AG2295">
        <v>47.704568999999999</v>
      </c>
      <c r="AH2295">
        <v>-122.37236900000001</v>
      </c>
      <c r="AI2295" t="s">
        <v>66</v>
      </c>
      <c r="AJ2295">
        <v>98177</v>
      </c>
      <c r="AN2295">
        <v>245000</v>
      </c>
      <c r="BC2295" s="22">
        <v>39518.316979166666</v>
      </c>
      <c r="BI2295" s="7">
        <v>39538</v>
      </c>
      <c r="BL2295">
        <v>8600</v>
      </c>
      <c r="BM2295">
        <v>1548391</v>
      </c>
      <c r="BN2295" t="s">
        <v>1718</v>
      </c>
      <c r="BO2295" s="17">
        <f t="shared" ca="1" si="35"/>
        <v>30.992426736112975</v>
      </c>
      <c r="BP2295" t="b">
        <v>0</v>
      </c>
      <c r="BQ2295">
        <v>1</v>
      </c>
      <c r="BR2295" t="s">
        <v>1667</v>
      </c>
      <c r="BS2295" t="s">
        <v>1809</v>
      </c>
      <c r="BT2295" t="b">
        <v>0</v>
      </c>
      <c r="BV2295" t="s">
        <v>1668</v>
      </c>
      <c r="BW2295">
        <v>10344</v>
      </c>
      <c r="BX2295" t="s">
        <v>1669</v>
      </c>
      <c r="BY2295">
        <v>95637</v>
      </c>
      <c r="BZ2295" t="s">
        <v>1689</v>
      </c>
      <c r="CA2295">
        <v>1</v>
      </c>
      <c r="CB2295" t="b">
        <v>1</v>
      </c>
      <c r="CC2295">
        <v>0</v>
      </c>
      <c r="CD2295" t="b">
        <v>0</v>
      </c>
      <c r="CE2295" t="b">
        <v>0</v>
      </c>
      <c r="CF2295" t="b">
        <v>0</v>
      </c>
      <c r="CG2295">
        <v>2428090</v>
      </c>
      <c r="CH2295" t="s">
        <v>1681</v>
      </c>
      <c r="CI2295" s="10">
        <v>430000</v>
      </c>
      <c r="CJ2295" s="7">
        <v>38359</v>
      </c>
    </row>
    <row r="2296" spans="1:90">
      <c r="A2296">
        <v>28041197</v>
      </c>
      <c r="B2296" s="2" t="str">
        <f>HYPERLINK("http://www.redfin.com/stingray/do/printable-listing?listing-id=1553145","Active")</f>
        <v>Active</v>
      </c>
      <c r="D2296" t="s">
        <v>4542</v>
      </c>
      <c r="E2296" t="s">
        <v>4730</v>
      </c>
      <c r="F2296">
        <v>550000</v>
      </c>
      <c r="G2296">
        <v>1949</v>
      </c>
      <c r="H2296">
        <v>1075</v>
      </c>
      <c r="I2296">
        <v>7200</v>
      </c>
      <c r="J2296">
        <v>2</v>
      </c>
      <c r="K2296">
        <v>1</v>
      </c>
      <c r="M2296" s="2" t="str">
        <f>HYPERLINK("http://maps.live.com/default.aspx?v=2&amp;lvl=15&amp;sp=Point.47.682063_-122.198947_513 9th Ave&amp;cp=47.682063~-122.198947","Map")</f>
        <v>Map</v>
      </c>
      <c r="N2296" s="2" t="str">
        <f>HYPERLINK("http://i-0.rfimg.us/photo/1/bigphoto/197/28041197_0.jpg","Photo")</f>
        <v>Photo</v>
      </c>
      <c r="AG2296">
        <v>47.682062999999999</v>
      </c>
      <c r="AH2296">
        <v>-122.198947</v>
      </c>
      <c r="AI2296" t="s">
        <v>1058</v>
      </c>
      <c r="AJ2296">
        <v>98033</v>
      </c>
      <c r="AN2296">
        <v>332000</v>
      </c>
      <c r="BC2296" s="22">
        <v>39519.63386574074</v>
      </c>
      <c r="BI2296" s="22">
        <v>39549.294907407406</v>
      </c>
      <c r="BL2296">
        <v>11000</v>
      </c>
      <c r="BM2296">
        <v>1553145</v>
      </c>
      <c r="BN2296" t="s">
        <v>1768</v>
      </c>
      <c r="BO2296" s="17">
        <f t="shared" ca="1" si="35"/>
        <v>29.675540162039397</v>
      </c>
      <c r="BP2296" t="b">
        <v>0</v>
      </c>
      <c r="BQ2296">
        <v>1</v>
      </c>
      <c r="BR2296" t="s">
        <v>1667</v>
      </c>
      <c r="BS2296" t="s">
        <v>1785</v>
      </c>
      <c r="BT2296" t="b">
        <v>0</v>
      </c>
      <c r="BV2296" t="s">
        <v>1668</v>
      </c>
      <c r="BW2296">
        <v>513</v>
      </c>
      <c r="BY2296">
        <v>464463</v>
      </c>
      <c r="BZ2296" t="s">
        <v>1696</v>
      </c>
      <c r="CA2296">
        <v>1</v>
      </c>
      <c r="CB2296" t="b">
        <v>1</v>
      </c>
      <c r="CC2296">
        <v>0</v>
      </c>
      <c r="CD2296" t="b">
        <v>0</v>
      </c>
      <c r="CE2296" t="b">
        <v>0</v>
      </c>
      <c r="CF2296" t="b">
        <v>0</v>
      </c>
      <c r="CG2296">
        <v>2953676</v>
      </c>
      <c r="CH2296" t="s">
        <v>1681</v>
      </c>
      <c r="CI2296" s="10">
        <v>550000</v>
      </c>
      <c r="CJ2296" s="7">
        <v>37894</v>
      </c>
    </row>
    <row r="2297" spans="1:90">
      <c r="A2297">
        <v>28041205</v>
      </c>
      <c r="B2297" s="2" t="str">
        <f>HYPERLINK("http://www.redfin.com/stingray/do/printable-listing?listing-id=1543221","Active")</f>
        <v>Active</v>
      </c>
      <c r="D2297" t="s">
        <v>3066</v>
      </c>
      <c r="E2297" t="s">
        <v>4727</v>
      </c>
      <c r="F2297">
        <v>595000</v>
      </c>
      <c r="G2297">
        <v>1928</v>
      </c>
      <c r="H2297">
        <v>730</v>
      </c>
      <c r="I2297">
        <v>19300</v>
      </c>
      <c r="J2297">
        <v>2</v>
      </c>
      <c r="K2297">
        <v>1</v>
      </c>
      <c r="M2297" s="2" t="str">
        <f>HYPERLINK("http://maps.live.com/default.aspx?v=2&amp;lvl=15&amp;sp=Point.47.681533_-122.174853_8720 124th Ave NE&amp;cp=47.681533~-122.174853","Map")</f>
        <v>Map</v>
      </c>
      <c r="N2297" s="2" t="str">
        <f>HYPERLINK("http://i-0.rfimg.us/photo/1/bigphoto/205/28041205_1.jpg","Photo")</f>
        <v>Photo</v>
      </c>
      <c r="AG2297">
        <v>47.681533000000002</v>
      </c>
      <c r="AH2297">
        <v>-122.174853</v>
      </c>
      <c r="AI2297" t="s">
        <v>1058</v>
      </c>
      <c r="AJ2297">
        <v>98033</v>
      </c>
      <c r="AN2297">
        <v>59500</v>
      </c>
      <c r="BC2297" s="22">
        <v>39515.653344907405</v>
      </c>
      <c r="BI2297" s="22">
        <v>39549.294907407406</v>
      </c>
      <c r="BL2297">
        <v>11900</v>
      </c>
      <c r="BM2297">
        <v>1543221</v>
      </c>
      <c r="BN2297" t="s">
        <v>1768</v>
      </c>
      <c r="BO2297" s="17">
        <f t="shared" ca="1" si="35"/>
        <v>33.656060995373991</v>
      </c>
      <c r="BP2297" t="b">
        <v>0</v>
      </c>
      <c r="BQ2297">
        <v>1</v>
      </c>
      <c r="BR2297" t="s">
        <v>1667</v>
      </c>
      <c r="BS2297" t="s">
        <v>4507</v>
      </c>
      <c r="BT2297" t="b">
        <v>0</v>
      </c>
      <c r="BV2297" t="s">
        <v>1668</v>
      </c>
      <c r="BW2297">
        <v>8720</v>
      </c>
      <c r="BX2297" t="s">
        <v>1738</v>
      </c>
      <c r="BY2297">
        <v>511898</v>
      </c>
      <c r="BZ2297" t="s">
        <v>3861</v>
      </c>
      <c r="CA2297">
        <v>1</v>
      </c>
      <c r="CB2297" t="b">
        <v>1</v>
      </c>
      <c r="CC2297">
        <v>0</v>
      </c>
      <c r="CD2297" t="b">
        <v>0</v>
      </c>
      <c r="CE2297" t="b">
        <v>0</v>
      </c>
      <c r="CF2297" t="b">
        <v>0</v>
      </c>
      <c r="CG2297">
        <v>2767979</v>
      </c>
      <c r="CH2297" t="s">
        <v>1681</v>
      </c>
      <c r="CI2297" s="10">
        <v>595000</v>
      </c>
      <c r="CJ2297" s="7">
        <v>32104</v>
      </c>
    </row>
    <row r="2298" spans="1:90">
      <c r="A2298">
        <v>28041227</v>
      </c>
      <c r="B2298" s="2" t="str">
        <f>HYPERLINK("http://www.redfin.com/stingray/do/printable-listing?listing-id=1548650","Active")</f>
        <v>Active</v>
      </c>
      <c r="D2298" t="s">
        <v>2745</v>
      </c>
      <c r="E2298" t="s">
        <v>2768</v>
      </c>
      <c r="F2298">
        <v>675000</v>
      </c>
      <c r="G2298">
        <v>1946</v>
      </c>
      <c r="H2298">
        <v>1730</v>
      </c>
      <c r="I2298">
        <v>8340</v>
      </c>
      <c r="J2298">
        <v>3</v>
      </c>
      <c r="K2298">
        <v>1.75</v>
      </c>
      <c r="M2298" s="2" t="str">
        <f>HYPERLINK("http://maps.live.com/default.aspx?v=2&amp;lvl=15&amp;sp=Point.47.705684_-122.372367_10514 13th Ave NW&amp;cp=47.705684~-122.372367","Map")</f>
        <v>Map</v>
      </c>
      <c r="N2298" s="2" t="str">
        <f>HYPERLINK("http://i-0.rfimg.us/photo/1/bigphoto/227/28041227_1.jpg","Photo")</f>
        <v>Photo</v>
      </c>
      <c r="AG2298">
        <v>47.705683999999998</v>
      </c>
      <c r="AH2298">
        <v>-122.372367</v>
      </c>
      <c r="AI2298" t="s">
        <v>66</v>
      </c>
      <c r="AJ2298">
        <v>98177</v>
      </c>
      <c r="AN2298">
        <v>321000</v>
      </c>
      <c r="BC2298" s="22">
        <v>39518.380555555559</v>
      </c>
      <c r="BI2298" s="22">
        <v>39549.294907407406</v>
      </c>
      <c r="BL2298">
        <v>13500</v>
      </c>
      <c r="BM2298">
        <v>1548650</v>
      </c>
      <c r="BN2298" t="s">
        <v>1702</v>
      </c>
      <c r="BO2298" s="17">
        <f t="shared" ca="1" si="35"/>
        <v>30.92885034721985</v>
      </c>
      <c r="BP2298" t="b">
        <v>0</v>
      </c>
      <c r="BQ2298">
        <v>1</v>
      </c>
      <c r="BR2298" t="s">
        <v>1667</v>
      </c>
      <c r="BS2298" t="s">
        <v>1809</v>
      </c>
      <c r="BT2298" t="b">
        <v>0</v>
      </c>
      <c r="BV2298" t="s">
        <v>1668</v>
      </c>
      <c r="BW2298">
        <v>10514</v>
      </c>
      <c r="BX2298" t="s">
        <v>1669</v>
      </c>
      <c r="BY2298">
        <v>288312</v>
      </c>
      <c r="BZ2298" t="s">
        <v>2769</v>
      </c>
      <c r="CA2298">
        <v>1</v>
      </c>
      <c r="CB2298" t="b">
        <v>1</v>
      </c>
      <c r="CC2298">
        <v>0</v>
      </c>
      <c r="CD2298" t="b">
        <v>0</v>
      </c>
      <c r="CE2298" t="b">
        <v>0</v>
      </c>
      <c r="CF2298" t="b">
        <v>0</v>
      </c>
      <c r="CG2298">
        <v>2595444</v>
      </c>
      <c r="CH2298" t="s">
        <v>1681</v>
      </c>
      <c r="CI2298" s="10">
        <v>675000</v>
      </c>
      <c r="CJ2298" s="7">
        <v>37782</v>
      </c>
      <c r="CL2298" t="s">
        <v>6966</v>
      </c>
    </row>
    <row r="2299" spans="1:90">
      <c r="A2299">
        <v>28041237</v>
      </c>
      <c r="B2299" s="2" t="str">
        <f>HYPERLINK("http://www.redfin.com/stingray/do/printable-listing?listing-id=1546379","Subject To Inspection")</f>
        <v>Subject To Inspection</v>
      </c>
      <c r="D2299" t="s">
        <v>63</v>
      </c>
      <c r="E2299" t="s">
        <v>2144</v>
      </c>
      <c r="F2299">
        <v>419000</v>
      </c>
      <c r="G2299">
        <v>1903</v>
      </c>
      <c r="H2299">
        <v>1170</v>
      </c>
      <c r="I2299">
        <v>2369</v>
      </c>
      <c r="J2299">
        <v>2</v>
      </c>
      <c r="K2299">
        <v>1.5</v>
      </c>
      <c r="M2299" s="2" t="str">
        <f>HYPERLINK("http://maps.live.com/default.aspx?v=2&amp;lvl=15&amp;sp=Point.47.673312_-122.380132_1728 NW 61st St&amp;cp=47.673312~-122.380132","Map")</f>
        <v>Map</v>
      </c>
      <c r="N2299" s="2" t="str">
        <f>HYPERLINK("http://i-0.rfimg.us/photo/1/bigphoto/237/28041237_2.jpg","Photo")</f>
        <v>Photo</v>
      </c>
      <c r="AG2299">
        <v>47.673312000000003</v>
      </c>
      <c r="AH2299">
        <v>-122.380132</v>
      </c>
      <c r="AI2299" t="s">
        <v>66</v>
      </c>
      <c r="AJ2299">
        <v>98107</v>
      </c>
      <c r="AN2299">
        <v>301000</v>
      </c>
      <c r="BC2299" s="22">
        <v>39517.632835648146</v>
      </c>
      <c r="BI2299" s="7">
        <v>39535</v>
      </c>
      <c r="BL2299">
        <v>8380</v>
      </c>
      <c r="BM2299">
        <v>1546379</v>
      </c>
      <c r="BN2299" t="s">
        <v>1678</v>
      </c>
      <c r="BO2299" s="17">
        <f t="shared" ca="1" si="35"/>
        <v>31.676570370371337</v>
      </c>
      <c r="BP2299" t="b">
        <v>0</v>
      </c>
      <c r="BQ2299">
        <v>2</v>
      </c>
      <c r="BR2299" t="s">
        <v>1686</v>
      </c>
      <c r="BS2299" t="s">
        <v>2431</v>
      </c>
      <c r="BT2299" t="b">
        <v>0</v>
      </c>
      <c r="BU2299" t="s">
        <v>1669</v>
      </c>
      <c r="BV2299" t="s">
        <v>1668</v>
      </c>
      <c r="BW2299">
        <v>1728</v>
      </c>
      <c r="BY2299">
        <v>493297</v>
      </c>
      <c r="BZ2299" t="s">
        <v>2532</v>
      </c>
      <c r="CA2299">
        <v>1</v>
      </c>
      <c r="CB2299" t="b">
        <v>1</v>
      </c>
      <c r="CC2299">
        <v>0</v>
      </c>
      <c r="CD2299" t="b">
        <v>0</v>
      </c>
      <c r="CE2299" t="b">
        <v>0</v>
      </c>
      <c r="CF2299" t="b">
        <v>0</v>
      </c>
      <c r="CG2299">
        <v>2670410</v>
      </c>
      <c r="CH2299" t="s">
        <v>1681</v>
      </c>
      <c r="CI2299" s="10">
        <v>419000</v>
      </c>
      <c r="CJ2299" s="7">
        <v>38306</v>
      </c>
    </row>
    <row r="2300" spans="1:90">
      <c r="A2300">
        <v>28041264</v>
      </c>
      <c r="B2300" s="2" t="str">
        <f>HYPERLINK("http://www.redfin.com/stingray/do/printable-listing?listing-id=1544440","Active")</f>
        <v>Active</v>
      </c>
      <c r="D2300" t="s">
        <v>3721</v>
      </c>
      <c r="E2300" t="s">
        <v>3997</v>
      </c>
      <c r="F2300">
        <v>3480000</v>
      </c>
      <c r="G2300">
        <v>1952</v>
      </c>
      <c r="H2300">
        <v>4863</v>
      </c>
      <c r="I2300">
        <v>10860</v>
      </c>
      <c r="J2300">
        <v>5</v>
      </c>
      <c r="K2300">
        <v>5.25</v>
      </c>
      <c r="M2300" s="2" t="str">
        <f>HYPERLINK("http://maps.live.com/default.aspx?v=2&amp;lvl=15&amp;sp=Point.47.623799_-122.284896_445 McGilvra Blvd E&amp;cp=47.623799~-122.284896","Map")</f>
        <v>Map</v>
      </c>
      <c r="N2300" s="2" t="str">
        <f>HYPERLINK("http://i-0.rfimg.us/photo/1/bigphoto/264/28041264_4.jpg","Photo")</f>
        <v>Photo</v>
      </c>
      <c r="AG2300">
        <v>47.623798999999998</v>
      </c>
      <c r="AH2300">
        <v>-122.284896</v>
      </c>
      <c r="AI2300" t="s">
        <v>66</v>
      </c>
      <c r="AJ2300">
        <v>98112</v>
      </c>
      <c r="AN2300">
        <v>465000</v>
      </c>
      <c r="BC2300" s="22">
        <v>39516.723217592589</v>
      </c>
      <c r="BI2300" s="22">
        <v>39549.294907407406</v>
      </c>
      <c r="BL2300">
        <v>69600</v>
      </c>
      <c r="BM2300">
        <v>1544440</v>
      </c>
      <c r="BN2300" t="s">
        <v>1674</v>
      </c>
      <c r="BO2300" s="17">
        <f t="shared" ca="1" si="35"/>
        <v>32.586188310189755</v>
      </c>
      <c r="BP2300" t="b">
        <v>0</v>
      </c>
      <c r="BQ2300">
        <v>1</v>
      </c>
      <c r="BR2300" t="s">
        <v>3141</v>
      </c>
      <c r="BS2300" t="s">
        <v>3684</v>
      </c>
      <c r="BT2300" t="b">
        <v>0</v>
      </c>
      <c r="BV2300" t="s">
        <v>1668</v>
      </c>
      <c r="BW2300">
        <v>445</v>
      </c>
      <c r="BX2300" t="s">
        <v>2436</v>
      </c>
      <c r="BY2300">
        <v>140101</v>
      </c>
      <c r="BZ2300" t="s">
        <v>3998</v>
      </c>
      <c r="CA2300">
        <v>1</v>
      </c>
      <c r="CB2300" t="b">
        <v>1</v>
      </c>
      <c r="CC2300">
        <v>0</v>
      </c>
      <c r="CD2300" t="b">
        <v>0</v>
      </c>
      <c r="CE2300" t="b">
        <v>0</v>
      </c>
      <c r="CF2300" t="b">
        <v>0</v>
      </c>
      <c r="CG2300">
        <v>2903159</v>
      </c>
      <c r="CH2300" t="s">
        <v>1681</v>
      </c>
      <c r="CI2300" s="10">
        <v>3480000</v>
      </c>
      <c r="CJ2300" s="7">
        <v>34669</v>
      </c>
    </row>
    <row r="2301" spans="1:90">
      <c r="A2301">
        <v>28041293</v>
      </c>
      <c r="B2301" s="2" t="str">
        <f>HYPERLINK("http://www.redfin.com/stingray/do/printable-listing?listing-id=1543939","Active")</f>
        <v>Active</v>
      </c>
      <c r="D2301" t="s">
        <v>3966</v>
      </c>
      <c r="E2301" t="s">
        <v>4015</v>
      </c>
      <c r="F2301" s="19">
        <v>599000</v>
      </c>
      <c r="G2301">
        <v>1985</v>
      </c>
      <c r="H2301">
        <v>1530</v>
      </c>
      <c r="I2301">
        <v>4000</v>
      </c>
      <c r="J2301">
        <v>3</v>
      </c>
      <c r="K2301">
        <v>1.75</v>
      </c>
      <c r="M2301" s="2" t="str">
        <f>HYPERLINK("http://maps.live.com/default.aspx?v=2&amp;lvl=15&amp;sp=Point.47.617271_-122.290971_1726 32nd Ave&amp;cp=47.617271~-122.290971","Map")</f>
        <v>Map</v>
      </c>
      <c r="N2301" s="2" t="str">
        <f>HYPERLINK("http://i-0.rfimg.us/photo/1/bigphoto/293/28041293_1.jpg","Photo")</f>
        <v>Photo</v>
      </c>
      <c r="AG2301">
        <v>47.617271000000002</v>
      </c>
      <c r="AH2301">
        <v>-122.290971</v>
      </c>
      <c r="AI2301" t="s">
        <v>66</v>
      </c>
      <c r="AJ2301">
        <v>98122</v>
      </c>
      <c r="AN2301">
        <v>502000</v>
      </c>
      <c r="BC2301" s="22">
        <v>39516.306342592594</v>
      </c>
      <c r="BI2301" s="22">
        <v>39549.294907407406</v>
      </c>
      <c r="BL2301">
        <v>12798</v>
      </c>
      <c r="BM2301">
        <v>1543939</v>
      </c>
      <c r="BN2301" t="s">
        <v>1710</v>
      </c>
      <c r="BO2301" s="17">
        <f t="shared" ca="1" si="35"/>
        <v>33.003063310185098</v>
      </c>
      <c r="BP2301" t="b">
        <v>0</v>
      </c>
      <c r="BQ2301">
        <v>1</v>
      </c>
      <c r="BR2301" t="s">
        <v>1667</v>
      </c>
      <c r="BS2301" t="s">
        <v>1733</v>
      </c>
      <c r="BT2301" t="b">
        <v>0</v>
      </c>
      <c r="BV2301" t="s">
        <v>1668</v>
      </c>
      <c r="BW2301">
        <v>1726</v>
      </c>
      <c r="BY2301">
        <v>146055</v>
      </c>
      <c r="BZ2301" t="s">
        <v>3795</v>
      </c>
      <c r="CA2301">
        <v>1</v>
      </c>
      <c r="CB2301" t="b">
        <v>1</v>
      </c>
      <c r="CC2301">
        <v>0</v>
      </c>
      <c r="CD2301" t="b">
        <v>0</v>
      </c>
      <c r="CE2301" t="b">
        <v>0</v>
      </c>
      <c r="CF2301" t="b">
        <v>0</v>
      </c>
      <c r="CG2301">
        <v>2631022</v>
      </c>
      <c r="CH2301" t="s">
        <v>1681</v>
      </c>
      <c r="CI2301" s="10">
        <v>639900</v>
      </c>
      <c r="CJ2301" s="7">
        <v>38632</v>
      </c>
    </row>
    <row r="2302" spans="1:90">
      <c r="A2302">
        <v>28041342</v>
      </c>
      <c r="B2302" s="2" t="str">
        <f>HYPERLINK("http://www.redfin.com/stingray/do/printable-listing?listing-id=1544073","Subject To Inspection")</f>
        <v>Subject To Inspection</v>
      </c>
      <c r="D2302" t="s">
        <v>60</v>
      </c>
      <c r="E2302" t="s">
        <v>2717</v>
      </c>
      <c r="F2302">
        <v>342500</v>
      </c>
      <c r="G2302">
        <v>2008</v>
      </c>
      <c r="H2302">
        <v>1230</v>
      </c>
      <c r="I2302">
        <v>0</v>
      </c>
      <c r="J2302">
        <v>2</v>
      </c>
      <c r="K2302">
        <v>1.5</v>
      </c>
      <c r="M2302" s="2" t="str">
        <f>HYPERLINK("http://maps.live.com/default.aspx?v=2&amp;lvl=15&amp;sp=Point.47.696708_-122.348295_737 N 94th St nC&amp;cp=47.696708~-122.348295","Map")</f>
        <v>Map</v>
      </c>
      <c r="N2302" s="2" t="str">
        <f>HYPERLINK("http://i-0.rfimg.us/photo/1/bigphoto/342/28041342_0.jpg","Photo")</f>
        <v>Photo</v>
      </c>
      <c r="AG2302">
        <v>47.696708000000001</v>
      </c>
      <c r="AH2302">
        <v>-122.34829499999999</v>
      </c>
      <c r="AI2302" t="s">
        <v>66</v>
      </c>
      <c r="AJ2302">
        <v>98103</v>
      </c>
      <c r="AM2302" t="s">
        <v>2341</v>
      </c>
      <c r="BC2302" s="22">
        <v>39516.462870370371</v>
      </c>
      <c r="BI2302" s="7">
        <v>39532</v>
      </c>
      <c r="BL2302">
        <v>6850</v>
      </c>
      <c r="BM2302">
        <v>1544073</v>
      </c>
      <c r="BN2302" t="s">
        <v>2714</v>
      </c>
      <c r="BO2302" s="17">
        <f t="shared" ca="1" si="35"/>
        <v>32.84653553240787</v>
      </c>
      <c r="BP2302" t="b">
        <v>0</v>
      </c>
      <c r="BQ2302">
        <v>2</v>
      </c>
      <c r="BR2302" t="s">
        <v>1686</v>
      </c>
      <c r="BS2302" t="s">
        <v>2716</v>
      </c>
      <c r="BT2302" t="b">
        <v>0</v>
      </c>
      <c r="BU2302" t="s">
        <v>1712</v>
      </c>
      <c r="BV2302" t="s">
        <v>1668</v>
      </c>
      <c r="BW2302">
        <v>737</v>
      </c>
      <c r="BY2302">
        <v>12425210</v>
      </c>
      <c r="BZ2302" t="s">
        <v>1713</v>
      </c>
      <c r="CA2302">
        <v>1</v>
      </c>
      <c r="CB2302" t="b">
        <v>1</v>
      </c>
      <c r="CC2302">
        <v>0</v>
      </c>
      <c r="CD2302" t="b">
        <v>0</v>
      </c>
      <c r="CE2302" t="b">
        <v>0</v>
      </c>
      <c r="CF2302" t="b">
        <v>0</v>
      </c>
      <c r="CG2302">
        <v>15628740</v>
      </c>
      <c r="CH2302" t="s">
        <v>1681</v>
      </c>
      <c r="CI2302" s="10">
        <v>342500</v>
      </c>
    </row>
    <row r="2303" spans="1:90">
      <c r="A2303">
        <v>28041363</v>
      </c>
      <c r="B2303" s="2" t="str">
        <f>HYPERLINK("http://www.redfin.com/stingray/do/printable-listing?listing-id=1544116","Active")</f>
        <v>Active</v>
      </c>
      <c r="D2303" t="s">
        <v>5490</v>
      </c>
      <c r="E2303" t="s">
        <v>5660</v>
      </c>
      <c r="F2303">
        <v>849900</v>
      </c>
      <c r="G2303">
        <v>2008</v>
      </c>
      <c r="H2303">
        <v>2880</v>
      </c>
      <c r="I2303">
        <v>18557</v>
      </c>
      <c r="J2303">
        <v>4</v>
      </c>
      <c r="K2303">
        <v>3.5</v>
      </c>
      <c r="M2303" s="2" t="str">
        <f>HYPERLINK("http://maps.live.com/default.aspx?v=2&amp;lvl=15&amp;sp=Point.47.565638_-122.116474_16760 SE 45 St&amp;cp=47.565638~-122.116474","Map")</f>
        <v>Map</v>
      </c>
      <c r="N2303" s="2" t="str">
        <f>HYPERLINK("http://i-0.rfimg.us/photo/1/bigphoto/363/28041363_1.jpg","Photo")</f>
        <v>Photo</v>
      </c>
      <c r="AG2303">
        <v>47.565638</v>
      </c>
      <c r="AH2303">
        <v>-122.116474</v>
      </c>
      <c r="AI2303" t="s">
        <v>5280</v>
      </c>
      <c r="AJ2303">
        <v>98027</v>
      </c>
      <c r="BC2303" s="22">
        <v>39516.496006944442</v>
      </c>
      <c r="BI2303" s="22">
        <v>39549.294907407406</v>
      </c>
      <c r="BL2303">
        <v>16998</v>
      </c>
      <c r="BM2303">
        <v>1544116</v>
      </c>
      <c r="BN2303" t="s">
        <v>1680</v>
      </c>
      <c r="BO2303" s="17">
        <f t="shared" ca="1" si="35"/>
        <v>32.81339895833662</v>
      </c>
      <c r="BP2303" t="b">
        <v>0</v>
      </c>
      <c r="BQ2303">
        <v>1</v>
      </c>
      <c r="BR2303" t="s">
        <v>1686</v>
      </c>
      <c r="BS2303">
        <v>45</v>
      </c>
      <c r="BT2303" t="b">
        <v>0</v>
      </c>
      <c r="BU2303" t="s">
        <v>3856</v>
      </c>
      <c r="BV2303" t="s">
        <v>1668</v>
      </c>
      <c r="BW2303">
        <v>16760</v>
      </c>
      <c r="BY2303">
        <v>12425368</v>
      </c>
      <c r="BZ2303" t="s">
        <v>5661</v>
      </c>
      <c r="CA2303">
        <v>1</v>
      </c>
      <c r="CB2303" t="b">
        <v>1</v>
      </c>
      <c r="CC2303">
        <v>0</v>
      </c>
      <c r="CD2303" t="b">
        <v>0</v>
      </c>
      <c r="CE2303" t="b">
        <v>0</v>
      </c>
      <c r="CF2303" t="b">
        <v>0</v>
      </c>
      <c r="CG2303">
        <v>15629116</v>
      </c>
      <c r="CH2303" t="s">
        <v>1681</v>
      </c>
      <c r="CI2303" s="10">
        <v>849900</v>
      </c>
    </row>
    <row r="2304" spans="1:90">
      <c r="A2304">
        <v>28041366</v>
      </c>
      <c r="B2304" s="2" t="str">
        <f>HYPERLINK("http://www.redfin.com/stingray/do/printable-listing?listing-id=1544372","Active")</f>
        <v>Active</v>
      </c>
      <c r="D2304" t="s">
        <v>5125</v>
      </c>
      <c r="E2304" t="s">
        <v>5124</v>
      </c>
      <c r="F2304">
        <v>648900</v>
      </c>
      <c r="G2304">
        <v>1955</v>
      </c>
      <c r="H2304">
        <v>2170</v>
      </c>
      <c r="I2304">
        <v>10890</v>
      </c>
      <c r="J2304">
        <v>3</v>
      </c>
      <c r="K2304">
        <v>1.75</v>
      </c>
      <c r="M2304" s="2" t="str">
        <f>HYPERLINK("http://maps.live.com/default.aspx?v=2&amp;lvl=15&amp;sp=Point.47.602714_-122.195874_802 108th Ave SE&amp;cp=47.602714~-122.195874","Map")</f>
        <v>Map</v>
      </c>
      <c r="N2304" s="2" t="str">
        <f>HYPERLINK("http://i-0.rfimg.us/photo/1/bigphoto/366/28041366_1.jpg","Photo")</f>
        <v>Photo</v>
      </c>
      <c r="AG2304">
        <v>47.602713999999999</v>
      </c>
      <c r="AH2304">
        <v>-122.195874</v>
      </c>
      <c r="AI2304" t="s">
        <v>369</v>
      </c>
      <c r="AJ2304">
        <v>98004</v>
      </c>
      <c r="BC2304" s="22">
        <v>39516.682164351849</v>
      </c>
      <c r="BI2304" s="22">
        <v>39549.294907407406</v>
      </c>
      <c r="BL2304">
        <v>12978</v>
      </c>
      <c r="BM2304">
        <v>1544372</v>
      </c>
      <c r="BN2304" t="s">
        <v>1674</v>
      </c>
      <c r="BO2304" s="17">
        <f t="shared" ca="1" si="35"/>
        <v>32.627241550930194</v>
      </c>
      <c r="BP2304" t="b">
        <v>0</v>
      </c>
      <c r="BQ2304">
        <v>1</v>
      </c>
      <c r="BR2304" t="s">
        <v>1667</v>
      </c>
      <c r="BS2304" t="s">
        <v>4355</v>
      </c>
      <c r="BT2304" t="b">
        <v>0</v>
      </c>
      <c r="BV2304" t="s">
        <v>1668</v>
      </c>
      <c r="BW2304">
        <v>802</v>
      </c>
      <c r="BX2304" t="s">
        <v>3856</v>
      </c>
      <c r="BY2304">
        <v>509961</v>
      </c>
      <c r="BZ2304" t="s">
        <v>1704</v>
      </c>
      <c r="CA2304">
        <v>1</v>
      </c>
      <c r="CB2304" t="b">
        <v>1</v>
      </c>
      <c r="CC2304">
        <v>0</v>
      </c>
      <c r="CD2304" t="b">
        <v>0</v>
      </c>
      <c r="CE2304" t="b">
        <v>0</v>
      </c>
      <c r="CF2304" t="b">
        <v>0</v>
      </c>
      <c r="CG2304">
        <v>2938767</v>
      </c>
      <c r="CH2304" t="s">
        <v>1681</v>
      </c>
      <c r="CI2304" s="10">
        <v>648900</v>
      </c>
    </row>
    <row r="2305" spans="1:88">
      <c r="A2305">
        <v>28041385</v>
      </c>
      <c r="B2305" s="2" t="str">
        <f>HYPERLINK("http://www.redfin.com/stingray/do/printable-listing?listing-id=1544205","Active")</f>
        <v>Active</v>
      </c>
      <c r="D2305" t="s">
        <v>1077</v>
      </c>
      <c r="E2305" t="s">
        <v>3871</v>
      </c>
      <c r="F2305">
        <v>1149950</v>
      </c>
      <c r="G2305">
        <v>2008</v>
      </c>
      <c r="H2305">
        <v>4590</v>
      </c>
      <c r="I2305">
        <v>26136</v>
      </c>
      <c r="J2305">
        <v>4</v>
      </c>
      <c r="K2305">
        <v>3.5</v>
      </c>
      <c r="M2305" s="2" t="str">
        <f>HYPERLINK("http://maps.live.com/default.aspx?v=2&amp;lvl=15&amp;sp=adr.17725 SE 123rd Pl (Unable to map),98059","Map")</f>
        <v>Map</v>
      </c>
      <c r="N2305" s="2" t="str">
        <f>HYPERLINK("http://i-0.rfimg.us/photo/1/bigphoto/385/28041385_0.jpg","Photo")</f>
        <v>Photo</v>
      </c>
      <c r="AI2305" t="s">
        <v>1077</v>
      </c>
      <c r="AJ2305">
        <v>98059</v>
      </c>
      <c r="BC2305" s="22">
        <v>39516.556631944448</v>
      </c>
      <c r="BI2305" s="22">
        <v>39549.294907407406</v>
      </c>
      <c r="BL2305">
        <v>22999</v>
      </c>
      <c r="BM2305">
        <v>1544205</v>
      </c>
      <c r="BN2305" t="s">
        <v>1680</v>
      </c>
      <c r="BO2305" s="17">
        <f t="shared" ca="1" si="35"/>
        <v>32.75277395833109</v>
      </c>
      <c r="BP2305" t="b">
        <v>0</v>
      </c>
      <c r="BQ2305">
        <v>1</v>
      </c>
      <c r="BR2305" t="s">
        <v>1842</v>
      </c>
      <c r="BS2305" t="s">
        <v>2882</v>
      </c>
      <c r="BT2305" t="b">
        <v>0</v>
      </c>
      <c r="BU2305" t="s">
        <v>3856</v>
      </c>
      <c r="BV2305" t="s">
        <v>1668</v>
      </c>
      <c r="BW2305">
        <v>17725</v>
      </c>
      <c r="BY2305">
        <v>0</v>
      </c>
      <c r="BZ2305" t="s">
        <v>3872</v>
      </c>
      <c r="CA2305">
        <v>1</v>
      </c>
      <c r="CB2305" t="b">
        <v>1</v>
      </c>
      <c r="CC2305">
        <v>0</v>
      </c>
      <c r="CD2305" t="b">
        <v>0</v>
      </c>
      <c r="CE2305" t="b">
        <v>0</v>
      </c>
      <c r="CF2305" t="b">
        <v>0</v>
      </c>
      <c r="CG2305" t="s">
        <v>1870</v>
      </c>
      <c r="CH2305" t="s">
        <v>1681</v>
      </c>
      <c r="CI2305" s="10">
        <v>1149950</v>
      </c>
    </row>
    <row r="2306" spans="1:88">
      <c r="A2306">
        <v>28041424</v>
      </c>
      <c r="B2306" s="2" t="str">
        <f>HYPERLINK("http://www.redfin.com/stingray/do/printable-listing?listing-id=1548970","Active")</f>
        <v>Active</v>
      </c>
      <c r="D2306" t="s">
        <v>4974</v>
      </c>
      <c r="E2306" t="s">
        <v>5034</v>
      </c>
      <c r="F2306">
        <v>1168000</v>
      </c>
      <c r="G2306">
        <v>2004</v>
      </c>
      <c r="H2306">
        <v>2470</v>
      </c>
      <c r="I2306">
        <v>15525</v>
      </c>
      <c r="J2306">
        <v>4</v>
      </c>
      <c r="K2306">
        <v>2.75</v>
      </c>
      <c r="M2306" s="2" t="str">
        <f>HYPERLINK("http://maps.live.com/default.aspx?v=2&amp;lvl=15&amp;sp=Point.47.634947_-122.193306_2641 110 Ave NE&amp;cp=47.634947~-122.193306","Map")</f>
        <v>Map</v>
      </c>
      <c r="N2306" s="2" t="str">
        <f>HYPERLINK("http://i-0.rfimg.us/photo/1/bigphoto/424/28041424_0.jpg","Photo")</f>
        <v>Photo</v>
      </c>
      <c r="AG2306">
        <v>47.634946999999997</v>
      </c>
      <c r="AH2306">
        <v>-122.19330600000001</v>
      </c>
      <c r="AI2306" t="s">
        <v>369</v>
      </c>
      <c r="AJ2306">
        <v>98004</v>
      </c>
      <c r="AN2306">
        <v>400000</v>
      </c>
      <c r="BC2306" s="22">
        <v>39518.443148148152</v>
      </c>
      <c r="BI2306" s="22">
        <v>39549.294907407406</v>
      </c>
      <c r="BL2306">
        <v>23360</v>
      </c>
      <c r="BM2306">
        <v>1548970</v>
      </c>
      <c r="BN2306" t="s">
        <v>1674</v>
      </c>
      <c r="BO2306" s="17">
        <f t="shared" ref="BO2306:BO2369" ca="1" si="36">NOW()-BC2306</f>
        <v>30.866257754627441</v>
      </c>
      <c r="BP2306" t="b">
        <v>0</v>
      </c>
      <c r="BQ2306">
        <v>1</v>
      </c>
      <c r="BR2306" t="s">
        <v>1667</v>
      </c>
      <c r="BS2306">
        <v>110</v>
      </c>
      <c r="BT2306" t="b">
        <v>0</v>
      </c>
      <c r="BV2306" t="s">
        <v>1668</v>
      </c>
      <c r="BW2306">
        <v>2641</v>
      </c>
      <c r="BX2306" t="s">
        <v>1738</v>
      </c>
      <c r="BY2306">
        <v>506346</v>
      </c>
      <c r="BZ2306" t="s">
        <v>1672</v>
      </c>
      <c r="CA2306">
        <v>1</v>
      </c>
      <c r="CB2306" t="b">
        <v>1</v>
      </c>
      <c r="CC2306">
        <v>0</v>
      </c>
      <c r="CD2306" t="b">
        <v>0</v>
      </c>
      <c r="CE2306" t="b">
        <v>0</v>
      </c>
      <c r="CF2306" t="b">
        <v>0</v>
      </c>
      <c r="CG2306">
        <v>2961854</v>
      </c>
      <c r="CH2306" t="s">
        <v>1681</v>
      </c>
      <c r="CI2306" s="10">
        <v>1168000</v>
      </c>
      <c r="CJ2306" s="7">
        <v>36894</v>
      </c>
    </row>
    <row r="2307" spans="1:88">
      <c r="A2307">
        <v>28041428</v>
      </c>
      <c r="B2307" s="2" t="str">
        <f>HYPERLINK("http://www.redfin.com/stingray/do/printable-listing?listing-id=1548972","Active")</f>
        <v>Active</v>
      </c>
      <c r="D2307" t="s">
        <v>213</v>
      </c>
      <c r="E2307" t="s">
        <v>2840</v>
      </c>
      <c r="F2307">
        <v>825000</v>
      </c>
      <c r="G2307">
        <v>2007</v>
      </c>
      <c r="H2307">
        <v>2410</v>
      </c>
      <c r="I2307">
        <v>3441</v>
      </c>
      <c r="J2307">
        <v>2</v>
      </c>
      <c r="K2307">
        <v>4</v>
      </c>
      <c r="M2307" s="2" t="str">
        <f>HYPERLINK("http://maps.live.com/default.aspx?v=2&amp;lvl=15&amp;sp=Point.47.715563_-122.278846_11911 Lakeside Pl NE&amp;cp=47.715563~-122.278846","Map")</f>
        <v>Map</v>
      </c>
      <c r="N2307" s="2" t="str">
        <f>HYPERLINK("http://i-0.rfimg.us/photo/1/bigphoto/428/28041428_1.jpg","Photo")</f>
        <v>Photo</v>
      </c>
      <c r="AG2307">
        <v>47.715563000000003</v>
      </c>
      <c r="AH2307">
        <v>-122.278846</v>
      </c>
      <c r="AI2307" t="s">
        <v>66</v>
      </c>
      <c r="AJ2307">
        <v>98125</v>
      </c>
      <c r="AN2307">
        <v>75000</v>
      </c>
      <c r="BC2307" s="22">
        <v>39518.443182870367</v>
      </c>
      <c r="BI2307" s="22">
        <v>39549.294907407406</v>
      </c>
      <c r="BL2307">
        <v>16500</v>
      </c>
      <c r="BM2307">
        <v>1548972</v>
      </c>
      <c r="BN2307" t="s">
        <v>1710</v>
      </c>
      <c r="BO2307" s="17">
        <f t="shared" ca="1" si="36"/>
        <v>30.866223032411654</v>
      </c>
      <c r="BP2307" t="b">
        <v>0</v>
      </c>
      <c r="BQ2307">
        <v>1</v>
      </c>
      <c r="BR2307" t="s">
        <v>1842</v>
      </c>
      <c r="BS2307" t="s">
        <v>2838</v>
      </c>
      <c r="BT2307" t="b">
        <v>0</v>
      </c>
      <c r="BV2307" t="s">
        <v>1668</v>
      </c>
      <c r="BW2307">
        <v>11911</v>
      </c>
      <c r="BX2307" t="s">
        <v>1738</v>
      </c>
      <c r="BY2307">
        <v>2079046</v>
      </c>
      <c r="BZ2307" t="s">
        <v>2841</v>
      </c>
      <c r="CA2307">
        <v>1</v>
      </c>
      <c r="CB2307" t="b">
        <v>1</v>
      </c>
      <c r="CC2307">
        <v>0</v>
      </c>
      <c r="CD2307" t="b">
        <v>0</v>
      </c>
      <c r="CE2307" t="b">
        <v>0</v>
      </c>
      <c r="CF2307" t="b">
        <v>0</v>
      </c>
      <c r="CG2307">
        <v>2690690</v>
      </c>
      <c r="CH2307" t="s">
        <v>1681</v>
      </c>
      <c r="CI2307" s="10">
        <v>825000</v>
      </c>
      <c r="CJ2307" s="7">
        <v>38044</v>
      </c>
    </row>
    <row r="2308" spans="1:88">
      <c r="A2308">
        <v>28041453</v>
      </c>
      <c r="B2308" s="2" t="str">
        <f>HYPERLINK("http://www.redfin.com/stingray/do/printable-listing?listing-id=1545035","Active")</f>
        <v>Active</v>
      </c>
      <c r="D2308" t="s">
        <v>60</v>
      </c>
      <c r="E2308" t="s">
        <v>2358</v>
      </c>
      <c r="F2308">
        <v>529950</v>
      </c>
      <c r="G2308">
        <v>1940</v>
      </c>
      <c r="H2308">
        <v>0</v>
      </c>
      <c r="I2308">
        <v>0</v>
      </c>
      <c r="J2308">
        <v>5</v>
      </c>
      <c r="K2308">
        <v>2</v>
      </c>
      <c r="M2308" s="2" t="str">
        <f>HYPERLINK("http://maps.live.com/default.aspx?v=2&amp;lvl=15&amp;sp=Point.47.688597_-122.342832_1136 N 82nd St&amp;cp=47.688597~-122.342832","Map")</f>
        <v>Map</v>
      </c>
      <c r="N2308" s="2" t="str">
        <f>HYPERLINK("http://i-0.rfimg.us/photo/1/bigphoto/453/28041453_0.jpg","Photo")</f>
        <v>Photo</v>
      </c>
      <c r="AG2308">
        <v>47.688597000000001</v>
      </c>
      <c r="AH2308">
        <v>-122.342832</v>
      </c>
      <c r="AI2308" t="s">
        <v>66</v>
      </c>
      <c r="AJ2308">
        <v>98103</v>
      </c>
      <c r="BC2308" s="22">
        <v>39517.348344907405</v>
      </c>
      <c r="BI2308" s="22">
        <v>39549.294907407406</v>
      </c>
      <c r="BL2308">
        <v>10599</v>
      </c>
      <c r="BM2308">
        <v>1545035</v>
      </c>
      <c r="BN2308" t="s">
        <v>1685</v>
      </c>
      <c r="BO2308" s="17">
        <f t="shared" ca="1" si="36"/>
        <v>31.96106111111294</v>
      </c>
      <c r="BP2308" t="b">
        <v>0</v>
      </c>
      <c r="BQ2308">
        <v>1</v>
      </c>
      <c r="BR2308" t="s">
        <v>1686</v>
      </c>
      <c r="BS2308" t="s">
        <v>2359</v>
      </c>
      <c r="BT2308" t="b">
        <v>0</v>
      </c>
      <c r="BU2308" t="s">
        <v>1712</v>
      </c>
      <c r="BV2308" t="s">
        <v>1668</v>
      </c>
      <c r="BW2308">
        <v>1136</v>
      </c>
      <c r="BY2308">
        <v>306680</v>
      </c>
      <c r="BZ2308" t="s">
        <v>1672</v>
      </c>
      <c r="CA2308">
        <v>1</v>
      </c>
      <c r="CB2308" t="b">
        <v>1</v>
      </c>
      <c r="CC2308">
        <v>0</v>
      </c>
      <c r="CD2308" t="b">
        <v>0</v>
      </c>
      <c r="CE2308" t="b">
        <v>0</v>
      </c>
      <c r="CF2308" t="b">
        <v>0</v>
      </c>
      <c r="CG2308">
        <v>2606437</v>
      </c>
      <c r="CH2308" t="s">
        <v>1681</v>
      </c>
      <c r="CI2308" s="10">
        <v>529950</v>
      </c>
    </row>
    <row r="2309" spans="1:88">
      <c r="A2309">
        <v>28041456</v>
      </c>
      <c r="B2309" s="2" t="str">
        <f>HYPERLINK("http://www.redfin.com/stingray/do/printable-listing?listing-id=1546548","Active")</f>
        <v>Active</v>
      </c>
      <c r="D2309" t="s">
        <v>3066</v>
      </c>
      <c r="E2309" t="s">
        <v>4667</v>
      </c>
      <c r="F2309">
        <v>819950</v>
      </c>
      <c r="G2309">
        <v>2008</v>
      </c>
      <c r="H2309">
        <v>3100</v>
      </c>
      <c r="I2309">
        <v>7143</v>
      </c>
      <c r="J2309">
        <v>3</v>
      </c>
      <c r="K2309">
        <v>2.5</v>
      </c>
      <c r="M2309" s="2" t="str">
        <f>HYPERLINK("http://maps.live.com/default.aspx?v=2&amp;lvl=15&amp;sp=Point.47.687837_-122.176802_12320 NE 97 St&amp;cp=47.687837~-122.176802","Map")</f>
        <v>Map</v>
      </c>
      <c r="N2309" s="2" t="str">
        <f>HYPERLINK("http://i-0.rfimg.us/photo/1/bigphoto/456/28041456_4.jpg","Photo")</f>
        <v>Photo</v>
      </c>
      <c r="AG2309">
        <v>47.687837000000002</v>
      </c>
      <c r="AH2309">
        <v>-122.176802</v>
      </c>
      <c r="AI2309" t="s">
        <v>1058</v>
      </c>
      <c r="AJ2309">
        <v>98033</v>
      </c>
      <c r="BC2309" s="22">
        <v>39517.663831018515</v>
      </c>
      <c r="BI2309" s="22">
        <v>39549.294907407406</v>
      </c>
      <c r="BL2309">
        <v>16399</v>
      </c>
      <c r="BM2309">
        <v>1546548</v>
      </c>
      <c r="BN2309" t="s">
        <v>1798</v>
      </c>
      <c r="BO2309" s="17">
        <f t="shared" ca="1" si="36"/>
        <v>31.645574884263624</v>
      </c>
      <c r="BP2309" t="b">
        <v>0</v>
      </c>
      <c r="BQ2309">
        <v>1</v>
      </c>
      <c r="BR2309" t="s">
        <v>1686</v>
      </c>
      <c r="BS2309">
        <v>97</v>
      </c>
      <c r="BT2309" t="b">
        <v>0</v>
      </c>
      <c r="BU2309" t="s">
        <v>1738</v>
      </c>
      <c r="BV2309" t="s">
        <v>1668</v>
      </c>
      <c r="BW2309">
        <v>12320</v>
      </c>
      <c r="BY2309">
        <v>12425519</v>
      </c>
      <c r="BZ2309" t="s">
        <v>4668</v>
      </c>
      <c r="CA2309">
        <v>1</v>
      </c>
      <c r="CB2309" t="b">
        <v>1</v>
      </c>
      <c r="CC2309">
        <v>0</v>
      </c>
      <c r="CD2309" t="b">
        <v>0</v>
      </c>
      <c r="CE2309" t="b">
        <v>0</v>
      </c>
      <c r="CF2309" t="b">
        <v>0</v>
      </c>
      <c r="CG2309">
        <v>15629267</v>
      </c>
      <c r="CH2309" t="s">
        <v>1681</v>
      </c>
      <c r="CI2309" s="10">
        <v>819950</v>
      </c>
    </row>
    <row r="2310" spans="1:88">
      <c r="A2310">
        <v>28041471</v>
      </c>
      <c r="B2310" s="2" t="str">
        <f>HYPERLINK("http://www.redfin.com/stingray/do/printable-listing?listing-id=1545057","Active")</f>
        <v>Active</v>
      </c>
      <c r="D2310" t="s">
        <v>63</v>
      </c>
      <c r="E2310" t="s">
        <v>1943</v>
      </c>
      <c r="F2310" s="19">
        <v>250000</v>
      </c>
      <c r="G2310">
        <v>2005</v>
      </c>
      <c r="H2310">
        <v>747</v>
      </c>
      <c r="I2310">
        <v>0</v>
      </c>
      <c r="J2310">
        <v>1</v>
      </c>
      <c r="K2310">
        <v>1</v>
      </c>
      <c r="M2310" s="2" t="str">
        <f>HYPERLINK("http://maps.live.com/default.aspx?v=2&amp;lvl=15&amp;sp=Point.47.676152_-122.387803_6501 24th Ave NW n304&amp;cp=47.676152~-122.387803","Map")</f>
        <v>Map</v>
      </c>
      <c r="N2310" s="2" t="str">
        <f>HYPERLINK("http://i-0.rfimg.us/photo/1/bigphoto/471/28041471_1.jpg","Photo")</f>
        <v>Photo</v>
      </c>
      <c r="AG2310">
        <v>47.676152000000002</v>
      </c>
      <c r="AH2310">
        <v>-122.38780300000001</v>
      </c>
      <c r="AI2310" t="s">
        <v>66</v>
      </c>
      <c r="AJ2310">
        <v>98117</v>
      </c>
      <c r="AM2310" t="s">
        <v>1865</v>
      </c>
      <c r="AN2310">
        <v>219950</v>
      </c>
      <c r="BC2310" s="22">
        <v>39517.348715277774</v>
      </c>
      <c r="BI2310" s="22">
        <v>39549.294907407406</v>
      </c>
      <c r="BL2310">
        <v>4485</v>
      </c>
      <c r="BM2310">
        <v>1545057</v>
      </c>
      <c r="BN2310" t="s">
        <v>1746</v>
      </c>
      <c r="BO2310" s="17">
        <f t="shared" ca="1" si="36"/>
        <v>31.960690740743303</v>
      </c>
      <c r="BP2310" t="b">
        <v>0</v>
      </c>
      <c r="BQ2310">
        <v>1</v>
      </c>
      <c r="BR2310" t="s">
        <v>1667</v>
      </c>
      <c r="BS2310" t="s">
        <v>1740</v>
      </c>
      <c r="BT2310" t="b">
        <v>0</v>
      </c>
      <c r="BV2310" t="s">
        <v>1668</v>
      </c>
      <c r="BW2310">
        <v>6501</v>
      </c>
      <c r="BX2310" t="s">
        <v>1669</v>
      </c>
      <c r="BY2310">
        <v>2075840</v>
      </c>
      <c r="BZ2310" t="s">
        <v>1742</v>
      </c>
      <c r="CA2310">
        <v>1</v>
      </c>
      <c r="CB2310" t="b">
        <v>1</v>
      </c>
      <c r="CC2310">
        <v>0</v>
      </c>
      <c r="CD2310" t="b">
        <v>0</v>
      </c>
      <c r="CE2310" t="b">
        <v>1</v>
      </c>
      <c r="CF2310" t="b">
        <v>0</v>
      </c>
      <c r="CG2310">
        <v>2631724</v>
      </c>
      <c r="CH2310" t="s">
        <v>1666</v>
      </c>
      <c r="CI2310" s="10">
        <v>249500</v>
      </c>
      <c r="CJ2310" s="7">
        <v>38694</v>
      </c>
    </row>
    <row r="2311" spans="1:88">
      <c r="A2311">
        <v>28041473</v>
      </c>
      <c r="B2311" s="2" t="str">
        <f>HYPERLINK("http://www.redfin.com/stingray/do/printable-listing?listing-id=1546878","Active")</f>
        <v>Active</v>
      </c>
      <c r="D2311" t="s">
        <v>63</v>
      </c>
      <c r="E2311" t="s">
        <v>1716</v>
      </c>
      <c r="F2311" s="19">
        <v>448000</v>
      </c>
      <c r="G2311">
        <v>1916</v>
      </c>
      <c r="H2311">
        <v>1520</v>
      </c>
      <c r="I2311">
        <v>3000</v>
      </c>
      <c r="J2311">
        <v>2</v>
      </c>
      <c r="K2311">
        <v>1</v>
      </c>
      <c r="M2311" s="2" t="str">
        <f>HYPERLINK("http://maps.live.com/default.aspx?v=2&amp;lvl=15&amp;sp=Point.47.691333_-122.366907_8528 Dibble Ave NW&amp;cp=47.691333~-122.366907","Map")</f>
        <v>Map</v>
      </c>
      <c r="N2311" s="2" t="str">
        <f>HYPERLINK("http://i-0.rfimg.us/photo/1/bigphoto/473/28041473_1.jpg","Photo")</f>
        <v>Photo</v>
      </c>
      <c r="AG2311">
        <v>47.691333</v>
      </c>
      <c r="AH2311">
        <v>-122.366907</v>
      </c>
      <c r="AI2311" t="s">
        <v>66</v>
      </c>
      <c r="AJ2311">
        <v>98117</v>
      </c>
      <c r="AN2311">
        <v>235000</v>
      </c>
      <c r="BC2311" s="22">
        <v>39517.735972222225</v>
      </c>
      <c r="BI2311" s="22">
        <v>39549.294907407406</v>
      </c>
      <c r="BL2311">
        <v>9180</v>
      </c>
      <c r="BM2311">
        <v>1546878</v>
      </c>
      <c r="BN2311" t="s">
        <v>1715</v>
      </c>
      <c r="BO2311" s="17">
        <f t="shared" ca="1" si="36"/>
        <v>31.573433796293102</v>
      </c>
      <c r="BP2311" t="b">
        <v>0</v>
      </c>
      <c r="BQ2311">
        <v>1</v>
      </c>
      <c r="BR2311" t="s">
        <v>1667</v>
      </c>
      <c r="BS2311" t="s">
        <v>1717</v>
      </c>
      <c r="BT2311" t="b">
        <v>0</v>
      </c>
      <c r="BV2311" t="s">
        <v>1668</v>
      </c>
      <c r="BW2311">
        <v>8528</v>
      </c>
      <c r="BX2311" t="s">
        <v>1669</v>
      </c>
      <c r="BY2311">
        <v>100904</v>
      </c>
      <c r="BZ2311" t="s">
        <v>1709</v>
      </c>
      <c r="CA2311">
        <v>1</v>
      </c>
      <c r="CB2311" t="b">
        <v>1</v>
      </c>
      <c r="CC2311">
        <v>0</v>
      </c>
      <c r="CD2311" t="b">
        <v>0</v>
      </c>
      <c r="CE2311" t="b">
        <v>1</v>
      </c>
      <c r="CF2311" t="b">
        <v>0</v>
      </c>
      <c r="CG2311">
        <v>2798075</v>
      </c>
      <c r="CH2311" t="s">
        <v>1681</v>
      </c>
      <c r="CI2311" s="10">
        <v>459000</v>
      </c>
      <c r="CJ2311" s="7">
        <v>37893</v>
      </c>
    </row>
    <row r="2312" spans="1:88">
      <c r="A2312">
        <v>28041486</v>
      </c>
      <c r="B2312" s="2" t="str">
        <f>HYPERLINK("http://www.redfin.com/stingray/do/printable-listing?listing-id=1550864","Active")</f>
        <v>Active</v>
      </c>
      <c r="D2312" t="s">
        <v>5139</v>
      </c>
      <c r="E2312" t="s">
        <v>5717</v>
      </c>
      <c r="F2312">
        <v>952000</v>
      </c>
      <c r="G2312">
        <v>1976</v>
      </c>
      <c r="H2312">
        <v>2460</v>
      </c>
      <c r="I2312">
        <v>9592</v>
      </c>
      <c r="J2312">
        <v>4</v>
      </c>
      <c r="K2312">
        <v>2.5</v>
      </c>
      <c r="M2312" s="2" t="str">
        <f>HYPERLINK("http://maps.live.com/default.aspx?v=2&amp;lvl=15&amp;sp=Point.47.548408_-122.224537_6100 86th Ave SE&amp;cp=47.548408~-122.224537","Map")</f>
        <v>Map</v>
      </c>
      <c r="N2312" s="2" t="str">
        <f>HYPERLINK("http://i-0.rfimg.us/photo/1/bigphoto/486/28041486_2.jpg","Photo")</f>
        <v>Photo</v>
      </c>
      <c r="AG2312">
        <v>47.548408000000002</v>
      </c>
      <c r="AH2312">
        <v>-122.224537</v>
      </c>
      <c r="AI2312" t="s">
        <v>5139</v>
      </c>
      <c r="AJ2312">
        <v>98040</v>
      </c>
      <c r="AN2312">
        <v>615000</v>
      </c>
      <c r="BC2312" s="22">
        <v>39518.8903587963</v>
      </c>
      <c r="BI2312" s="22">
        <v>39549.294907407406</v>
      </c>
      <c r="BL2312">
        <v>19040</v>
      </c>
      <c r="BM2312">
        <v>1550864</v>
      </c>
      <c r="BN2312" t="s">
        <v>4142</v>
      </c>
      <c r="BO2312" s="17">
        <f t="shared" ca="1" si="36"/>
        <v>30.419047106479411</v>
      </c>
      <c r="BP2312" t="b">
        <v>0</v>
      </c>
      <c r="BQ2312">
        <v>1</v>
      </c>
      <c r="BR2312" t="s">
        <v>1667</v>
      </c>
      <c r="BS2312" t="s">
        <v>2866</v>
      </c>
      <c r="BT2312" t="b">
        <v>0</v>
      </c>
      <c r="BV2312" t="s">
        <v>1668</v>
      </c>
      <c r="BW2312">
        <v>6100</v>
      </c>
      <c r="BX2312" t="s">
        <v>3856</v>
      </c>
      <c r="BY2312">
        <v>260398</v>
      </c>
      <c r="BZ2312" t="s">
        <v>2340</v>
      </c>
      <c r="CA2312">
        <v>1</v>
      </c>
      <c r="CB2312" t="b">
        <v>1</v>
      </c>
      <c r="CC2312">
        <v>0</v>
      </c>
      <c r="CD2312" t="b">
        <v>0</v>
      </c>
      <c r="CE2312" t="b">
        <v>0</v>
      </c>
      <c r="CF2312" t="b">
        <v>0</v>
      </c>
      <c r="CG2312">
        <v>2702949</v>
      </c>
      <c r="CH2312" t="s">
        <v>1681</v>
      </c>
      <c r="CI2312" s="10">
        <v>952000</v>
      </c>
      <c r="CJ2312" s="7">
        <v>36655</v>
      </c>
    </row>
    <row r="2313" spans="1:88">
      <c r="A2313">
        <v>28041508</v>
      </c>
      <c r="B2313" s="2" t="str">
        <f>HYPERLINK("http://www.redfin.com/stingray/do/printable-listing?listing-id=1544603","Active")</f>
        <v>Active</v>
      </c>
      <c r="D2313" t="s">
        <v>60</v>
      </c>
      <c r="E2313" t="s">
        <v>2362</v>
      </c>
      <c r="F2313">
        <v>895000</v>
      </c>
      <c r="G2313">
        <v>1925</v>
      </c>
      <c r="H2313">
        <v>2000</v>
      </c>
      <c r="I2313">
        <v>4240</v>
      </c>
      <c r="J2313">
        <v>3</v>
      </c>
      <c r="K2313">
        <v>2</v>
      </c>
      <c r="M2313" s="2" t="str">
        <f>HYPERLINK("http://maps.live.com/default.aspx?v=2&amp;lvl=15&amp;sp=Point.47.685156_-122.33954_7711 Winona Ave N&amp;cp=47.685156~-122.33954","Map")</f>
        <v>Map</v>
      </c>
      <c r="N2313" s="2" t="str">
        <f>HYPERLINK("http://i-0.rfimg.us/photo/1/bigphoto/508/28041508_2.jpg","Photo")</f>
        <v>Photo</v>
      </c>
      <c r="AG2313">
        <v>47.685155999999999</v>
      </c>
      <c r="AH2313">
        <v>-122.33954</v>
      </c>
      <c r="AI2313" t="s">
        <v>66</v>
      </c>
      <c r="AJ2313">
        <v>98103</v>
      </c>
      <c r="AN2313">
        <v>215000</v>
      </c>
      <c r="BC2313" s="22">
        <v>39516.868900462963</v>
      </c>
      <c r="BI2313" s="22">
        <v>39549.294907407406</v>
      </c>
      <c r="BL2313">
        <v>17900</v>
      </c>
      <c r="BM2313">
        <v>1544603</v>
      </c>
      <c r="BN2313" t="s">
        <v>1688</v>
      </c>
      <c r="BO2313" s="17">
        <f t="shared" ca="1" si="36"/>
        <v>32.44050555555441</v>
      </c>
      <c r="BP2313" t="b">
        <v>0</v>
      </c>
      <c r="BQ2313">
        <v>1</v>
      </c>
      <c r="BR2313" t="s">
        <v>1667</v>
      </c>
      <c r="BS2313" t="s">
        <v>2363</v>
      </c>
      <c r="BT2313" t="b">
        <v>0</v>
      </c>
      <c r="BV2313" t="s">
        <v>1668</v>
      </c>
      <c r="BW2313">
        <v>7711</v>
      </c>
      <c r="BX2313" t="s">
        <v>1712</v>
      </c>
      <c r="BY2313">
        <v>307000</v>
      </c>
      <c r="BZ2313" t="s">
        <v>2364</v>
      </c>
      <c r="CA2313">
        <v>1</v>
      </c>
      <c r="CB2313" t="b">
        <v>1</v>
      </c>
      <c r="CC2313">
        <v>0</v>
      </c>
      <c r="CD2313" t="b">
        <v>0</v>
      </c>
      <c r="CE2313" t="b">
        <v>0</v>
      </c>
      <c r="CF2313" t="b">
        <v>0</v>
      </c>
      <c r="CG2313">
        <v>2824043</v>
      </c>
      <c r="CH2313" t="s">
        <v>1681</v>
      </c>
      <c r="CI2313" s="10">
        <v>895000</v>
      </c>
      <c r="CJ2313" s="7">
        <v>33437</v>
      </c>
    </row>
    <row r="2314" spans="1:88">
      <c r="A2314">
        <v>28041514</v>
      </c>
      <c r="B2314" s="2" t="str">
        <f>HYPERLINK("http://www.redfin.com/stingray/do/printable-listing?listing-id=1546952","Active")</f>
        <v>Active</v>
      </c>
      <c r="D2314" t="s">
        <v>3249</v>
      </c>
      <c r="E2314" t="s">
        <v>3462</v>
      </c>
      <c r="F2314" s="19">
        <v>699000</v>
      </c>
      <c r="G2314">
        <v>1952</v>
      </c>
      <c r="H2314">
        <v>2240</v>
      </c>
      <c r="I2314">
        <v>8000</v>
      </c>
      <c r="J2314">
        <v>2</v>
      </c>
      <c r="K2314">
        <v>1.75</v>
      </c>
      <c r="M2314" s="2" t="str">
        <f>HYPERLINK("http://maps.live.com/default.aspx?v=2&amp;lvl=15&amp;sp=Point.47.648915_-122.368504_823 W Cremona St&amp;cp=47.648915~-122.368504","Map")</f>
        <v>Map</v>
      </c>
      <c r="N2314" s="2" t="str">
        <f>HYPERLINK("http://i-0.rfimg.us/photo/1/bigphoto/514/28041514_2.jpg","Photo")</f>
        <v>Photo</v>
      </c>
      <c r="AG2314">
        <v>47.648915000000002</v>
      </c>
      <c r="AH2314">
        <v>-122.368504</v>
      </c>
      <c r="AI2314" t="s">
        <v>66</v>
      </c>
      <c r="AJ2314">
        <v>98119</v>
      </c>
      <c r="AN2314">
        <v>410000</v>
      </c>
      <c r="BC2314" s="22">
        <v>39517.766180555554</v>
      </c>
      <c r="BI2314" s="22">
        <v>39549.294907407406</v>
      </c>
      <c r="BL2314">
        <v>14500</v>
      </c>
      <c r="BM2314">
        <v>1546952</v>
      </c>
      <c r="BN2314" t="s">
        <v>1680</v>
      </c>
      <c r="BO2314" s="17">
        <f t="shared" ca="1" si="36"/>
        <v>31.543225347224507</v>
      </c>
      <c r="BP2314" t="b">
        <v>0</v>
      </c>
      <c r="BQ2314">
        <v>1</v>
      </c>
      <c r="BR2314" t="s">
        <v>1686</v>
      </c>
      <c r="BS2314" t="s">
        <v>3463</v>
      </c>
      <c r="BT2314" t="b">
        <v>0</v>
      </c>
      <c r="BU2314" t="s">
        <v>2423</v>
      </c>
      <c r="BV2314" t="s">
        <v>1668</v>
      </c>
      <c r="BW2314">
        <v>823</v>
      </c>
      <c r="BY2314">
        <v>131161</v>
      </c>
      <c r="BZ2314" t="s">
        <v>2794</v>
      </c>
      <c r="CA2314">
        <v>1</v>
      </c>
      <c r="CB2314" t="b">
        <v>1</v>
      </c>
      <c r="CC2314">
        <v>0</v>
      </c>
      <c r="CD2314" t="b">
        <v>0</v>
      </c>
      <c r="CE2314" t="b">
        <v>0</v>
      </c>
      <c r="CF2314" t="b">
        <v>0</v>
      </c>
      <c r="CG2314">
        <v>2537430</v>
      </c>
      <c r="CH2314" t="s">
        <v>1681</v>
      </c>
      <c r="CI2314" s="10">
        <v>725000</v>
      </c>
      <c r="CJ2314" s="7">
        <v>37923</v>
      </c>
    </row>
    <row r="2315" spans="1:88">
      <c r="A2315">
        <v>28041517</v>
      </c>
      <c r="B2315" s="2" t="str">
        <f>HYPERLINK("http://www.redfin.com/stingray/do/printable-listing?listing-id=1544964","Active")</f>
        <v>Active</v>
      </c>
      <c r="D2315" t="s">
        <v>3959</v>
      </c>
      <c r="E2315" t="s">
        <v>3958</v>
      </c>
      <c r="F2315" s="19">
        <v>459950</v>
      </c>
      <c r="G2315">
        <v>1999</v>
      </c>
      <c r="H2315">
        <v>1560</v>
      </c>
      <c r="I2315">
        <v>1801</v>
      </c>
      <c r="J2315">
        <v>3</v>
      </c>
      <c r="K2315">
        <v>2.5</v>
      </c>
      <c r="M2315" s="2" t="str">
        <f>HYPERLINK("http://maps.live.com/default.aspx?v=2&amp;lvl=15&amp;sp=Point.47.607548_-122.305282_611 21st Ave&amp;cp=47.607548~-122.305282","Map")</f>
        <v>Map</v>
      </c>
      <c r="N2315" s="2" t="str">
        <f>HYPERLINK("http://i-0.rfimg.us/photo/1/bigphoto/517/28041517_1.jpg","Photo")</f>
        <v>Photo</v>
      </c>
      <c r="AG2315">
        <v>47.607548000000001</v>
      </c>
      <c r="AH2315">
        <v>-122.30528200000001</v>
      </c>
      <c r="AI2315" t="s">
        <v>66</v>
      </c>
      <c r="AJ2315">
        <v>98122</v>
      </c>
      <c r="AN2315">
        <v>321000</v>
      </c>
      <c r="BC2315" s="22">
        <v>39517.316840277781</v>
      </c>
      <c r="BI2315" s="22">
        <v>39549.294907407406</v>
      </c>
      <c r="BL2315">
        <v>9399</v>
      </c>
      <c r="BM2315">
        <v>1544964</v>
      </c>
      <c r="BN2315" t="s">
        <v>1697</v>
      </c>
      <c r="BO2315" s="17">
        <f t="shared" ca="1" si="36"/>
        <v>31.992565624997951</v>
      </c>
      <c r="BP2315" t="b">
        <v>0</v>
      </c>
      <c r="BQ2315">
        <v>1</v>
      </c>
      <c r="BR2315" t="s">
        <v>1667</v>
      </c>
      <c r="BS2315" t="s">
        <v>1903</v>
      </c>
      <c r="BT2315" t="b">
        <v>0</v>
      </c>
      <c r="BV2315" t="s">
        <v>1668</v>
      </c>
      <c r="BW2315">
        <v>611</v>
      </c>
      <c r="BY2315">
        <v>144883</v>
      </c>
      <c r="BZ2315" t="s">
        <v>1704</v>
      </c>
      <c r="CA2315">
        <v>1</v>
      </c>
      <c r="CB2315" t="b">
        <v>1</v>
      </c>
      <c r="CC2315">
        <v>0</v>
      </c>
      <c r="CD2315" t="b">
        <v>0</v>
      </c>
      <c r="CE2315" t="b">
        <v>0</v>
      </c>
      <c r="CF2315" t="b">
        <v>0</v>
      </c>
      <c r="CG2315">
        <v>2851497</v>
      </c>
      <c r="CH2315" t="s">
        <v>1681</v>
      </c>
      <c r="CI2315" s="10">
        <v>469950</v>
      </c>
      <c r="CJ2315" s="7">
        <v>37231</v>
      </c>
    </row>
    <row r="2316" spans="1:88">
      <c r="A2316">
        <v>28041521</v>
      </c>
      <c r="B2316" s="2" t="str">
        <f>HYPERLINK("http://www.redfin.com/stingray/do/printable-listing?listing-id=1544630","Active")</f>
        <v>Active</v>
      </c>
      <c r="D2316" t="s">
        <v>78</v>
      </c>
      <c r="E2316" t="s">
        <v>1942</v>
      </c>
      <c r="F2316">
        <v>609000</v>
      </c>
      <c r="G2316">
        <v>1905</v>
      </c>
      <c r="H2316">
        <v>2124</v>
      </c>
      <c r="I2316">
        <v>3800</v>
      </c>
      <c r="J2316">
        <v>3</v>
      </c>
      <c r="K2316">
        <v>2</v>
      </c>
      <c r="M2316" s="2" t="str">
        <f>HYPERLINK("http://maps.live.com/default.aspx?v=2&amp;lvl=15&amp;sp=Point.47.681613_-122.389007_7309 25th Ave NW&amp;cp=47.681613~-122.389007","Map")</f>
        <v>Map</v>
      </c>
      <c r="N2316" s="2" t="str">
        <f>HYPERLINK("http://i-0.rfimg.us/photo/1/bigphoto/521/28041521_1.jpg","Photo")</f>
        <v>Photo</v>
      </c>
      <c r="AG2316">
        <v>47.681612999999999</v>
      </c>
      <c r="AH2316">
        <v>-122.38900700000001</v>
      </c>
      <c r="AI2316" t="s">
        <v>66</v>
      </c>
      <c r="AJ2316">
        <v>98117</v>
      </c>
      <c r="AN2316">
        <v>259000</v>
      </c>
      <c r="BC2316" s="22">
        <v>39516.900706018518</v>
      </c>
      <c r="BI2316" s="22">
        <v>39549.294907407406</v>
      </c>
      <c r="BL2316">
        <v>12180</v>
      </c>
      <c r="BM2316">
        <v>1544630</v>
      </c>
      <c r="BN2316" t="s">
        <v>1674</v>
      </c>
      <c r="BO2316" s="17">
        <f t="shared" ca="1" si="36"/>
        <v>32.408699999999953</v>
      </c>
      <c r="BP2316" t="b">
        <v>0</v>
      </c>
      <c r="BQ2316">
        <v>1</v>
      </c>
      <c r="BR2316" t="s">
        <v>1667</v>
      </c>
      <c r="BS2316" t="s">
        <v>1819</v>
      </c>
      <c r="BT2316" t="b">
        <v>0</v>
      </c>
      <c r="BV2316" t="s">
        <v>1668</v>
      </c>
      <c r="BW2316">
        <v>7309</v>
      </c>
      <c r="BX2316" t="s">
        <v>1669</v>
      </c>
      <c r="BY2316">
        <v>165587</v>
      </c>
      <c r="BZ2316" t="s">
        <v>1704</v>
      </c>
      <c r="CA2316">
        <v>1</v>
      </c>
      <c r="CB2316" t="b">
        <v>1</v>
      </c>
      <c r="CC2316">
        <v>0</v>
      </c>
      <c r="CD2316" t="b">
        <v>0</v>
      </c>
      <c r="CE2316" t="b">
        <v>1</v>
      </c>
      <c r="CF2316" t="b">
        <v>0</v>
      </c>
      <c r="CG2316">
        <v>2580902</v>
      </c>
      <c r="CH2316" t="s">
        <v>1681</v>
      </c>
      <c r="CI2316" s="10">
        <v>609000</v>
      </c>
      <c r="CJ2316" s="7">
        <v>37007</v>
      </c>
    </row>
    <row r="2317" spans="1:88">
      <c r="A2317">
        <v>28041526</v>
      </c>
      <c r="B2317" s="2" t="str">
        <f>HYPERLINK("http://www.redfin.com/stingray/do/printable-listing?listing-id=1545817","Active")</f>
        <v>Active</v>
      </c>
      <c r="D2317" t="s">
        <v>3704</v>
      </c>
      <c r="E2317" t="s">
        <v>4023</v>
      </c>
      <c r="F2317">
        <v>324950</v>
      </c>
      <c r="G2317">
        <v>1922</v>
      </c>
      <c r="H2317">
        <v>780</v>
      </c>
      <c r="I2317">
        <v>1033</v>
      </c>
      <c r="J2317">
        <v>1</v>
      </c>
      <c r="K2317">
        <v>1</v>
      </c>
      <c r="M2317" s="2" t="str">
        <f>HYPERLINK("http://maps.live.com/default.aspx?v=2&amp;lvl=15&amp;sp=Point.47.615479_-122.305952_1602 20th Ave&amp;cp=47.615479~-122.305952","Map")</f>
        <v>Map</v>
      </c>
      <c r="N2317" s="2" t="str">
        <f>HYPERLINK("http://i-0.rfimg.us/photo/1/bigphoto/526/28041526_2.jpg","Photo")</f>
        <v>Photo</v>
      </c>
      <c r="AG2317">
        <v>47.615479000000001</v>
      </c>
      <c r="AH2317">
        <v>-122.305952</v>
      </c>
      <c r="AI2317" t="s">
        <v>66</v>
      </c>
      <c r="AJ2317">
        <v>98122</v>
      </c>
      <c r="BC2317" s="22">
        <v>39517.520520833335</v>
      </c>
      <c r="BI2317" s="22">
        <v>39549.294907407406</v>
      </c>
      <c r="BL2317">
        <v>6499</v>
      </c>
      <c r="BM2317">
        <v>1545817</v>
      </c>
      <c r="BN2317" t="s">
        <v>2014</v>
      </c>
      <c r="BO2317" s="17">
        <f t="shared" ca="1" si="36"/>
        <v>31.788885069443495</v>
      </c>
      <c r="BP2317" t="b">
        <v>0</v>
      </c>
      <c r="BQ2317">
        <v>1</v>
      </c>
      <c r="BR2317" t="s">
        <v>1667</v>
      </c>
      <c r="BS2317" t="s">
        <v>1844</v>
      </c>
      <c r="BT2317" t="b">
        <v>0</v>
      </c>
      <c r="BV2317" t="s">
        <v>1668</v>
      </c>
      <c r="BW2317">
        <v>1602</v>
      </c>
      <c r="BY2317">
        <v>142755</v>
      </c>
      <c r="BZ2317" t="s">
        <v>3832</v>
      </c>
      <c r="CA2317">
        <v>1</v>
      </c>
      <c r="CB2317" t="b">
        <v>1</v>
      </c>
      <c r="CC2317">
        <v>0</v>
      </c>
      <c r="CD2317" t="b">
        <v>0</v>
      </c>
      <c r="CE2317" t="b">
        <v>0</v>
      </c>
      <c r="CF2317" t="b">
        <v>0</v>
      </c>
      <c r="CG2317">
        <v>2444292</v>
      </c>
      <c r="CH2317" t="s">
        <v>1681</v>
      </c>
      <c r="CI2317" s="10">
        <v>324950</v>
      </c>
    </row>
    <row r="2318" spans="1:88">
      <c r="A2318">
        <v>28041533</v>
      </c>
      <c r="B2318" s="2" t="str">
        <f>HYPERLINK("http://www.redfin.com/stingray/do/printable-listing?listing-id=1544819","Active")</f>
        <v>Active</v>
      </c>
      <c r="D2318" t="s">
        <v>60</v>
      </c>
      <c r="E2318" t="s">
        <v>2357</v>
      </c>
      <c r="F2318">
        <v>599950</v>
      </c>
      <c r="G2318">
        <v>1926</v>
      </c>
      <c r="H2318">
        <v>2210</v>
      </c>
      <c r="I2318">
        <v>4080</v>
      </c>
      <c r="J2318">
        <v>5</v>
      </c>
      <c r="K2318">
        <v>2</v>
      </c>
      <c r="M2318" s="2" t="str">
        <f>HYPERLINK("http://maps.live.com/default.aspx?v=2&amp;lvl=15&amp;sp=Point.47.684981_-122.342935_1132 N 77th St&amp;cp=47.684981~-122.342935","Map")</f>
        <v>Map</v>
      </c>
      <c r="N2318" s="2" t="str">
        <f>HYPERLINK("http://i-0.rfimg.us/photo/1/bigphoto/533/28041533_0.jpg","Photo")</f>
        <v>Photo</v>
      </c>
      <c r="AG2318">
        <v>47.684981000000001</v>
      </c>
      <c r="AH2318">
        <v>-122.342935</v>
      </c>
      <c r="AI2318" t="s">
        <v>66</v>
      </c>
      <c r="AJ2318">
        <v>98103</v>
      </c>
      <c r="AN2318">
        <v>219950</v>
      </c>
      <c r="BC2318" s="22">
        <v>39517.046249999999</v>
      </c>
      <c r="BI2318" s="7">
        <v>39533</v>
      </c>
      <c r="BL2318">
        <v>11999</v>
      </c>
      <c r="BM2318">
        <v>1544819</v>
      </c>
      <c r="BN2318" t="s">
        <v>2356</v>
      </c>
      <c r="BO2318" s="17">
        <f t="shared" ca="1" si="36"/>
        <v>32.263156018518202</v>
      </c>
      <c r="BP2318" t="b">
        <v>0</v>
      </c>
      <c r="BQ2318">
        <v>1</v>
      </c>
      <c r="BR2318" t="s">
        <v>1686</v>
      </c>
      <c r="BS2318" t="s">
        <v>1714</v>
      </c>
      <c r="BT2318" t="b">
        <v>0</v>
      </c>
      <c r="BU2318" t="s">
        <v>1712</v>
      </c>
      <c r="BV2318" t="s">
        <v>1668</v>
      </c>
      <c r="BW2318">
        <v>1132</v>
      </c>
      <c r="BY2318">
        <v>306314</v>
      </c>
      <c r="BZ2318" t="s">
        <v>1713</v>
      </c>
      <c r="CA2318">
        <v>1</v>
      </c>
      <c r="CB2318" t="b">
        <v>1</v>
      </c>
      <c r="CC2318">
        <v>0</v>
      </c>
      <c r="CD2318" t="b">
        <v>1</v>
      </c>
      <c r="CE2318" t="b">
        <v>0</v>
      </c>
      <c r="CF2318" t="b">
        <v>0</v>
      </c>
      <c r="CG2318">
        <v>2618123</v>
      </c>
      <c r="CH2318" t="s">
        <v>1681</v>
      </c>
      <c r="CI2318" s="10">
        <v>599950</v>
      </c>
      <c r="CJ2318" s="7">
        <v>35681</v>
      </c>
    </row>
    <row r="2319" spans="1:88">
      <c r="A2319">
        <v>28041539</v>
      </c>
      <c r="B2319" s="2" t="str">
        <f>HYPERLINK("http://www.redfin.com/stingray/do/printable-listing?listing-id=1544904","Active")</f>
        <v>Active</v>
      </c>
      <c r="D2319" t="s">
        <v>190</v>
      </c>
      <c r="E2319" t="s">
        <v>3149</v>
      </c>
      <c r="F2319">
        <v>392500</v>
      </c>
      <c r="G2319">
        <v>2001</v>
      </c>
      <c r="H2319">
        <v>1350</v>
      </c>
      <c r="I2319">
        <v>0</v>
      </c>
      <c r="J2319">
        <v>3</v>
      </c>
      <c r="K2319">
        <v>2.25</v>
      </c>
      <c r="M2319" s="2" t="str">
        <f>HYPERLINK("http://maps.live.com/default.aspx?v=2&amp;lvl=15&amp;sp=Point.47.675208_-122.318828_6415 9th Ave NE&amp;cp=47.675208~-122.318828","Map")</f>
        <v>Map</v>
      </c>
      <c r="N2319" s="2" t="str">
        <f>HYPERLINK("http://i-0.rfimg.us/photo/1/bigphoto/539/28041539_0.jpg","Photo")</f>
        <v>Photo</v>
      </c>
      <c r="AG2319">
        <v>47.675207999999998</v>
      </c>
      <c r="AH2319">
        <v>-122.318828</v>
      </c>
      <c r="AI2319" t="s">
        <v>66</v>
      </c>
      <c r="AJ2319">
        <v>98115</v>
      </c>
      <c r="BC2319" s="22">
        <v>39517.275405092594</v>
      </c>
      <c r="BI2319" s="22">
        <v>39549.294907407406</v>
      </c>
      <c r="BL2319">
        <v>7850</v>
      </c>
      <c r="BM2319">
        <v>1544904</v>
      </c>
      <c r="BN2319" t="s">
        <v>1725</v>
      </c>
      <c r="BO2319" s="17">
        <f t="shared" ca="1" si="36"/>
        <v>32.034000810184807</v>
      </c>
      <c r="BP2319" t="b">
        <v>0</v>
      </c>
      <c r="BQ2319">
        <v>1</v>
      </c>
      <c r="BR2319" t="s">
        <v>1667</v>
      </c>
      <c r="BS2319" t="s">
        <v>1785</v>
      </c>
      <c r="BT2319" t="b">
        <v>0</v>
      </c>
      <c r="BV2319" t="s">
        <v>1668</v>
      </c>
      <c r="BW2319">
        <v>6415</v>
      </c>
      <c r="BX2319" t="s">
        <v>1738</v>
      </c>
      <c r="BY2319">
        <v>12302867</v>
      </c>
      <c r="BZ2319" t="s">
        <v>1747</v>
      </c>
      <c r="CA2319">
        <v>1</v>
      </c>
      <c r="CB2319" t="b">
        <v>1</v>
      </c>
      <c r="CC2319">
        <v>0</v>
      </c>
      <c r="CD2319" t="b">
        <v>0</v>
      </c>
      <c r="CE2319" t="b">
        <v>0</v>
      </c>
      <c r="CF2319" t="b">
        <v>0</v>
      </c>
      <c r="CG2319">
        <v>15510494</v>
      </c>
      <c r="CH2319" t="s">
        <v>1681</v>
      </c>
      <c r="CI2319" s="10">
        <v>392500</v>
      </c>
    </row>
    <row r="2320" spans="1:88">
      <c r="A2320">
        <v>28041542</v>
      </c>
      <c r="B2320" s="2" t="str">
        <f>HYPERLINK("http://www.redfin.com/stingray/do/printable-listing?listing-id=1549057","Active")</f>
        <v>Active</v>
      </c>
      <c r="D2320" t="s">
        <v>2745</v>
      </c>
      <c r="E2320" t="s">
        <v>2744</v>
      </c>
      <c r="F2320">
        <v>1450000</v>
      </c>
      <c r="G2320">
        <v>1969</v>
      </c>
      <c r="H2320">
        <v>3090</v>
      </c>
      <c r="I2320">
        <v>14544</v>
      </c>
      <c r="J2320">
        <v>4</v>
      </c>
      <c r="K2320">
        <v>2.5</v>
      </c>
      <c r="M2320" s="2" t="str">
        <f>HYPERLINK("http://maps.live.com/default.aspx?v=2&amp;lvl=15&amp;sp=Point.47.704014_-122.382999_2000 NW Blue Ridge Dr&amp;cp=47.704014~-122.382999","Map")</f>
        <v>Map</v>
      </c>
      <c r="N2320" s="2" t="str">
        <f>HYPERLINK("http://i-0.rfimg.us/photo/1/bigphoto/542/28041542_1.jpg","Photo")</f>
        <v>Photo</v>
      </c>
      <c r="AG2320">
        <v>47.704014000000001</v>
      </c>
      <c r="AH2320">
        <v>-122.382999</v>
      </c>
      <c r="AI2320" t="s">
        <v>66</v>
      </c>
      <c r="AJ2320">
        <v>98177</v>
      </c>
      <c r="AN2320">
        <v>900000</v>
      </c>
      <c r="BC2320" s="22">
        <v>39518.464074074072</v>
      </c>
      <c r="BI2320" s="22">
        <v>39549.294907407406</v>
      </c>
      <c r="BL2320">
        <v>29000</v>
      </c>
      <c r="BM2320">
        <v>1549057</v>
      </c>
      <c r="BN2320" t="s">
        <v>1700</v>
      </c>
      <c r="BO2320" s="17">
        <f t="shared" ca="1" si="36"/>
        <v>30.845331828706549</v>
      </c>
      <c r="BP2320" t="b">
        <v>0</v>
      </c>
      <c r="BQ2320">
        <v>1</v>
      </c>
      <c r="BR2320" t="s">
        <v>1816</v>
      </c>
      <c r="BS2320" t="s">
        <v>2745</v>
      </c>
      <c r="BT2320" t="b">
        <v>0</v>
      </c>
      <c r="BU2320" t="s">
        <v>1669</v>
      </c>
      <c r="BV2320" t="s">
        <v>1668</v>
      </c>
      <c r="BW2320">
        <v>2000</v>
      </c>
      <c r="BY2320">
        <v>288566</v>
      </c>
      <c r="BZ2320" t="s">
        <v>1709</v>
      </c>
      <c r="CA2320">
        <v>1</v>
      </c>
      <c r="CB2320" t="b">
        <v>1</v>
      </c>
      <c r="CC2320">
        <v>0</v>
      </c>
      <c r="CD2320" t="b">
        <v>0</v>
      </c>
      <c r="CE2320" t="b">
        <v>0</v>
      </c>
      <c r="CF2320" t="b">
        <v>0</v>
      </c>
      <c r="CG2320">
        <v>2520686</v>
      </c>
      <c r="CH2320" t="s">
        <v>1681</v>
      </c>
      <c r="CI2320" s="10">
        <v>1450000</v>
      </c>
      <c r="CJ2320" s="7">
        <v>38288</v>
      </c>
    </row>
    <row r="2321" spans="1:89">
      <c r="A2321">
        <v>28041576</v>
      </c>
      <c r="B2321" s="2" t="str">
        <f>HYPERLINK("http://www.redfin.com/stingray/do/printable-listing?listing-id=1546060","Active")</f>
        <v>Active</v>
      </c>
      <c r="D2321" t="s">
        <v>70</v>
      </c>
      <c r="E2321" t="s">
        <v>902</v>
      </c>
      <c r="F2321" s="19">
        <v>450000</v>
      </c>
      <c r="G2321">
        <v>1926</v>
      </c>
      <c r="H2321">
        <v>2120</v>
      </c>
      <c r="I2321">
        <v>0</v>
      </c>
      <c r="J2321">
        <v>3</v>
      </c>
      <c r="K2321">
        <v>1.5</v>
      </c>
      <c r="M2321" s="2" t="str">
        <f>HYPERLINK("http://maps.live.com/default.aspx?v=2&amp;lvl=15&amp;sp=Point.47.699439_-122.357816_103 N 97th St&amp;cp=47.699439~-122.357816","Map")</f>
        <v>Map</v>
      </c>
      <c r="N2321" s="2" t="str">
        <f>HYPERLINK("http://i-0.rfimg.us/photo/1/bigphoto/576/28041576_1.jpg","Photo")</f>
        <v>Photo</v>
      </c>
      <c r="AG2321">
        <v>47.699438999999998</v>
      </c>
      <c r="AH2321">
        <v>-122.357816</v>
      </c>
      <c r="AI2321" t="s">
        <v>66</v>
      </c>
      <c r="AJ2321">
        <v>98103</v>
      </c>
      <c r="AN2321">
        <v>83000</v>
      </c>
      <c r="BC2321" s="22">
        <v>39517.569050925929</v>
      </c>
      <c r="BI2321" s="22">
        <v>39549.294907407406</v>
      </c>
      <c r="BL2321">
        <v>9380</v>
      </c>
      <c r="BM2321">
        <v>1546060</v>
      </c>
      <c r="BN2321" t="s">
        <v>1710</v>
      </c>
      <c r="BO2321" s="17">
        <f t="shared" ca="1" si="36"/>
        <v>31.74035497684963</v>
      </c>
      <c r="BP2321" t="b">
        <v>0</v>
      </c>
      <c r="BQ2321">
        <v>1</v>
      </c>
      <c r="BR2321" t="s">
        <v>1686</v>
      </c>
      <c r="BS2321" t="s">
        <v>1840</v>
      </c>
      <c r="BT2321" t="b">
        <v>0</v>
      </c>
      <c r="BU2321" t="s">
        <v>1712</v>
      </c>
      <c r="BV2321" t="s">
        <v>1668</v>
      </c>
      <c r="BW2321">
        <v>103</v>
      </c>
      <c r="BY2321">
        <v>100458</v>
      </c>
      <c r="BZ2321" t="s">
        <v>1709</v>
      </c>
      <c r="CA2321">
        <v>1</v>
      </c>
      <c r="CB2321" t="b">
        <v>1</v>
      </c>
      <c r="CC2321">
        <v>0</v>
      </c>
      <c r="CD2321" t="b">
        <v>0</v>
      </c>
      <c r="CE2321" t="b">
        <v>0</v>
      </c>
      <c r="CF2321" t="b">
        <v>0</v>
      </c>
      <c r="CG2321">
        <v>2862948</v>
      </c>
      <c r="CH2321" t="s">
        <v>1681</v>
      </c>
      <c r="CI2321" s="10">
        <v>469000</v>
      </c>
      <c r="CJ2321" s="7">
        <v>31678</v>
      </c>
    </row>
    <row r="2322" spans="1:89">
      <c r="A2322">
        <v>28041588</v>
      </c>
      <c r="B2322" s="2" t="str">
        <f>HYPERLINK("http://www.redfin.com/stingray/do/printable-listing?listing-id=1545141","Subject To Inspection")</f>
        <v>Subject To Inspection</v>
      </c>
      <c r="D2322" t="s">
        <v>1129</v>
      </c>
      <c r="E2322" t="s">
        <v>2173</v>
      </c>
      <c r="F2322">
        <v>399950</v>
      </c>
      <c r="G2322">
        <v>1926</v>
      </c>
      <c r="H2322">
        <v>1400</v>
      </c>
      <c r="I2322">
        <v>10446</v>
      </c>
      <c r="J2322">
        <v>2</v>
      </c>
      <c r="K2322">
        <v>2</v>
      </c>
      <c r="M2322" s="2" t="str">
        <f>HYPERLINK("http://maps.live.com/default.aspx?v=2&amp;lvl=15&amp;sp=Point.47.716383_-122.285829_12027 40th Ave NE&amp;cp=47.716383~-122.285829","Map")</f>
        <v>Map</v>
      </c>
      <c r="N2322" s="2" t="str">
        <f>HYPERLINK("http://i-0.rfimg.us/photo/1/bigphoto/588/28041588_0.jpg","Photo")</f>
        <v>Photo</v>
      </c>
      <c r="AG2322">
        <v>47.716383</v>
      </c>
      <c r="AH2322">
        <v>-122.28582900000001</v>
      </c>
      <c r="AI2322" t="s">
        <v>66</v>
      </c>
      <c r="AJ2322">
        <v>98125</v>
      </c>
      <c r="AN2322">
        <v>184000</v>
      </c>
      <c r="BC2322" s="22">
        <v>39517.369004629632</v>
      </c>
      <c r="BI2322" s="7">
        <v>39536</v>
      </c>
      <c r="BL2322">
        <v>7999</v>
      </c>
      <c r="BM2322">
        <v>1545141</v>
      </c>
      <c r="BN2322" t="s">
        <v>1690</v>
      </c>
      <c r="BO2322" s="17">
        <f t="shared" ca="1" si="36"/>
        <v>31.940401273146563</v>
      </c>
      <c r="BP2322" t="b">
        <v>0</v>
      </c>
      <c r="BQ2322">
        <v>2</v>
      </c>
      <c r="BR2322" t="s">
        <v>1667</v>
      </c>
      <c r="BS2322" t="s">
        <v>2832</v>
      </c>
      <c r="BT2322" t="b">
        <v>0</v>
      </c>
      <c r="BV2322" t="s">
        <v>1668</v>
      </c>
      <c r="BW2322">
        <v>12027</v>
      </c>
      <c r="BX2322" t="s">
        <v>1738</v>
      </c>
      <c r="BY2322">
        <v>111505</v>
      </c>
      <c r="BZ2322" t="s">
        <v>1676</v>
      </c>
      <c r="CA2322">
        <v>1</v>
      </c>
      <c r="CB2322" t="b">
        <v>1</v>
      </c>
      <c r="CC2322">
        <v>0</v>
      </c>
      <c r="CD2322" t="b">
        <v>0</v>
      </c>
      <c r="CE2322" t="b">
        <v>0</v>
      </c>
      <c r="CF2322" t="b">
        <v>0</v>
      </c>
      <c r="CG2322">
        <v>2735470</v>
      </c>
      <c r="CH2322" t="s">
        <v>1681</v>
      </c>
      <c r="CI2322" s="10">
        <v>399950</v>
      </c>
      <c r="CJ2322" s="7">
        <v>37196</v>
      </c>
    </row>
    <row r="2323" spans="1:89">
      <c r="A2323">
        <v>28041627</v>
      </c>
      <c r="B2323" s="2" t="str">
        <f>HYPERLINK("http://www.redfin.com/stingray/do/printable-listing?listing-id=1545199","Active")</f>
        <v>Active</v>
      </c>
      <c r="D2323" t="s">
        <v>1058</v>
      </c>
      <c r="E2323" t="s">
        <v>4353</v>
      </c>
      <c r="F2323">
        <v>869000</v>
      </c>
      <c r="G2323">
        <v>1996</v>
      </c>
      <c r="H2323">
        <v>3370</v>
      </c>
      <c r="I2323">
        <v>16606</v>
      </c>
      <c r="J2323">
        <v>4</v>
      </c>
      <c r="K2323">
        <v>3.5</v>
      </c>
      <c r="M2323" s="2" t="str">
        <f>HYPERLINK("http://maps.live.com/default.aspx?v=2&amp;lvl=15&amp;sp=Point.47.694636_-122.1908_11120 NE 106th Pl&amp;cp=47.694636~-122.1908","Map")</f>
        <v>Map</v>
      </c>
      <c r="N2323" s="2" t="str">
        <f>HYPERLINK("http://i-0.rfimg.us/photo/1/bigphoto/627/28041627_0.jpg","Photo")</f>
        <v>Photo</v>
      </c>
      <c r="AG2323">
        <v>47.694636000000003</v>
      </c>
      <c r="AH2323">
        <v>-122.1908</v>
      </c>
      <c r="AI2323" t="s">
        <v>1058</v>
      </c>
      <c r="AJ2323">
        <v>98033</v>
      </c>
      <c r="AN2323">
        <v>453000</v>
      </c>
      <c r="BC2323" s="22">
        <v>39517.390069444446</v>
      </c>
      <c r="BI2323" s="22">
        <v>39549.294907407406</v>
      </c>
      <c r="BL2323">
        <v>17380</v>
      </c>
      <c r="BM2323">
        <v>1545199</v>
      </c>
      <c r="BN2323" t="s">
        <v>1674</v>
      </c>
      <c r="BO2323" s="17">
        <f t="shared" ca="1" si="36"/>
        <v>31.919336458333419</v>
      </c>
      <c r="BP2323" t="b">
        <v>0</v>
      </c>
      <c r="BQ2323">
        <v>1</v>
      </c>
      <c r="BR2323" t="s">
        <v>1842</v>
      </c>
      <c r="BS2323" t="s">
        <v>2936</v>
      </c>
      <c r="BT2323" t="b">
        <v>0</v>
      </c>
      <c r="BU2323" t="s">
        <v>1738</v>
      </c>
      <c r="BV2323" t="s">
        <v>1668</v>
      </c>
      <c r="BW2323">
        <v>11120</v>
      </c>
      <c r="BY2323">
        <v>461070</v>
      </c>
      <c r="BZ2323" t="s">
        <v>1741</v>
      </c>
      <c r="CA2323">
        <v>1</v>
      </c>
      <c r="CB2323" t="b">
        <v>1</v>
      </c>
      <c r="CC2323">
        <v>0</v>
      </c>
      <c r="CD2323" t="b">
        <v>0</v>
      </c>
      <c r="CE2323" t="b">
        <v>0</v>
      </c>
      <c r="CF2323" t="b">
        <v>0</v>
      </c>
      <c r="CG2323">
        <v>2629331</v>
      </c>
      <c r="CH2323" t="s">
        <v>1681</v>
      </c>
      <c r="CI2323" s="10">
        <v>869000</v>
      </c>
      <c r="CJ2323" s="7">
        <v>36083</v>
      </c>
    </row>
    <row r="2324" spans="1:89">
      <c r="A2324">
        <v>28041633</v>
      </c>
      <c r="B2324" s="15" t="str">
        <f>HYPERLINK("http://www.redfin.com/stingray/do/printable-listing?listing-id=1553052","Subject To Inspection")</f>
        <v>Subject To Inspection</v>
      </c>
      <c r="D2324" t="s">
        <v>5204</v>
      </c>
      <c r="E2324" t="s">
        <v>5211</v>
      </c>
      <c r="F2324">
        <v>429800</v>
      </c>
      <c r="G2324">
        <v>1959</v>
      </c>
      <c r="H2324">
        <v>1560</v>
      </c>
      <c r="I2324">
        <v>8250</v>
      </c>
      <c r="J2324">
        <v>3</v>
      </c>
      <c r="K2324">
        <v>1.5</v>
      </c>
      <c r="M2324" s="2" t="str">
        <f>HYPERLINK("http://maps.live.com/default.aspx?v=2&amp;lvl=15&amp;sp=Point.47.610038_-122.130722_15634 Main St&amp;cp=47.610038~-122.130722","Map")</f>
        <v>Map</v>
      </c>
      <c r="N2324" s="2" t="str">
        <f>HYPERLINK("http://i-0.rfimg.us/photo/1/bigphoto/633/28041633_0.jpg","Photo")</f>
        <v>Photo</v>
      </c>
      <c r="AG2324">
        <v>47.610038000000003</v>
      </c>
      <c r="AH2324">
        <v>-122.13072200000001</v>
      </c>
      <c r="AI2324" t="s">
        <v>369</v>
      </c>
      <c r="AJ2324">
        <v>98008</v>
      </c>
      <c r="AN2324">
        <v>150000</v>
      </c>
      <c r="BC2324" s="22">
        <v>39519.613935185182</v>
      </c>
      <c r="BI2324" s="22">
        <v>39549.294907407406</v>
      </c>
      <c r="BL2324">
        <v>8596</v>
      </c>
      <c r="BM2324">
        <v>1553052</v>
      </c>
      <c r="BN2324" t="s">
        <v>3329</v>
      </c>
      <c r="BO2324" s="17">
        <f t="shared" ca="1" si="36"/>
        <v>29.695470717597345</v>
      </c>
      <c r="BP2324" t="b">
        <v>0</v>
      </c>
      <c r="BQ2324">
        <v>1</v>
      </c>
      <c r="BR2324" t="s">
        <v>1686</v>
      </c>
      <c r="BS2324" t="s">
        <v>3986</v>
      </c>
      <c r="BT2324" t="b">
        <v>0</v>
      </c>
      <c r="BV2324" t="s">
        <v>1668</v>
      </c>
      <c r="BW2324">
        <v>15634</v>
      </c>
      <c r="BY2324">
        <v>500782</v>
      </c>
      <c r="BZ2324" t="s">
        <v>1743</v>
      </c>
      <c r="CA2324">
        <v>1</v>
      </c>
      <c r="CB2324" t="b">
        <v>1</v>
      </c>
      <c r="CC2324">
        <v>0</v>
      </c>
      <c r="CD2324" t="b">
        <v>0</v>
      </c>
      <c r="CE2324" t="b">
        <v>0</v>
      </c>
      <c r="CF2324" t="b">
        <v>0</v>
      </c>
      <c r="CG2324">
        <v>2875450</v>
      </c>
      <c r="CH2324" t="s">
        <v>1681</v>
      </c>
      <c r="CI2324" s="10">
        <v>429800</v>
      </c>
      <c r="CJ2324" s="7">
        <v>33197</v>
      </c>
    </row>
    <row r="2325" spans="1:89">
      <c r="A2325">
        <v>28041637</v>
      </c>
      <c r="B2325" s="2" t="str">
        <f>HYPERLINK("http://www.redfin.com/stingray/do/printable-listing?listing-id=1558732","Active")</f>
        <v>Active</v>
      </c>
      <c r="D2325" t="s">
        <v>5198</v>
      </c>
      <c r="E2325" t="s">
        <v>5265</v>
      </c>
      <c r="F2325">
        <v>914995</v>
      </c>
      <c r="G2325">
        <v>1995</v>
      </c>
      <c r="H2325">
        <v>3580</v>
      </c>
      <c r="I2325">
        <v>10498</v>
      </c>
      <c r="J2325">
        <v>4</v>
      </c>
      <c r="K2325">
        <v>2.5</v>
      </c>
      <c r="M2325" s="2" t="str">
        <f>HYPERLINK("http://maps.live.com/default.aspx?v=2&amp;lvl=15&amp;sp=Point.47.583883_-122.11296_17106 SE 29 Pl&amp;cp=47.583883~-122.11296","Map")</f>
        <v>Map</v>
      </c>
      <c r="N2325" s="2" t="str">
        <f>HYPERLINK("http://i-0.rfimg.us/photo/1/bigphoto/637/28041637_3.jpg","Photo")</f>
        <v>Photo</v>
      </c>
      <c r="AG2325">
        <v>47.583883</v>
      </c>
      <c r="AH2325">
        <v>-122.11296</v>
      </c>
      <c r="AI2325" t="s">
        <v>369</v>
      </c>
      <c r="AJ2325">
        <v>98008</v>
      </c>
      <c r="AN2325">
        <v>430000</v>
      </c>
      <c r="BC2325" s="22">
        <v>39521.327870370369</v>
      </c>
      <c r="BI2325" s="22">
        <v>39549.294907407406</v>
      </c>
      <c r="BL2325">
        <v>18300</v>
      </c>
      <c r="BM2325">
        <v>1558732</v>
      </c>
      <c r="BN2325" t="s">
        <v>1768</v>
      </c>
      <c r="BO2325" s="17">
        <f t="shared" ca="1" si="36"/>
        <v>27.981535532409907</v>
      </c>
      <c r="BP2325" t="b">
        <v>0</v>
      </c>
      <c r="BQ2325">
        <v>1</v>
      </c>
      <c r="BR2325" t="s">
        <v>1842</v>
      </c>
      <c r="BS2325">
        <v>29</v>
      </c>
      <c r="BT2325" t="b">
        <v>0</v>
      </c>
      <c r="BU2325" t="s">
        <v>3856</v>
      </c>
      <c r="BV2325" t="s">
        <v>1668</v>
      </c>
      <c r="BW2325">
        <v>17106</v>
      </c>
      <c r="BY2325">
        <v>428192</v>
      </c>
      <c r="BZ2325" t="s">
        <v>5266</v>
      </c>
      <c r="CA2325">
        <v>1</v>
      </c>
      <c r="CB2325" t="b">
        <v>1</v>
      </c>
      <c r="CC2325">
        <v>0</v>
      </c>
      <c r="CD2325" t="b">
        <v>0</v>
      </c>
      <c r="CE2325" t="b">
        <v>0</v>
      </c>
      <c r="CF2325" t="b">
        <v>0</v>
      </c>
      <c r="CG2325">
        <v>2749022</v>
      </c>
      <c r="CH2325" t="s">
        <v>1681</v>
      </c>
      <c r="CI2325" s="10">
        <v>914995</v>
      </c>
      <c r="CJ2325" s="7">
        <v>34911</v>
      </c>
    </row>
    <row r="2326" spans="1:89">
      <c r="A2326">
        <v>28041639</v>
      </c>
      <c r="B2326" s="2" t="str">
        <f>HYPERLINK("http://www.redfin.com/stingray/do/printable-listing?listing-id=1545251","Active")</f>
        <v>Active</v>
      </c>
      <c r="D2326" t="s">
        <v>60</v>
      </c>
      <c r="E2326" t="s">
        <v>2422</v>
      </c>
      <c r="F2326" s="19">
        <v>799000</v>
      </c>
      <c r="G2326">
        <v>1926</v>
      </c>
      <c r="H2326">
        <v>2740</v>
      </c>
      <c r="I2326">
        <v>4032</v>
      </c>
      <c r="J2326">
        <v>3</v>
      </c>
      <c r="K2326">
        <v>2.5</v>
      </c>
      <c r="M2326" s="2" t="str">
        <f>HYPERLINK("http://maps.live.com/default.aspx?v=2&amp;lvl=15&amp;sp=Point.47.682523_-122.341346_7311 W Green Lake Dr N&amp;cp=47.682523~-122.341346","Map")</f>
        <v>Map</v>
      </c>
      <c r="N2326" s="2" t="str">
        <f>HYPERLINK("http://i-0.rfimg.us/photo/1/bigphoto/639/28041639_1.jpg","Photo")</f>
        <v>Photo</v>
      </c>
      <c r="AG2326">
        <v>47.682523000000003</v>
      </c>
      <c r="AH2326">
        <v>-122.341346</v>
      </c>
      <c r="AI2326" t="s">
        <v>66</v>
      </c>
      <c r="AJ2326">
        <v>98103</v>
      </c>
      <c r="AN2326">
        <v>240500</v>
      </c>
      <c r="BC2326" s="22">
        <v>39517.400891203702</v>
      </c>
      <c r="BI2326" s="22">
        <v>39549.294907407406</v>
      </c>
      <c r="BL2326">
        <v>16980</v>
      </c>
      <c r="BM2326">
        <v>1545251</v>
      </c>
      <c r="BN2326" t="s">
        <v>1710</v>
      </c>
      <c r="BO2326" s="17">
        <f t="shared" ca="1" si="36"/>
        <v>31.908514814815135</v>
      </c>
      <c r="BP2326" t="b">
        <v>0</v>
      </c>
      <c r="BQ2326">
        <v>1</v>
      </c>
      <c r="BR2326" t="s">
        <v>1816</v>
      </c>
      <c r="BS2326" t="s">
        <v>60</v>
      </c>
      <c r="BT2326" t="b">
        <v>0</v>
      </c>
      <c r="BU2326" t="s">
        <v>2423</v>
      </c>
      <c r="BV2326" t="s">
        <v>1668</v>
      </c>
      <c r="BW2326">
        <v>7311</v>
      </c>
      <c r="BX2326" t="s">
        <v>1712</v>
      </c>
      <c r="BY2326">
        <v>307758</v>
      </c>
      <c r="BZ2326" t="s">
        <v>1820</v>
      </c>
      <c r="CA2326">
        <v>1</v>
      </c>
      <c r="CB2326" t="b">
        <v>1</v>
      </c>
      <c r="CC2326">
        <v>0</v>
      </c>
      <c r="CD2326" t="b">
        <v>0</v>
      </c>
      <c r="CE2326" t="b">
        <v>0</v>
      </c>
      <c r="CF2326" t="b">
        <v>0</v>
      </c>
      <c r="CG2326">
        <v>2427828</v>
      </c>
      <c r="CH2326" t="s">
        <v>1681</v>
      </c>
      <c r="CI2326" s="10">
        <v>849000</v>
      </c>
      <c r="CJ2326" s="7">
        <v>33361</v>
      </c>
    </row>
    <row r="2327" spans="1:89">
      <c r="A2327">
        <v>28041661</v>
      </c>
      <c r="B2327" s="2" t="str">
        <f>HYPERLINK("http://www.redfin.com/stingray/do/printable-listing?listing-id=1563962","Active")</f>
        <v>Active</v>
      </c>
      <c r="D2327" t="s">
        <v>60</v>
      </c>
      <c r="E2327" t="s">
        <v>2462</v>
      </c>
      <c r="F2327">
        <v>532000</v>
      </c>
      <c r="G2327">
        <v>1921</v>
      </c>
      <c r="H2327">
        <v>1570</v>
      </c>
      <c r="I2327">
        <v>3200</v>
      </c>
      <c r="J2327">
        <v>2</v>
      </c>
      <c r="K2327">
        <v>1.5</v>
      </c>
      <c r="M2327" s="2" t="str">
        <f>HYPERLINK("http://maps.live.com/default.aspx?v=2&amp;lvl=15&amp;sp=Point.47.667998_-122.339754_5406 E Green Lake Way N&amp;cp=47.667998~-122.339754","Map")</f>
        <v>Map</v>
      </c>
      <c r="N2327" s="2" t="str">
        <f>HYPERLINK("http://i-0.rfimg.us/photo/1/bigphoto/661/28041661_0.jpg","Photo")</f>
        <v>Photo</v>
      </c>
      <c r="AG2327">
        <v>47.667997999999997</v>
      </c>
      <c r="AH2327">
        <v>-122.339754</v>
      </c>
      <c r="AI2327" t="s">
        <v>66</v>
      </c>
      <c r="AJ2327">
        <v>98103</v>
      </c>
      <c r="AN2327">
        <v>392500</v>
      </c>
      <c r="BC2327" s="22">
        <v>39523.317037037035</v>
      </c>
      <c r="BI2327" s="22">
        <v>39549.294907407406</v>
      </c>
      <c r="BL2327">
        <v>10640</v>
      </c>
      <c r="BM2327">
        <v>1563962</v>
      </c>
      <c r="BN2327" t="s">
        <v>1675</v>
      </c>
      <c r="BO2327" s="17">
        <f t="shared" ca="1" si="36"/>
        <v>25.992368981482286</v>
      </c>
      <c r="BP2327" t="b">
        <v>0</v>
      </c>
      <c r="BQ2327">
        <v>1</v>
      </c>
      <c r="BR2327" t="s">
        <v>2463</v>
      </c>
      <c r="BS2327" t="s">
        <v>60</v>
      </c>
      <c r="BT2327" t="b">
        <v>0</v>
      </c>
      <c r="BU2327" t="s">
        <v>2436</v>
      </c>
      <c r="BV2327" t="s">
        <v>1668</v>
      </c>
      <c r="BW2327">
        <v>5406</v>
      </c>
      <c r="BX2327" t="s">
        <v>1712</v>
      </c>
      <c r="BY2327">
        <v>304194</v>
      </c>
      <c r="BZ2327" t="s">
        <v>1745</v>
      </c>
      <c r="CA2327">
        <v>1</v>
      </c>
      <c r="CB2327" t="b">
        <v>1</v>
      </c>
      <c r="CC2327">
        <v>0</v>
      </c>
      <c r="CD2327" t="b">
        <v>0</v>
      </c>
      <c r="CE2327" t="b">
        <v>0</v>
      </c>
      <c r="CF2327" t="b">
        <v>0</v>
      </c>
      <c r="CG2327">
        <v>2729472</v>
      </c>
      <c r="CH2327" t="s">
        <v>1681</v>
      </c>
      <c r="CI2327" s="10">
        <v>532000</v>
      </c>
      <c r="CJ2327" s="7">
        <v>38338</v>
      </c>
    </row>
    <row r="2328" spans="1:89">
      <c r="A2328">
        <v>28041716</v>
      </c>
      <c r="B2328" s="2" t="str">
        <f>HYPERLINK("http://www.redfin.com/stingray/do/printable-listing?listing-id=1548564","Active")</f>
        <v>Active</v>
      </c>
      <c r="D2328" t="s">
        <v>3739</v>
      </c>
      <c r="E2328" t="s">
        <v>3736</v>
      </c>
      <c r="F2328">
        <v>750000</v>
      </c>
      <c r="G2328">
        <v>1909</v>
      </c>
      <c r="H2328">
        <v>3527</v>
      </c>
      <c r="I2328">
        <v>5500</v>
      </c>
      <c r="J2328">
        <v>4</v>
      </c>
      <c r="K2328">
        <v>2</v>
      </c>
      <c r="M2328" s="2" t="str">
        <f>HYPERLINK("http://maps.live.com/default.aspx?v=2&amp;lvl=15&amp;sp=Point.47.646202_-122.321729_2816 Harvard Ave E&amp;cp=47.646202~-122.321729","Map")</f>
        <v>Map</v>
      </c>
      <c r="N2328" s="2" t="str">
        <f>HYPERLINK("http://i-0.rfimg.us/photo/1/bigphoto/716/28041716_6.jpg","Photo")</f>
        <v>Photo</v>
      </c>
      <c r="AG2328">
        <v>47.646202000000002</v>
      </c>
      <c r="AH2328">
        <v>-122.321729</v>
      </c>
      <c r="AI2328" t="s">
        <v>66</v>
      </c>
      <c r="AJ2328">
        <v>98102</v>
      </c>
      <c r="AN2328">
        <v>295518</v>
      </c>
      <c r="BC2328" s="22">
        <v>39518.359282407408</v>
      </c>
      <c r="BI2328" s="22">
        <v>39549.294907407406</v>
      </c>
      <c r="BL2328">
        <v>15000</v>
      </c>
      <c r="BM2328">
        <v>1548564</v>
      </c>
      <c r="BN2328" t="s">
        <v>1674</v>
      </c>
      <c r="BO2328" s="17">
        <f t="shared" ca="1" si="36"/>
        <v>30.950123495371372</v>
      </c>
      <c r="BP2328" t="b">
        <v>0</v>
      </c>
      <c r="BQ2328">
        <v>1</v>
      </c>
      <c r="BR2328" t="s">
        <v>1667</v>
      </c>
      <c r="BS2328" t="s">
        <v>3737</v>
      </c>
      <c r="BT2328" t="b">
        <v>0</v>
      </c>
      <c r="BV2328" t="s">
        <v>1668</v>
      </c>
      <c r="BW2328">
        <v>2816</v>
      </c>
      <c r="BX2328" t="s">
        <v>2436</v>
      </c>
      <c r="BY2328">
        <v>135591</v>
      </c>
      <c r="BZ2328" t="s">
        <v>3738</v>
      </c>
      <c r="CA2328">
        <v>1</v>
      </c>
      <c r="CB2328" t="b">
        <v>1</v>
      </c>
      <c r="CC2328">
        <v>0</v>
      </c>
      <c r="CD2328" t="b">
        <v>0</v>
      </c>
      <c r="CE2328" t="b">
        <v>0</v>
      </c>
      <c r="CF2328" t="b">
        <v>0</v>
      </c>
      <c r="CG2328">
        <v>2564110</v>
      </c>
      <c r="CH2328" t="s">
        <v>1681</v>
      </c>
      <c r="CI2328" s="10">
        <v>750000</v>
      </c>
      <c r="CJ2328" s="7">
        <v>38951</v>
      </c>
    </row>
    <row r="2329" spans="1:89">
      <c r="A2329">
        <v>28041721</v>
      </c>
      <c r="B2329" s="2" t="str">
        <f>HYPERLINK("http://www.redfin.com/stingray/do/printable-listing?listing-id=1550161","Active")</f>
        <v>Active</v>
      </c>
      <c r="D2329" t="s">
        <v>4359</v>
      </c>
      <c r="E2329" t="s">
        <v>4712</v>
      </c>
      <c r="F2329">
        <v>550000</v>
      </c>
      <c r="G2329">
        <v>1930</v>
      </c>
      <c r="H2329">
        <v>1200</v>
      </c>
      <c r="I2329">
        <v>59677</v>
      </c>
      <c r="J2329">
        <v>3</v>
      </c>
      <c r="K2329">
        <v>1.75</v>
      </c>
      <c r="M2329" s="2" t="str">
        <f>HYPERLINK("http://maps.live.com/default.aspx?v=2&amp;lvl=15&amp;sp=Point.47.683547_-122.172067_9104 126th Ave NE&amp;cp=47.683547~-122.172067","Map")</f>
        <v>Map</v>
      </c>
      <c r="N2329" s="2" t="str">
        <f>HYPERLINK("http://i-0.rfimg.us/photo/1/bigphoto/721/28041721_2.jpg","Photo")</f>
        <v>Photo</v>
      </c>
      <c r="AG2329">
        <v>47.683546999999997</v>
      </c>
      <c r="AH2329">
        <v>-122.172067</v>
      </c>
      <c r="AI2329" t="s">
        <v>1058</v>
      </c>
      <c r="AJ2329">
        <v>98033</v>
      </c>
      <c r="AN2329">
        <v>110450</v>
      </c>
      <c r="BC2329" s="22">
        <v>39518.694247685184</v>
      </c>
      <c r="BI2329" s="22">
        <v>39549.294907407406</v>
      </c>
      <c r="BL2329">
        <v>11000</v>
      </c>
      <c r="BM2329">
        <v>1550161</v>
      </c>
      <c r="BN2329" t="s">
        <v>1674</v>
      </c>
      <c r="BO2329" s="17">
        <f t="shared" ca="1" si="36"/>
        <v>30.615158217595308</v>
      </c>
      <c r="BP2329" t="b">
        <v>0</v>
      </c>
      <c r="BQ2329">
        <v>1</v>
      </c>
      <c r="BR2329" t="s">
        <v>1667</v>
      </c>
      <c r="BS2329" t="s">
        <v>4544</v>
      </c>
      <c r="BT2329" t="b">
        <v>0</v>
      </c>
      <c r="BV2329" t="s">
        <v>1668</v>
      </c>
      <c r="BW2329">
        <v>9104</v>
      </c>
      <c r="BX2329" t="s">
        <v>1738</v>
      </c>
      <c r="BY2329">
        <v>512409</v>
      </c>
      <c r="BZ2329" t="s">
        <v>4713</v>
      </c>
      <c r="CA2329">
        <v>1</v>
      </c>
      <c r="CB2329" t="b">
        <v>1</v>
      </c>
      <c r="CC2329">
        <v>0</v>
      </c>
      <c r="CD2329" t="b">
        <v>0</v>
      </c>
      <c r="CE2329" t="b">
        <v>0</v>
      </c>
      <c r="CF2329" t="b">
        <v>0</v>
      </c>
      <c r="CG2329">
        <v>2968087</v>
      </c>
      <c r="CH2329" t="s">
        <v>1681</v>
      </c>
      <c r="CI2329" s="10">
        <v>550000</v>
      </c>
      <c r="CJ2329" s="7">
        <v>34390</v>
      </c>
    </row>
    <row r="2330" spans="1:89">
      <c r="A2330">
        <v>28041722</v>
      </c>
      <c r="B2330" s="2" t="str">
        <f>HYPERLINK("http://www.redfin.com/stingray/do/printable-listing?listing-id=1546301","Active")</f>
        <v>Active</v>
      </c>
      <c r="D2330" t="s">
        <v>1086</v>
      </c>
      <c r="E2330" t="s">
        <v>2154</v>
      </c>
      <c r="F2330" s="19">
        <v>399950</v>
      </c>
      <c r="G2330">
        <v>1926</v>
      </c>
      <c r="H2330">
        <v>1800</v>
      </c>
      <c r="I2330">
        <v>6741</v>
      </c>
      <c r="J2330">
        <v>3</v>
      </c>
      <c r="K2330">
        <v>1.75</v>
      </c>
      <c r="M2330" s="2" t="str">
        <f>HYPERLINK("http://maps.live.com/default.aspx?v=2&amp;lvl=15&amp;sp=Point.47.719444_-122.353312_421 N 125th St&amp;cp=47.719444~-122.353312","Map")</f>
        <v>Map</v>
      </c>
      <c r="N2330" s="2" t="str">
        <f>HYPERLINK("http://i-0.rfimg.us/photo/1/bigphoto/722/28041722_1.jpg","Photo")</f>
        <v>Photo</v>
      </c>
      <c r="AG2330">
        <v>47.719444000000003</v>
      </c>
      <c r="AH2330">
        <v>-122.353312</v>
      </c>
      <c r="AI2330" t="s">
        <v>66</v>
      </c>
      <c r="AJ2330">
        <v>98133</v>
      </c>
      <c r="AN2330">
        <v>130500</v>
      </c>
      <c r="BC2330" s="22">
        <v>39517.613518518519</v>
      </c>
      <c r="BI2330" s="22">
        <v>39549.294907407406</v>
      </c>
      <c r="BL2330">
        <v>8199</v>
      </c>
      <c r="BM2330">
        <v>1546301</v>
      </c>
      <c r="BN2330" t="s">
        <v>1725</v>
      </c>
      <c r="BO2330" s="17">
        <f t="shared" ca="1" si="36"/>
        <v>31.695887384259549</v>
      </c>
      <c r="BP2330" t="b">
        <v>0</v>
      </c>
      <c r="BQ2330">
        <v>1</v>
      </c>
      <c r="BR2330" t="s">
        <v>1686</v>
      </c>
      <c r="BS2330" t="s">
        <v>2677</v>
      </c>
      <c r="BT2330" t="b">
        <v>0</v>
      </c>
      <c r="BU2330" t="s">
        <v>1712</v>
      </c>
      <c r="BV2330" t="s">
        <v>1668</v>
      </c>
      <c r="BW2330">
        <v>421</v>
      </c>
      <c r="BY2330">
        <v>98042</v>
      </c>
      <c r="BZ2330" t="s">
        <v>1689</v>
      </c>
      <c r="CA2330">
        <v>1</v>
      </c>
      <c r="CB2330" t="b">
        <v>1</v>
      </c>
      <c r="CC2330">
        <v>0</v>
      </c>
      <c r="CD2330" t="b">
        <v>0</v>
      </c>
      <c r="CE2330" t="b">
        <v>0</v>
      </c>
      <c r="CF2330" t="b">
        <v>0</v>
      </c>
      <c r="CG2330">
        <v>2804982</v>
      </c>
      <c r="CH2330" t="s">
        <v>1681</v>
      </c>
      <c r="CI2330" s="10">
        <v>409950</v>
      </c>
      <c r="CJ2330" s="7">
        <v>33820</v>
      </c>
      <c r="CK2330" t="s">
        <v>6708</v>
      </c>
    </row>
    <row r="2331" spans="1:89">
      <c r="A2331">
        <v>28041734</v>
      </c>
      <c r="B2331" s="2" t="str">
        <f>HYPERLINK("http://www.redfin.com/stingray/do/printable-listing?listing-id=1549679","Active")</f>
        <v>Active</v>
      </c>
      <c r="D2331" t="s">
        <v>3249</v>
      </c>
      <c r="E2331" t="s">
        <v>3436</v>
      </c>
      <c r="F2331" s="19">
        <v>499900</v>
      </c>
      <c r="G2331">
        <v>1920</v>
      </c>
      <c r="H2331">
        <v>680</v>
      </c>
      <c r="I2331">
        <v>5800</v>
      </c>
      <c r="J2331">
        <v>1</v>
      </c>
      <c r="K2331">
        <v>1</v>
      </c>
      <c r="M2331" s="2" t="str">
        <f>HYPERLINK("http://maps.live.com/default.aspx?v=2&amp;lvl=15&amp;sp=Point.47.642527_-122.373322_2562 13 th Ave W&amp;cp=47.642527~-122.373322","Map")</f>
        <v>Map</v>
      </c>
      <c r="N2331" s="2" t="str">
        <f>HYPERLINK("http://i-0.rfimg.us/photo/1/bigphoto/734/28041734_0.jpg","Photo")</f>
        <v>Photo</v>
      </c>
      <c r="AG2331">
        <v>47.642527000000001</v>
      </c>
      <c r="AH2331">
        <v>-122.373322</v>
      </c>
      <c r="AI2331" t="s">
        <v>66</v>
      </c>
      <c r="AJ2331">
        <v>98119</v>
      </c>
      <c r="AN2331">
        <v>395000</v>
      </c>
      <c r="BC2331" s="22">
        <v>39518.590902777774</v>
      </c>
      <c r="BI2331" s="22">
        <v>39549.294907407406</v>
      </c>
      <c r="BL2331">
        <v>11500</v>
      </c>
      <c r="BM2331">
        <v>1549679</v>
      </c>
      <c r="BN2331" t="s">
        <v>3028</v>
      </c>
      <c r="BO2331" s="17">
        <f t="shared" ca="1" si="36"/>
        <v>30.718503125004645</v>
      </c>
      <c r="BP2331" t="b">
        <v>0</v>
      </c>
      <c r="BQ2331">
        <v>1</v>
      </c>
      <c r="BR2331" t="s">
        <v>1667</v>
      </c>
      <c r="BS2331" t="s">
        <v>3437</v>
      </c>
      <c r="BT2331" t="b">
        <v>0</v>
      </c>
      <c r="BV2331" t="s">
        <v>1668</v>
      </c>
      <c r="BW2331">
        <v>2562</v>
      </c>
      <c r="BX2331" t="s">
        <v>2423</v>
      </c>
      <c r="BY2331">
        <v>129850</v>
      </c>
      <c r="BZ2331" t="s">
        <v>1696</v>
      </c>
      <c r="CA2331">
        <v>1</v>
      </c>
      <c r="CB2331" t="b">
        <v>1</v>
      </c>
      <c r="CC2331">
        <v>0</v>
      </c>
      <c r="CD2331" t="b">
        <v>0</v>
      </c>
      <c r="CE2331" t="b">
        <v>0</v>
      </c>
      <c r="CF2331" t="b">
        <v>0</v>
      </c>
      <c r="CG2331">
        <v>2686515</v>
      </c>
      <c r="CH2331" t="s">
        <v>1681</v>
      </c>
      <c r="CI2331" s="10">
        <v>575000</v>
      </c>
      <c r="CJ2331" s="7">
        <v>38743</v>
      </c>
    </row>
    <row r="2332" spans="1:89">
      <c r="A2332">
        <v>28041778</v>
      </c>
      <c r="B2332" s="2" t="str">
        <f>HYPERLINK("http://www.redfin.com/stingray/do/printable-listing?listing-id=1548767","Active")</f>
        <v>Active</v>
      </c>
      <c r="D2332" t="s">
        <v>4777</v>
      </c>
      <c r="E2332" t="s">
        <v>4967</v>
      </c>
      <c r="F2332">
        <v>779000</v>
      </c>
      <c r="G2332">
        <v>2001</v>
      </c>
      <c r="H2332">
        <v>3594</v>
      </c>
      <c r="I2332">
        <v>3612</v>
      </c>
      <c r="J2332">
        <v>4</v>
      </c>
      <c r="K2332">
        <v>3.5</v>
      </c>
      <c r="M2332" s="2" t="str">
        <f>HYPERLINK("http://maps.live.com/default.aspx?v=2&amp;lvl=15&amp;sp=Point.47.666436_-122.189778_11228 NE 67th St&amp;cp=47.666436~-122.189778","Map")</f>
        <v>Map</v>
      </c>
      <c r="N2332" s="2" t="str">
        <f>HYPERLINK("http://i-0.rfimg.us/photo/1/bigphoto/778/28041778_1.jpg","Photo")</f>
        <v>Photo</v>
      </c>
      <c r="AG2332">
        <v>47.666435999999997</v>
      </c>
      <c r="AH2332">
        <v>-122.189778</v>
      </c>
      <c r="AI2332" t="s">
        <v>1058</v>
      </c>
      <c r="AJ2332">
        <v>98033</v>
      </c>
      <c r="AN2332">
        <v>540000</v>
      </c>
      <c r="BC2332" s="22">
        <v>39518.411203703705</v>
      </c>
      <c r="BI2332" s="22">
        <v>39549.294907407406</v>
      </c>
      <c r="BL2332">
        <v>15580</v>
      </c>
      <c r="BM2332">
        <v>1548767</v>
      </c>
      <c r="BN2332" t="s">
        <v>4966</v>
      </c>
      <c r="BO2332" s="17">
        <f t="shared" ca="1" si="36"/>
        <v>30.898202199074149</v>
      </c>
      <c r="BP2332" t="b">
        <v>0</v>
      </c>
      <c r="BQ2332">
        <v>1</v>
      </c>
      <c r="BR2332" t="s">
        <v>1686</v>
      </c>
      <c r="BS2332" t="s">
        <v>1864</v>
      </c>
      <c r="BT2332" t="b">
        <v>0</v>
      </c>
      <c r="BU2332" t="s">
        <v>1738</v>
      </c>
      <c r="BV2332" t="s">
        <v>1668</v>
      </c>
      <c r="BW2332">
        <v>11228</v>
      </c>
      <c r="BY2332">
        <v>460054</v>
      </c>
      <c r="BZ2332" t="s">
        <v>3201</v>
      </c>
      <c r="CA2332">
        <v>1</v>
      </c>
      <c r="CB2332" t="b">
        <v>1</v>
      </c>
      <c r="CC2332">
        <v>0</v>
      </c>
      <c r="CD2332" t="b">
        <v>0</v>
      </c>
      <c r="CE2332" t="b">
        <v>0</v>
      </c>
      <c r="CF2332" t="b">
        <v>0</v>
      </c>
      <c r="CG2332">
        <v>2576011</v>
      </c>
      <c r="CH2332" t="s">
        <v>1681</v>
      </c>
      <c r="CI2332" s="10">
        <v>779000</v>
      </c>
      <c r="CJ2332" s="7">
        <v>37720</v>
      </c>
    </row>
    <row r="2333" spans="1:89">
      <c r="A2333">
        <v>28041830</v>
      </c>
      <c r="B2333" s="2" t="str">
        <f>HYPERLINK("http://www.redfin.com/stingray/do/printable-listing?listing-id=1546446","Active")</f>
        <v>Active</v>
      </c>
      <c r="D2333" t="s">
        <v>3249</v>
      </c>
      <c r="E2333" t="s">
        <v>4312</v>
      </c>
      <c r="F2333">
        <v>1680000</v>
      </c>
      <c r="G2333">
        <v>1977</v>
      </c>
      <c r="H2333">
        <v>2560</v>
      </c>
      <c r="I2333">
        <v>5000</v>
      </c>
      <c r="J2333">
        <v>3</v>
      </c>
      <c r="K2333">
        <v>2</v>
      </c>
      <c r="M2333" s="2" t="str">
        <f>HYPERLINK("http://maps.live.com/default.aspx?v=2&amp;lvl=15&amp;sp=Point.47.629926_-122.354548_122 Highland Dr&amp;cp=47.629926~-122.354548","Map")</f>
        <v>Map</v>
      </c>
      <c r="N2333" s="2" t="str">
        <f>HYPERLINK("http://i-0.rfimg.us/photo/1/bigphoto/830/28041830_3.jpg","Photo")</f>
        <v>Photo</v>
      </c>
      <c r="AG2333">
        <v>47.629925999999998</v>
      </c>
      <c r="AH2333">
        <v>-122.35454799999999</v>
      </c>
      <c r="AI2333" t="s">
        <v>66</v>
      </c>
      <c r="AJ2333">
        <v>98109</v>
      </c>
      <c r="AN2333">
        <v>250000</v>
      </c>
      <c r="BC2333" s="22">
        <v>39517.641608796293</v>
      </c>
      <c r="BI2333" s="22">
        <v>39549.294907407406</v>
      </c>
      <c r="BL2333">
        <v>33600</v>
      </c>
      <c r="BM2333">
        <v>1546446</v>
      </c>
      <c r="BN2333" t="s">
        <v>3253</v>
      </c>
      <c r="BO2333" s="17">
        <f t="shared" ca="1" si="36"/>
        <v>31.667797106485523</v>
      </c>
      <c r="BP2333" t="b">
        <v>0</v>
      </c>
      <c r="BQ2333">
        <v>1</v>
      </c>
      <c r="BR2333" t="s">
        <v>1816</v>
      </c>
      <c r="BS2333" t="s">
        <v>3651</v>
      </c>
      <c r="BT2333" t="b">
        <v>0</v>
      </c>
      <c r="BV2333" t="s">
        <v>1668</v>
      </c>
      <c r="BW2333">
        <v>122</v>
      </c>
      <c r="BY2333">
        <v>134510</v>
      </c>
      <c r="BZ2333" t="s">
        <v>4313</v>
      </c>
      <c r="CA2333">
        <v>1</v>
      </c>
      <c r="CB2333" t="b">
        <v>1</v>
      </c>
      <c r="CC2333">
        <v>0</v>
      </c>
      <c r="CD2333" t="b">
        <v>0</v>
      </c>
      <c r="CE2333" t="b">
        <v>0</v>
      </c>
      <c r="CF2333" t="b">
        <v>0</v>
      </c>
      <c r="CG2333">
        <v>2621083</v>
      </c>
      <c r="CH2333" t="s">
        <v>1681</v>
      </c>
      <c r="CI2333" s="10">
        <v>1680000</v>
      </c>
      <c r="CJ2333" s="7">
        <v>30250</v>
      </c>
    </row>
    <row r="2334" spans="1:89">
      <c r="A2334">
        <v>28041831</v>
      </c>
      <c r="B2334" s="15" t="str">
        <f>HYPERLINK("http://www.redfin.com/stingray/do/printable-listing?listing-id=1550361","Subject To Inspection")</f>
        <v>Subject To Inspection</v>
      </c>
      <c r="D2334" t="s">
        <v>109</v>
      </c>
      <c r="E2334" t="s">
        <v>3306</v>
      </c>
      <c r="F2334">
        <v>589000</v>
      </c>
      <c r="G2334">
        <v>1906</v>
      </c>
      <c r="H2334">
        <v>2376</v>
      </c>
      <c r="I2334">
        <v>4560</v>
      </c>
      <c r="J2334">
        <v>2</v>
      </c>
      <c r="K2334">
        <v>1</v>
      </c>
      <c r="M2334" s="2" t="str">
        <f>HYPERLINK("http://maps.live.com/default.aspx?v=2&amp;lvl=15&amp;sp=Point.47.651392_-122.335484_3629 Burke Ave N&amp;cp=47.651392~-122.335484","Map")</f>
        <v>Map</v>
      </c>
      <c r="N2334" s="2" t="str">
        <f>HYPERLINK("http://i-0.rfimg.us/photo/1/bigphoto/831/28041831_0.jpg","Photo")</f>
        <v>Photo</v>
      </c>
      <c r="AG2334">
        <v>47.651392000000001</v>
      </c>
      <c r="AH2334">
        <v>-122.33548399999999</v>
      </c>
      <c r="AI2334" t="s">
        <v>66</v>
      </c>
      <c r="AJ2334">
        <v>98103</v>
      </c>
      <c r="AN2334">
        <v>76500</v>
      </c>
      <c r="BC2334" s="22">
        <v>39518.74728009259</v>
      </c>
      <c r="BI2334" s="7">
        <v>39542</v>
      </c>
      <c r="BL2334">
        <v>11780</v>
      </c>
      <c r="BM2334">
        <v>1550361</v>
      </c>
      <c r="BN2334" t="s">
        <v>1746</v>
      </c>
      <c r="BO2334" s="17">
        <f t="shared" ca="1" si="36"/>
        <v>30.562125810189173</v>
      </c>
      <c r="BP2334" t="b">
        <v>0</v>
      </c>
      <c r="BQ2334">
        <v>1</v>
      </c>
      <c r="BR2334" t="s">
        <v>1667</v>
      </c>
      <c r="BS2334" t="s">
        <v>2370</v>
      </c>
      <c r="BT2334" t="b">
        <v>0</v>
      </c>
      <c r="BV2334" t="s">
        <v>1668</v>
      </c>
      <c r="BW2334">
        <v>3629</v>
      </c>
      <c r="BX2334" t="s">
        <v>1712</v>
      </c>
      <c r="BY2334">
        <v>119320</v>
      </c>
      <c r="BZ2334" t="s">
        <v>3307</v>
      </c>
      <c r="CA2334">
        <v>1</v>
      </c>
      <c r="CB2334" t="b">
        <v>1</v>
      </c>
      <c r="CC2334">
        <v>0</v>
      </c>
      <c r="CD2334" t="b">
        <v>0</v>
      </c>
      <c r="CE2334" t="b">
        <v>0</v>
      </c>
      <c r="CF2334" t="b">
        <v>0</v>
      </c>
      <c r="CG2334">
        <v>2389711</v>
      </c>
      <c r="CH2334" t="s">
        <v>1681</v>
      </c>
      <c r="CI2334" s="10">
        <v>589000</v>
      </c>
      <c r="CJ2334" s="7">
        <v>31135</v>
      </c>
    </row>
    <row r="2335" spans="1:89">
      <c r="A2335">
        <v>28041839</v>
      </c>
      <c r="B2335" s="2" t="str">
        <f>HYPERLINK("http://www.redfin.com/stingray/do/printable-listing?listing-id=1546059","Active")</f>
        <v>Active</v>
      </c>
      <c r="D2335" t="s">
        <v>88</v>
      </c>
      <c r="E2335" t="s">
        <v>2468</v>
      </c>
      <c r="F2335">
        <v>925000</v>
      </c>
      <c r="G2335">
        <v>1912</v>
      </c>
      <c r="H2335">
        <v>3100</v>
      </c>
      <c r="I2335">
        <v>6000</v>
      </c>
      <c r="J2335">
        <v>4</v>
      </c>
      <c r="K2335">
        <v>2</v>
      </c>
      <c r="M2335" s="2" t="str">
        <f>HYPERLINK("http://maps.live.com/default.aspx?v=2&amp;lvl=15&amp;sp=Point.47.665577_-122.356502_113 N 51st St&amp;cp=47.665577~-122.356502","Map")</f>
        <v>Map</v>
      </c>
      <c r="N2335" s="2" t="str">
        <f>HYPERLINK("http://i-0.rfimg.us/photo/1/bigphoto/839/28041839_1.jpg","Photo")</f>
        <v>Photo</v>
      </c>
      <c r="AG2335">
        <v>47.665576999999999</v>
      </c>
      <c r="AH2335">
        <v>-122.35650200000001</v>
      </c>
      <c r="AI2335" t="s">
        <v>66</v>
      </c>
      <c r="AJ2335">
        <v>98103</v>
      </c>
      <c r="BC2335" s="22">
        <v>39517.569050925929</v>
      </c>
      <c r="BI2335" s="22">
        <v>39549.294907407406</v>
      </c>
      <c r="BL2335">
        <v>18500</v>
      </c>
      <c r="BM2335">
        <v>1546059</v>
      </c>
      <c r="BN2335" t="s">
        <v>1725</v>
      </c>
      <c r="BO2335" s="17">
        <f t="shared" ca="1" si="36"/>
        <v>31.740355092588288</v>
      </c>
      <c r="BP2335" t="b">
        <v>0</v>
      </c>
      <c r="BQ2335">
        <v>1</v>
      </c>
      <c r="BR2335" t="s">
        <v>1686</v>
      </c>
      <c r="BS2335" t="s">
        <v>2469</v>
      </c>
      <c r="BT2335" t="b">
        <v>0</v>
      </c>
      <c r="BU2335" t="s">
        <v>1712</v>
      </c>
      <c r="BV2335" t="s">
        <v>1668</v>
      </c>
      <c r="BW2335">
        <v>113</v>
      </c>
      <c r="BY2335">
        <v>298624</v>
      </c>
      <c r="BZ2335" t="s">
        <v>1704</v>
      </c>
      <c r="CA2335">
        <v>1</v>
      </c>
      <c r="CB2335" t="b">
        <v>1</v>
      </c>
      <c r="CC2335">
        <v>0</v>
      </c>
      <c r="CD2335" t="b">
        <v>0</v>
      </c>
      <c r="CE2335" t="b">
        <v>0</v>
      </c>
      <c r="CF2335" t="b">
        <v>0</v>
      </c>
      <c r="CG2335">
        <v>2958431</v>
      </c>
      <c r="CH2335" t="s">
        <v>1681</v>
      </c>
      <c r="CI2335" s="10">
        <v>925000</v>
      </c>
    </row>
    <row r="2336" spans="1:89">
      <c r="A2336">
        <v>28041845</v>
      </c>
      <c r="B2336" s="15" t="str">
        <f>HYPERLINK("http://www.redfin.com/stingray/do/printable-listing?listing-id=1549805","Subject To Inspection")</f>
        <v>Subject To Inspection</v>
      </c>
      <c r="D2336" t="s">
        <v>63</v>
      </c>
      <c r="E2336" t="s">
        <v>1947</v>
      </c>
      <c r="F2336">
        <v>400000</v>
      </c>
      <c r="G2336">
        <v>1942</v>
      </c>
      <c r="H2336">
        <v>880</v>
      </c>
      <c r="I2336">
        <v>0</v>
      </c>
      <c r="J2336">
        <v>2</v>
      </c>
      <c r="K2336">
        <v>1</v>
      </c>
      <c r="M2336" s="2" t="str">
        <f>HYPERLINK("http://maps.live.com/default.aspx?v=2&amp;lvl=15&amp;sp=Point.47.68397_-122.368024_7522 9th Ave NW&amp;cp=47.68397~-122.368024","Map")</f>
        <v>Map</v>
      </c>
      <c r="N2336" s="2" t="str">
        <f>HYPERLINK("http://i-0.rfimg.us/photo/1/bigphoto/845/28041845_0.jpg","Photo")</f>
        <v>Photo</v>
      </c>
      <c r="AG2336">
        <v>47.683970000000002</v>
      </c>
      <c r="AH2336">
        <v>-122.36802400000001</v>
      </c>
      <c r="AI2336" t="s">
        <v>66</v>
      </c>
      <c r="AJ2336">
        <v>98117</v>
      </c>
      <c r="AN2336">
        <v>217000</v>
      </c>
      <c r="BC2336" s="22">
        <v>39518.625381944446</v>
      </c>
      <c r="BI2336" s="7">
        <v>39528</v>
      </c>
      <c r="BL2336">
        <v>8000</v>
      </c>
      <c r="BM2336">
        <v>1549805</v>
      </c>
      <c r="BN2336" t="s">
        <v>1725</v>
      </c>
      <c r="BO2336" s="17">
        <f t="shared" ca="1" si="36"/>
        <v>30.684024074071203</v>
      </c>
      <c r="BP2336" t="b">
        <v>0</v>
      </c>
      <c r="BQ2336">
        <v>1</v>
      </c>
      <c r="BR2336" t="s">
        <v>1667</v>
      </c>
      <c r="BS2336" t="s">
        <v>1785</v>
      </c>
      <c r="BT2336" t="b">
        <v>0</v>
      </c>
      <c r="BV2336" t="s">
        <v>1668</v>
      </c>
      <c r="BW2336">
        <v>7522</v>
      </c>
      <c r="BX2336" t="s">
        <v>1669</v>
      </c>
      <c r="BY2336">
        <v>498442</v>
      </c>
      <c r="BZ2336" t="s">
        <v>1762</v>
      </c>
      <c r="CA2336">
        <v>1</v>
      </c>
      <c r="CB2336" t="b">
        <v>1</v>
      </c>
      <c r="CC2336">
        <v>0</v>
      </c>
      <c r="CD2336" t="b">
        <v>0</v>
      </c>
      <c r="CE2336" t="b">
        <v>1</v>
      </c>
      <c r="CF2336" t="b">
        <v>0</v>
      </c>
      <c r="CG2336">
        <v>2480779</v>
      </c>
      <c r="CH2336" t="s">
        <v>1681</v>
      </c>
      <c r="CI2336" s="10">
        <v>400000</v>
      </c>
      <c r="CJ2336" s="7">
        <v>38209</v>
      </c>
    </row>
    <row r="2337" spans="1:88">
      <c r="A2337">
        <v>28041896</v>
      </c>
      <c r="B2337" s="2" t="str">
        <f>HYPERLINK("http://www.redfin.com/stingray/do/printable-listing?listing-id=1565006","Active")</f>
        <v>Active</v>
      </c>
      <c r="D2337" t="s">
        <v>5164</v>
      </c>
      <c r="E2337" t="s">
        <v>5163</v>
      </c>
      <c r="F2337">
        <v>740000</v>
      </c>
      <c r="G2337">
        <v>1954</v>
      </c>
      <c r="H2337">
        <v>1810</v>
      </c>
      <c r="I2337">
        <v>4815</v>
      </c>
      <c r="J2337">
        <v>3</v>
      </c>
      <c r="K2337">
        <v>1.75</v>
      </c>
      <c r="M2337" s="2" t="str">
        <f>HYPERLINK("http://maps.live.com/default.aspx?v=2&amp;lvl=15&amp;sp=Point.47.572804_-122.206731_4221 Mercerwood Dr&amp;cp=47.572804~-122.206731","Map")</f>
        <v>Map</v>
      </c>
      <c r="N2337" s="2" t="str">
        <f>HYPERLINK("http://i-0.rfimg.us/photo/1/bigphoto/896/28041896_2.jpg","Photo")</f>
        <v>Photo</v>
      </c>
      <c r="AG2337">
        <v>47.572803999999998</v>
      </c>
      <c r="AH2337">
        <v>-122.206731</v>
      </c>
      <c r="AI2337" t="s">
        <v>5139</v>
      </c>
      <c r="AJ2337">
        <v>98040</v>
      </c>
      <c r="BC2337" s="22">
        <v>39524.264699074076</v>
      </c>
      <c r="BI2337" s="7">
        <v>39531</v>
      </c>
      <c r="BL2337">
        <v>14800</v>
      </c>
      <c r="BM2337">
        <v>1565006</v>
      </c>
      <c r="BN2337" t="s">
        <v>1678</v>
      </c>
      <c r="BO2337" s="17">
        <f t="shared" ca="1" si="36"/>
        <v>25.044706828703056</v>
      </c>
      <c r="BP2337" t="b">
        <v>0</v>
      </c>
      <c r="BQ2337">
        <v>1</v>
      </c>
      <c r="BR2337" t="s">
        <v>1816</v>
      </c>
      <c r="BS2337" t="s">
        <v>5164</v>
      </c>
      <c r="BT2337" t="b">
        <v>0</v>
      </c>
      <c r="BV2337" t="s">
        <v>1668</v>
      </c>
      <c r="BW2337">
        <v>4221</v>
      </c>
      <c r="BY2337">
        <v>12429902</v>
      </c>
      <c r="BZ2337" t="s">
        <v>5165</v>
      </c>
      <c r="CA2337">
        <v>1</v>
      </c>
      <c r="CB2337" t="b">
        <v>1</v>
      </c>
      <c r="CC2337">
        <v>0</v>
      </c>
      <c r="CD2337" t="b">
        <v>0</v>
      </c>
      <c r="CE2337" t="b">
        <v>0</v>
      </c>
      <c r="CF2337" t="b">
        <v>0</v>
      </c>
      <c r="CG2337">
        <v>15633650</v>
      </c>
      <c r="CH2337" t="s">
        <v>1681</v>
      </c>
      <c r="CI2337" s="10">
        <v>740000</v>
      </c>
    </row>
    <row r="2338" spans="1:88">
      <c r="A2338">
        <v>28041902</v>
      </c>
      <c r="B2338" s="2" t="str">
        <f>HYPERLINK("http://www.redfin.com/stingray/do/printable-listing?listing-id=1545917","Active")</f>
        <v>Active</v>
      </c>
      <c r="D2338" t="s">
        <v>3685</v>
      </c>
      <c r="E2338" t="s">
        <v>3728</v>
      </c>
      <c r="F2338" s="19">
        <v>1575000</v>
      </c>
      <c r="G2338">
        <v>1987</v>
      </c>
      <c r="H2338">
        <v>3030</v>
      </c>
      <c r="I2338">
        <v>4800</v>
      </c>
      <c r="J2338">
        <v>3</v>
      </c>
      <c r="K2338">
        <v>3.5</v>
      </c>
      <c r="M2338" s="2" t="str">
        <f>HYPERLINK("http://maps.live.com/default.aspx?v=2&amp;lvl=15&amp;sp=Point.47.640133_-122.278053_2332 42nd Ave E&amp;cp=47.640133~-122.278053","Map")</f>
        <v>Map</v>
      </c>
      <c r="N2338" s="2" t="str">
        <f>HYPERLINK("http://i-0.rfimg.us/photo/1/bigphoto/902/28041902_0.jpg","Photo")</f>
        <v>Photo</v>
      </c>
      <c r="AG2338">
        <v>47.640132999999999</v>
      </c>
      <c r="AH2338">
        <v>-122.278053</v>
      </c>
      <c r="AI2338" t="s">
        <v>66</v>
      </c>
      <c r="AJ2338">
        <v>98112</v>
      </c>
      <c r="AN2338">
        <v>1100000</v>
      </c>
      <c r="BC2338" s="22">
        <v>39517.539826388886</v>
      </c>
      <c r="BI2338" s="22">
        <v>39549.294907407406</v>
      </c>
      <c r="BL2338">
        <v>33500</v>
      </c>
      <c r="BM2338">
        <v>1545917</v>
      </c>
      <c r="BN2338" t="s">
        <v>1829</v>
      </c>
      <c r="BO2338" s="17">
        <f t="shared" ca="1" si="36"/>
        <v>31.769579513893405</v>
      </c>
      <c r="BP2338" t="b">
        <v>0</v>
      </c>
      <c r="BQ2338">
        <v>1</v>
      </c>
      <c r="BR2338" t="s">
        <v>1667</v>
      </c>
      <c r="BS2338" t="s">
        <v>3371</v>
      </c>
      <c r="BT2338" t="b">
        <v>0</v>
      </c>
      <c r="BV2338" t="s">
        <v>1668</v>
      </c>
      <c r="BW2338">
        <v>2332</v>
      </c>
      <c r="BX2338" t="s">
        <v>2436</v>
      </c>
      <c r="BY2338">
        <v>139738</v>
      </c>
      <c r="BZ2338" t="s">
        <v>1672</v>
      </c>
      <c r="CA2338">
        <v>1</v>
      </c>
      <c r="CB2338" t="b">
        <v>1</v>
      </c>
      <c r="CC2338">
        <v>0</v>
      </c>
      <c r="CD2338" t="b">
        <v>0</v>
      </c>
      <c r="CE2338" t="b">
        <v>0</v>
      </c>
      <c r="CF2338" t="b">
        <v>0</v>
      </c>
      <c r="CG2338">
        <v>2537133</v>
      </c>
      <c r="CH2338" t="s">
        <v>1681</v>
      </c>
      <c r="CI2338" s="10">
        <v>1675000</v>
      </c>
      <c r="CJ2338" s="7">
        <v>37127</v>
      </c>
    </row>
    <row r="2339" spans="1:88">
      <c r="A2339">
        <v>28041968</v>
      </c>
      <c r="B2339" s="2" t="str">
        <f>HYPERLINK("http://www.redfin.com/stingray/do/printable-listing?listing-id=1545961","Active")</f>
        <v>Active</v>
      </c>
      <c r="D2339" t="s">
        <v>240</v>
      </c>
      <c r="E2339" t="s">
        <v>3127</v>
      </c>
      <c r="F2339">
        <v>793000</v>
      </c>
      <c r="G2339">
        <v>1963</v>
      </c>
      <c r="H2339">
        <v>2240</v>
      </c>
      <c r="I2339">
        <v>5350</v>
      </c>
      <c r="J2339">
        <v>4</v>
      </c>
      <c r="K2339">
        <v>2.5</v>
      </c>
      <c r="M2339" s="2" t="str">
        <f>HYPERLINK("http://maps.live.com/default.aspx?v=2&amp;lvl=15&amp;sp=Point.47.672605_-122.261636_6043 NE 61st St&amp;cp=47.672605~-122.261636","Map")</f>
        <v>Map</v>
      </c>
      <c r="N2339" s="2" t="str">
        <f>HYPERLINK("http://i-0.rfimg.us/photo/1/bigphoto/968/28041968_0.jpg","Photo")</f>
        <v>Photo</v>
      </c>
      <c r="AG2339">
        <v>47.672604999999997</v>
      </c>
      <c r="AH2339">
        <v>-122.261636</v>
      </c>
      <c r="AI2339" t="s">
        <v>66</v>
      </c>
      <c r="AJ2339">
        <v>98115</v>
      </c>
      <c r="AN2339">
        <v>719500</v>
      </c>
      <c r="BC2339" s="22">
        <v>39517.548263888886</v>
      </c>
      <c r="BI2339" s="22">
        <v>39546.925937499997</v>
      </c>
      <c r="BL2339">
        <v>15860</v>
      </c>
      <c r="BM2339">
        <v>1545961</v>
      </c>
      <c r="BN2339" t="s">
        <v>1829</v>
      </c>
      <c r="BO2339" s="17">
        <f t="shared" ca="1" si="36"/>
        <v>31.761142013892822</v>
      </c>
      <c r="BP2339" t="b">
        <v>0</v>
      </c>
      <c r="BQ2339">
        <v>1</v>
      </c>
      <c r="BR2339" t="s">
        <v>1686</v>
      </c>
      <c r="BS2339" t="s">
        <v>2431</v>
      </c>
      <c r="BT2339" t="b">
        <v>0</v>
      </c>
      <c r="BU2339" t="s">
        <v>1738</v>
      </c>
      <c r="BV2339" t="s">
        <v>1668</v>
      </c>
      <c r="BW2339">
        <v>6043</v>
      </c>
      <c r="BY2339">
        <v>120854</v>
      </c>
      <c r="BZ2339" t="s">
        <v>1713</v>
      </c>
      <c r="CA2339">
        <v>1</v>
      </c>
      <c r="CB2339" t="b">
        <v>1</v>
      </c>
      <c r="CC2339">
        <v>0</v>
      </c>
      <c r="CD2339" t="b">
        <v>0</v>
      </c>
      <c r="CE2339" t="b">
        <v>0</v>
      </c>
      <c r="CF2339" t="b">
        <v>0</v>
      </c>
      <c r="CG2339">
        <v>2889872</v>
      </c>
      <c r="CH2339" t="s">
        <v>1681</v>
      </c>
      <c r="CI2339" s="10">
        <v>793000</v>
      </c>
      <c r="CJ2339" s="7">
        <v>39161</v>
      </c>
    </row>
    <row r="2340" spans="1:88">
      <c r="A2340">
        <v>28041982</v>
      </c>
      <c r="B2340" s="2" t="str">
        <f>HYPERLINK("http://www.redfin.com/stingray/do/printable-listing?listing-id=1548971","Active")</f>
        <v>Active</v>
      </c>
      <c r="D2340" t="s">
        <v>192</v>
      </c>
      <c r="E2340" t="s">
        <v>2899</v>
      </c>
      <c r="F2340">
        <v>550000</v>
      </c>
      <c r="G2340">
        <v>1993</v>
      </c>
      <c r="H2340">
        <v>2010</v>
      </c>
      <c r="I2340">
        <v>5045</v>
      </c>
      <c r="J2340">
        <v>3</v>
      </c>
      <c r="K2340">
        <v>3</v>
      </c>
      <c r="M2340" s="2" t="str">
        <f>HYPERLINK("http://maps.live.com/default.aspx?v=2&amp;lvl=15&amp;sp=Point.47.699676_-122.310349_1540 NE 97th St&amp;cp=47.699676~-122.310349","Map")</f>
        <v>Map</v>
      </c>
      <c r="N2340" s="2" t="str">
        <f>HYPERLINK("http://i-0.rfimg.us/photo/1/bigphoto/982/28041982_1.jpg","Photo")</f>
        <v>Photo</v>
      </c>
      <c r="AG2340">
        <v>47.699675999999997</v>
      </c>
      <c r="AH2340">
        <v>-122.310349</v>
      </c>
      <c r="AI2340" t="s">
        <v>66</v>
      </c>
      <c r="AJ2340">
        <v>98115</v>
      </c>
      <c r="AN2340">
        <v>382000</v>
      </c>
      <c r="BC2340" s="22">
        <v>39518.443171296298</v>
      </c>
      <c r="BI2340" s="22">
        <v>39549.294907407406</v>
      </c>
      <c r="BL2340">
        <v>11000</v>
      </c>
      <c r="BM2340">
        <v>1548971</v>
      </c>
      <c r="BN2340" t="s">
        <v>1674</v>
      </c>
      <c r="BO2340" s="17">
        <f t="shared" ca="1" si="36"/>
        <v>30.866234606481157</v>
      </c>
      <c r="BP2340" t="b">
        <v>0</v>
      </c>
      <c r="BQ2340">
        <v>1</v>
      </c>
      <c r="BR2340" t="s">
        <v>1686</v>
      </c>
      <c r="BS2340" t="s">
        <v>1840</v>
      </c>
      <c r="BT2340" t="b">
        <v>0</v>
      </c>
      <c r="BU2340" t="s">
        <v>1738</v>
      </c>
      <c r="BV2340" t="s">
        <v>1668</v>
      </c>
      <c r="BW2340">
        <v>1540</v>
      </c>
      <c r="BY2340">
        <v>107240</v>
      </c>
      <c r="BZ2340" t="s">
        <v>1704</v>
      </c>
      <c r="CA2340">
        <v>1</v>
      </c>
      <c r="CB2340" t="b">
        <v>1</v>
      </c>
      <c r="CC2340">
        <v>0</v>
      </c>
      <c r="CD2340" t="b">
        <v>0</v>
      </c>
      <c r="CE2340" t="b">
        <v>0</v>
      </c>
      <c r="CF2340" t="b">
        <v>0</v>
      </c>
      <c r="CG2340">
        <v>2918476</v>
      </c>
      <c r="CH2340" t="s">
        <v>1681</v>
      </c>
      <c r="CI2340" s="10">
        <v>550000</v>
      </c>
      <c r="CJ2340" s="7">
        <v>38341</v>
      </c>
    </row>
    <row r="2341" spans="1:88">
      <c r="A2341">
        <v>28042014</v>
      </c>
      <c r="B2341" s="2" t="str">
        <f>HYPERLINK("http://www.redfin.com/stingray/do/printable-listing?listing-id=1546067","Active")</f>
        <v>Active</v>
      </c>
      <c r="D2341" t="s">
        <v>5139</v>
      </c>
      <c r="E2341" t="s">
        <v>5703</v>
      </c>
      <c r="F2341">
        <v>1200000</v>
      </c>
      <c r="G2341">
        <v>1969</v>
      </c>
      <c r="H2341">
        <v>4580</v>
      </c>
      <c r="I2341">
        <v>7885</v>
      </c>
      <c r="J2341">
        <v>5</v>
      </c>
      <c r="K2341">
        <v>4</v>
      </c>
      <c r="M2341" s="2" t="str">
        <f>HYPERLINK("http://maps.live.com/default.aspx?v=2&amp;lvl=15&amp;sp=Point.47.540678_-122.213601_6930 94th Ave SE&amp;cp=47.540678~-122.213601","Map")</f>
        <v>Map</v>
      </c>
      <c r="N2341" s="2" t="str">
        <f>HYPERLINK("http://i-0.rfimg.us/photo/1/bigphoto/014/28042014_0.jpg","Photo")</f>
        <v>Photo</v>
      </c>
      <c r="AG2341">
        <v>47.540678</v>
      </c>
      <c r="AH2341">
        <v>-122.213601</v>
      </c>
      <c r="AI2341" t="s">
        <v>5139</v>
      </c>
      <c r="AJ2341">
        <v>98040</v>
      </c>
      <c r="AN2341">
        <v>695000</v>
      </c>
      <c r="BC2341" s="22">
        <v>39517.569097222222</v>
      </c>
      <c r="BI2341" s="22">
        <v>39549.294907407406</v>
      </c>
      <c r="BL2341">
        <v>24000</v>
      </c>
      <c r="BM2341">
        <v>1546067</v>
      </c>
      <c r="BN2341" t="s">
        <v>1824</v>
      </c>
      <c r="BO2341" s="17">
        <f t="shared" ca="1" si="36"/>
        <v>31.740308680557064</v>
      </c>
      <c r="BP2341" t="b">
        <v>0</v>
      </c>
      <c r="BQ2341">
        <v>1</v>
      </c>
      <c r="BR2341" t="s">
        <v>1667</v>
      </c>
      <c r="BS2341" t="s">
        <v>2716</v>
      </c>
      <c r="BT2341" t="b">
        <v>0</v>
      </c>
      <c r="BV2341" t="s">
        <v>1668</v>
      </c>
      <c r="BW2341">
        <v>6930</v>
      </c>
      <c r="BX2341" t="s">
        <v>3856</v>
      </c>
      <c r="BY2341">
        <v>255892</v>
      </c>
      <c r="BZ2341" s="21">
        <v>0</v>
      </c>
      <c r="CA2341">
        <v>1</v>
      </c>
      <c r="CB2341" t="b">
        <v>1</v>
      </c>
      <c r="CC2341">
        <v>0</v>
      </c>
      <c r="CD2341" t="b">
        <v>0</v>
      </c>
      <c r="CE2341" t="b">
        <v>0</v>
      </c>
      <c r="CF2341" t="b">
        <v>0</v>
      </c>
      <c r="CG2341">
        <v>2596202</v>
      </c>
      <c r="CH2341" t="s">
        <v>1681</v>
      </c>
      <c r="CI2341" s="10">
        <v>1200000</v>
      </c>
      <c r="CJ2341" s="7">
        <v>38422</v>
      </c>
    </row>
    <row r="2342" spans="1:88">
      <c r="A2342">
        <v>28042061</v>
      </c>
      <c r="B2342" s="2" t="str">
        <f>HYPERLINK("http://www.redfin.com/stingray/do/printable-listing?listing-id=1546190","Active")</f>
        <v>Active</v>
      </c>
      <c r="D2342" t="s">
        <v>3249</v>
      </c>
      <c r="E2342" t="s">
        <v>3320</v>
      </c>
      <c r="F2342" s="19">
        <v>598000</v>
      </c>
      <c r="G2342">
        <v>1953</v>
      </c>
      <c r="H2342">
        <v>1849</v>
      </c>
      <c r="I2342">
        <v>4000</v>
      </c>
      <c r="J2342">
        <v>3</v>
      </c>
      <c r="K2342">
        <v>1.75</v>
      </c>
      <c r="M2342" s="2" t="str">
        <f>HYPERLINK("http://maps.live.com/default.aspx?v=2&amp;lvl=15&amp;sp=Point.47.63848_-122.351569_304 Boston St&amp;cp=47.63848~-122.351569","Map")</f>
        <v>Map</v>
      </c>
      <c r="N2342" s="2" t="str">
        <f>HYPERLINK("http://i-0.rfimg.us/photo/1/bigphoto/061/28042061_4.jpg","Photo")</f>
        <v>Photo</v>
      </c>
      <c r="AG2342">
        <v>47.638480000000001</v>
      </c>
      <c r="AH2342">
        <v>-122.351569</v>
      </c>
      <c r="AI2342" t="s">
        <v>66</v>
      </c>
      <c r="AJ2342">
        <v>98109</v>
      </c>
      <c r="AN2342">
        <v>265000</v>
      </c>
      <c r="BC2342" s="22">
        <v>39517.594178240739</v>
      </c>
      <c r="BI2342" s="22">
        <v>39549.294907407406</v>
      </c>
      <c r="BL2342">
        <v>12999</v>
      </c>
      <c r="BM2342">
        <v>1546190</v>
      </c>
      <c r="BN2342" t="s">
        <v>1680</v>
      </c>
      <c r="BO2342" s="17">
        <f t="shared" ca="1" si="36"/>
        <v>31.715227662039979</v>
      </c>
      <c r="BP2342" t="b">
        <v>0</v>
      </c>
      <c r="BQ2342">
        <v>1</v>
      </c>
      <c r="BR2342" t="s">
        <v>1686</v>
      </c>
      <c r="BS2342" t="s">
        <v>3321</v>
      </c>
      <c r="BT2342" t="b">
        <v>0</v>
      </c>
      <c r="BV2342" t="s">
        <v>1668</v>
      </c>
      <c r="BW2342">
        <v>304</v>
      </c>
      <c r="BY2342">
        <v>133139</v>
      </c>
      <c r="BZ2342" t="s">
        <v>3322</v>
      </c>
      <c r="CA2342">
        <v>1</v>
      </c>
      <c r="CB2342" t="b">
        <v>1</v>
      </c>
      <c r="CC2342">
        <v>0</v>
      </c>
      <c r="CD2342" t="b">
        <v>0</v>
      </c>
      <c r="CE2342" t="b">
        <v>0</v>
      </c>
      <c r="CF2342" t="b">
        <v>0</v>
      </c>
      <c r="CG2342">
        <v>2545157</v>
      </c>
      <c r="CH2342" t="s">
        <v>1681</v>
      </c>
      <c r="CI2342" s="10">
        <v>649950</v>
      </c>
      <c r="CJ2342" s="7">
        <v>36235</v>
      </c>
    </row>
    <row r="2343" spans="1:88">
      <c r="A2343">
        <v>28042073</v>
      </c>
      <c r="B2343" s="2" t="str">
        <f>HYPERLINK("http://www.redfin.com/stingray/do/printable-listing?listing-id=1552026","Active")</f>
        <v>Active</v>
      </c>
      <c r="D2343" t="s">
        <v>3959</v>
      </c>
      <c r="E2343" t="s">
        <v>4042</v>
      </c>
      <c r="F2343">
        <v>445000</v>
      </c>
      <c r="G2343">
        <v>1900</v>
      </c>
      <c r="H2343">
        <v>1490</v>
      </c>
      <c r="I2343">
        <v>3200</v>
      </c>
      <c r="J2343">
        <v>3</v>
      </c>
      <c r="K2343">
        <v>2</v>
      </c>
      <c r="M2343" s="2" t="str">
        <f>HYPERLINK("http://maps.live.com/default.aspx?v=2&amp;lvl=15&amp;sp=Point.47.602889_-122.308123_1818 E Fir St&amp;cp=47.602889~-122.308123","Map")</f>
        <v>Map</v>
      </c>
      <c r="N2343" s="2" t="str">
        <f>HYPERLINK("http://i-0.rfimg.us/photo/1/bigphoto/073/28042073_0.jpg","Photo")</f>
        <v>Photo</v>
      </c>
      <c r="AG2343">
        <v>47.602888999999998</v>
      </c>
      <c r="AH2343">
        <v>-122.30812299999999</v>
      </c>
      <c r="AI2343" t="s">
        <v>66</v>
      </c>
      <c r="AJ2343">
        <v>98122</v>
      </c>
      <c r="AN2343">
        <v>332500</v>
      </c>
      <c r="BC2343" s="22">
        <v>39519.380046296297</v>
      </c>
      <c r="BI2343" s="22">
        <v>39549.294907407406</v>
      </c>
      <c r="BL2343">
        <v>8900</v>
      </c>
      <c r="BM2343">
        <v>1552026</v>
      </c>
      <c r="BN2343" t="s">
        <v>1746</v>
      </c>
      <c r="BO2343" s="17">
        <f t="shared" ca="1" si="36"/>
        <v>29.929359606481739</v>
      </c>
      <c r="BP2343" t="b">
        <v>0</v>
      </c>
      <c r="BQ2343">
        <v>1</v>
      </c>
      <c r="BR2343" t="s">
        <v>1686</v>
      </c>
      <c r="BS2343" t="s">
        <v>4040</v>
      </c>
      <c r="BT2343" t="b">
        <v>0</v>
      </c>
      <c r="BU2343" t="s">
        <v>2436</v>
      </c>
      <c r="BV2343" t="s">
        <v>1668</v>
      </c>
      <c r="BW2343">
        <v>1818</v>
      </c>
      <c r="BY2343">
        <v>145157</v>
      </c>
      <c r="BZ2343" t="s">
        <v>1745</v>
      </c>
      <c r="CA2343">
        <v>1</v>
      </c>
      <c r="CB2343" t="b">
        <v>1</v>
      </c>
      <c r="CC2343">
        <v>0</v>
      </c>
      <c r="CD2343" t="b">
        <v>0</v>
      </c>
      <c r="CE2343" t="b">
        <v>0</v>
      </c>
      <c r="CF2343" t="b">
        <v>0</v>
      </c>
      <c r="CG2343">
        <v>2525548</v>
      </c>
      <c r="CH2343" t="s">
        <v>1681</v>
      </c>
      <c r="CI2343" s="10">
        <v>445000</v>
      </c>
      <c r="CJ2343" s="7">
        <v>38462</v>
      </c>
    </row>
    <row r="2344" spans="1:88">
      <c r="A2344">
        <v>28042080</v>
      </c>
      <c r="B2344" s="2" t="str">
        <f>HYPERLINK("http://www.redfin.com/stingray/do/printable-listing?listing-id=1563998","Subject To Inspection")</f>
        <v>Subject To Inspection</v>
      </c>
      <c r="D2344" t="s">
        <v>3302</v>
      </c>
      <c r="E2344" t="s">
        <v>3747</v>
      </c>
      <c r="F2344">
        <v>629950</v>
      </c>
      <c r="G2344">
        <v>2008</v>
      </c>
      <c r="H2344">
        <v>1785</v>
      </c>
      <c r="I2344">
        <v>0</v>
      </c>
      <c r="J2344">
        <v>3</v>
      </c>
      <c r="K2344">
        <v>2.5</v>
      </c>
      <c r="M2344" s="2" t="str">
        <f>HYPERLINK("http://maps.live.com/default.aspx?v=2&amp;lvl=15&amp;sp=Point.47.649162_-122.321301_3118 Franklin Ave E&amp;cp=47.649162~-122.321301","Map")</f>
        <v>Map</v>
      </c>
      <c r="N2344" s="2" t="str">
        <f>HYPERLINK("http://i-0.rfimg.us/photo/1/bigphoto/080/28042080_0.jpg","Photo")</f>
        <v>Photo</v>
      </c>
      <c r="AG2344">
        <v>47.649161999999997</v>
      </c>
      <c r="AH2344">
        <v>-122.32130100000001</v>
      </c>
      <c r="AI2344" t="s">
        <v>66</v>
      </c>
      <c r="AJ2344">
        <v>98102</v>
      </c>
      <c r="BC2344" s="22">
        <v>39523.358726851853</v>
      </c>
      <c r="BI2344" s="22">
        <v>39549.294907407406</v>
      </c>
      <c r="BL2344">
        <v>12599</v>
      </c>
      <c r="BM2344">
        <v>1563998</v>
      </c>
      <c r="BN2344" t="s">
        <v>1710</v>
      </c>
      <c r="BO2344" s="17">
        <f t="shared" ca="1" si="36"/>
        <v>25.950679050925828</v>
      </c>
      <c r="BP2344" t="b">
        <v>0</v>
      </c>
      <c r="BQ2344">
        <v>2</v>
      </c>
      <c r="BR2344" t="s">
        <v>1667</v>
      </c>
      <c r="BS2344" t="s">
        <v>3699</v>
      </c>
      <c r="BT2344" t="b">
        <v>0</v>
      </c>
      <c r="BV2344" t="s">
        <v>1668</v>
      </c>
      <c r="BW2344">
        <v>3118</v>
      </c>
      <c r="BX2344" t="s">
        <v>2436</v>
      </c>
      <c r="BY2344">
        <v>12429762</v>
      </c>
      <c r="BZ2344" t="s">
        <v>3748</v>
      </c>
      <c r="CA2344">
        <v>1</v>
      </c>
      <c r="CB2344" t="b">
        <v>1</v>
      </c>
      <c r="CC2344">
        <v>0</v>
      </c>
      <c r="CD2344" t="b">
        <v>0</v>
      </c>
      <c r="CE2344" t="b">
        <v>0</v>
      </c>
      <c r="CF2344" t="b">
        <v>0</v>
      </c>
      <c r="CG2344">
        <v>15633510</v>
      </c>
      <c r="CH2344" t="s">
        <v>1681</v>
      </c>
      <c r="CI2344" s="10">
        <v>629950</v>
      </c>
    </row>
    <row r="2345" spans="1:88">
      <c r="A2345">
        <v>28042097</v>
      </c>
      <c r="B2345" s="2" t="str">
        <f>HYPERLINK("http://www.redfin.com/stingray/do/printable-listing?listing-id=1552104","Active")</f>
        <v>Active</v>
      </c>
      <c r="D2345" t="s">
        <v>4710</v>
      </c>
      <c r="E2345" t="s">
        <v>5022</v>
      </c>
      <c r="F2345">
        <v>799950</v>
      </c>
      <c r="G2345">
        <v>1953</v>
      </c>
      <c r="H2345">
        <v>2770</v>
      </c>
      <c r="I2345">
        <v>8521</v>
      </c>
      <c r="J2345">
        <v>4</v>
      </c>
      <c r="K2345">
        <v>2</v>
      </c>
      <c r="M2345" s="2" t="str">
        <f>HYPERLINK("http://maps.live.com/default.aspx?v=2&amp;lvl=15&amp;sp=Point.47.625521_-122.198717_1711 106 Pl NE&amp;cp=47.625521~-122.198717","Map")</f>
        <v>Map</v>
      </c>
      <c r="N2345" s="2" t="str">
        <f>HYPERLINK("http://i-0.rfimg.us/photo/1/bigphoto/097/28042097_1.jpg","Photo")</f>
        <v>Photo</v>
      </c>
      <c r="AG2345">
        <v>47.625520999999999</v>
      </c>
      <c r="AH2345">
        <v>-122.198717</v>
      </c>
      <c r="AI2345" t="s">
        <v>369</v>
      </c>
      <c r="AJ2345">
        <v>98004</v>
      </c>
      <c r="AN2345">
        <v>159000</v>
      </c>
      <c r="BC2345" s="22">
        <v>39519.401354166665</v>
      </c>
      <c r="BI2345" s="22">
        <v>39549.294907407406</v>
      </c>
      <c r="BL2345">
        <v>15999</v>
      </c>
      <c r="BM2345">
        <v>1552104</v>
      </c>
      <c r="BN2345" t="s">
        <v>1737</v>
      </c>
      <c r="BO2345" s="17">
        <f t="shared" ca="1" si="36"/>
        <v>29.90805173611443</v>
      </c>
      <c r="BP2345" t="b">
        <v>0</v>
      </c>
      <c r="BQ2345">
        <v>1</v>
      </c>
      <c r="BR2345" t="s">
        <v>1842</v>
      </c>
      <c r="BS2345">
        <v>106</v>
      </c>
      <c r="BT2345" t="b">
        <v>0</v>
      </c>
      <c r="BV2345" t="s">
        <v>1668</v>
      </c>
      <c r="BW2345">
        <v>1711</v>
      </c>
      <c r="BX2345" t="s">
        <v>1738</v>
      </c>
      <c r="BY2345">
        <v>506367</v>
      </c>
      <c r="BZ2345" t="s">
        <v>2201</v>
      </c>
      <c r="CA2345">
        <v>1</v>
      </c>
      <c r="CB2345" t="b">
        <v>1</v>
      </c>
      <c r="CC2345">
        <v>0</v>
      </c>
      <c r="CD2345" t="b">
        <v>0</v>
      </c>
      <c r="CE2345" t="b">
        <v>0</v>
      </c>
      <c r="CF2345" t="b">
        <v>0</v>
      </c>
      <c r="CG2345">
        <v>2711954</v>
      </c>
      <c r="CH2345" t="s">
        <v>1681</v>
      </c>
      <c r="CI2345" s="10">
        <v>799950</v>
      </c>
      <c r="CJ2345" s="7">
        <v>34362</v>
      </c>
    </row>
    <row r="2346" spans="1:88">
      <c r="A2346">
        <v>28042130</v>
      </c>
      <c r="B2346" s="15" t="str">
        <f>HYPERLINK("http://www.redfin.com/stingray/do/printable-listing?listing-id=1546491","Subject To Inspection")</f>
        <v>Subject To Inspection</v>
      </c>
      <c r="D2346" t="s">
        <v>983</v>
      </c>
      <c r="E2346" t="s">
        <v>2172</v>
      </c>
      <c r="F2346">
        <v>429950</v>
      </c>
      <c r="G2346">
        <v>1943</v>
      </c>
      <c r="H2346">
        <v>960</v>
      </c>
      <c r="I2346">
        <v>6000</v>
      </c>
      <c r="J2346">
        <v>2</v>
      </c>
      <c r="K2346">
        <v>1</v>
      </c>
      <c r="M2346" s="2" t="str">
        <f>HYPERLINK("http://maps.live.com/default.aspx?v=2&amp;lvl=15&amp;sp=Point.47.700502_-122.279728_9728 45th Ave NE&amp;cp=47.700502~-122.279728","Map")</f>
        <v>Map</v>
      </c>
      <c r="N2346" s="2" t="str">
        <f>HYPERLINK("http://i-0.rfimg.us/photo/1/bigphoto/130/28042130_0.jpg","Photo")</f>
        <v>Photo</v>
      </c>
      <c r="AG2346">
        <v>47.700502</v>
      </c>
      <c r="AH2346">
        <v>-122.27972800000001</v>
      </c>
      <c r="AI2346" t="s">
        <v>66</v>
      </c>
      <c r="AJ2346">
        <v>98115</v>
      </c>
      <c r="AN2346">
        <v>290000</v>
      </c>
      <c r="BC2346" s="22">
        <v>39517.653449074074</v>
      </c>
      <c r="BI2346" s="7">
        <v>39538</v>
      </c>
      <c r="BL2346">
        <v>8599</v>
      </c>
      <c r="BM2346">
        <v>1546491</v>
      </c>
      <c r="BN2346" t="s">
        <v>1710</v>
      </c>
      <c r="BO2346" s="17">
        <f t="shared" ca="1" si="36"/>
        <v>31.655956828704802</v>
      </c>
      <c r="BP2346" t="b">
        <v>0</v>
      </c>
      <c r="BQ2346">
        <v>1</v>
      </c>
      <c r="BR2346" t="s">
        <v>1667</v>
      </c>
      <c r="BS2346" t="s">
        <v>2667</v>
      </c>
      <c r="BT2346" t="b">
        <v>0</v>
      </c>
      <c r="BV2346" t="s">
        <v>1668</v>
      </c>
      <c r="BW2346">
        <v>9728</v>
      </c>
      <c r="BX2346" t="s">
        <v>1738</v>
      </c>
      <c r="BY2346">
        <v>113490</v>
      </c>
      <c r="BZ2346" t="s">
        <v>1672</v>
      </c>
      <c r="CA2346">
        <v>1</v>
      </c>
      <c r="CB2346" t="b">
        <v>1</v>
      </c>
      <c r="CC2346">
        <v>0</v>
      </c>
      <c r="CD2346" t="b">
        <v>0</v>
      </c>
      <c r="CE2346" t="b">
        <v>0</v>
      </c>
      <c r="CF2346" t="b">
        <v>0</v>
      </c>
      <c r="CG2346">
        <v>2344329</v>
      </c>
      <c r="CH2346" t="s">
        <v>1681</v>
      </c>
      <c r="CI2346" s="10">
        <v>429950</v>
      </c>
      <c r="CJ2346" s="7">
        <v>39423</v>
      </c>
    </row>
    <row r="2347" spans="1:88">
      <c r="A2347">
        <v>28042177</v>
      </c>
      <c r="B2347" s="2" t="str">
        <f>HYPERLINK("http://www.redfin.com/stingray/do/printable-listing?listing-id=1546490","Active")</f>
        <v>Active</v>
      </c>
      <c r="D2347" t="s">
        <v>3681</v>
      </c>
      <c r="E2347" t="s">
        <v>3679</v>
      </c>
      <c r="F2347">
        <v>1875000</v>
      </c>
      <c r="G2347">
        <v>1926</v>
      </c>
      <c r="H2347">
        <v>3950</v>
      </c>
      <c r="I2347">
        <v>5518</v>
      </c>
      <c r="J2347">
        <v>4</v>
      </c>
      <c r="K2347">
        <v>3.75</v>
      </c>
      <c r="M2347" s="2" t="str">
        <f>HYPERLINK("http://maps.live.com/default.aspx?v=2&amp;lvl=15&amp;sp=Point.47.645796_-122.302786_2136 E Hamlin St&amp;cp=47.645796~-122.302786","Map")</f>
        <v>Map</v>
      </c>
      <c r="N2347" s="2" t="str">
        <f>HYPERLINK("http://i-0.rfimg.us/photo/1/bigphoto/177/28042177_0.jpg","Photo")</f>
        <v>Photo</v>
      </c>
      <c r="AG2347">
        <v>47.645795999999997</v>
      </c>
      <c r="AH2347">
        <v>-122.302786</v>
      </c>
      <c r="AI2347" t="s">
        <v>66</v>
      </c>
      <c r="AJ2347">
        <v>98112</v>
      </c>
      <c r="AN2347">
        <v>1065000</v>
      </c>
      <c r="BC2347" s="22">
        <v>39517.653425925928</v>
      </c>
      <c r="BI2347" s="22">
        <v>39549.294907407406</v>
      </c>
      <c r="BL2347">
        <v>37500</v>
      </c>
      <c r="BM2347">
        <v>1546490</v>
      </c>
      <c r="BN2347" t="s">
        <v>1710</v>
      </c>
      <c r="BO2347" s="17">
        <f t="shared" ca="1" si="36"/>
        <v>31.655979976851086</v>
      </c>
      <c r="BP2347" t="b">
        <v>0</v>
      </c>
      <c r="BQ2347">
        <v>1</v>
      </c>
      <c r="BR2347" t="s">
        <v>1686</v>
      </c>
      <c r="BS2347" t="s">
        <v>3680</v>
      </c>
      <c r="BT2347" t="b">
        <v>0</v>
      </c>
      <c r="BU2347" t="s">
        <v>2436</v>
      </c>
      <c r="BV2347" t="s">
        <v>1668</v>
      </c>
      <c r="BW2347">
        <v>2136</v>
      </c>
      <c r="BY2347">
        <v>138071</v>
      </c>
      <c r="BZ2347" t="s">
        <v>1670</v>
      </c>
      <c r="CA2347">
        <v>1</v>
      </c>
      <c r="CB2347" t="b">
        <v>1</v>
      </c>
      <c r="CC2347">
        <v>0</v>
      </c>
      <c r="CD2347" t="b">
        <v>0</v>
      </c>
      <c r="CE2347" t="b">
        <v>0</v>
      </c>
      <c r="CF2347" t="b">
        <v>0</v>
      </c>
      <c r="CG2347">
        <v>2442795</v>
      </c>
      <c r="CH2347" t="s">
        <v>1681</v>
      </c>
      <c r="CI2347" s="10">
        <v>1875000</v>
      </c>
      <c r="CJ2347" s="7">
        <v>38342</v>
      </c>
    </row>
    <row r="2348" spans="1:88">
      <c r="A2348">
        <v>28042195</v>
      </c>
      <c r="B2348" s="2" t="str">
        <f>HYPERLINK("http://www.redfin.com/stingray/do/printable-listing?listing-id=1559076","Active")</f>
        <v>Active</v>
      </c>
      <c r="D2348" t="s">
        <v>63</v>
      </c>
      <c r="E2348" t="s">
        <v>2130</v>
      </c>
      <c r="F2348">
        <v>439000</v>
      </c>
      <c r="G2348">
        <v>1924</v>
      </c>
      <c r="H2348">
        <v>1980</v>
      </c>
      <c r="I2348">
        <v>3600</v>
      </c>
      <c r="J2348">
        <v>2</v>
      </c>
      <c r="K2348">
        <v>1</v>
      </c>
      <c r="M2348" s="2" t="str">
        <f>HYPERLINK("http://maps.live.com/default.aspx?v=2&amp;lvl=15&amp;sp=Point.47.687449_-122.361507_319 NW 81st St&amp;cp=47.687449~-122.361507","Map")</f>
        <v>Map</v>
      </c>
      <c r="N2348" s="2" t="str">
        <f>HYPERLINK("http://i-0.rfimg.us/photo/1/bigphoto/195/28042195_0.jpg","Photo")</f>
        <v>Photo</v>
      </c>
      <c r="AG2348">
        <v>47.687449000000001</v>
      </c>
      <c r="AH2348">
        <v>-122.361507</v>
      </c>
      <c r="AI2348" t="s">
        <v>66</v>
      </c>
      <c r="AJ2348">
        <v>98117</v>
      </c>
      <c r="AN2348">
        <v>260000</v>
      </c>
      <c r="BC2348" s="22">
        <v>39521.379837962966</v>
      </c>
      <c r="BI2348" s="7">
        <v>39523</v>
      </c>
      <c r="BL2348">
        <v>8780</v>
      </c>
      <c r="BM2348">
        <v>1559076</v>
      </c>
      <c r="BN2348" t="s">
        <v>1710</v>
      </c>
      <c r="BO2348" s="17">
        <f t="shared" ca="1" si="36"/>
        <v>27.929568055551499</v>
      </c>
      <c r="BP2348" t="b">
        <v>0</v>
      </c>
      <c r="BQ2348">
        <v>1</v>
      </c>
      <c r="BR2348" t="s">
        <v>1686</v>
      </c>
      <c r="BS2348" t="s">
        <v>1955</v>
      </c>
      <c r="BT2348" t="b">
        <v>0</v>
      </c>
      <c r="BU2348" t="s">
        <v>1669</v>
      </c>
      <c r="BV2348" t="s">
        <v>1668</v>
      </c>
      <c r="BW2348">
        <v>319</v>
      </c>
      <c r="BY2348">
        <v>498741</v>
      </c>
      <c r="BZ2348" t="s">
        <v>2131</v>
      </c>
      <c r="CA2348">
        <v>1</v>
      </c>
      <c r="CB2348" t="b">
        <v>1</v>
      </c>
      <c r="CC2348">
        <v>0</v>
      </c>
      <c r="CD2348" t="b">
        <v>0</v>
      </c>
      <c r="CE2348" t="b">
        <v>1</v>
      </c>
      <c r="CF2348" t="b">
        <v>0</v>
      </c>
      <c r="CG2348">
        <v>2919220</v>
      </c>
      <c r="CH2348" t="s">
        <v>1681</v>
      </c>
      <c r="CI2348" s="10">
        <v>439000</v>
      </c>
      <c r="CJ2348" s="7">
        <v>37082</v>
      </c>
    </row>
    <row r="2349" spans="1:88">
      <c r="A2349">
        <v>28042199</v>
      </c>
      <c r="B2349" s="2" t="str">
        <f>HYPERLINK("http://www.redfin.com/stingray/do/printable-listing?listing-id=1546550","Active")</f>
        <v>Active</v>
      </c>
      <c r="D2349" t="s">
        <v>109</v>
      </c>
      <c r="E2349" t="s">
        <v>2197</v>
      </c>
      <c r="F2349">
        <v>459950</v>
      </c>
      <c r="G2349">
        <v>2008</v>
      </c>
      <c r="H2349">
        <v>1439</v>
      </c>
      <c r="I2349">
        <v>0</v>
      </c>
      <c r="J2349">
        <v>3</v>
      </c>
      <c r="K2349">
        <v>2.25</v>
      </c>
      <c r="M2349" s="2" t="str">
        <f>HYPERLINK("http://maps.live.com/default.aspx?v=2&amp;lvl=15&amp;sp=Point.47.654237_-122.345626_1008 N 39th St&amp;cp=47.654237~-122.345626","Map")</f>
        <v>Map</v>
      </c>
      <c r="N2349" s="2" t="str">
        <f>HYPERLINK("http://i-0.rfimg.us/photo/1/bigphoto/199/28042199_0.jpg","Photo")</f>
        <v>Photo</v>
      </c>
      <c r="AG2349">
        <v>47.654237000000002</v>
      </c>
      <c r="AH2349">
        <v>-122.345626</v>
      </c>
      <c r="AI2349" t="s">
        <v>66</v>
      </c>
      <c r="AJ2349">
        <v>98103</v>
      </c>
      <c r="BC2349" s="22">
        <v>39517.663900462961</v>
      </c>
      <c r="BI2349" s="22">
        <v>39547.913935185185</v>
      </c>
      <c r="BL2349">
        <v>9199</v>
      </c>
      <c r="BM2349">
        <v>1546550</v>
      </c>
      <c r="BN2349" t="s">
        <v>1720</v>
      </c>
      <c r="BO2349" s="17">
        <f t="shared" ca="1" si="36"/>
        <v>31.645505439817498</v>
      </c>
      <c r="BP2349" t="b">
        <v>0</v>
      </c>
      <c r="BQ2349">
        <v>1</v>
      </c>
      <c r="BR2349" t="s">
        <v>1686</v>
      </c>
      <c r="BS2349" t="s">
        <v>3124</v>
      </c>
      <c r="BT2349" t="b">
        <v>0</v>
      </c>
      <c r="BU2349" t="s">
        <v>1712</v>
      </c>
      <c r="BV2349" t="s">
        <v>1668</v>
      </c>
      <c r="BW2349">
        <v>1008</v>
      </c>
      <c r="BY2349">
        <v>12425520</v>
      </c>
      <c r="BZ2349" t="s">
        <v>1676</v>
      </c>
      <c r="CA2349">
        <v>1</v>
      </c>
      <c r="CB2349" t="b">
        <v>1</v>
      </c>
      <c r="CC2349">
        <v>0</v>
      </c>
      <c r="CD2349" t="b">
        <v>0</v>
      </c>
      <c r="CE2349" t="b">
        <v>0</v>
      </c>
      <c r="CF2349" t="b">
        <v>0</v>
      </c>
      <c r="CG2349">
        <v>15629268</v>
      </c>
      <c r="CH2349" t="s">
        <v>1681</v>
      </c>
      <c r="CI2349" s="10">
        <v>459950</v>
      </c>
    </row>
    <row r="2350" spans="1:88">
      <c r="A2350">
        <v>28042212</v>
      </c>
      <c r="B2350" s="2" t="str">
        <f>HYPERLINK("http://www.redfin.com/stingray/do/printable-listing?listing-id=1549510","Active")</f>
        <v>Active</v>
      </c>
      <c r="D2350" t="s">
        <v>2552</v>
      </c>
      <c r="E2350" t="s">
        <v>3464</v>
      </c>
      <c r="F2350">
        <v>369950</v>
      </c>
      <c r="G2350">
        <v>2000</v>
      </c>
      <c r="H2350">
        <v>1165</v>
      </c>
      <c r="I2350">
        <v>0</v>
      </c>
      <c r="J2350">
        <v>3</v>
      </c>
      <c r="K2350">
        <v>2</v>
      </c>
      <c r="M2350" s="2" t="str">
        <f>HYPERLINK("http://maps.live.com/default.aspx?v=2&amp;lvl=15&amp;sp=Point.47.648901_-122.383195_3222 21st Ave W&amp;cp=47.648901~-122.383195","Map")</f>
        <v>Map</v>
      </c>
      <c r="N2350" s="2" t="str">
        <f>HYPERLINK("http://i-0.rfimg.us/photo/1/bigphoto/212/28042212_1.jpg","Photo")</f>
        <v>Photo</v>
      </c>
      <c r="AG2350">
        <v>47.648901000000002</v>
      </c>
      <c r="AH2350">
        <v>-122.383195</v>
      </c>
      <c r="AI2350" t="s">
        <v>66</v>
      </c>
      <c r="AJ2350">
        <v>98199</v>
      </c>
      <c r="BC2350" s="22">
        <v>39518.562523148146</v>
      </c>
      <c r="BI2350" s="22">
        <v>39549.294907407406</v>
      </c>
      <c r="BL2350">
        <v>7399</v>
      </c>
      <c r="BM2350">
        <v>1549510</v>
      </c>
      <c r="BN2350" t="s">
        <v>1690</v>
      </c>
      <c r="BO2350" s="17">
        <f t="shared" ca="1" si="36"/>
        <v>30.746882754632679</v>
      </c>
      <c r="BP2350" t="b">
        <v>0</v>
      </c>
      <c r="BQ2350">
        <v>1</v>
      </c>
      <c r="BR2350" t="s">
        <v>1667</v>
      </c>
      <c r="BS2350" t="s">
        <v>1903</v>
      </c>
      <c r="BT2350" t="b">
        <v>0</v>
      </c>
      <c r="BV2350" t="s">
        <v>1668</v>
      </c>
      <c r="BW2350">
        <v>3222</v>
      </c>
      <c r="BX2350" t="s">
        <v>2423</v>
      </c>
      <c r="BY2350">
        <v>12312999</v>
      </c>
      <c r="BZ2350" t="s">
        <v>1704</v>
      </c>
      <c r="CA2350">
        <v>1</v>
      </c>
      <c r="CB2350" t="b">
        <v>1</v>
      </c>
      <c r="CC2350">
        <v>0</v>
      </c>
      <c r="CD2350" t="b">
        <v>0</v>
      </c>
      <c r="CE2350" t="b">
        <v>0</v>
      </c>
      <c r="CF2350" t="b">
        <v>0</v>
      </c>
      <c r="CG2350">
        <v>15519579</v>
      </c>
      <c r="CH2350" t="s">
        <v>1681</v>
      </c>
      <c r="CI2350" s="10">
        <v>369950</v>
      </c>
    </row>
    <row r="2351" spans="1:88">
      <c r="A2351">
        <v>28042248</v>
      </c>
      <c r="B2351" s="2" t="str">
        <f>HYPERLINK("http://www.redfin.com/stingray/do/printable-listing?listing-id=1553619","Subject To Inspection")</f>
        <v>Subject To Inspection</v>
      </c>
      <c r="D2351" t="s">
        <v>3704</v>
      </c>
      <c r="E2351" t="s">
        <v>3705</v>
      </c>
      <c r="F2351">
        <v>660000</v>
      </c>
      <c r="G2351">
        <v>1960</v>
      </c>
      <c r="H2351">
        <v>1930</v>
      </c>
      <c r="I2351">
        <v>5000</v>
      </c>
      <c r="J2351">
        <v>3</v>
      </c>
      <c r="K2351">
        <v>1.75</v>
      </c>
      <c r="M2351" s="2" t="str">
        <f>HYPERLINK("http://maps.live.com/default.aspx?v=2&amp;lvl=15&amp;sp=Point.47.63446_-122.319776_1648 10th Ave E&amp;cp=47.63446~-122.319776","Map")</f>
        <v>Map</v>
      </c>
      <c r="N2351" s="2" t="str">
        <f>HYPERLINK("http://i-0.rfimg.us/photo/1/bigphoto/248/28042248_3.jpg","Photo")</f>
        <v>Photo</v>
      </c>
      <c r="AG2351">
        <v>47.634459999999997</v>
      </c>
      <c r="AH2351">
        <v>-122.319776</v>
      </c>
      <c r="AI2351" t="s">
        <v>66</v>
      </c>
      <c r="AJ2351">
        <v>98102</v>
      </c>
      <c r="AN2351">
        <v>317000</v>
      </c>
      <c r="BC2351" s="22">
        <v>39519.693877314814</v>
      </c>
      <c r="BI2351" s="7">
        <v>39534</v>
      </c>
      <c r="BL2351">
        <v>13200</v>
      </c>
      <c r="BM2351">
        <v>1553619</v>
      </c>
      <c r="BN2351" t="s">
        <v>1680</v>
      </c>
      <c r="BO2351" s="17">
        <f t="shared" ca="1" si="36"/>
        <v>29.615528587964945</v>
      </c>
      <c r="BP2351" t="b">
        <v>0</v>
      </c>
      <c r="BQ2351">
        <v>2</v>
      </c>
      <c r="BR2351" t="s">
        <v>1667</v>
      </c>
      <c r="BS2351" t="s">
        <v>1788</v>
      </c>
      <c r="BT2351" t="b">
        <v>0</v>
      </c>
      <c r="BV2351" t="s">
        <v>1668</v>
      </c>
      <c r="BW2351">
        <v>1648</v>
      </c>
      <c r="BX2351" t="s">
        <v>2436</v>
      </c>
      <c r="BY2351">
        <v>136536</v>
      </c>
      <c r="BZ2351" t="s">
        <v>3706</v>
      </c>
      <c r="CA2351">
        <v>1</v>
      </c>
      <c r="CB2351" t="b">
        <v>1</v>
      </c>
      <c r="CC2351">
        <v>0</v>
      </c>
      <c r="CD2351" t="b">
        <v>0</v>
      </c>
      <c r="CE2351" t="b">
        <v>0</v>
      </c>
      <c r="CF2351" t="b">
        <v>0</v>
      </c>
      <c r="CG2351">
        <v>2984378</v>
      </c>
      <c r="CH2351" t="s">
        <v>1681</v>
      </c>
      <c r="CI2351" s="10">
        <v>660000</v>
      </c>
      <c r="CJ2351" s="7">
        <v>35711</v>
      </c>
    </row>
    <row r="2352" spans="1:88">
      <c r="A2352">
        <v>28042267</v>
      </c>
      <c r="B2352" s="2" t="str">
        <f>HYPERLINK("http://www.redfin.com/stingray/do/printable-listing?listing-id=1556385","Active")</f>
        <v>Active</v>
      </c>
      <c r="D2352" t="s">
        <v>5638</v>
      </c>
      <c r="E2352" t="s">
        <v>5637</v>
      </c>
      <c r="F2352">
        <v>589000</v>
      </c>
      <c r="G2352">
        <v>1989</v>
      </c>
      <c r="H2352">
        <v>2980</v>
      </c>
      <c r="I2352">
        <v>8707</v>
      </c>
      <c r="J2352">
        <v>3</v>
      </c>
      <c r="K2352">
        <v>2.5</v>
      </c>
      <c r="M2352" s="2" t="str">
        <f>HYPERLINK("http://maps.live.com/default.aspx?v=2&amp;lvl=15&amp;sp=Point.47.53219_-122.185268_11708 SE 78th Pl&amp;cp=47.53219~-122.185268","Map")</f>
        <v>Map</v>
      </c>
      <c r="N2352" s="2" t="str">
        <f>HYPERLINK("http://i-0.rfimg.us/photo/1/bigphoto/267/28042267_0.jpg","Photo")</f>
        <v>Photo</v>
      </c>
      <c r="AG2352">
        <v>47.53219</v>
      </c>
      <c r="AH2352">
        <v>-122.18526799999999</v>
      </c>
      <c r="AI2352" t="s">
        <v>3885</v>
      </c>
      <c r="AJ2352">
        <v>98056</v>
      </c>
      <c r="AN2352">
        <v>306000</v>
      </c>
      <c r="BC2352" s="22">
        <v>39520.643194444441</v>
      </c>
      <c r="BI2352" s="22">
        <v>39549.294907407406</v>
      </c>
      <c r="BL2352">
        <v>11780</v>
      </c>
      <c r="BM2352">
        <v>1556385</v>
      </c>
      <c r="BN2352" t="s">
        <v>2136</v>
      </c>
      <c r="BO2352" s="17">
        <f t="shared" ca="1" si="36"/>
        <v>28.666211458337784</v>
      </c>
      <c r="BP2352" t="b">
        <v>0</v>
      </c>
      <c r="BQ2352">
        <v>1</v>
      </c>
      <c r="BR2352" t="s">
        <v>1842</v>
      </c>
      <c r="BS2352" t="s">
        <v>2354</v>
      </c>
      <c r="BT2352" t="b">
        <v>0</v>
      </c>
      <c r="BU2352" t="s">
        <v>3856</v>
      </c>
      <c r="BV2352" t="s">
        <v>1668</v>
      </c>
      <c r="BW2352">
        <v>11708</v>
      </c>
      <c r="BY2352">
        <v>417760</v>
      </c>
      <c r="BZ2352" t="s">
        <v>1672</v>
      </c>
      <c r="CA2352">
        <v>1</v>
      </c>
      <c r="CB2352" t="b">
        <v>1</v>
      </c>
      <c r="CC2352">
        <v>0</v>
      </c>
      <c r="CD2352" t="b">
        <v>0</v>
      </c>
      <c r="CE2352" t="b">
        <v>0</v>
      </c>
      <c r="CF2352" t="b">
        <v>0</v>
      </c>
      <c r="CG2352">
        <v>2556299</v>
      </c>
      <c r="CH2352" t="s">
        <v>1681</v>
      </c>
      <c r="CI2352" s="10">
        <v>589000</v>
      </c>
      <c r="CJ2352" s="7">
        <v>35642</v>
      </c>
    </row>
    <row r="2353" spans="1:90">
      <c r="A2353">
        <v>28042286</v>
      </c>
      <c r="B2353" s="2" t="str">
        <f>HYPERLINK("http://www.redfin.com/stingray/do/printable-listing?listing-id=1563553","Active")</f>
        <v>Active</v>
      </c>
      <c r="D2353" t="s">
        <v>5121</v>
      </c>
      <c r="E2353" t="s">
        <v>5162</v>
      </c>
      <c r="F2353" s="19">
        <v>498950</v>
      </c>
      <c r="G2353">
        <v>1975</v>
      </c>
      <c r="H2353">
        <v>1380</v>
      </c>
      <c r="I2353">
        <v>0</v>
      </c>
      <c r="J2353">
        <v>2</v>
      </c>
      <c r="K2353">
        <v>2.25</v>
      </c>
      <c r="M2353" s="2" t="str">
        <f>HYPERLINK("http://maps.live.com/default.aspx?v=2&amp;lvl=15&amp;sp=Point.47.595762_-122.198103_1647 107th Ave SE&amp;cp=47.595762~-122.198103","Map")</f>
        <v>Map</v>
      </c>
      <c r="N2353" s="2" t="str">
        <f>HYPERLINK("http://i-0.rfimg.us/photo/1/bigphoto/286/28042286_0.jpg","Photo")</f>
        <v>Photo</v>
      </c>
      <c r="AG2353">
        <v>47.595762000000001</v>
      </c>
      <c r="AH2353">
        <v>-122.198103</v>
      </c>
      <c r="AI2353" t="s">
        <v>369</v>
      </c>
      <c r="AJ2353">
        <v>98004</v>
      </c>
      <c r="BC2353" s="22">
        <v>39522.77584490741</v>
      </c>
      <c r="BI2353" s="22">
        <v>39549.294907407406</v>
      </c>
      <c r="BL2353">
        <v>10160</v>
      </c>
      <c r="BM2353">
        <v>1563553</v>
      </c>
      <c r="BN2353" t="s">
        <v>4563</v>
      </c>
      <c r="BO2353" s="17">
        <f t="shared" ca="1" si="36"/>
        <v>26.533560995369044</v>
      </c>
      <c r="BP2353" t="b">
        <v>0</v>
      </c>
      <c r="BQ2353">
        <v>1</v>
      </c>
      <c r="BR2353" t="s">
        <v>1667</v>
      </c>
      <c r="BS2353" t="s">
        <v>2678</v>
      </c>
      <c r="BT2353" t="b">
        <v>0</v>
      </c>
      <c r="BV2353" t="s">
        <v>1668</v>
      </c>
      <c r="BW2353">
        <v>1647</v>
      </c>
      <c r="BX2353" t="s">
        <v>3856</v>
      </c>
      <c r="BY2353">
        <v>12429702</v>
      </c>
      <c r="BZ2353" t="s">
        <v>1676</v>
      </c>
      <c r="CA2353">
        <v>1</v>
      </c>
      <c r="CB2353" t="b">
        <v>1</v>
      </c>
      <c r="CC2353">
        <v>0</v>
      </c>
      <c r="CD2353" t="b">
        <v>0</v>
      </c>
      <c r="CE2353" t="b">
        <v>0</v>
      </c>
      <c r="CF2353" t="b">
        <v>0</v>
      </c>
      <c r="CG2353">
        <v>15633450</v>
      </c>
      <c r="CH2353" t="s">
        <v>1681</v>
      </c>
      <c r="CI2353" s="10">
        <v>508000</v>
      </c>
    </row>
    <row r="2354" spans="1:90">
      <c r="A2354">
        <v>28042292</v>
      </c>
      <c r="B2354" s="2" t="str">
        <f>HYPERLINK("http://www.redfin.com/stingray/do/printable-listing?listing-id=1549584","Active")</f>
        <v>Active</v>
      </c>
      <c r="D2354" t="s">
        <v>3721</v>
      </c>
      <c r="E2354" t="s">
        <v>4103</v>
      </c>
      <c r="F2354">
        <v>3125000</v>
      </c>
      <c r="G2354">
        <v>1903</v>
      </c>
      <c r="H2354">
        <v>4370</v>
      </c>
      <c r="I2354">
        <v>10800</v>
      </c>
      <c r="J2354">
        <v>4</v>
      </c>
      <c r="K2354">
        <v>2.5</v>
      </c>
      <c r="M2354" s="2" t="str">
        <f>HYPERLINK("http://maps.live.com/default.aspx?v=2&amp;lvl=15&amp;sp=Point.47.626645_-122.287234_815 36th Ave E&amp;cp=47.626645~-122.287234","Map")</f>
        <v>Map</v>
      </c>
      <c r="N2354" s="2" t="str">
        <f>HYPERLINK("http://i-0.rfimg.us/photo/1/bigphoto/292/28042292_0.jpg","Photo")</f>
        <v>Photo</v>
      </c>
      <c r="AG2354">
        <v>47.626645000000003</v>
      </c>
      <c r="AH2354">
        <v>-122.287234</v>
      </c>
      <c r="AI2354" t="s">
        <v>66</v>
      </c>
      <c r="AJ2354">
        <v>98112</v>
      </c>
      <c r="AN2354">
        <v>270000</v>
      </c>
      <c r="BC2354" s="22">
        <v>39518.573541666665</v>
      </c>
      <c r="BI2354" s="22">
        <v>39549.294907407406</v>
      </c>
      <c r="BL2354">
        <v>62500</v>
      </c>
      <c r="BM2354">
        <v>1549584</v>
      </c>
      <c r="BN2354" t="s">
        <v>3253</v>
      </c>
      <c r="BO2354" s="17">
        <f t="shared" ca="1" si="36"/>
        <v>30.735864236114139</v>
      </c>
      <c r="BP2354" t="b">
        <v>0</v>
      </c>
      <c r="BQ2354">
        <v>1</v>
      </c>
      <c r="BR2354" t="s">
        <v>1667</v>
      </c>
      <c r="BS2354" t="s">
        <v>2911</v>
      </c>
      <c r="BT2354" t="b">
        <v>0</v>
      </c>
      <c r="BV2354" t="s">
        <v>1668</v>
      </c>
      <c r="BW2354">
        <v>815</v>
      </c>
      <c r="BX2354" t="s">
        <v>2436</v>
      </c>
      <c r="BY2354">
        <v>139744</v>
      </c>
      <c r="BZ2354" t="s">
        <v>4104</v>
      </c>
      <c r="CA2354">
        <v>1</v>
      </c>
      <c r="CB2354" t="b">
        <v>1</v>
      </c>
      <c r="CC2354">
        <v>0</v>
      </c>
      <c r="CD2354" t="b">
        <v>0</v>
      </c>
      <c r="CE2354" t="b">
        <v>0</v>
      </c>
      <c r="CF2354" t="b">
        <v>0</v>
      </c>
      <c r="CG2354">
        <v>2448269</v>
      </c>
      <c r="CH2354" t="s">
        <v>1681</v>
      </c>
      <c r="CI2354" s="10">
        <v>3125000</v>
      </c>
      <c r="CJ2354" s="7">
        <v>30329</v>
      </c>
    </row>
    <row r="2355" spans="1:90">
      <c r="A2355">
        <v>28042326</v>
      </c>
      <c r="B2355" s="2" t="str">
        <f>HYPERLINK("http://www.redfin.com/stingray/do/printable-listing?listing-id=1547129","Active")</f>
        <v>Active</v>
      </c>
      <c r="D2355" t="s">
        <v>63</v>
      </c>
      <c r="E2355" t="s">
        <v>2535</v>
      </c>
      <c r="F2355">
        <v>539000</v>
      </c>
      <c r="G2355">
        <v>2008</v>
      </c>
      <c r="H2355">
        <v>1938</v>
      </c>
      <c r="I2355">
        <v>0</v>
      </c>
      <c r="J2355">
        <v>3</v>
      </c>
      <c r="K2355">
        <v>3</v>
      </c>
      <c r="M2355" s="2" t="str">
        <f>HYPERLINK("http://maps.live.com/default.aspx?v=2&amp;lvl=15&amp;sp=Point.47.674637_-122.384177_2042 NW 63rd&amp;cp=47.674637~-122.384177","Map")</f>
        <v>Map</v>
      </c>
      <c r="N2355" s="2" t="str">
        <f>HYPERLINK("http://i-0.rfimg.us/photo/1/bigphoto/326/28042326_1.jpg","Photo")</f>
        <v>Photo</v>
      </c>
      <c r="AG2355">
        <v>47.674636999999997</v>
      </c>
      <c r="AH2355">
        <v>-122.38417699999999</v>
      </c>
      <c r="AI2355" t="s">
        <v>66</v>
      </c>
      <c r="AJ2355">
        <v>98107</v>
      </c>
      <c r="AN2355">
        <v>670000</v>
      </c>
      <c r="BC2355" s="22">
        <v>39517.83966435185</v>
      </c>
      <c r="BI2355" s="22">
        <v>39549.294907407406</v>
      </c>
      <c r="BL2355">
        <v>10780</v>
      </c>
      <c r="BM2355">
        <v>1547129</v>
      </c>
      <c r="BN2355" t="s">
        <v>1718</v>
      </c>
      <c r="BO2355" s="17">
        <f t="shared" ca="1" si="36"/>
        <v>31.469741666667687</v>
      </c>
      <c r="BP2355" t="b">
        <v>0</v>
      </c>
      <c r="BQ2355">
        <v>1</v>
      </c>
      <c r="BS2355" t="s">
        <v>2529</v>
      </c>
      <c r="BT2355" t="b">
        <v>0</v>
      </c>
      <c r="BU2355" t="s">
        <v>1669</v>
      </c>
      <c r="BV2355" t="s">
        <v>1668</v>
      </c>
      <c r="BW2355">
        <v>2042</v>
      </c>
      <c r="BY2355">
        <v>2080023</v>
      </c>
      <c r="BZ2355" t="s">
        <v>2536</v>
      </c>
      <c r="CA2355">
        <v>1</v>
      </c>
      <c r="CB2355" t="b">
        <v>1</v>
      </c>
      <c r="CC2355">
        <v>0</v>
      </c>
      <c r="CD2355" t="b">
        <v>0</v>
      </c>
      <c r="CE2355" t="b">
        <v>0</v>
      </c>
      <c r="CF2355" t="b">
        <v>0</v>
      </c>
      <c r="CG2355">
        <v>2708274</v>
      </c>
      <c r="CH2355" t="s">
        <v>1681</v>
      </c>
      <c r="CI2355" s="10">
        <v>539000</v>
      </c>
      <c r="CJ2355" s="7">
        <v>38686</v>
      </c>
    </row>
    <row r="2356" spans="1:90">
      <c r="A2356">
        <v>28042328</v>
      </c>
      <c r="B2356" s="2" t="str">
        <f>HYPERLINK("http://www.redfin.com/stingray/do/printable-listing?listing-id=1547130","Subject To Inspection")</f>
        <v>Subject To Inspection</v>
      </c>
      <c r="D2356" t="s">
        <v>63</v>
      </c>
      <c r="E2356" t="s">
        <v>2528</v>
      </c>
      <c r="F2356">
        <v>539000</v>
      </c>
      <c r="G2356">
        <v>2008</v>
      </c>
      <c r="H2356">
        <v>1938</v>
      </c>
      <c r="I2356">
        <v>0</v>
      </c>
      <c r="J2356">
        <v>3</v>
      </c>
      <c r="K2356">
        <v>3</v>
      </c>
      <c r="M2356" s="2" t="str">
        <f>HYPERLINK("http://maps.live.com/default.aspx?v=2&amp;lvl=15&amp;sp=Point.47.674637_-122.384162_2040 NW 63rd&amp;cp=47.674637~-122.384162","Map")</f>
        <v>Map</v>
      </c>
      <c r="N2356" s="2" t="str">
        <f>HYPERLINK("http://i-0.rfimg.us/photo/1/bigphoto/328/28042328_0.jpg","Photo")</f>
        <v>Photo</v>
      </c>
      <c r="AG2356">
        <v>47.674636999999997</v>
      </c>
      <c r="AH2356">
        <v>-122.384162</v>
      </c>
      <c r="AI2356" t="s">
        <v>66</v>
      </c>
      <c r="AJ2356">
        <v>98107</v>
      </c>
      <c r="BC2356" s="22">
        <v>39517.83966435185</v>
      </c>
      <c r="BI2356" s="7">
        <v>39540</v>
      </c>
      <c r="BL2356">
        <v>10780</v>
      </c>
      <c r="BM2356">
        <v>1547130</v>
      </c>
      <c r="BN2356" t="s">
        <v>1718</v>
      </c>
      <c r="BO2356" s="17">
        <f t="shared" ca="1" si="36"/>
        <v>31.469741666667687</v>
      </c>
      <c r="BP2356" t="b">
        <v>0</v>
      </c>
      <c r="BQ2356">
        <v>2</v>
      </c>
      <c r="BS2356" t="s">
        <v>2529</v>
      </c>
      <c r="BT2356" t="b">
        <v>0</v>
      </c>
      <c r="BU2356" t="s">
        <v>1669</v>
      </c>
      <c r="BV2356" t="s">
        <v>1668</v>
      </c>
      <c r="BW2356">
        <v>2040</v>
      </c>
      <c r="BY2356">
        <v>12243590</v>
      </c>
      <c r="BZ2356" t="s">
        <v>1747</v>
      </c>
      <c r="CA2356">
        <v>1</v>
      </c>
      <c r="CB2356" t="b">
        <v>1</v>
      </c>
      <c r="CC2356">
        <v>0</v>
      </c>
      <c r="CD2356" t="b">
        <v>0</v>
      </c>
      <c r="CE2356" t="b">
        <v>0</v>
      </c>
      <c r="CF2356" t="b">
        <v>0</v>
      </c>
      <c r="CG2356">
        <v>15471091</v>
      </c>
      <c r="CH2356" t="s">
        <v>1681</v>
      </c>
      <c r="CI2356" s="10">
        <v>539000</v>
      </c>
    </row>
    <row r="2357" spans="1:90">
      <c r="A2357">
        <v>28042376</v>
      </c>
      <c r="B2357" s="2" t="str">
        <f>HYPERLINK("http://www.redfin.com/stingray/do/printable-listing?listing-id=1548316","Active")</f>
        <v>Active</v>
      </c>
      <c r="D2357" t="s">
        <v>3885</v>
      </c>
      <c r="E2357" t="s">
        <v>5770</v>
      </c>
      <c r="F2357">
        <v>509950</v>
      </c>
      <c r="G2357">
        <v>1985</v>
      </c>
      <c r="H2357">
        <v>1880</v>
      </c>
      <c r="I2357">
        <v>14985</v>
      </c>
      <c r="J2357">
        <v>3</v>
      </c>
      <c r="K2357">
        <v>2.25</v>
      </c>
      <c r="M2357" s="2" t="str">
        <f>HYPERLINK("http://maps.live.com/default.aspx?v=2&amp;lvl=15&amp;sp=Point.47.520891_-122.177802_9137 122nd Pl SE&amp;cp=47.520891~-122.177802","Map")</f>
        <v>Map</v>
      </c>
      <c r="N2357" s="2" t="str">
        <f>HYPERLINK("http://i-0.rfimg.us/photo/1/bigphoto/376/28042376_1.jpg","Photo")</f>
        <v>Photo</v>
      </c>
      <c r="AG2357">
        <v>47.520890999999999</v>
      </c>
      <c r="AH2357">
        <v>-122.177802</v>
      </c>
      <c r="AI2357" t="s">
        <v>3885</v>
      </c>
      <c r="AJ2357">
        <v>98056</v>
      </c>
      <c r="AN2357">
        <v>279000</v>
      </c>
      <c r="BC2357" s="22">
        <v>39518.244039351855</v>
      </c>
      <c r="BI2357" s="22">
        <v>39549.294907407406</v>
      </c>
      <c r="BL2357">
        <v>10199</v>
      </c>
      <c r="BM2357">
        <v>1548316</v>
      </c>
      <c r="BN2357" t="s">
        <v>2419</v>
      </c>
      <c r="BO2357" s="17">
        <f t="shared" ca="1" si="36"/>
        <v>31.0653665509235</v>
      </c>
      <c r="BP2357" t="b">
        <v>0</v>
      </c>
      <c r="BQ2357">
        <v>1</v>
      </c>
      <c r="BR2357" t="s">
        <v>1842</v>
      </c>
      <c r="BS2357" t="s">
        <v>2672</v>
      </c>
      <c r="BT2357" t="b">
        <v>0</v>
      </c>
      <c r="BV2357" t="s">
        <v>1668</v>
      </c>
      <c r="BW2357">
        <v>9137</v>
      </c>
      <c r="BX2357" t="s">
        <v>3856</v>
      </c>
      <c r="BY2357">
        <v>415966</v>
      </c>
      <c r="BZ2357" t="s">
        <v>5661</v>
      </c>
      <c r="CA2357">
        <v>1</v>
      </c>
      <c r="CB2357" t="b">
        <v>1</v>
      </c>
      <c r="CC2357">
        <v>0</v>
      </c>
      <c r="CD2357" t="b">
        <v>0</v>
      </c>
      <c r="CE2357" t="b">
        <v>0</v>
      </c>
      <c r="CF2357" t="b">
        <v>0</v>
      </c>
      <c r="CG2357">
        <v>2714383</v>
      </c>
      <c r="CH2357" t="s">
        <v>1681</v>
      </c>
      <c r="CI2357" s="10">
        <v>509950</v>
      </c>
      <c r="CJ2357" s="7">
        <v>36907</v>
      </c>
    </row>
    <row r="2358" spans="1:90">
      <c r="A2358">
        <v>28042391</v>
      </c>
      <c r="B2358" s="2" t="str">
        <f>HYPERLINK("http://www.redfin.com/stingray/do/printable-listing?listing-id=1548421","Active")</f>
        <v>Active</v>
      </c>
      <c r="D2358" t="s">
        <v>4777</v>
      </c>
      <c r="E2358" t="s">
        <v>4961</v>
      </c>
      <c r="F2358" s="19">
        <v>499950</v>
      </c>
      <c r="G2358">
        <v>1958</v>
      </c>
      <c r="H2358">
        <v>1380</v>
      </c>
      <c r="I2358">
        <v>8000</v>
      </c>
      <c r="J2358">
        <v>3</v>
      </c>
      <c r="K2358">
        <v>1.75</v>
      </c>
      <c r="M2358" s="2" t="str">
        <f>HYPERLINK("http://maps.live.com/default.aspx?v=2&amp;lvl=15&amp;sp=Point.47.652358_-122.196538_4735 108th Ave NE&amp;cp=47.652358~-122.196538","Map")</f>
        <v>Map</v>
      </c>
      <c r="N2358" s="2" t="str">
        <f>HYPERLINK("http://i-0.rfimg.us/photo/1/bigphoto/391/28042391_1.jpg","Photo")</f>
        <v>Photo</v>
      </c>
      <c r="AG2358">
        <v>47.652358</v>
      </c>
      <c r="AH2358">
        <v>-122.196538</v>
      </c>
      <c r="AI2358" t="s">
        <v>1058</v>
      </c>
      <c r="AJ2358">
        <v>98033</v>
      </c>
      <c r="AN2358">
        <v>471000</v>
      </c>
      <c r="BC2358" s="22">
        <v>39518.327210648145</v>
      </c>
      <c r="BI2358" s="22">
        <v>39549.294907407406</v>
      </c>
      <c r="BL2358">
        <v>10599</v>
      </c>
      <c r="BM2358">
        <v>1548421</v>
      </c>
      <c r="BN2358" t="s">
        <v>3171</v>
      </c>
      <c r="BO2358" s="17">
        <f t="shared" ca="1" si="36"/>
        <v>30.982195254633552</v>
      </c>
      <c r="BP2358" t="b">
        <v>0</v>
      </c>
      <c r="BQ2358">
        <v>1</v>
      </c>
      <c r="BR2358" t="s">
        <v>1667</v>
      </c>
      <c r="BS2358" t="s">
        <v>4355</v>
      </c>
      <c r="BT2358" t="b">
        <v>0</v>
      </c>
      <c r="BV2358" t="s">
        <v>1668</v>
      </c>
      <c r="BW2358">
        <v>4735</v>
      </c>
      <c r="BX2358" t="s">
        <v>1738</v>
      </c>
      <c r="BY2358">
        <v>460078</v>
      </c>
      <c r="BZ2358" t="s">
        <v>2429</v>
      </c>
      <c r="CA2358">
        <v>1</v>
      </c>
      <c r="CB2358" t="b">
        <v>1</v>
      </c>
      <c r="CC2358">
        <v>0</v>
      </c>
      <c r="CD2358" t="b">
        <v>0</v>
      </c>
      <c r="CE2358" t="b">
        <v>0</v>
      </c>
      <c r="CF2358" t="b">
        <v>0</v>
      </c>
      <c r="CG2358">
        <v>2739979</v>
      </c>
      <c r="CH2358" t="s">
        <v>1681</v>
      </c>
      <c r="CI2358" s="10">
        <v>529950</v>
      </c>
      <c r="CJ2358" s="7">
        <v>38590</v>
      </c>
    </row>
    <row r="2359" spans="1:90">
      <c r="A2359">
        <v>28042399</v>
      </c>
      <c r="B2359" s="15" t="str">
        <f>HYPERLINK("http://www.redfin.com/stingray/do/printable-listing?listing-id=1549808","Subject To Inspection")</f>
        <v>Subject To Inspection</v>
      </c>
      <c r="D2359" t="s">
        <v>66</v>
      </c>
      <c r="E2359" t="s">
        <v>2179</v>
      </c>
      <c r="F2359" s="19">
        <v>399950</v>
      </c>
      <c r="G2359">
        <v>1941</v>
      </c>
      <c r="H2359">
        <v>1270</v>
      </c>
      <c r="I2359">
        <v>6970</v>
      </c>
      <c r="J2359">
        <v>3</v>
      </c>
      <c r="K2359">
        <v>2</v>
      </c>
      <c r="M2359" s="2" t="str">
        <f>HYPERLINK("http://maps.live.com/default.aspx?v=2&amp;lvl=15&amp;sp=Point.47.714237_-122.314299_1214 NE 117th St&amp;cp=47.714237~-122.314299","Map")</f>
        <v>Map</v>
      </c>
      <c r="N2359" s="2" t="str">
        <f>HYPERLINK("http://i-0.rfimg.us/photo/1/bigphoto/399/28042399_0.jpg","Photo")</f>
        <v>Photo</v>
      </c>
      <c r="AG2359">
        <v>47.714236999999997</v>
      </c>
      <c r="AH2359">
        <v>-122.31429900000001</v>
      </c>
      <c r="AI2359" t="s">
        <v>66</v>
      </c>
      <c r="AJ2359">
        <v>98125</v>
      </c>
      <c r="AN2359">
        <v>35035</v>
      </c>
      <c r="BC2359" s="22">
        <v>39518.625393518516</v>
      </c>
      <c r="BI2359" s="22">
        <v>39549.294907407406</v>
      </c>
      <c r="BL2359">
        <v>8199</v>
      </c>
      <c r="BM2359">
        <v>1549808</v>
      </c>
      <c r="BN2359" t="s">
        <v>2902</v>
      </c>
      <c r="BO2359" s="17">
        <f t="shared" ca="1" si="36"/>
        <v>30.684012384263042</v>
      </c>
      <c r="BP2359" t="b">
        <v>0</v>
      </c>
      <c r="BQ2359">
        <v>1</v>
      </c>
      <c r="BR2359" t="s">
        <v>1686</v>
      </c>
      <c r="BS2359" t="s">
        <v>2743</v>
      </c>
      <c r="BT2359" t="b">
        <v>0</v>
      </c>
      <c r="BU2359" t="s">
        <v>1738</v>
      </c>
      <c r="BV2359" t="s">
        <v>1668</v>
      </c>
      <c r="BW2359">
        <v>1214</v>
      </c>
      <c r="BY2359">
        <v>106511</v>
      </c>
      <c r="BZ2359" t="s">
        <v>1713</v>
      </c>
      <c r="CA2359">
        <v>1</v>
      </c>
      <c r="CB2359" t="b">
        <v>1</v>
      </c>
      <c r="CC2359">
        <v>0</v>
      </c>
      <c r="CD2359" t="b">
        <v>0</v>
      </c>
      <c r="CE2359" t="b">
        <v>0</v>
      </c>
      <c r="CF2359" t="b">
        <v>0</v>
      </c>
      <c r="CG2359">
        <v>2693043</v>
      </c>
      <c r="CH2359" t="s">
        <v>1681</v>
      </c>
      <c r="CI2359" s="10">
        <v>409950</v>
      </c>
      <c r="CJ2359" s="7">
        <v>38258</v>
      </c>
      <c r="CK2359" t="s">
        <v>6716</v>
      </c>
    </row>
    <row r="2360" spans="1:90">
      <c r="A2360">
        <v>28042402</v>
      </c>
      <c r="B2360" s="2" t="str">
        <f>HYPERLINK("http://www.redfin.com/stingray/do/printable-listing?listing-id=1549007","Active")</f>
        <v>Active</v>
      </c>
      <c r="D2360" t="s">
        <v>63</v>
      </c>
      <c r="E2360" t="s">
        <v>2126</v>
      </c>
      <c r="F2360">
        <v>689000</v>
      </c>
      <c r="G2360">
        <v>1929</v>
      </c>
      <c r="H2360">
        <v>2500</v>
      </c>
      <c r="I2360">
        <v>5100</v>
      </c>
      <c r="J2360">
        <v>3</v>
      </c>
      <c r="K2360">
        <v>2</v>
      </c>
      <c r="M2360" s="2" t="str">
        <f>HYPERLINK("http://maps.live.com/default.aspx?v=2&amp;lvl=15&amp;sp=Point.47.678556_-122.392209_6729 Earl Ave NW&amp;cp=47.678556~-122.392209","Map")</f>
        <v>Map</v>
      </c>
      <c r="N2360" s="2" t="str">
        <f>HYPERLINK("http://i-0.rfimg.us/photo/1/bigphoto/402/28042402_0.jpg","Photo")</f>
        <v>Photo</v>
      </c>
      <c r="AG2360">
        <v>47.678556</v>
      </c>
      <c r="AH2360">
        <v>-122.39220899999999</v>
      </c>
      <c r="AI2360" t="s">
        <v>66</v>
      </c>
      <c r="AJ2360">
        <v>98117</v>
      </c>
      <c r="AN2360">
        <v>360000</v>
      </c>
      <c r="BC2360" s="22">
        <v>39518.452800925923</v>
      </c>
      <c r="BI2360" s="7">
        <v>39524</v>
      </c>
      <c r="BL2360">
        <v>13780</v>
      </c>
      <c r="BM2360">
        <v>1549007</v>
      </c>
      <c r="BN2360" t="s">
        <v>1678</v>
      </c>
      <c r="BO2360" s="17">
        <f t="shared" ca="1" si="36"/>
        <v>30.856605092594691</v>
      </c>
      <c r="BP2360" t="b">
        <v>0</v>
      </c>
      <c r="BQ2360">
        <v>1</v>
      </c>
      <c r="BR2360" t="s">
        <v>1667</v>
      </c>
      <c r="BS2360" t="s">
        <v>1754</v>
      </c>
      <c r="BT2360" t="b">
        <v>0</v>
      </c>
      <c r="BV2360" t="s">
        <v>1668</v>
      </c>
      <c r="BW2360">
        <v>6729</v>
      </c>
      <c r="BX2360" t="s">
        <v>1669</v>
      </c>
      <c r="BY2360">
        <v>167097</v>
      </c>
      <c r="BZ2360" t="s">
        <v>1713</v>
      </c>
      <c r="CA2360">
        <v>1</v>
      </c>
      <c r="CB2360" t="b">
        <v>1</v>
      </c>
      <c r="CC2360">
        <v>0</v>
      </c>
      <c r="CD2360" t="b">
        <v>0</v>
      </c>
      <c r="CE2360" t="b">
        <v>1</v>
      </c>
      <c r="CF2360" t="b">
        <v>0</v>
      </c>
      <c r="CG2360">
        <v>2371053</v>
      </c>
      <c r="CH2360" t="s">
        <v>1681</v>
      </c>
      <c r="CI2360" s="10">
        <v>689000</v>
      </c>
      <c r="CJ2360" s="7">
        <v>37326</v>
      </c>
    </row>
    <row r="2361" spans="1:90">
      <c r="A2361">
        <v>28042411</v>
      </c>
      <c r="B2361" s="2" t="str">
        <f>HYPERLINK("http://www.redfin.com/stingray/do/printable-listing?listing-id=1551500","Active")</f>
        <v>Active</v>
      </c>
      <c r="D2361" t="s">
        <v>202</v>
      </c>
      <c r="E2361" t="s">
        <v>2184</v>
      </c>
      <c r="F2361">
        <v>499000</v>
      </c>
      <c r="G2361">
        <v>1942</v>
      </c>
      <c r="H2361">
        <v>0</v>
      </c>
      <c r="I2361">
        <v>9977</v>
      </c>
      <c r="J2361">
        <v>3</v>
      </c>
      <c r="K2361">
        <v>1.75</v>
      </c>
      <c r="M2361" s="2" t="str">
        <f>HYPERLINK("http://maps.live.com/default.aspx?v=2&amp;lvl=15&amp;sp=Point.47.709417_-122.308788_11026 Goodwin Way NE&amp;cp=47.709417~-122.308788","Map")</f>
        <v>Map</v>
      </c>
      <c r="N2361" s="2" t="str">
        <f>HYPERLINK("http://i-0.rfimg.us/photo/1/bigphoto/411/28042411_0.jpg","Photo")</f>
        <v>Photo</v>
      </c>
      <c r="AG2361">
        <v>47.709417000000002</v>
      </c>
      <c r="AH2361">
        <v>-122.30878800000001</v>
      </c>
      <c r="AI2361" t="s">
        <v>66</v>
      </c>
      <c r="AJ2361">
        <v>98125</v>
      </c>
      <c r="AN2361">
        <v>360000</v>
      </c>
      <c r="BC2361" s="22">
        <v>39519.046307870369</v>
      </c>
      <c r="BI2361" s="22">
        <v>39549.294907407406</v>
      </c>
      <c r="BL2361">
        <v>9980</v>
      </c>
      <c r="BM2361">
        <v>1551500</v>
      </c>
      <c r="BN2361" t="s">
        <v>1678</v>
      </c>
      <c r="BO2361" s="17">
        <f t="shared" ca="1" si="36"/>
        <v>30.263098032410198</v>
      </c>
      <c r="BP2361" t="b">
        <v>0</v>
      </c>
      <c r="BQ2361">
        <v>1</v>
      </c>
      <c r="BR2361" t="s">
        <v>2463</v>
      </c>
      <c r="BS2361" t="s">
        <v>2944</v>
      </c>
      <c r="BT2361" t="b">
        <v>0</v>
      </c>
      <c r="BV2361" t="s">
        <v>1668</v>
      </c>
      <c r="BW2361">
        <v>11026</v>
      </c>
      <c r="BX2361" t="s">
        <v>1738</v>
      </c>
      <c r="BY2361">
        <v>116391</v>
      </c>
      <c r="BZ2361" t="s">
        <v>1672</v>
      </c>
      <c r="CA2361">
        <v>1</v>
      </c>
      <c r="CB2361" t="b">
        <v>1</v>
      </c>
      <c r="CC2361">
        <v>0</v>
      </c>
      <c r="CD2361" t="b">
        <v>0</v>
      </c>
      <c r="CE2361" t="b">
        <v>0</v>
      </c>
      <c r="CF2361" t="b">
        <v>0</v>
      </c>
      <c r="CG2361">
        <v>2752815</v>
      </c>
      <c r="CH2361" t="s">
        <v>1681</v>
      </c>
      <c r="CI2361" s="10">
        <v>499000</v>
      </c>
      <c r="CJ2361" s="7">
        <v>39265</v>
      </c>
      <c r="CK2361" t="s">
        <v>6256</v>
      </c>
    </row>
    <row r="2362" spans="1:90">
      <c r="A2362">
        <v>28042423</v>
      </c>
      <c r="B2362" s="2" t="str">
        <f>HYPERLINK("http://www.redfin.com/stingray/do/printable-listing?listing-id=1551908","Active")</f>
        <v>Active</v>
      </c>
      <c r="D2362" t="s">
        <v>5277</v>
      </c>
      <c r="E2362" t="s">
        <v>5275</v>
      </c>
      <c r="F2362" s="19">
        <v>1195000</v>
      </c>
      <c r="G2362">
        <v>2002</v>
      </c>
      <c r="H2362">
        <v>0</v>
      </c>
      <c r="I2362">
        <v>10125</v>
      </c>
      <c r="J2362">
        <v>3</v>
      </c>
      <c r="K2362">
        <v>2.5</v>
      </c>
      <c r="M2362" s="2" t="str">
        <f>HYPERLINK("http://maps.live.com/default.aspx?v=2&amp;lvl=15&amp;sp=Point.47.567693_-122.219267_4351 90th Ave SE&amp;cp=47.567693~-122.219267","Map")</f>
        <v>Map</v>
      </c>
      <c r="N2362" s="2" t="str">
        <f>HYPERLINK("http://i-0.rfimg.us/photo/1/bigphoto/423/28042423_1.jpg","Photo")</f>
        <v>Photo</v>
      </c>
      <c r="AG2362">
        <v>47.567692999999998</v>
      </c>
      <c r="AH2362">
        <v>-122.219267</v>
      </c>
      <c r="AI2362" t="s">
        <v>5139</v>
      </c>
      <c r="AJ2362">
        <v>98040</v>
      </c>
      <c r="AN2362">
        <v>785000</v>
      </c>
      <c r="BC2362" s="22">
        <v>39519.359293981484</v>
      </c>
      <c r="BI2362" s="22">
        <v>39549.294907407406</v>
      </c>
      <c r="BL2362">
        <v>24980</v>
      </c>
      <c r="BM2362">
        <v>1551908</v>
      </c>
      <c r="BN2362" t="s">
        <v>1688</v>
      </c>
      <c r="BO2362" s="17">
        <f t="shared" ca="1" si="36"/>
        <v>29.950111921294592</v>
      </c>
      <c r="BP2362" t="b">
        <v>0</v>
      </c>
      <c r="BQ2362">
        <v>1</v>
      </c>
      <c r="BR2362" t="s">
        <v>1667</v>
      </c>
      <c r="BS2362" t="s">
        <v>1761</v>
      </c>
      <c r="BT2362" t="b">
        <v>0</v>
      </c>
      <c r="BV2362" t="s">
        <v>1668</v>
      </c>
      <c r="BW2362">
        <v>4351</v>
      </c>
      <c r="BX2362" t="s">
        <v>3856</v>
      </c>
      <c r="BY2362">
        <v>256175</v>
      </c>
      <c r="BZ2362" t="s">
        <v>5276</v>
      </c>
      <c r="CA2362">
        <v>1</v>
      </c>
      <c r="CB2362" t="b">
        <v>1</v>
      </c>
      <c r="CC2362">
        <v>0</v>
      </c>
      <c r="CD2362" t="b">
        <v>0</v>
      </c>
      <c r="CE2362" t="b">
        <v>0</v>
      </c>
      <c r="CF2362" t="b">
        <v>0</v>
      </c>
      <c r="CG2362">
        <v>2750942</v>
      </c>
      <c r="CH2362" t="s">
        <v>1681</v>
      </c>
      <c r="CI2362" s="10">
        <v>1249000</v>
      </c>
      <c r="CJ2362" s="7">
        <v>37515</v>
      </c>
    </row>
    <row r="2363" spans="1:90">
      <c r="A2363">
        <v>28042459</v>
      </c>
      <c r="B2363" s="2" t="str">
        <f>HYPERLINK("http://www.redfin.com/stingray/do/printable-listing?listing-id=1551494","Active")</f>
        <v>Active</v>
      </c>
      <c r="D2363" t="s">
        <v>1023</v>
      </c>
      <c r="E2363" t="s">
        <v>1933</v>
      </c>
      <c r="F2363">
        <v>699950</v>
      </c>
      <c r="G2363">
        <v>1929</v>
      </c>
      <c r="H2363">
        <v>2780</v>
      </c>
      <c r="I2363">
        <v>3400</v>
      </c>
      <c r="J2363">
        <v>4</v>
      </c>
      <c r="K2363">
        <v>2</v>
      </c>
      <c r="M2363" s="2" t="str">
        <f>HYPERLINK("http://maps.live.com/default.aspx?v=2&amp;lvl=15&amp;sp=Point.47.680064_-122.398115_7018 32nd Ave NW&amp;cp=47.680064~-122.398115","Map")</f>
        <v>Map</v>
      </c>
      <c r="N2363" s="2" t="str">
        <f>HYPERLINK("http://i-0.rfimg.us/photo/1/bigphoto/459/28042459_0.jpg","Photo")</f>
        <v>Photo</v>
      </c>
      <c r="AG2363">
        <v>47.680064000000002</v>
      </c>
      <c r="AH2363">
        <v>-122.398115</v>
      </c>
      <c r="AI2363" t="s">
        <v>66</v>
      </c>
      <c r="AJ2363">
        <v>98117</v>
      </c>
      <c r="AN2363">
        <v>475000</v>
      </c>
      <c r="BC2363" s="22">
        <v>39519.04619212963</v>
      </c>
      <c r="BI2363" s="7">
        <v>39528</v>
      </c>
      <c r="BL2363">
        <v>13999</v>
      </c>
      <c r="BM2363">
        <v>1551494</v>
      </c>
      <c r="BN2363" t="s">
        <v>1725</v>
      </c>
      <c r="BO2363" s="17">
        <f t="shared" ca="1" si="36"/>
        <v>30.263213888887549</v>
      </c>
      <c r="BP2363" t="b">
        <v>0</v>
      </c>
      <c r="BQ2363">
        <v>1</v>
      </c>
      <c r="BR2363" t="s">
        <v>1667</v>
      </c>
      <c r="BS2363" t="s">
        <v>1733</v>
      </c>
      <c r="BT2363" t="b">
        <v>0</v>
      </c>
      <c r="BV2363" t="s">
        <v>1668</v>
      </c>
      <c r="BW2363">
        <v>7018</v>
      </c>
      <c r="BX2363" t="s">
        <v>1669</v>
      </c>
      <c r="BY2363">
        <v>166231</v>
      </c>
      <c r="BZ2363" t="s">
        <v>1672</v>
      </c>
      <c r="CA2363">
        <v>1</v>
      </c>
      <c r="CB2363" t="b">
        <v>1</v>
      </c>
      <c r="CC2363">
        <v>0</v>
      </c>
      <c r="CD2363" t="b">
        <v>0</v>
      </c>
      <c r="CE2363" t="b">
        <v>1</v>
      </c>
      <c r="CF2363" t="b">
        <v>0</v>
      </c>
      <c r="CG2363">
        <v>2374687</v>
      </c>
      <c r="CH2363" t="s">
        <v>1681</v>
      </c>
      <c r="CI2363" s="10">
        <v>699950</v>
      </c>
      <c r="CJ2363" s="7">
        <v>38082</v>
      </c>
      <c r="CL2363" t="s">
        <v>2128</v>
      </c>
    </row>
    <row r="2364" spans="1:90">
      <c r="A2364">
        <v>28042461</v>
      </c>
      <c r="B2364" s="2" t="str">
        <f>HYPERLINK("http://www.redfin.com/stingray/do/printable-listing?listing-id=1548594","Active")</f>
        <v>Active</v>
      </c>
      <c r="D2364" t="s">
        <v>60</v>
      </c>
      <c r="E2364" t="s">
        <v>2424</v>
      </c>
      <c r="F2364" s="19">
        <v>594500</v>
      </c>
      <c r="G2364">
        <v>2003</v>
      </c>
      <c r="H2364">
        <v>1510</v>
      </c>
      <c r="I2364">
        <v>0</v>
      </c>
      <c r="J2364">
        <v>3</v>
      </c>
      <c r="K2364">
        <v>3</v>
      </c>
      <c r="M2364" s="2" t="str">
        <f>HYPERLINK("http://maps.live.com/default.aspx?v=2&amp;lvl=15&amp;sp=Point.47.682282_-122.326186_7406 Latona Ave NE&amp;cp=47.682282~-122.326186","Map")</f>
        <v>Map</v>
      </c>
      <c r="N2364" s="2" t="str">
        <f>HYPERLINK("http://i-0.rfimg.us/photo/1/bigphoto/461/28042461_0.jpg","Photo")</f>
        <v>Photo</v>
      </c>
      <c r="AG2364">
        <v>47.682282000000001</v>
      </c>
      <c r="AH2364">
        <v>-122.32618600000001</v>
      </c>
      <c r="AI2364" t="s">
        <v>66</v>
      </c>
      <c r="AJ2364">
        <v>98115</v>
      </c>
      <c r="BC2364" s="22">
        <v>39518.369571759256</v>
      </c>
      <c r="BI2364" s="22">
        <v>39549.294907407406</v>
      </c>
      <c r="BL2364">
        <v>12600</v>
      </c>
      <c r="BM2364">
        <v>1548594</v>
      </c>
      <c r="BN2364" t="s">
        <v>1823</v>
      </c>
      <c r="BO2364" s="17">
        <f t="shared" ca="1" si="36"/>
        <v>30.939834259261261</v>
      </c>
      <c r="BP2364" t="b">
        <v>0</v>
      </c>
      <c r="BQ2364">
        <v>1</v>
      </c>
      <c r="BR2364" t="s">
        <v>1667</v>
      </c>
      <c r="BS2364" t="s">
        <v>2395</v>
      </c>
      <c r="BT2364" t="b">
        <v>0</v>
      </c>
      <c r="BV2364" t="s">
        <v>1668</v>
      </c>
      <c r="BW2364">
        <v>7406</v>
      </c>
      <c r="BX2364" t="s">
        <v>1738</v>
      </c>
      <c r="BY2364">
        <v>12425806</v>
      </c>
      <c r="BZ2364" t="s">
        <v>1672</v>
      </c>
      <c r="CA2364">
        <v>1</v>
      </c>
      <c r="CB2364" t="b">
        <v>1</v>
      </c>
      <c r="CC2364">
        <v>0</v>
      </c>
      <c r="CD2364" t="b">
        <v>0</v>
      </c>
      <c r="CE2364" t="b">
        <v>0</v>
      </c>
      <c r="CF2364" t="b">
        <v>0</v>
      </c>
      <c r="CG2364">
        <v>15629554</v>
      </c>
      <c r="CH2364" t="s">
        <v>1681</v>
      </c>
      <c r="CI2364" s="10">
        <v>630000</v>
      </c>
    </row>
    <row r="2365" spans="1:90">
      <c r="A2365">
        <v>28042463</v>
      </c>
      <c r="B2365" s="2" t="str">
        <f>HYPERLINK("http://www.redfin.com/stingray/do/printable-listing?listing-id=1554909","Active")</f>
        <v>Active</v>
      </c>
      <c r="D2365" t="s">
        <v>3066</v>
      </c>
      <c r="E2365" t="s">
        <v>4733</v>
      </c>
      <c r="F2365">
        <v>739000</v>
      </c>
      <c r="G2365">
        <v>2002</v>
      </c>
      <c r="H2365">
        <v>2870</v>
      </c>
      <c r="I2365">
        <v>7806</v>
      </c>
      <c r="J2365">
        <v>4</v>
      </c>
      <c r="K2365">
        <v>2.5</v>
      </c>
      <c r="M2365" s="2" t="str">
        <f>HYPERLINK("http://maps.live.com/default.aspx?v=2&amp;lvl=15&amp;sp=Point.47.683658_-122.175428_9038 124th Ave NE&amp;cp=47.683658~-122.175428","Map")</f>
        <v>Map</v>
      </c>
      <c r="N2365" s="2" t="str">
        <f>HYPERLINK("http://i-0.rfimg.us/photo/1/bigphoto/463/28042463_2.jpg","Photo")</f>
        <v>Photo</v>
      </c>
      <c r="AG2365">
        <v>47.683658000000001</v>
      </c>
      <c r="AH2365">
        <v>-122.175428</v>
      </c>
      <c r="AI2365" t="s">
        <v>1058</v>
      </c>
      <c r="AJ2365">
        <v>98033</v>
      </c>
      <c r="AN2365">
        <v>439950</v>
      </c>
      <c r="BC2365" s="22">
        <v>39520.223530092589</v>
      </c>
      <c r="BI2365" s="22">
        <v>39549.294907407406</v>
      </c>
      <c r="BL2365">
        <v>14780</v>
      </c>
      <c r="BM2365">
        <v>1554909</v>
      </c>
      <c r="BN2365" t="s">
        <v>1768</v>
      </c>
      <c r="BO2365" s="17">
        <f t="shared" ca="1" si="36"/>
        <v>29.085875810189464</v>
      </c>
      <c r="BP2365" t="b">
        <v>0</v>
      </c>
      <c r="BQ2365">
        <v>1</v>
      </c>
      <c r="BR2365" t="s">
        <v>1667</v>
      </c>
      <c r="BS2365" t="s">
        <v>4507</v>
      </c>
      <c r="BT2365" t="b">
        <v>0</v>
      </c>
      <c r="BV2365" t="s">
        <v>1668</v>
      </c>
      <c r="BW2365">
        <v>9038</v>
      </c>
      <c r="BX2365" t="s">
        <v>1738</v>
      </c>
      <c r="BY2365">
        <v>513169</v>
      </c>
      <c r="BZ2365" t="s">
        <v>4734</v>
      </c>
      <c r="CA2365">
        <v>1</v>
      </c>
      <c r="CB2365" t="b">
        <v>1</v>
      </c>
      <c r="CC2365">
        <v>0</v>
      </c>
      <c r="CD2365" t="b">
        <v>0</v>
      </c>
      <c r="CE2365" t="b">
        <v>0</v>
      </c>
      <c r="CF2365" t="b">
        <v>0</v>
      </c>
      <c r="CG2365">
        <v>2760581</v>
      </c>
      <c r="CH2365" t="s">
        <v>1681</v>
      </c>
      <c r="CI2365" s="10">
        <v>739000</v>
      </c>
      <c r="CJ2365" s="7">
        <v>37490</v>
      </c>
    </row>
    <row r="2366" spans="1:90">
      <c r="A2366">
        <v>28042488</v>
      </c>
      <c r="B2366" s="2" t="str">
        <f>HYPERLINK("http://www.redfin.com/stingray/do/printable-listing?listing-id=1548679","Active")</f>
        <v>Active</v>
      </c>
      <c r="D2366" t="s">
        <v>4710</v>
      </c>
      <c r="E2366" t="s">
        <v>5061</v>
      </c>
      <c r="F2366">
        <v>599950</v>
      </c>
      <c r="G2366">
        <v>1978</v>
      </c>
      <c r="H2366">
        <v>1886</v>
      </c>
      <c r="I2366">
        <v>84071</v>
      </c>
      <c r="J2366">
        <v>4</v>
      </c>
      <c r="K2366">
        <v>3</v>
      </c>
      <c r="M2366" s="2" t="str">
        <f>HYPERLINK("http://maps.live.com/default.aspx?v=2&amp;lvl=15&amp;sp=Point.47.620963_-122.206795_1200 100th Pl NE&amp;cp=47.620963~-122.206795","Map")</f>
        <v>Map</v>
      </c>
      <c r="N2366" s="2" t="str">
        <f>HYPERLINK("http://i-0.rfimg.us/photo/1/bigphoto/488/28042488_0.jpg","Photo")</f>
        <v>Photo</v>
      </c>
      <c r="AG2366">
        <v>47.620963000000003</v>
      </c>
      <c r="AH2366">
        <v>-122.206795</v>
      </c>
      <c r="AI2366" t="s">
        <v>369</v>
      </c>
      <c r="AJ2366">
        <v>98004</v>
      </c>
      <c r="BC2366" s="22">
        <v>39518.390752314815</v>
      </c>
      <c r="BI2366" s="22">
        <v>39549.294907407406</v>
      </c>
      <c r="BL2366">
        <v>11999</v>
      </c>
      <c r="BM2366">
        <v>1548679</v>
      </c>
      <c r="BN2366" t="s">
        <v>1768</v>
      </c>
      <c r="BO2366" s="17">
        <f t="shared" ca="1" si="36"/>
        <v>30.91865358796349</v>
      </c>
      <c r="BP2366" t="b">
        <v>0</v>
      </c>
      <c r="BQ2366">
        <v>1</v>
      </c>
      <c r="BR2366" t="s">
        <v>1842</v>
      </c>
      <c r="BS2366" t="s">
        <v>2806</v>
      </c>
      <c r="BT2366" t="b">
        <v>0</v>
      </c>
      <c r="BV2366" t="s">
        <v>1668</v>
      </c>
      <c r="BW2366">
        <v>1200</v>
      </c>
      <c r="BX2366" t="s">
        <v>1738</v>
      </c>
      <c r="BY2366">
        <v>12424798</v>
      </c>
      <c r="BZ2366" t="s">
        <v>1747</v>
      </c>
      <c r="CA2366">
        <v>1</v>
      </c>
      <c r="CB2366" t="b">
        <v>1</v>
      </c>
      <c r="CC2366">
        <v>0</v>
      </c>
      <c r="CD2366" t="b">
        <v>0</v>
      </c>
      <c r="CE2366" t="b">
        <v>0</v>
      </c>
      <c r="CF2366" t="b">
        <v>0</v>
      </c>
      <c r="CG2366">
        <v>15628546</v>
      </c>
      <c r="CH2366" t="s">
        <v>1681</v>
      </c>
      <c r="CI2366" s="10">
        <v>599950</v>
      </c>
    </row>
    <row r="2367" spans="1:90">
      <c r="A2367">
        <v>28042510</v>
      </c>
      <c r="B2367" s="2" t="str">
        <f>HYPERLINK("http://www.redfin.com/stingray/do/printable-listing?listing-id=1550278","Active")</f>
        <v>Active</v>
      </c>
      <c r="D2367" t="s">
        <v>3714</v>
      </c>
      <c r="E2367" t="s">
        <v>3717</v>
      </c>
      <c r="F2367" s="19">
        <v>1850000</v>
      </c>
      <c r="G2367">
        <v>1950</v>
      </c>
      <c r="H2367">
        <v>3730</v>
      </c>
      <c r="I2367">
        <v>7023</v>
      </c>
      <c r="J2367">
        <v>4</v>
      </c>
      <c r="K2367">
        <v>2.5</v>
      </c>
      <c r="M2367" s="2" t="str">
        <f>HYPERLINK("http://maps.live.com/default.aspx?v=2&amp;lvl=15&amp;sp=Point.47.632068_-122.287926_1420 Broadmoor Dr E&amp;cp=47.632068~-122.287926","Map")</f>
        <v>Map</v>
      </c>
      <c r="N2367" s="2" t="str">
        <f>HYPERLINK("http://i-0.rfimg.us/photo/1/bigphoto/510/28042510_2.jpg","Photo")</f>
        <v>Photo</v>
      </c>
      <c r="AG2367">
        <v>47.632067999999997</v>
      </c>
      <c r="AH2367">
        <v>-122.287926</v>
      </c>
      <c r="AI2367" t="s">
        <v>66</v>
      </c>
      <c r="AJ2367">
        <v>98112</v>
      </c>
      <c r="AN2367">
        <v>705000</v>
      </c>
      <c r="BC2367" s="22">
        <v>39518.717534722222</v>
      </c>
      <c r="BI2367" s="22">
        <v>39549.294907407406</v>
      </c>
      <c r="BL2367">
        <v>39900</v>
      </c>
      <c r="BM2367">
        <v>1550278</v>
      </c>
      <c r="BN2367" t="s">
        <v>2556</v>
      </c>
      <c r="BO2367" s="17">
        <f t="shared" ca="1" si="36"/>
        <v>30.591871180557064</v>
      </c>
      <c r="BP2367" t="b">
        <v>0</v>
      </c>
      <c r="BQ2367">
        <v>1</v>
      </c>
      <c r="BR2367" t="s">
        <v>1816</v>
      </c>
      <c r="BS2367" t="s">
        <v>3714</v>
      </c>
      <c r="BT2367" t="b">
        <v>0</v>
      </c>
      <c r="BV2367" t="s">
        <v>1668</v>
      </c>
      <c r="BW2367">
        <v>1420</v>
      </c>
      <c r="BX2367" t="s">
        <v>2436</v>
      </c>
      <c r="BY2367">
        <v>138879</v>
      </c>
      <c r="BZ2367" t="s">
        <v>3718</v>
      </c>
      <c r="CA2367">
        <v>1</v>
      </c>
      <c r="CB2367" t="b">
        <v>1</v>
      </c>
      <c r="CC2367">
        <v>0</v>
      </c>
      <c r="CD2367" t="b">
        <v>0</v>
      </c>
      <c r="CE2367" t="b">
        <v>0</v>
      </c>
      <c r="CF2367" t="b">
        <v>0</v>
      </c>
      <c r="CG2367">
        <v>2864302</v>
      </c>
      <c r="CH2367" t="s">
        <v>1681</v>
      </c>
      <c r="CI2367" s="10">
        <v>1995000</v>
      </c>
      <c r="CJ2367" s="7">
        <v>35706</v>
      </c>
    </row>
    <row r="2368" spans="1:90">
      <c r="A2368">
        <v>28042561</v>
      </c>
      <c r="B2368" s="2" t="str">
        <f>HYPERLINK("http://www.redfin.com/stingray/do/printable-listing?listing-id=1554731","Active")</f>
        <v>Active</v>
      </c>
      <c r="D2368" t="s">
        <v>5490</v>
      </c>
      <c r="E2368" t="s">
        <v>5659</v>
      </c>
      <c r="F2368">
        <v>689950</v>
      </c>
      <c r="G2368">
        <v>1981</v>
      </c>
      <c r="H2368">
        <v>2760</v>
      </c>
      <c r="I2368">
        <v>9895</v>
      </c>
      <c r="J2368">
        <v>4</v>
      </c>
      <c r="K2368">
        <v>2.5</v>
      </c>
      <c r="M2368" s="2" t="str">
        <f>HYPERLINK("http://maps.live.com/default.aspx?v=2&amp;lvl=15&amp;sp=Point.47.562085_-122.12626_16027 SE 46th Pl&amp;cp=47.562085~-122.12626","Map")</f>
        <v>Map</v>
      </c>
      <c r="N2368" s="2" t="str">
        <f>HYPERLINK("http://i-0.rfimg.us/photo/1/bigphoto/561/28042561_2.jpg","Photo")</f>
        <v>Photo</v>
      </c>
      <c r="AG2368">
        <v>47.562085000000003</v>
      </c>
      <c r="AH2368">
        <v>-122.12626</v>
      </c>
      <c r="AI2368" t="s">
        <v>369</v>
      </c>
      <c r="AJ2368">
        <v>98006</v>
      </c>
      <c r="AN2368">
        <v>367900</v>
      </c>
      <c r="BC2368" s="22">
        <v>39520.046238425923</v>
      </c>
      <c r="BI2368" s="22">
        <v>39549.294907407406</v>
      </c>
      <c r="BL2368">
        <v>13799</v>
      </c>
      <c r="BM2368">
        <v>1554731</v>
      </c>
      <c r="BN2368" t="s">
        <v>1768</v>
      </c>
      <c r="BO2368" s="17">
        <f t="shared" ca="1" si="36"/>
        <v>29.263167476856324</v>
      </c>
      <c r="BP2368" t="b">
        <v>0</v>
      </c>
      <c r="BQ2368">
        <v>1</v>
      </c>
      <c r="BR2368" t="s">
        <v>1842</v>
      </c>
      <c r="BS2368" t="s">
        <v>2471</v>
      </c>
      <c r="BT2368" t="b">
        <v>0</v>
      </c>
      <c r="BU2368" t="s">
        <v>3856</v>
      </c>
      <c r="BV2368" t="s">
        <v>1668</v>
      </c>
      <c r="BW2368">
        <v>16027</v>
      </c>
      <c r="BY2368">
        <v>235607</v>
      </c>
      <c r="BZ2368" t="s">
        <v>1730</v>
      </c>
      <c r="CA2368">
        <v>1</v>
      </c>
      <c r="CB2368" t="b">
        <v>1</v>
      </c>
      <c r="CC2368">
        <v>0</v>
      </c>
      <c r="CD2368" t="b">
        <v>0</v>
      </c>
      <c r="CE2368" t="b">
        <v>0</v>
      </c>
      <c r="CF2368" t="b">
        <v>0</v>
      </c>
      <c r="CG2368">
        <v>2811622</v>
      </c>
      <c r="CH2368" t="s">
        <v>1681</v>
      </c>
      <c r="CI2368" s="10">
        <v>689950</v>
      </c>
      <c r="CJ2368" s="7">
        <v>37026</v>
      </c>
    </row>
    <row r="2369" spans="1:90">
      <c r="A2369">
        <v>28042566</v>
      </c>
      <c r="B2369" s="2" t="str">
        <f>HYPERLINK("http://www.redfin.com/stingray/do/printable-listing?listing-id=1548876","Active")</f>
        <v>Active</v>
      </c>
      <c r="D2369" t="s">
        <v>369</v>
      </c>
      <c r="E2369" t="s">
        <v>4940</v>
      </c>
      <c r="F2369">
        <v>986000</v>
      </c>
      <c r="G2369">
        <v>1982</v>
      </c>
      <c r="H2369">
        <v>2230</v>
      </c>
      <c r="I2369">
        <v>10850</v>
      </c>
      <c r="J2369">
        <v>3</v>
      </c>
      <c r="K2369">
        <v>1.75</v>
      </c>
      <c r="M2369" s="2" t="str">
        <f>HYPERLINK("http://maps.live.com/default.aspx?v=2&amp;lvl=15&amp;sp=Point.47.644455_-122.188928_3746 113th Ave NE&amp;cp=47.644455~-122.188928","Map")</f>
        <v>Map</v>
      </c>
      <c r="N2369" s="2" t="str">
        <f>HYPERLINK("http://i-0.rfimg.us/photo/1/bigphoto/566/28042566_0.jpg","Photo")</f>
        <v>Photo</v>
      </c>
      <c r="AG2369">
        <v>47.644455000000001</v>
      </c>
      <c r="AH2369">
        <v>-122.188928</v>
      </c>
      <c r="AI2369" t="s">
        <v>369</v>
      </c>
      <c r="AJ2369">
        <v>98004</v>
      </c>
      <c r="AN2369">
        <v>652000</v>
      </c>
      <c r="BC2369" s="22">
        <v>39518.432442129626</v>
      </c>
      <c r="BI2369" s="22">
        <v>39549.294907407406</v>
      </c>
      <c r="BL2369">
        <v>19720</v>
      </c>
      <c r="BM2369">
        <v>1548876</v>
      </c>
      <c r="BN2369" t="s">
        <v>1674</v>
      </c>
      <c r="BO2369" s="17">
        <f t="shared" ca="1" si="36"/>
        <v>30.876963773152966</v>
      </c>
      <c r="BP2369" t="b">
        <v>0</v>
      </c>
      <c r="BQ2369">
        <v>1</v>
      </c>
      <c r="BR2369" t="s">
        <v>1667</v>
      </c>
      <c r="BS2369" t="s">
        <v>4394</v>
      </c>
      <c r="BT2369" t="b">
        <v>0</v>
      </c>
      <c r="BV2369" t="s">
        <v>1668</v>
      </c>
      <c r="BW2369">
        <v>3746</v>
      </c>
      <c r="BX2369" t="s">
        <v>1738</v>
      </c>
      <c r="BY2369">
        <v>460290</v>
      </c>
      <c r="BZ2369" t="s">
        <v>1672</v>
      </c>
      <c r="CA2369">
        <v>1</v>
      </c>
      <c r="CB2369" t="b">
        <v>1</v>
      </c>
      <c r="CC2369">
        <v>0</v>
      </c>
      <c r="CD2369" t="b">
        <v>0</v>
      </c>
      <c r="CE2369" t="b">
        <v>0</v>
      </c>
      <c r="CF2369" t="b">
        <v>0</v>
      </c>
      <c r="CG2369">
        <v>2851803</v>
      </c>
      <c r="CH2369" t="s">
        <v>1681</v>
      </c>
      <c r="CI2369" s="10">
        <v>986000</v>
      </c>
      <c r="CJ2369" s="7">
        <v>38513</v>
      </c>
    </row>
    <row r="2370" spans="1:90">
      <c r="A2370">
        <v>28042573</v>
      </c>
      <c r="B2370" s="2" t="str">
        <f>HYPERLINK("http://www.redfin.com/stingray/do/printable-listing?listing-id=1548885","Active")</f>
        <v>Active</v>
      </c>
      <c r="D2370" t="s">
        <v>184</v>
      </c>
      <c r="E2370" t="s">
        <v>2900</v>
      </c>
      <c r="F2370" s="19">
        <v>343800</v>
      </c>
      <c r="G2370">
        <v>2000</v>
      </c>
      <c r="H2370">
        <v>1340</v>
      </c>
      <c r="I2370">
        <v>2583</v>
      </c>
      <c r="J2370">
        <v>3</v>
      </c>
      <c r="K2370">
        <v>2</v>
      </c>
      <c r="M2370" s="2" t="str">
        <f>HYPERLINK("http://maps.live.com/default.aspx?v=2&amp;lvl=15&amp;sp=Point.47.716972_-122.317814_12046 Roosevelt Way NE&amp;cp=47.716972~-122.317814","Map")</f>
        <v>Map</v>
      </c>
      <c r="N2370" s="2" t="str">
        <f>HYPERLINK("http://i-0.rfimg.us/photo/1/bigphoto/573/28042573_0.jpg","Photo")</f>
        <v>Photo</v>
      </c>
      <c r="AG2370">
        <v>47.716971999999998</v>
      </c>
      <c r="AH2370">
        <v>-122.317814</v>
      </c>
      <c r="AI2370" t="s">
        <v>66</v>
      </c>
      <c r="AJ2370">
        <v>98125</v>
      </c>
      <c r="BC2370" s="22">
        <v>39518.432511574072</v>
      </c>
      <c r="BI2370" s="22">
        <v>39549.294907407406</v>
      </c>
      <c r="BL2370">
        <v>6976</v>
      </c>
      <c r="BM2370">
        <v>1548885</v>
      </c>
      <c r="BN2370" t="s">
        <v>1776</v>
      </c>
      <c r="BO2370" s="17">
        <f t="shared" ref="BO2370:BO2433" ca="1" si="37">NOW()-BC2370</f>
        <v>30.87689432870684</v>
      </c>
      <c r="BP2370" t="b">
        <v>0</v>
      </c>
      <c r="BQ2370">
        <v>1</v>
      </c>
      <c r="BR2370" t="s">
        <v>2463</v>
      </c>
      <c r="BS2370" t="s">
        <v>190</v>
      </c>
      <c r="BT2370" t="b">
        <v>0</v>
      </c>
      <c r="BV2370" t="s">
        <v>1668</v>
      </c>
      <c r="BW2370">
        <v>12046</v>
      </c>
      <c r="BX2370" t="s">
        <v>1738</v>
      </c>
      <c r="BY2370">
        <v>12425829</v>
      </c>
      <c r="BZ2370" t="s">
        <v>2901</v>
      </c>
      <c r="CA2370">
        <v>1</v>
      </c>
      <c r="CB2370" t="b">
        <v>1</v>
      </c>
      <c r="CC2370">
        <v>0</v>
      </c>
      <c r="CD2370" t="b">
        <v>0</v>
      </c>
      <c r="CE2370" t="b">
        <v>0</v>
      </c>
      <c r="CF2370" t="b">
        <v>0</v>
      </c>
      <c r="CG2370">
        <v>15629577</v>
      </c>
      <c r="CH2370" t="s">
        <v>1681</v>
      </c>
      <c r="CI2370" s="10">
        <v>348800</v>
      </c>
    </row>
    <row r="2371" spans="1:90">
      <c r="A2371">
        <v>28042621</v>
      </c>
      <c r="B2371" s="2" t="str">
        <f>HYPERLINK("http://www.redfin.com/stingray/do/printable-listing?listing-id=1549012","Active")</f>
        <v>Active</v>
      </c>
      <c r="D2371" t="s">
        <v>5204</v>
      </c>
      <c r="E2371" t="s">
        <v>5442</v>
      </c>
      <c r="F2371" s="19">
        <v>499950</v>
      </c>
      <c r="G2371">
        <v>1966</v>
      </c>
      <c r="H2371">
        <v>1560</v>
      </c>
      <c r="I2371">
        <v>8233</v>
      </c>
      <c r="J2371">
        <v>4</v>
      </c>
      <c r="K2371">
        <v>2</v>
      </c>
      <c r="M2371" s="2" t="str">
        <f>HYPERLINK("http://maps.live.com/default.aspx?v=2&amp;lvl=15&amp;sp=Point.47.609018_-122.137817_26 151st Pl SE&amp;cp=47.609018~-122.137817","Map")</f>
        <v>Map</v>
      </c>
      <c r="N2371" s="2" t="str">
        <f>HYPERLINK("http://i-0.rfimg.us/photo/1/bigphoto/621/28042621_2.jpg","Photo")</f>
        <v>Photo</v>
      </c>
      <c r="AG2371">
        <v>47.609017999999999</v>
      </c>
      <c r="AH2371">
        <v>-122.137817</v>
      </c>
      <c r="AI2371" t="s">
        <v>369</v>
      </c>
      <c r="AJ2371">
        <v>98007</v>
      </c>
      <c r="AN2371">
        <v>422000</v>
      </c>
      <c r="BC2371" s="22">
        <v>39518.452905092592</v>
      </c>
      <c r="BI2371" s="22">
        <v>39549.294907407406</v>
      </c>
      <c r="BL2371">
        <v>10180</v>
      </c>
      <c r="BM2371">
        <v>1549012</v>
      </c>
      <c r="BN2371" t="s">
        <v>1812</v>
      </c>
      <c r="BO2371" s="17">
        <f t="shared" ca="1" si="37"/>
        <v>30.856500810186844</v>
      </c>
      <c r="BP2371" t="b">
        <v>0</v>
      </c>
      <c r="BQ2371">
        <v>1</v>
      </c>
      <c r="BR2371" t="s">
        <v>1842</v>
      </c>
      <c r="BS2371" t="s">
        <v>4808</v>
      </c>
      <c r="BT2371" t="b">
        <v>0</v>
      </c>
      <c r="BV2371" t="s">
        <v>1668</v>
      </c>
      <c r="BW2371">
        <v>26</v>
      </c>
      <c r="BX2371" t="s">
        <v>3856</v>
      </c>
      <c r="BY2371">
        <v>426772</v>
      </c>
      <c r="BZ2371" t="s">
        <v>5443</v>
      </c>
      <c r="CA2371">
        <v>1</v>
      </c>
      <c r="CB2371" t="b">
        <v>1</v>
      </c>
      <c r="CC2371">
        <v>0</v>
      </c>
      <c r="CD2371" t="b">
        <v>0</v>
      </c>
      <c r="CE2371" t="b">
        <v>0</v>
      </c>
      <c r="CF2371" t="b">
        <v>0</v>
      </c>
      <c r="CG2371">
        <v>2458446</v>
      </c>
      <c r="CH2371" t="s">
        <v>1681</v>
      </c>
      <c r="CI2371" s="10">
        <v>509000</v>
      </c>
      <c r="CJ2371" s="7">
        <v>39265</v>
      </c>
    </row>
    <row r="2372" spans="1:90">
      <c r="A2372">
        <v>28042624</v>
      </c>
      <c r="B2372" s="2" t="str">
        <f>HYPERLINK("http://www.redfin.com/stingray/do/printable-listing?listing-id=1554960","Active")</f>
        <v>Active</v>
      </c>
      <c r="D2372" t="s">
        <v>4041</v>
      </c>
      <c r="E2372" t="s">
        <v>5156</v>
      </c>
      <c r="F2372">
        <v>770000</v>
      </c>
      <c r="G2372">
        <v>1948</v>
      </c>
      <c r="H2372">
        <v>2020</v>
      </c>
      <c r="I2372">
        <v>11500</v>
      </c>
      <c r="J2372">
        <v>3</v>
      </c>
      <c r="K2372">
        <v>2.5</v>
      </c>
      <c r="M2372" s="2" t="str">
        <f>HYPERLINK("http://maps.live.com/default.aspx?v=2&amp;lvl=15&amp;sp=Point.47.577638_-122.24148_3617 73rd Ave SE&amp;cp=47.577638~-122.24148","Map")</f>
        <v>Map</v>
      </c>
      <c r="N2372" s="2" t="str">
        <f>HYPERLINK("http://i-0.rfimg.us/photo/1/bigphoto/624/28042624_1.jpg","Photo")</f>
        <v>Photo</v>
      </c>
      <c r="AG2372">
        <v>47.577638</v>
      </c>
      <c r="AH2372">
        <v>-122.24148</v>
      </c>
      <c r="AI2372" t="s">
        <v>5139</v>
      </c>
      <c r="AJ2372">
        <v>98040</v>
      </c>
      <c r="BC2372" s="22">
        <v>39520.26458333333</v>
      </c>
      <c r="BI2372" s="22">
        <v>39549.294907407406</v>
      </c>
      <c r="BL2372">
        <v>15400</v>
      </c>
      <c r="BM2372">
        <v>1554960</v>
      </c>
      <c r="BN2372" t="s">
        <v>1674</v>
      </c>
      <c r="BO2372" s="17">
        <f t="shared" ca="1" si="37"/>
        <v>29.044822569449025</v>
      </c>
      <c r="BP2372" t="b">
        <v>0</v>
      </c>
      <c r="BQ2372">
        <v>1</v>
      </c>
      <c r="BR2372" t="s">
        <v>1667</v>
      </c>
      <c r="BS2372" t="s">
        <v>1828</v>
      </c>
      <c r="BT2372" t="b">
        <v>0</v>
      </c>
      <c r="BV2372" t="s">
        <v>1668</v>
      </c>
      <c r="BW2372">
        <v>3617</v>
      </c>
      <c r="BX2372" t="s">
        <v>3856</v>
      </c>
      <c r="BY2372">
        <v>258118</v>
      </c>
      <c r="BZ2372" t="s">
        <v>2429</v>
      </c>
      <c r="CA2372">
        <v>1</v>
      </c>
      <c r="CB2372" t="b">
        <v>1</v>
      </c>
      <c r="CC2372">
        <v>0</v>
      </c>
      <c r="CD2372" t="b">
        <v>0</v>
      </c>
      <c r="CE2372" t="b">
        <v>0</v>
      </c>
      <c r="CF2372" t="b">
        <v>0</v>
      </c>
      <c r="CG2372">
        <v>2874274</v>
      </c>
      <c r="CH2372" t="s">
        <v>1681</v>
      </c>
      <c r="CI2372" s="10">
        <v>770000</v>
      </c>
    </row>
    <row r="2373" spans="1:90">
      <c r="A2373">
        <v>28042639</v>
      </c>
      <c r="B2373" s="2" t="str">
        <f>HYPERLINK("http://www.redfin.com/stingray/do/printable-listing?listing-id=1553347","Active")</f>
        <v>Active</v>
      </c>
      <c r="D2373" t="s">
        <v>1058</v>
      </c>
      <c r="E2373" t="s">
        <v>4415</v>
      </c>
      <c r="F2373">
        <v>437500</v>
      </c>
      <c r="G2373">
        <v>1969</v>
      </c>
      <c r="H2373">
        <v>1570</v>
      </c>
      <c r="I2373">
        <v>8400</v>
      </c>
      <c r="J2373">
        <v>3</v>
      </c>
      <c r="K2373">
        <v>2</v>
      </c>
      <c r="M2373" s="2" t="str">
        <f>HYPERLINK("http://maps.live.com/default.aspx?v=2&amp;lvl=15&amp;sp=Point.47.719681_-122.179448_12028 NE 133rd Pl&amp;cp=47.719681~-122.179448","Map")</f>
        <v>Map</v>
      </c>
      <c r="N2373" s="2" t="str">
        <f>HYPERLINK("http://i-0.rfimg.us/photo/1/bigphoto/639/28042639_1.jpg","Photo")</f>
        <v>Photo</v>
      </c>
      <c r="AG2373">
        <v>47.719681000000001</v>
      </c>
      <c r="AH2373">
        <v>-122.17944799999999</v>
      </c>
      <c r="AI2373" t="s">
        <v>1058</v>
      </c>
      <c r="AJ2373">
        <v>98034</v>
      </c>
      <c r="AN2373">
        <v>197500</v>
      </c>
      <c r="BC2373" s="22">
        <v>39519.662060185183</v>
      </c>
      <c r="BI2373" s="22">
        <v>39549.294907407406</v>
      </c>
      <c r="BL2373">
        <v>8750</v>
      </c>
      <c r="BM2373">
        <v>1553347</v>
      </c>
      <c r="BN2373" t="s">
        <v>1768</v>
      </c>
      <c r="BO2373" s="17">
        <f t="shared" ca="1" si="37"/>
        <v>29.647345717596181</v>
      </c>
      <c r="BP2373" t="b">
        <v>0</v>
      </c>
      <c r="BQ2373">
        <v>1</v>
      </c>
      <c r="BR2373" t="s">
        <v>1842</v>
      </c>
      <c r="BS2373" t="s">
        <v>4416</v>
      </c>
      <c r="BT2373" t="b">
        <v>0</v>
      </c>
      <c r="BU2373" t="s">
        <v>1738</v>
      </c>
      <c r="BV2373" t="s">
        <v>1668</v>
      </c>
      <c r="BW2373">
        <v>12028</v>
      </c>
      <c r="BY2373">
        <v>452979</v>
      </c>
      <c r="BZ2373" t="s">
        <v>2200</v>
      </c>
      <c r="CA2373">
        <v>1</v>
      </c>
      <c r="CB2373" t="b">
        <v>1</v>
      </c>
      <c r="CC2373">
        <v>0</v>
      </c>
      <c r="CD2373" t="b">
        <v>0</v>
      </c>
      <c r="CE2373" t="b">
        <v>0</v>
      </c>
      <c r="CF2373" t="b">
        <v>0</v>
      </c>
      <c r="CG2373">
        <v>2622080</v>
      </c>
      <c r="CH2373" t="s">
        <v>1681</v>
      </c>
      <c r="CI2373" s="10">
        <v>437500</v>
      </c>
      <c r="CJ2373" s="7">
        <v>36171</v>
      </c>
    </row>
    <row r="2374" spans="1:90">
      <c r="A2374">
        <v>28042648</v>
      </c>
      <c r="B2374" s="2" t="str">
        <f>HYPERLINK("http://www.redfin.com/stingray/do/printable-listing?listing-id=1549056","Active")</f>
        <v>Active</v>
      </c>
      <c r="D2374" t="s">
        <v>4805</v>
      </c>
      <c r="E2374" t="s">
        <v>4962</v>
      </c>
      <c r="F2374" s="19">
        <v>450000</v>
      </c>
      <c r="G2374">
        <v>1972</v>
      </c>
      <c r="H2374">
        <v>1750</v>
      </c>
      <c r="I2374">
        <v>9015</v>
      </c>
      <c r="J2374">
        <v>3</v>
      </c>
      <c r="K2374">
        <v>2.25</v>
      </c>
      <c r="M2374" s="2" t="str">
        <f>HYPERLINK("http://maps.live.com/default.aspx?v=2&amp;lvl=15&amp;sp=Point.47.664582_-122.143618_6504 147th Ave NE&amp;cp=47.664582~-122.143618","Map")</f>
        <v>Map</v>
      </c>
      <c r="N2374" s="2" t="str">
        <f>HYPERLINK("http://i-0.rfimg.us/photo/1/bigphoto/648/28042648_1.jpg","Photo")</f>
        <v>Photo</v>
      </c>
      <c r="AG2374">
        <v>47.664582000000003</v>
      </c>
      <c r="AH2374">
        <v>-122.143618</v>
      </c>
      <c r="AI2374" t="s">
        <v>4363</v>
      </c>
      <c r="AJ2374">
        <v>98052</v>
      </c>
      <c r="AN2374">
        <v>167500</v>
      </c>
      <c r="BC2374" s="22">
        <v>39518.464074074072</v>
      </c>
      <c r="BI2374" s="22">
        <v>39549.294907407406</v>
      </c>
      <c r="BL2374">
        <v>9518</v>
      </c>
      <c r="BM2374">
        <v>1549056</v>
      </c>
      <c r="BN2374" t="s">
        <v>1737</v>
      </c>
      <c r="BO2374" s="17">
        <f t="shared" ca="1" si="37"/>
        <v>30.845331828706549</v>
      </c>
      <c r="BP2374" t="b">
        <v>0</v>
      </c>
      <c r="BQ2374">
        <v>1</v>
      </c>
      <c r="BR2374" t="s">
        <v>1667</v>
      </c>
      <c r="BS2374" t="s">
        <v>4610</v>
      </c>
      <c r="BT2374" t="b">
        <v>0</v>
      </c>
      <c r="BV2374" t="s">
        <v>1668</v>
      </c>
      <c r="BW2374">
        <v>6504</v>
      </c>
      <c r="BX2374" t="s">
        <v>1738</v>
      </c>
      <c r="BY2374">
        <v>516033</v>
      </c>
      <c r="BZ2374" t="s">
        <v>1748</v>
      </c>
      <c r="CA2374">
        <v>1</v>
      </c>
      <c r="CB2374" t="b">
        <v>1</v>
      </c>
      <c r="CC2374">
        <v>0</v>
      </c>
      <c r="CD2374" t="b">
        <v>0</v>
      </c>
      <c r="CE2374" t="b">
        <v>0</v>
      </c>
      <c r="CF2374" t="b">
        <v>0</v>
      </c>
      <c r="CG2374">
        <v>2775768</v>
      </c>
      <c r="CH2374" t="s">
        <v>1681</v>
      </c>
      <c r="CI2374" s="10">
        <v>475900</v>
      </c>
      <c r="CJ2374" s="7">
        <v>33023</v>
      </c>
    </row>
    <row r="2375" spans="1:90">
      <c r="A2375">
        <v>28042660</v>
      </c>
      <c r="B2375" s="15" t="str">
        <f>HYPERLINK("http://www.redfin.com/stingray/do/printable-listing?listing-id=1549059","Active")</f>
        <v>Active</v>
      </c>
      <c r="D2375" t="s">
        <v>1152</v>
      </c>
      <c r="E2375" t="s">
        <v>3097</v>
      </c>
      <c r="F2375" s="19">
        <v>697500</v>
      </c>
      <c r="G2375">
        <v>1952</v>
      </c>
      <c r="H2375">
        <v>2720</v>
      </c>
      <c r="I2375">
        <v>6612</v>
      </c>
      <c r="J2375">
        <v>3</v>
      </c>
      <c r="K2375">
        <v>1.75</v>
      </c>
      <c r="M2375" s="2" t="str">
        <f>HYPERLINK("http://maps.live.com/default.aspx?v=2&amp;lvl=15&amp;sp=Point.47.670394_-122.27558_4817 Stanford Ave NE&amp;cp=47.670394~-122.27558","Map")</f>
        <v>Map</v>
      </c>
      <c r="N2375" s="2" t="str">
        <f>HYPERLINK("http://i-0.rfimg.us/photo/1/bigphoto/660/28042660_1.jpg","Photo")</f>
        <v>Photo</v>
      </c>
      <c r="AG2375">
        <v>47.670394000000002</v>
      </c>
      <c r="AH2375">
        <v>-122.27558000000001</v>
      </c>
      <c r="AI2375" t="s">
        <v>66</v>
      </c>
      <c r="AJ2375">
        <v>98105</v>
      </c>
      <c r="BC2375" s="22">
        <v>39518.464085648149</v>
      </c>
      <c r="BI2375" s="22">
        <v>39549.294907407406</v>
      </c>
      <c r="BL2375">
        <v>14200</v>
      </c>
      <c r="BM2375">
        <v>1549059</v>
      </c>
      <c r="BN2375" t="s">
        <v>1710</v>
      </c>
      <c r="BO2375" s="17">
        <f t="shared" ca="1" si="37"/>
        <v>30.845320254629769</v>
      </c>
      <c r="BP2375" t="b">
        <v>0</v>
      </c>
      <c r="BQ2375">
        <v>2</v>
      </c>
      <c r="BR2375" t="s">
        <v>1667</v>
      </c>
      <c r="BS2375" t="s">
        <v>3098</v>
      </c>
      <c r="BT2375" t="b">
        <v>0</v>
      </c>
      <c r="BV2375" t="s">
        <v>1668</v>
      </c>
      <c r="BW2375">
        <v>4817</v>
      </c>
      <c r="BX2375" t="s">
        <v>1738</v>
      </c>
      <c r="BY2375">
        <v>320406</v>
      </c>
      <c r="BZ2375" t="s">
        <v>3047</v>
      </c>
      <c r="CA2375">
        <v>1</v>
      </c>
      <c r="CB2375" t="b">
        <v>1</v>
      </c>
      <c r="CC2375">
        <v>0</v>
      </c>
      <c r="CD2375" t="b">
        <v>0</v>
      </c>
      <c r="CE2375" t="b">
        <v>0</v>
      </c>
      <c r="CF2375" t="b">
        <v>0</v>
      </c>
      <c r="CG2375">
        <v>2969572</v>
      </c>
      <c r="CH2375" t="s">
        <v>1681</v>
      </c>
      <c r="CI2375" s="10">
        <v>710000</v>
      </c>
    </row>
    <row r="2376" spans="1:90">
      <c r="A2376">
        <v>28042673</v>
      </c>
      <c r="B2376" s="2" t="str">
        <f>HYPERLINK("http://www.redfin.com/stingray/do/printable-listing?listing-id=1562582","Active")</f>
        <v>Active</v>
      </c>
      <c r="D2376" s="19" t="s">
        <v>99</v>
      </c>
      <c r="E2376" t="s">
        <v>2160</v>
      </c>
      <c r="F2376">
        <v>324950</v>
      </c>
      <c r="G2376">
        <v>1997</v>
      </c>
      <c r="H2376">
        <v>0</v>
      </c>
      <c r="I2376">
        <v>0</v>
      </c>
      <c r="J2376">
        <v>2</v>
      </c>
      <c r="K2376">
        <v>1.5</v>
      </c>
      <c r="M2376" s="2" t="str">
        <f>HYPERLINK("http://maps.live.com/default.aspx?v=2&amp;lvl=15&amp;sp=Point.47.70363_-122.362008_334 NW 103rd St&amp;cp=47.70363~-122.362008","Map")</f>
        <v>Map</v>
      </c>
      <c r="N2376" s="2" t="str">
        <f>HYPERLINK("http://i-0.rfimg.us/photo/1/bigphoto/673/28042673_0.jpg","Photo")</f>
        <v>Photo</v>
      </c>
      <c r="AG2376">
        <v>47.703629999999997</v>
      </c>
      <c r="AH2376">
        <v>-122.362008</v>
      </c>
      <c r="AI2376" t="s">
        <v>66</v>
      </c>
      <c r="AJ2376">
        <v>98177</v>
      </c>
      <c r="AN2376">
        <v>250000</v>
      </c>
      <c r="BC2376" s="22">
        <v>39522.33861111111</v>
      </c>
      <c r="BI2376" s="22">
        <v>39549.294907407406</v>
      </c>
      <c r="BL2376">
        <v>6499</v>
      </c>
      <c r="BM2376">
        <v>1562582</v>
      </c>
      <c r="BN2376" t="s">
        <v>1710</v>
      </c>
      <c r="BO2376" s="17">
        <f t="shared" ca="1" si="37"/>
        <v>26.970794791668595</v>
      </c>
      <c r="BP2376" t="b">
        <v>0</v>
      </c>
      <c r="BQ2376">
        <v>1</v>
      </c>
      <c r="BR2376" t="s">
        <v>1686</v>
      </c>
      <c r="BS2376" t="s">
        <v>2691</v>
      </c>
      <c r="BT2376" t="b">
        <v>0</v>
      </c>
      <c r="BU2376" t="s">
        <v>1669</v>
      </c>
      <c r="BV2376" t="s">
        <v>1668</v>
      </c>
      <c r="BW2376">
        <v>334</v>
      </c>
      <c r="BY2376">
        <v>96695</v>
      </c>
      <c r="BZ2376" t="s">
        <v>1672</v>
      </c>
      <c r="CA2376">
        <v>1</v>
      </c>
      <c r="CB2376" t="b">
        <v>1</v>
      </c>
      <c r="CC2376">
        <v>0</v>
      </c>
      <c r="CD2376" t="b">
        <v>0</v>
      </c>
      <c r="CE2376" t="b">
        <v>0</v>
      </c>
      <c r="CF2376" t="b">
        <v>0</v>
      </c>
      <c r="CG2376">
        <v>2429836</v>
      </c>
      <c r="CH2376" t="s">
        <v>1681</v>
      </c>
      <c r="CI2376" s="10">
        <v>324950</v>
      </c>
      <c r="CJ2376" s="7">
        <v>38419</v>
      </c>
    </row>
    <row r="2377" spans="1:90">
      <c r="A2377">
        <v>28042676</v>
      </c>
      <c r="B2377" s="2" t="str">
        <f>HYPERLINK("http://www.redfin.com/stingray/do/printable-listing?listing-id=1564725","Active")</f>
        <v>Active</v>
      </c>
      <c r="D2377" t="s">
        <v>5236</v>
      </c>
      <c r="E2377" t="s">
        <v>5234</v>
      </c>
      <c r="F2377" s="19">
        <v>429000</v>
      </c>
      <c r="G2377">
        <v>1955</v>
      </c>
      <c r="H2377">
        <v>1280</v>
      </c>
      <c r="I2377">
        <v>9450</v>
      </c>
      <c r="J2377">
        <v>3</v>
      </c>
      <c r="K2377">
        <v>1.5</v>
      </c>
      <c r="M2377" s="2" t="str">
        <f>HYPERLINK("http://maps.live.com/default.aspx?v=2&amp;lvl=15&amp;sp=Point.47.588813_-122.132807_15543 SE 24 St&amp;cp=47.588813~-122.132807","Map")</f>
        <v>Map</v>
      </c>
      <c r="N2377" s="2" t="str">
        <f>HYPERLINK("http://i-0.rfimg.us/photo/1/bigphoto/676/28042676_2.jpg","Photo")</f>
        <v>Photo</v>
      </c>
      <c r="AG2377">
        <v>47.588813000000002</v>
      </c>
      <c r="AH2377">
        <v>-122.132807</v>
      </c>
      <c r="AI2377" t="s">
        <v>369</v>
      </c>
      <c r="AJ2377">
        <v>98007</v>
      </c>
      <c r="AN2377">
        <v>215000</v>
      </c>
      <c r="BC2377" s="22">
        <v>39523.889849537038</v>
      </c>
      <c r="BI2377" s="22">
        <v>39549.294907407406</v>
      </c>
      <c r="BL2377">
        <v>8700</v>
      </c>
      <c r="BM2377">
        <v>1564725</v>
      </c>
      <c r="BN2377" t="s">
        <v>1674</v>
      </c>
      <c r="BO2377" s="17">
        <f t="shared" ca="1" si="37"/>
        <v>25.4195563657413</v>
      </c>
      <c r="BP2377" t="b">
        <v>0</v>
      </c>
      <c r="BQ2377">
        <v>1</v>
      </c>
      <c r="BR2377" t="s">
        <v>1686</v>
      </c>
      <c r="BS2377">
        <v>24</v>
      </c>
      <c r="BT2377" t="b">
        <v>0</v>
      </c>
      <c r="BU2377" t="s">
        <v>3856</v>
      </c>
      <c r="BV2377" t="s">
        <v>1668</v>
      </c>
      <c r="BW2377">
        <v>15543</v>
      </c>
      <c r="BY2377">
        <v>426865</v>
      </c>
      <c r="BZ2377" t="s">
        <v>5235</v>
      </c>
      <c r="CA2377">
        <v>1</v>
      </c>
      <c r="CB2377" t="b">
        <v>1</v>
      </c>
      <c r="CC2377">
        <v>0</v>
      </c>
      <c r="CD2377" t="b">
        <v>1</v>
      </c>
      <c r="CE2377" t="b">
        <v>0</v>
      </c>
      <c r="CF2377" t="b">
        <v>0</v>
      </c>
      <c r="CG2377">
        <v>2574451</v>
      </c>
      <c r="CH2377" t="s">
        <v>1681</v>
      </c>
      <c r="CI2377" s="10">
        <v>435000</v>
      </c>
      <c r="CJ2377" s="7">
        <v>36552</v>
      </c>
    </row>
    <row r="2378" spans="1:90">
      <c r="A2378">
        <v>28042692</v>
      </c>
      <c r="B2378" s="15" t="str">
        <f>HYPERLINK("http://www.redfin.com/stingray/do/printable-listing?listing-id=1559351","Subject To Inspection")</f>
        <v>Subject To Inspection</v>
      </c>
      <c r="D2378" t="s">
        <v>1129</v>
      </c>
      <c r="E2378" t="s">
        <v>3100</v>
      </c>
      <c r="F2378">
        <v>1075000</v>
      </c>
      <c r="G2378">
        <v>1991</v>
      </c>
      <c r="H2378">
        <v>2850</v>
      </c>
      <c r="I2378">
        <v>8217</v>
      </c>
      <c r="J2378">
        <v>3</v>
      </c>
      <c r="K2378">
        <v>2.5</v>
      </c>
      <c r="M2378" s="2" t="str">
        <f>HYPERLINK("http://maps.live.com/default.aspx?v=2&amp;lvl=15&amp;sp=Point.47.683255_-122.276226_4723 NE Park Pl&amp;cp=47.683255~-122.276226","Map")</f>
        <v>Map</v>
      </c>
      <c r="N2378" s="2" t="str">
        <f>HYPERLINK("http://i-0.rfimg.us/photo/1/bigphoto/692/28042692_3.jpg","Photo")</f>
        <v>Photo</v>
      </c>
      <c r="AG2378">
        <v>47.683255000000003</v>
      </c>
      <c r="AH2378">
        <v>-122.27622599999999</v>
      </c>
      <c r="AI2378" t="s">
        <v>66</v>
      </c>
      <c r="AJ2378">
        <v>98115</v>
      </c>
      <c r="AN2378">
        <v>680000</v>
      </c>
      <c r="BC2378" s="22">
        <v>39521.434108796297</v>
      </c>
      <c r="BI2378" s="7">
        <v>39539</v>
      </c>
      <c r="BL2378">
        <v>21500</v>
      </c>
      <c r="BM2378">
        <v>1559351</v>
      </c>
      <c r="BN2378" t="s">
        <v>3099</v>
      </c>
      <c r="BO2378" s="17">
        <f t="shared" ca="1" si="37"/>
        <v>27.875297106482321</v>
      </c>
      <c r="BP2378" t="b">
        <v>0</v>
      </c>
      <c r="BQ2378">
        <v>1</v>
      </c>
      <c r="BR2378" t="s">
        <v>1842</v>
      </c>
      <c r="BS2378" t="s">
        <v>3101</v>
      </c>
      <c r="BT2378" t="b">
        <v>0</v>
      </c>
      <c r="BU2378" t="s">
        <v>1738</v>
      </c>
      <c r="BV2378" t="s">
        <v>1668</v>
      </c>
      <c r="BW2378">
        <v>4723</v>
      </c>
      <c r="BY2378">
        <v>321318</v>
      </c>
      <c r="BZ2378" t="s">
        <v>3102</v>
      </c>
      <c r="CA2378">
        <v>1</v>
      </c>
      <c r="CB2378" t="b">
        <v>1</v>
      </c>
      <c r="CC2378">
        <v>0</v>
      </c>
      <c r="CD2378" t="b">
        <v>0</v>
      </c>
      <c r="CE2378" t="b">
        <v>0</v>
      </c>
      <c r="CF2378" t="b">
        <v>0</v>
      </c>
      <c r="CG2378">
        <v>2783485</v>
      </c>
      <c r="CH2378" t="s">
        <v>1681</v>
      </c>
      <c r="CI2378" s="10">
        <v>1075000</v>
      </c>
      <c r="CJ2378" s="7">
        <v>38303</v>
      </c>
    </row>
    <row r="2379" spans="1:90">
      <c r="A2379">
        <v>28042731</v>
      </c>
      <c r="B2379" s="2" t="str">
        <f>HYPERLINK("http://www.redfin.com/stingray/do/printable-listing?listing-id=1557041","Active")</f>
        <v>Active</v>
      </c>
      <c r="D2379" s="19" t="s">
        <v>3066</v>
      </c>
      <c r="E2379" t="s">
        <v>4653</v>
      </c>
      <c r="F2379">
        <v>750000</v>
      </c>
      <c r="G2379">
        <v>2002</v>
      </c>
      <c r="H2379">
        <v>2730</v>
      </c>
      <c r="I2379">
        <v>7200</v>
      </c>
      <c r="J2379">
        <v>4</v>
      </c>
      <c r="K2379">
        <v>2.5</v>
      </c>
      <c r="M2379" s="2" t="str">
        <f>HYPERLINK("http://maps.live.com/default.aspx?v=2&amp;lvl=15&amp;sp=Point.47.692286_-122.173321_10227 126th Ave NE&amp;cp=47.692286~-122.173321","Map")</f>
        <v>Map</v>
      </c>
      <c r="N2379" s="2" t="str">
        <f>HYPERLINK("http://i-0.rfimg.us/photo/1/bigphoto/731/28042731_2.jpg","Photo")</f>
        <v>Photo</v>
      </c>
      <c r="AG2379">
        <v>47.692286000000003</v>
      </c>
      <c r="AH2379">
        <v>-122.173321</v>
      </c>
      <c r="AI2379" t="s">
        <v>1058</v>
      </c>
      <c r="AJ2379">
        <v>98033</v>
      </c>
      <c r="AN2379">
        <v>474800</v>
      </c>
      <c r="BC2379" s="22">
        <v>39520.694212962961</v>
      </c>
      <c r="BI2379" s="22">
        <v>39549.294907407406</v>
      </c>
      <c r="BL2379">
        <v>15000</v>
      </c>
      <c r="BM2379">
        <v>1557041</v>
      </c>
      <c r="BN2379" t="s">
        <v>1821</v>
      </c>
      <c r="BO2379" s="17">
        <f t="shared" ca="1" si="37"/>
        <v>28.615192939818371</v>
      </c>
      <c r="BP2379" t="b">
        <v>0</v>
      </c>
      <c r="BQ2379">
        <v>1</v>
      </c>
      <c r="BR2379" t="s">
        <v>1667</v>
      </c>
      <c r="BS2379" t="s">
        <v>4544</v>
      </c>
      <c r="BT2379" t="b">
        <v>0</v>
      </c>
      <c r="BV2379" t="s">
        <v>1668</v>
      </c>
      <c r="BW2379">
        <v>10227</v>
      </c>
      <c r="BX2379" t="s">
        <v>1738</v>
      </c>
      <c r="BY2379">
        <v>513109</v>
      </c>
      <c r="BZ2379" t="s">
        <v>4654</v>
      </c>
      <c r="CA2379">
        <v>1</v>
      </c>
      <c r="CB2379" t="b">
        <v>1</v>
      </c>
      <c r="CC2379">
        <v>0</v>
      </c>
      <c r="CD2379" t="b">
        <v>0</v>
      </c>
      <c r="CE2379" t="b">
        <v>0</v>
      </c>
      <c r="CF2379" t="b">
        <v>0</v>
      </c>
      <c r="CG2379">
        <v>2684832</v>
      </c>
      <c r="CH2379" t="s">
        <v>1681</v>
      </c>
      <c r="CI2379" s="10">
        <v>750000</v>
      </c>
      <c r="CJ2379" s="7">
        <v>37440</v>
      </c>
      <c r="CL2379" t="s">
        <v>2204</v>
      </c>
    </row>
    <row r="2380" spans="1:90">
      <c r="A2380">
        <v>28042734</v>
      </c>
      <c r="B2380" s="15" t="str">
        <f>HYPERLINK("http://www.redfin.com/stingray/do/printable-listing?listing-id=1559810","Subject To Inspection")</f>
        <v>Subject To Inspection</v>
      </c>
      <c r="D2380" t="s">
        <v>4611</v>
      </c>
      <c r="E2380" t="s">
        <v>4935</v>
      </c>
      <c r="F2380">
        <v>589950</v>
      </c>
      <c r="G2380">
        <v>1972</v>
      </c>
      <c r="H2380">
        <v>2360</v>
      </c>
      <c r="I2380">
        <v>12166</v>
      </c>
      <c r="J2380">
        <v>4</v>
      </c>
      <c r="K2380">
        <v>2.5</v>
      </c>
      <c r="M2380" s="2" t="str">
        <f>HYPERLINK("http://maps.live.com/default.aspx?v=2&amp;lvl=15&amp;sp=Point.47.663753_-122.141569_14823 NE 64th St&amp;cp=47.663753~-122.141569","Map")</f>
        <v>Map</v>
      </c>
      <c r="N2380" s="2" t="str">
        <f>HYPERLINK("http://i-0.rfimg.us/photo/1/bigphoto/734/28042734_0.jpg","Photo")</f>
        <v>Photo</v>
      </c>
      <c r="AG2380">
        <v>47.663753</v>
      </c>
      <c r="AH2380">
        <v>-122.141569</v>
      </c>
      <c r="AI2380" t="s">
        <v>4363</v>
      </c>
      <c r="AJ2380">
        <v>98052</v>
      </c>
      <c r="AN2380">
        <v>465000</v>
      </c>
      <c r="BC2380" s="22">
        <v>39521.520590277774</v>
      </c>
      <c r="BI2380" s="22">
        <v>39549.294907407406</v>
      </c>
      <c r="BL2380">
        <v>11799</v>
      </c>
      <c r="BM2380">
        <v>1559810</v>
      </c>
      <c r="BN2380" t="s">
        <v>1768</v>
      </c>
      <c r="BO2380" s="17">
        <f t="shared" ca="1" si="37"/>
        <v>27.788815625004645</v>
      </c>
      <c r="BP2380" t="b">
        <v>0</v>
      </c>
      <c r="BQ2380">
        <v>1</v>
      </c>
      <c r="BR2380" t="s">
        <v>1686</v>
      </c>
      <c r="BS2380" t="s">
        <v>2405</v>
      </c>
      <c r="BT2380" t="b">
        <v>0</v>
      </c>
      <c r="BU2380" t="s">
        <v>1738</v>
      </c>
      <c r="BV2380" t="s">
        <v>1668</v>
      </c>
      <c r="BW2380">
        <v>14823</v>
      </c>
      <c r="BY2380">
        <v>514543</v>
      </c>
      <c r="BZ2380" t="s">
        <v>1713</v>
      </c>
      <c r="CA2380">
        <v>1</v>
      </c>
      <c r="CB2380" t="b">
        <v>1</v>
      </c>
      <c r="CC2380">
        <v>0</v>
      </c>
      <c r="CD2380" t="b">
        <v>0</v>
      </c>
      <c r="CE2380" t="b">
        <v>0</v>
      </c>
      <c r="CF2380" t="b">
        <v>0</v>
      </c>
      <c r="CG2380">
        <v>2978235</v>
      </c>
      <c r="CH2380" t="s">
        <v>1681</v>
      </c>
      <c r="CI2380" s="10">
        <v>589950</v>
      </c>
      <c r="CJ2380" s="7">
        <v>38446</v>
      </c>
    </row>
    <row r="2381" spans="1:90">
      <c r="A2381">
        <v>28042735</v>
      </c>
      <c r="B2381" s="2" t="str">
        <f>HYPERLINK("http://www.redfin.com/stingray/do/printable-listing?listing-id=1557076","Subject To Inspection")</f>
        <v>Subject To Inspection</v>
      </c>
      <c r="D2381" t="s">
        <v>63</v>
      </c>
      <c r="E2381" t="s">
        <v>2148</v>
      </c>
      <c r="F2381">
        <v>499950</v>
      </c>
      <c r="G2381">
        <v>1926</v>
      </c>
      <c r="H2381">
        <v>1940</v>
      </c>
      <c r="I2381">
        <v>4000</v>
      </c>
      <c r="J2381">
        <v>2</v>
      </c>
      <c r="K2381">
        <v>1</v>
      </c>
      <c r="M2381" s="2" t="str">
        <f>HYPERLINK("http://maps.live.com/default.aspx?v=2&amp;lvl=15&amp;sp=Point.47.669662_-122.368387_848 NW 56th St&amp;cp=47.669662~-122.368387","Map")</f>
        <v>Map</v>
      </c>
      <c r="N2381" s="2" t="str">
        <f>HYPERLINK("http://i-0.rfimg.us/photo/1/bigphoto/735/28042735_3.jpg","Photo")</f>
        <v>Photo</v>
      </c>
      <c r="AG2381">
        <v>47.669662000000002</v>
      </c>
      <c r="AH2381">
        <v>-122.368387</v>
      </c>
      <c r="AI2381" t="s">
        <v>66</v>
      </c>
      <c r="AJ2381">
        <v>98107</v>
      </c>
      <c r="AN2381">
        <v>112000</v>
      </c>
      <c r="BC2381" s="22">
        <v>39520.703587962962</v>
      </c>
      <c r="BI2381" s="7">
        <v>39534</v>
      </c>
      <c r="BL2381">
        <v>9999</v>
      </c>
      <c r="BM2381">
        <v>1557076</v>
      </c>
      <c r="BN2381" t="s">
        <v>1688</v>
      </c>
      <c r="BO2381" s="17">
        <f t="shared" ca="1" si="37"/>
        <v>28.605818055555574</v>
      </c>
      <c r="BP2381" t="b">
        <v>0</v>
      </c>
      <c r="BQ2381">
        <v>2</v>
      </c>
      <c r="BR2381" t="s">
        <v>1686</v>
      </c>
      <c r="BS2381" t="s">
        <v>2467</v>
      </c>
      <c r="BT2381" t="b">
        <v>0</v>
      </c>
      <c r="BU2381" t="s">
        <v>1669</v>
      </c>
      <c r="BV2381" t="s">
        <v>1668</v>
      </c>
      <c r="BW2381">
        <v>848</v>
      </c>
      <c r="BY2381">
        <v>493424</v>
      </c>
      <c r="BZ2381" t="s">
        <v>2562</v>
      </c>
      <c r="CA2381">
        <v>1</v>
      </c>
      <c r="CB2381" t="b">
        <v>1</v>
      </c>
      <c r="CC2381">
        <v>0</v>
      </c>
      <c r="CD2381" t="b">
        <v>0</v>
      </c>
      <c r="CE2381" t="b">
        <v>0</v>
      </c>
      <c r="CF2381" t="b">
        <v>0</v>
      </c>
      <c r="CG2381">
        <v>2524330</v>
      </c>
      <c r="CH2381" t="s">
        <v>1681</v>
      </c>
      <c r="CI2381" s="10">
        <v>499950</v>
      </c>
      <c r="CJ2381" s="7">
        <v>37099</v>
      </c>
    </row>
    <row r="2382" spans="1:90">
      <c r="A2382">
        <v>28042777</v>
      </c>
      <c r="B2382" s="2" t="str">
        <f>HYPERLINK("http://www.redfin.com/stingray/do/printable-listing?listing-id=1549408","Active")</f>
        <v>Active</v>
      </c>
      <c r="D2382" t="s">
        <v>5490</v>
      </c>
      <c r="E2382" t="s">
        <v>5582</v>
      </c>
      <c r="F2382">
        <v>799950</v>
      </c>
      <c r="G2382">
        <v>2001</v>
      </c>
      <c r="H2382">
        <v>2980</v>
      </c>
      <c r="I2382">
        <v>6247</v>
      </c>
      <c r="J2382">
        <v>4</v>
      </c>
      <c r="K2382">
        <v>3</v>
      </c>
      <c r="M2382" s="2" t="str">
        <f>HYPERLINK("http://maps.live.com/default.aspx?v=2&amp;lvl=15&amp;sp=Point.47.544445_-122.11975_16518 SE 64th Pl&amp;cp=47.544445~-122.11975","Map")</f>
        <v>Map</v>
      </c>
      <c r="N2382" s="2" t="str">
        <f>HYPERLINK("http://i-0.rfimg.us/photo/1/bigphoto/777/28042777_0.jpg","Photo")</f>
        <v>Photo</v>
      </c>
      <c r="AG2382">
        <v>47.544445000000003</v>
      </c>
      <c r="AH2382">
        <v>-122.11975</v>
      </c>
      <c r="AI2382" t="s">
        <v>369</v>
      </c>
      <c r="AJ2382">
        <v>98006</v>
      </c>
      <c r="AN2382">
        <v>544000</v>
      </c>
      <c r="BC2382" s="22">
        <v>39518.536423611113</v>
      </c>
      <c r="BI2382" s="22">
        <v>39549.294907407406</v>
      </c>
      <c r="BL2382">
        <v>15999</v>
      </c>
      <c r="BM2382">
        <v>1549408</v>
      </c>
      <c r="BN2382" t="s">
        <v>1774</v>
      </c>
      <c r="BO2382" s="17">
        <f t="shared" ca="1" si="37"/>
        <v>30.772982291666267</v>
      </c>
      <c r="BP2382" t="b">
        <v>0</v>
      </c>
      <c r="BQ2382">
        <v>1</v>
      </c>
      <c r="BR2382" t="s">
        <v>1842</v>
      </c>
      <c r="BS2382" t="s">
        <v>2405</v>
      </c>
      <c r="BT2382" t="b">
        <v>0</v>
      </c>
      <c r="BU2382" t="s">
        <v>3856</v>
      </c>
      <c r="BV2382" t="s">
        <v>1668</v>
      </c>
      <c r="BW2382">
        <v>16518</v>
      </c>
      <c r="BY2382">
        <v>418915</v>
      </c>
      <c r="BZ2382" s="21">
        <v>0</v>
      </c>
      <c r="CA2382">
        <v>1</v>
      </c>
      <c r="CB2382" t="b">
        <v>1</v>
      </c>
      <c r="CC2382">
        <v>0</v>
      </c>
      <c r="CD2382" t="b">
        <v>0</v>
      </c>
      <c r="CE2382" t="b">
        <v>0</v>
      </c>
      <c r="CF2382" t="b">
        <v>0</v>
      </c>
      <c r="CG2382">
        <v>2627036</v>
      </c>
      <c r="CH2382" t="s">
        <v>1681</v>
      </c>
      <c r="CI2382" s="10">
        <v>799950</v>
      </c>
      <c r="CJ2382" s="7">
        <v>37102</v>
      </c>
    </row>
    <row r="2383" spans="1:90">
      <c r="A2383">
        <v>28042782</v>
      </c>
      <c r="B2383" s="2" t="str">
        <f>HYPERLINK("http://www.redfin.com/stingray/do/printable-listing?listing-id=1550397","Subject To Inspection")</f>
        <v>Subject To Inspection</v>
      </c>
      <c r="D2383" t="s">
        <v>5201</v>
      </c>
      <c r="E2383" t="s">
        <v>5259</v>
      </c>
      <c r="F2383">
        <v>525000</v>
      </c>
      <c r="G2383">
        <v>1969</v>
      </c>
      <c r="H2383">
        <v>2670</v>
      </c>
      <c r="I2383">
        <v>8960</v>
      </c>
      <c r="J2383">
        <v>4</v>
      </c>
      <c r="K2383">
        <v>2.25</v>
      </c>
      <c r="M2383" s="2" t="str">
        <f>HYPERLINK("http://maps.live.com/default.aspx?v=2&amp;lvl=15&amp;sp=Point.47.593769_-122.118215_16570 SE 19th St&amp;cp=47.593769~-122.118215","Map")</f>
        <v>Map</v>
      </c>
      <c r="N2383" s="2" t="str">
        <f>HYPERLINK("http://i-0.rfimg.us/photo/1/bigphoto/782/28042782_1.jpg","Photo")</f>
        <v>Photo</v>
      </c>
      <c r="AG2383">
        <v>47.593769000000002</v>
      </c>
      <c r="AH2383">
        <v>-122.11821500000001</v>
      </c>
      <c r="AI2383" t="s">
        <v>369</v>
      </c>
      <c r="AJ2383">
        <v>98008</v>
      </c>
      <c r="AN2383">
        <v>141400</v>
      </c>
      <c r="BC2383" s="22">
        <v>39518.766400462962</v>
      </c>
      <c r="BI2383" s="7">
        <v>39531</v>
      </c>
      <c r="BL2383">
        <v>10500</v>
      </c>
      <c r="BM2383">
        <v>1550397</v>
      </c>
      <c r="BN2383" t="s">
        <v>2356</v>
      </c>
      <c r="BO2383" s="17">
        <f t="shared" ca="1" si="37"/>
        <v>30.543005439816625</v>
      </c>
      <c r="BP2383" t="b">
        <v>0</v>
      </c>
      <c r="BQ2383">
        <v>2</v>
      </c>
      <c r="BR2383" t="s">
        <v>1686</v>
      </c>
      <c r="BS2383" t="s">
        <v>1906</v>
      </c>
      <c r="BT2383" t="b">
        <v>0</v>
      </c>
      <c r="BU2383" t="s">
        <v>3856</v>
      </c>
      <c r="BV2383" t="s">
        <v>1668</v>
      </c>
      <c r="BW2383">
        <v>16570</v>
      </c>
      <c r="BY2383">
        <v>429762</v>
      </c>
      <c r="BZ2383" t="s">
        <v>1704</v>
      </c>
      <c r="CA2383">
        <v>1</v>
      </c>
      <c r="CB2383" t="b">
        <v>1</v>
      </c>
      <c r="CC2383">
        <v>0</v>
      </c>
      <c r="CD2383" t="b">
        <v>0</v>
      </c>
      <c r="CE2383" t="b">
        <v>0</v>
      </c>
      <c r="CF2383" t="b">
        <v>0</v>
      </c>
      <c r="CG2383">
        <v>2771648</v>
      </c>
      <c r="CH2383" t="s">
        <v>1681</v>
      </c>
      <c r="CI2383" s="10">
        <v>525000</v>
      </c>
      <c r="CJ2383" s="7">
        <v>32601</v>
      </c>
    </row>
    <row r="2384" spans="1:90">
      <c r="A2384">
        <v>28042856</v>
      </c>
      <c r="B2384" s="2" t="str">
        <f>HYPERLINK("http://www.redfin.com/stingray/do/printable-listing?listing-id=1552449","Active")</f>
        <v>Active</v>
      </c>
      <c r="D2384" t="s">
        <v>5119</v>
      </c>
      <c r="E2384" t="s">
        <v>5150</v>
      </c>
      <c r="F2384">
        <v>559950</v>
      </c>
      <c r="G2384">
        <v>1958</v>
      </c>
      <c r="H2384">
        <v>1975</v>
      </c>
      <c r="I2384">
        <v>16000</v>
      </c>
      <c r="J2384">
        <v>3</v>
      </c>
      <c r="K2384">
        <v>1.75</v>
      </c>
      <c r="M2384" s="2" t="str">
        <f>HYPERLINK("http://maps.live.com/default.aspx?v=2&amp;lvl=15&amp;sp=Point.47.589755_-122.170611_2342 127th Ave SE&amp;cp=47.589755~-122.170611","Map")</f>
        <v>Map</v>
      </c>
      <c r="N2384" s="2" t="str">
        <f>HYPERLINK("http://i-0.rfimg.us/photo/1/bigphoto/856/28042856_1.jpg","Photo")</f>
        <v>Photo</v>
      </c>
      <c r="AG2384">
        <v>47.589754999999997</v>
      </c>
      <c r="AH2384">
        <v>-122.17061099999999</v>
      </c>
      <c r="AI2384" t="s">
        <v>369</v>
      </c>
      <c r="AJ2384">
        <v>98005</v>
      </c>
      <c r="AN2384">
        <v>360000</v>
      </c>
      <c r="BC2384" s="22">
        <v>39519.485300925924</v>
      </c>
      <c r="BI2384" s="22">
        <v>39549.294907407406</v>
      </c>
      <c r="BL2384">
        <v>11199</v>
      </c>
      <c r="BM2384">
        <v>1552449</v>
      </c>
      <c r="BN2384" t="s">
        <v>1768</v>
      </c>
      <c r="BO2384" s="17">
        <f t="shared" ca="1" si="37"/>
        <v>29.824104976854869</v>
      </c>
      <c r="BP2384" t="b">
        <v>0</v>
      </c>
      <c r="BQ2384">
        <v>1</v>
      </c>
      <c r="BR2384" t="s">
        <v>1667</v>
      </c>
      <c r="BS2384" t="s">
        <v>2698</v>
      </c>
      <c r="BT2384" t="b">
        <v>0</v>
      </c>
      <c r="BV2384" t="s">
        <v>1668</v>
      </c>
      <c r="BW2384">
        <v>2342</v>
      </c>
      <c r="BX2384" t="s">
        <v>3856</v>
      </c>
      <c r="BY2384">
        <v>508671</v>
      </c>
      <c r="BZ2384" t="s">
        <v>5151</v>
      </c>
      <c r="CA2384">
        <v>1</v>
      </c>
      <c r="CB2384" t="b">
        <v>1</v>
      </c>
      <c r="CC2384">
        <v>0</v>
      </c>
      <c r="CD2384" t="b">
        <v>0</v>
      </c>
      <c r="CE2384" t="b">
        <v>0</v>
      </c>
      <c r="CF2384" t="b">
        <v>0</v>
      </c>
      <c r="CG2384">
        <v>2751698</v>
      </c>
      <c r="CH2384" t="s">
        <v>1681</v>
      </c>
      <c r="CI2384" s="10">
        <v>559950</v>
      </c>
      <c r="CJ2384" s="7">
        <v>37859</v>
      </c>
    </row>
    <row r="2385" spans="1:90">
      <c r="A2385">
        <v>28042860</v>
      </c>
      <c r="B2385" s="2" t="str">
        <f>HYPERLINK("http://www.redfin.com/stingray/do/printable-listing?listing-id=1550128","Active")</f>
        <v>Active</v>
      </c>
      <c r="D2385" t="s">
        <v>100</v>
      </c>
      <c r="E2385" t="s">
        <v>2198</v>
      </c>
      <c r="F2385">
        <v>469950</v>
      </c>
      <c r="G2385">
        <v>2000</v>
      </c>
      <c r="H2385">
        <v>1285</v>
      </c>
      <c r="I2385">
        <v>0</v>
      </c>
      <c r="J2385">
        <v>2</v>
      </c>
      <c r="K2385">
        <v>1.5</v>
      </c>
      <c r="M2385" s="2" t="str">
        <f>HYPERLINK("http://maps.live.com/default.aspx?v=2&amp;lvl=15&amp;sp=Point.47.653122_-122.353243_3652 Francis Ave N&amp;cp=47.653122~-122.353243","Map")</f>
        <v>Map</v>
      </c>
      <c r="N2385" s="2" t="str">
        <f>HYPERLINK("http://i-0.rfimg.us/photo/1/bigphoto/860/28042860_1.jpg","Photo")</f>
        <v>Photo</v>
      </c>
      <c r="AG2385">
        <v>47.653122000000003</v>
      </c>
      <c r="AH2385">
        <v>-122.35324300000001</v>
      </c>
      <c r="AI2385" t="s">
        <v>66</v>
      </c>
      <c r="AJ2385">
        <v>98103</v>
      </c>
      <c r="BC2385" s="22">
        <v>39518.683831018519</v>
      </c>
      <c r="BI2385" s="22">
        <v>39549.294907407406</v>
      </c>
      <c r="BL2385">
        <v>9399</v>
      </c>
      <c r="BM2385">
        <v>1550128</v>
      </c>
      <c r="BN2385" t="s">
        <v>3324</v>
      </c>
      <c r="BO2385" s="17">
        <f t="shared" ca="1" si="37"/>
        <v>30.625574884259549</v>
      </c>
      <c r="BP2385" t="b">
        <v>0</v>
      </c>
      <c r="BQ2385">
        <v>1</v>
      </c>
      <c r="BR2385" t="s">
        <v>1667</v>
      </c>
      <c r="BS2385" t="s">
        <v>2648</v>
      </c>
      <c r="BT2385" t="b">
        <v>0</v>
      </c>
      <c r="BV2385" t="s">
        <v>1668</v>
      </c>
      <c r="BW2385">
        <v>3652</v>
      </c>
      <c r="BX2385" t="s">
        <v>1712</v>
      </c>
      <c r="BY2385">
        <v>2093177</v>
      </c>
      <c r="BZ2385" t="s">
        <v>3215</v>
      </c>
      <c r="CA2385">
        <v>1</v>
      </c>
      <c r="CB2385" t="b">
        <v>1</v>
      </c>
      <c r="CC2385">
        <v>0</v>
      </c>
      <c r="CD2385" t="b">
        <v>0</v>
      </c>
      <c r="CE2385" t="b">
        <v>0</v>
      </c>
      <c r="CF2385" t="b">
        <v>0</v>
      </c>
      <c r="CG2385">
        <v>2945505</v>
      </c>
      <c r="CH2385" t="s">
        <v>1681</v>
      </c>
      <c r="CI2385" s="10">
        <v>469950</v>
      </c>
    </row>
    <row r="2386" spans="1:90">
      <c r="A2386">
        <v>28042913</v>
      </c>
      <c r="B2386" s="2" t="str">
        <f>HYPERLINK("http://www.redfin.com/stingray/do/printable-listing?listing-id=1560062","Subject To Inspection")</f>
        <v>Subject To Inspection</v>
      </c>
      <c r="D2386" t="s">
        <v>3249</v>
      </c>
      <c r="E2386" t="s">
        <v>4315</v>
      </c>
      <c r="F2386">
        <v>3450000</v>
      </c>
      <c r="G2386">
        <v>1924</v>
      </c>
      <c r="H2386">
        <v>4080</v>
      </c>
      <c r="I2386">
        <v>6250</v>
      </c>
      <c r="J2386">
        <v>4</v>
      </c>
      <c r="K2386">
        <v>3.25</v>
      </c>
      <c r="M2386" s="2" t="str">
        <f>HYPERLINK("http://maps.live.com/default.aspx?v=2&amp;lvl=15&amp;sp=Point.47.629325_-122.360769_303 W Highland Dr&amp;cp=47.629325~-122.360769","Map")</f>
        <v>Map</v>
      </c>
      <c r="N2386" s="2" t="str">
        <f>HYPERLINK("http://i-0.rfimg.us/photo/1/bigphoto/913/28042913_1.jpg","Photo")</f>
        <v>Photo</v>
      </c>
      <c r="AG2386">
        <v>47.629325000000001</v>
      </c>
      <c r="AH2386">
        <v>-122.360769</v>
      </c>
      <c r="AI2386" t="s">
        <v>66</v>
      </c>
      <c r="AJ2386">
        <v>98119</v>
      </c>
      <c r="AN2386">
        <v>3300000</v>
      </c>
      <c r="BC2386" s="22">
        <v>39521.542696759258</v>
      </c>
      <c r="BI2386" s="7">
        <v>39533</v>
      </c>
      <c r="BL2386">
        <v>69000</v>
      </c>
      <c r="BM2386">
        <v>1560062</v>
      </c>
      <c r="BN2386" t="s">
        <v>1710</v>
      </c>
      <c r="BO2386" s="17">
        <f t="shared" ca="1" si="37"/>
        <v>27.766709143521439</v>
      </c>
      <c r="BP2386" t="b">
        <v>0</v>
      </c>
      <c r="BQ2386">
        <v>2</v>
      </c>
      <c r="BR2386" t="s">
        <v>1816</v>
      </c>
      <c r="BS2386" t="s">
        <v>3651</v>
      </c>
      <c r="BT2386" t="b">
        <v>0</v>
      </c>
      <c r="BU2386" t="s">
        <v>2423</v>
      </c>
      <c r="BV2386" t="s">
        <v>1668</v>
      </c>
      <c r="BW2386">
        <v>303</v>
      </c>
      <c r="BY2386">
        <v>133568</v>
      </c>
      <c r="BZ2386" t="s">
        <v>3584</v>
      </c>
      <c r="CA2386">
        <v>1</v>
      </c>
      <c r="CB2386" t="b">
        <v>1</v>
      </c>
      <c r="CC2386">
        <v>0</v>
      </c>
      <c r="CD2386" t="b">
        <v>0</v>
      </c>
      <c r="CE2386" t="b">
        <v>0</v>
      </c>
      <c r="CF2386" t="b">
        <v>0</v>
      </c>
      <c r="CG2386">
        <v>2436000</v>
      </c>
      <c r="CH2386" t="s">
        <v>1681</v>
      </c>
      <c r="CI2386" s="10">
        <v>3450000</v>
      </c>
      <c r="CJ2386" s="7">
        <v>38796</v>
      </c>
    </row>
    <row r="2387" spans="1:90">
      <c r="A2387">
        <v>28042926</v>
      </c>
      <c r="B2387" s="15" t="str">
        <f>HYPERLINK("http://www.redfin.com/stingray/do/printable-listing?listing-id=1551767","Subject To Inspection")</f>
        <v>Subject To Inspection</v>
      </c>
      <c r="D2387" t="s">
        <v>88</v>
      </c>
      <c r="E2387" t="s">
        <v>1967</v>
      </c>
      <c r="F2387">
        <v>769000</v>
      </c>
      <c r="G2387">
        <v>1923</v>
      </c>
      <c r="H2387">
        <v>2540</v>
      </c>
      <c r="I2387">
        <v>4200</v>
      </c>
      <c r="J2387">
        <v>5</v>
      </c>
      <c r="K2387">
        <v>3</v>
      </c>
      <c r="M2387" s="2" t="str">
        <f>HYPERLINK("http://maps.live.com/default.aspx?v=2&amp;lvl=15&amp;sp=Point.47.67764_-122.360814_6557 3rd Ave NW&amp;cp=47.67764~-122.360814","Map")</f>
        <v>Map</v>
      </c>
      <c r="N2387" s="2" t="str">
        <f>HYPERLINK("http://i-0.rfimg.us/photo/1/bigphoto/926/28042926_1.jpg","Photo")</f>
        <v>Photo</v>
      </c>
      <c r="AG2387">
        <v>47.677639999999997</v>
      </c>
      <c r="AH2387">
        <v>-122.360814</v>
      </c>
      <c r="AI2387" t="s">
        <v>66</v>
      </c>
      <c r="AJ2387">
        <v>98117</v>
      </c>
      <c r="AN2387">
        <v>132000</v>
      </c>
      <c r="BC2387" s="22">
        <v>39519.317048611112</v>
      </c>
      <c r="BI2387" s="7">
        <v>39534</v>
      </c>
      <c r="BL2387">
        <v>15380</v>
      </c>
      <c r="BM2387">
        <v>1551767</v>
      </c>
      <c r="BN2387" t="s">
        <v>1710</v>
      </c>
      <c r="BO2387" s="17">
        <f t="shared" ca="1" si="37"/>
        <v>29.992357407405507</v>
      </c>
      <c r="BP2387" t="b">
        <v>0</v>
      </c>
      <c r="BQ2387">
        <v>1</v>
      </c>
      <c r="BR2387" t="s">
        <v>1667</v>
      </c>
      <c r="BS2387" t="s">
        <v>1796</v>
      </c>
      <c r="BT2387" t="b">
        <v>0</v>
      </c>
      <c r="BV2387" t="s">
        <v>1668</v>
      </c>
      <c r="BW2387">
        <v>6557</v>
      </c>
      <c r="BX2387" t="s">
        <v>1669</v>
      </c>
      <c r="BY2387">
        <v>498287</v>
      </c>
      <c r="BZ2387" t="s">
        <v>1820</v>
      </c>
      <c r="CA2387">
        <v>1</v>
      </c>
      <c r="CB2387" t="b">
        <v>1</v>
      </c>
      <c r="CC2387">
        <v>0</v>
      </c>
      <c r="CD2387" t="b">
        <v>0</v>
      </c>
      <c r="CE2387" t="b">
        <v>1</v>
      </c>
      <c r="CF2387" t="b">
        <v>0</v>
      </c>
      <c r="CG2387">
        <v>2436866</v>
      </c>
      <c r="CH2387" t="s">
        <v>1681</v>
      </c>
      <c r="CI2387" s="10">
        <v>769000</v>
      </c>
      <c r="CJ2387" s="7">
        <v>34288</v>
      </c>
      <c r="CK2387" t="s">
        <v>2058</v>
      </c>
    </row>
    <row r="2388" spans="1:90">
      <c r="A2388">
        <v>28042952</v>
      </c>
      <c r="B2388" s="2" t="str">
        <f>HYPERLINK("http://www.redfin.com/stingray/do/printable-listing?listing-id=1549804","Active")</f>
        <v>Active</v>
      </c>
      <c r="D2388" t="s">
        <v>70</v>
      </c>
      <c r="E2388" t="s">
        <v>2676</v>
      </c>
      <c r="F2388" s="19">
        <v>339999</v>
      </c>
      <c r="G2388">
        <v>2007</v>
      </c>
      <c r="H2388">
        <v>1662</v>
      </c>
      <c r="I2388">
        <v>0</v>
      </c>
      <c r="J2388">
        <v>3</v>
      </c>
      <c r="K2388">
        <v>2.25</v>
      </c>
      <c r="M2388" s="2" t="str">
        <f>HYPERLINK("http://maps.live.com/default.aspx?v=2&amp;lvl=15&amp;sp=Point.47.714487_-122.355071_11708 Greenwood Ave N nC&amp;cp=47.714487~-122.355071","Map")</f>
        <v>Map</v>
      </c>
      <c r="N2388" s="2" t="str">
        <f>HYPERLINK("http://i-0.rfimg.us/photo/1/bigphoto/952/28042952_0.jpg","Photo")</f>
        <v>Photo</v>
      </c>
      <c r="AG2388">
        <v>47.714486999999998</v>
      </c>
      <c r="AH2388">
        <v>-122.355071</v>
      </c>
      <c r="AI2388" t="s">
        <v>66</v>
      </c>
      <c r="AJ2388">
        <v>98133</v>
      </c>
      <c r="AM2388" t="s">
        <v>2341</v>
      </c>
      <c r="BC2388" s="22">
        <v>39518.62537037037</v>
      </c>
      <c r="BI2388" s="22">
        <v>39549.294907407406</v>
      </c>
      <c r="BL2388">
        <v>6898</v>
      </c>
      <c r="BM2388">
        <v>1549804</v>
      </c>
      <c r="BN2388" t="s">
        <v>1725</v>
      </c>
      <c r="BO2388" s="17">
        <f t="shared" ca="1" si="37"/>
        <v>30.684035532409325</v>
      </c>
      <c r="BP2388" t="b">
        <v>0</v>
      </c>
      <c r="BQ2388">
        <v>1</v>
      </c>
      <c r="BR2388" t="s">
        <v>1667</v>
      </c>
      <c r="BS2388" t="s">
        <v>55</v>
      </c>
      <c r="BT2388" t="b">
        <v>0</v>
      </c>
      <c r="BV2388" t="s">
        <v>1668</v>
      </c>
      <c r="BW2388">
        <v>11708</v>
      </c>
      <c r="BX2388" t="s">
        <v>1712</v>
      </c>
      <c r="BY2388">
        <v>12425948</v>
      </c>
      <c r="BZ2388" t="s">
        <v>1747</v>
      </c>
      <c r="CA2388">
        <v>1</v>
      </c>
      <c r="CB2388" t="b">
        <v>1</v>
      </c>
      <c r="CC2388">
        <v>0</v>
      </c>
      <c r="CD2388" t="b">
        <v>0</v>
      </c>
      <c r="CE2388" t="b">
        <v>0</v>
      </c>
      <c r="CF2388" t="b">
        <v>0</v>
      </c>
      <c r="CG2388">
        <v>15519310</v>
      </c>
      <c r="CH2388" t="s">
        <v>1681</v>
      </c>
      <c r="CI2388" s="10">
        <v>344888</v>
      </c>
    </row>
    <row r="2389" spans="1:90">
      <c r="A2389">
        <v>28042979</v>
      </c>
      <c r="B2389" s="2" t="str">
        <f>HYPERLINK("http://www.redfin.com/stingray/do/printable-listing?listing-id=1549946","Active")</f>
        <v>Active</v>
      </c>
      <c r="D2389" t="s">
        <v>5490</v>
      </c>
      <c r="E2389" t="s">
        <v>5653</v>
      </c>
      <c r="F2389">
        <v>645000</v>
      </c>
      <c r="G2389">
        <v>1985</v>
      </c>
      <c r="H2389">
        <v>2330</v>
      </c>
      <c r="I2389">
        <v>9583</v>
      </c>
      <c r="J2389">
        <v>4</v>
      </c>
      <c r="K2389">
        <v>2.5</v>
      </c>
      <c r="M2389" s="2" t="str">
        <f>HYPERLINK("http://maps.live.com/default.aspx?v=2&amp;lvl=15&amp;sp=Point.47.562761_-122.11403_16831 SE 46th St&amp;cp=47.562761~-122.11403","Map")</f>
        <v>Map</v>
      </c>
      <c r="N2389" s="2" t="str">
        <f>HYPERLINK("http://i-0.rfimg.us/photo/1/bigphoto/979/28042979_3.jpg","Photo")</f>
        <v>Photo</v>
      </c>
      <c r="AG2389">
        <v>47.562761000000002</v>
      </c>
      <c r="AH2389">
        <v>-122.11403</v>
      </c>
      <c r="AI2389" t="s">
        <v>369</v>
      </c>
      <c r="AJ2389">
        <v>98006</v>
      </c>
      <c r="AN2389">
        <v>137000</v>
      </c>
      <c r="BC2389" s="22">
        <v>39518.65216435185</v>
      </c>
      <c r="BI2389" s="22">
        <v>39549.294907407406</v>
      </c>
      <c r="BL2389">
        <v>12900</v>
      </c>
      <c r="BM2389">
        <v>1549946</v>
      </c>
      <c r="BN2389" t="s">
        <v>1674</v>
      </c>
      <c r="BO2389" s="17">
        <f t="shared" ca="1" si="37"/>
        <v>30.657241550929029</v>
      </c>
      <c r="BP2389" t="b">
        <v>0</v>
      </c>
      <c r="BQ2389">
        <v>1</v>
      </c>
      <c r="BR2389" t="s">
        <v>1686</v>
      </c>
      <c r="BS2389" t="s">
        <v>2471</v>
      </c>
      <c r="BT2389" t="b">
        <v>0</v>
      </c>
      <c r="BU2389" t="s">
        <v>3856</v>
      </c>
      <c r="BV2389" t="s">
        <v>1668</v>
      </c>
      <c r="BW2389">
        <v>16831</v>
      </c>
      <c r="BY2389">
        <v>237384</v>
      </c>
      <c r="BZ2389" t="s">
        <v>5654</v>
      </c>
      <c r="CA2389">
        <v>1</v>
      </c>
      <c r="CB2389" t="b">
        <v>1</v>
      </c>
      <c r="CC2389">
        <v>0</v>
      </c>
      <c r="CD2389" t="b">
        <v>0</v>
      </c>
      <c r="CE2389" t="b">
        <v>0</v>
      </c>
      <c r="CF2389" t="b">
        <v>0</v>
      </c>
      <c r="CG2389">
        <v>2988229</v>
      </c>
      <c r="CH2389" t="s">
        <v>1681</v>
      </c>
      <c r="CI2389" s="10">
        <v>645000</v>
      </c>
      <c r="CJ2389" s="7">
        <v>31519</v>
      </c>
    </row>
    <row r="2390" spans="1:90">
      <c r="A2390">
        <v>28042980</v>
      </c>
      <c r="B2390" s="2" t="str">
        <f>HYPERLINK("http://www.redfin.com/stingray/do/printable-listing?listing-id=1553349","Active")</f>
        <v>Active</v>
      </c>
      <c r="D2390" t="s">
        <v>2850</v>
      </c>
      <c r="E2390" t="s">
        <v>4391</v>
      </c>
      <c r="F2390">
        <v>595000</v>
      </c>
      <c r="G2390">
        <v>1950</v>
      </c>
      <c r="H2390">
        <v>1450</v>
      </c>
      <c r="I2390">
        <v>15720</v>
      </c>
      <c r="J2390">
        <v>2</v>
      </c>
      <c r="K2390">
        <v>1</v>
      </c>
      <c r="M2390" s="2" t="str">
        <f>HYPERLINK("http://maps.live.com/default.aspx?v=2&amp;lvl=15&amp;sp=Point.47.699781_-122.229269_8327 NE 110th Pl&amp;cp=47.699781~-122.229269","Map")</f>
        <v>Map</v>
      </c>
      <c r="N2390" s="2" t="str">
        <f>HYPERLINK("http://i-0.rfimg.us/photo/1/bigphoto/980/28042980_0.jpg","Photo")</f>
        <v>Photo</v>
      </c>
      <c r="AG2390">
        <v>47.699781000000002</v>
      </c>
      <c r="AH2390">
        <v>-122.229269</v>
      </c>
      <c r="AI2390" t="s">
        <v>1058</v>
      </c>
      <c r="AJ2390">
        <v>98034</v>
      </c>
      <c r="AN2390">
        <v>460000</v>
      </c>
      <c r="BC2390" s="22">
        <v>39519.662060185183</v>
      </c>
      <c r="BI2390" s="22">
        <v>39549.294907407406</v>
      </c>
      <c r="BL2390">
        <v>11900</v>
      </c>
      <c r="BM2390">
        <v>1553349</v>
      </c>
      <c r="BN2390" t="s">
        <v>1735</v>
      </c>
      <c r="BO2390" s="17">
        <f t="shared" ca="1" si="37"/>
        <v>29.647345717596181</v>
      </c>
      <c r="BP2390" t="b">
        <v>0</v>
      </c>
      <c r="BQ2390">
        <v>1</v>
      </c>
      <c r="BR2390" t="s">
        <v>1842</v>
      </c>
      <c r="BS2390" t="s">
        <v>4369</v>
      </c>
      <c r="BT2390" t="b">
        <v>0</v>
      </c>
      <c r="BU2390" t="s">
        <v>1738</v>
      </c>
      <c r="BV2390" t="s">
        <v>1668</v>
      </c>
      <c r="BW2390">
        <v>8327</v>
      </c>
      <c r="BY2390">
        <v>282173</v>
      </c>
      <c r="BZ2390" t="s">
        <v>1745</v>
      </c>
      <c r="CA2390">
        <v>1</v>
      </c>
      <c r="CB2390" t="b">
        <v>1</v>
      </c>
      <c r="CC2390">
        <v>0</v>
      </c>
      <c r="CD2390" t="b">
        <v>0</v>
      </c>
      <c r="CE2390" t="b">
        <v>0</v>
      </c>
      <c r="CF2390" t="b">
        <v>0</v>
      </c>
      <c r="CG2390">
        <v>2694322</v>
      </c>
      <c r="CH2390" t="s">
        <v>1681</v>
      </c>
      <c r="CI2390" s="10">
        <v>595000</v>
      </c>
      <c r="CJ2390" s="7">
        <v>38238</v>
      </c>
      <c r="CL2390" s="19" t="s">
        <v>6682</v>
      </c>
    </row>
    <row r="2391" spans="1:90">
      <c r="A2391">
        <v>28042994</v>
      </c>
      <c r="B2391" s="15" t="str">
        <f>HYPERLINK("http://www.redfin.com/stingray/do/printable-listing?listing-id=1560515","Subject To Inspection")</f>
        <v>Subject To Inspection</v>
      </c>
      <c r="D2391" t="s">
        <v>63</v>
      </c>
      <c r="E2391" t="s">
        <v>1705</v>
      </c>
      <c r="F2391">
        <v>465000</v>
      </c>
      <c r="G2391">
        <v>1942</v>
      </c>
      <c r="H2391">
        <v>1150</v>
      </c>
      <c r="I2391">
        <v>6264</v>
      </c>
      <c r="J2391">
        <v>2</v>
      </c>
      <c r="K2391">
        <v>1</v>
      </c>
      <c r="M2391" s="2" t="str">
        <f>HYPERLINK("http://maps.live.com/default.aspx?v=2&amp;lvl=15&amp;sp=Point.47.688601_-122.378605_8060 17th Ave NW&amp;cp=47.688601~-122.378605","Map")</f>
        <v>Map</v>
      </c>
      <c r="N2391" s="2" t="str">
        <f>HYPERLINK("http://i-0.rfimg.us/photo/1/bigphoto/994/28042994_1.jpg","Photo")</f>
        <v>Photo</v>
      </c>
      <c r="AG2391">
        <v>47.688600999999998</v>
      </c>
      <c r="AH2391">
        <v>-122.37860499999999</v>
      </c>
      <c r="AI2391" t="s">
        <v>66</v>
      </c>
      <c r="AJ2391">
        <v>98117</v>
      </c>
      <c r="AN2391">
        <v>330000</v>
      </c>
      <c r="BC2391" s="22">
        <v>39521.63212962963</v>
      </c>
      <c r="BI2391" s="7">
        <v>39536</v>
      </c>
      <c r="BL2391">
        <v>9300</v>
      </c>
      <c r="BM2391">
        <v>1560515</v>
      </c>
      <c r="BN2391" t="s">
        <v>1674</v>
      </c>
      <c r="BO2391" s="17">
        <f t="shared" ca="1" si="37"/>
        <v>27.677276388887549</v>
      </c>
      <c r="BP2391" t="b">
        <v>0</v>
      </c>
      <c r="BQ2391">
        <v>1</v>
      </c>
      <c r="BR2391" t="s">
        <v>1667</v>
      </c>
      <c r="BS2391" t="s">
        <v>1683</v>
      </c>
      <c r="BT2391" t="b">
        <v>0</v>
      </c>
      <c r="BV2391" t="s">
        <v>1668</v>
      </c>
      <c r="BW2391">
        <v>8060</v>
      </c>
      <c r="BX2391" t="s">
        <v>1669</v>
      </c>
      <c r="BY2391">
        <v>165647</v>
      </c>
      <c r="BZ2391" t="s">
        <v>1706</v>
      </c>
      <c r="CA2391">
        <v>1</v>
      </c>
      <c r="CB2391" t="b">
        <v>1</v>
      </c>
      <c r="CC2391">
        <v>0</v>
      </c>
      <c r="CD2391" t="b">
        <v>0</v>
      </c>
      <c r="CE2391" t="b">
        <v>1</v>
      </c>
      <c r="CF2391" t="b">
        <v>0</v>
      </c>
      <c r="CG2391">
        <v>2887069</v>
      </c>
      <c r="CH2391" t="s">
        <v>1681</v>
      </c>
      <c r="CI2391" s="10">
        <v>465000</v>
      </c>
      <c r="CJ2391" s="7">
        <v>38104</v>
      </c>
    </row>
    <row r="2392" spans="1:90">
      <c r="A2392">
        <v>28043006</v>
      </c>
      <c r="B2392" s="2" t="str">
        <f>HYPERLINK("http://www.redfin.com/stingray/do/printable-listing?listing-id=1552389","Subject To Inspection")</f>
        <v>Subject To Inspection</v>
      </c>
      <c r="D2392" t="s">
        <v>3249</v>
      </c>
      <c r="E2392" t="s">
        <v>3608</v>
      </c>
      <c r="F2392">
        <v>499950</v>
      </c>
      <c r="G2392">
        <v>1900</v>
      </c>
      <c r="H2392">
        <v>2210</v>
      </c>
      <c r="I2392">
        <v>5520</v>
      </c>
      <c r="J2392">
        <v>3</v>
      </c>
      <c r="K2392">
        <v>1</v>
      </c>
      <c r="M2392" s="2" t="str">
        <f>HYPERLINK("http://maps.live.com/default.aspx?v=2&amp;lvl=15&amp;sp=Point.47.648949_-122.373203_3212 13th Ave W&amp;cp=47.648949~-122.373203","Map")</f>
        <v>Map</v>
      </c>
      <c r="N2392" s="2" t="str">
        <f>HYPERLINK("http://i-0.rfimg.us/photo/1/bigphoto/006/28043006_1.jpg","Photo")</f>
        <v>Photo</v>
      </c>
      <c r="AG2392">
        <v>47.648949000000002</v>
      </c>
      <c r="AH2392">
        <v>-122.373203</v>
      </c>
      <c r="AI2392" t="s">
        <v>66</v>
      </c>
      <c r="AJ2392">
        <v>98119</v>
      </c>
      <c r="AN2392">
        <v>280000</v>
      </c>
      <c r="BC2392" s="22">
        <v>39519.475335648145</v>
      </c>
      <c r="BI2392" s="7">
        <v>39533</v>
      </c>
      <c r="BL2392">
        <v>9999</v>
      </c>
      <c r="BM2392">
        <v>1552389</v>
      </c>
      <c r="BN2392" t="s">
        <v>1783</v>
      </c>
      <c r="BO2392" s="17">
        <f t="shared" ca="1" si="37"/>
        <v>29.834070254633843</v>
      </c>
      <c r="BP2392" t="b">
        <v>0</v>
      </c>
      <c r="BQ2392">
        <v>2</v>
      </c>
      <c r="BR2392" t="s">
        <v>1667</v>
      </c>
      <c r="BS2392" t="s">
        <v>1809</v>
      </c>
      <c r="BT2392" t="b">
        <v>0</v>
      </c>
      <c r="BV2392" t="s">
        <v>1668</v>
      </c>
      <c r="BW2392">
        <v>3212</v>
      </c>
      <c r="BX2392" t="s">
        <v>2423</v>
      </c>
      <c r="BY2392">
        <v>130075</v>
      </c>
      <c r="BZ2392" t="s">
        <v>1911</v>
      </c>
      <c r="CA2392">
        <v>1</v>
      </c>
      <c r="CB2392" t="b">
        <v>1</v>
      </c>
      <c r="CC2392">
        <v>0</v>
      </c>
      <c r="CD2392" t="b">
        <v>0</v>
      </c>
      <c r="CE2392" t="b">
        <v>0</v>
      </c>
      <c r="CF2392" t="b">
        <v>0</v>
      </c>
      <c r="CG2392">
        <v>2923166</v>
      </c>
      <c r="CH2392" t="s">
        <v>1681</v>
      </c>
      <c r="CI2392" s="10">
        <v>499950</v>
      </c>
      <c r="CJ2392" s="7">
        <v>37393</v>
      </c>
    </row>
    <row r="2393" spans="1:90">
      <c r="A2393">
        <v>28043018</v>
      </c>
      <c r="B2393" s="2" t="str">
        <f>HYPERLINK("http://www.redfin.com/stingray/do/printable-listing?listing-id=1549947","Active")</f>
        <v>Active</v>
      </c>
      <c r="D2393" t="s">
        <v>3302</v>
      </c>
      <c r="E2393" t="s">
        <v>3300</v>
      </c>
      <c r="F2393" s="19">
        <v>729500</v>
      </c>
      <c r="G2393">
        <v>1994</v>
      </c>
      <c r="H2393">
        <v>2090</v>
      </c>
      <c r="I2393">
        <v>2081</v>
      </c>
      <c r="J2393">
        <v>3</v>
      </c>
      <c r="K2393">
        <v>2.75</v>
      </c>
      <c r="M2393" s="2" t="str">
        <f>HYPERLINK("http://maps.live.com/default.aspx?v=2&amp;lvl=15&amp;sp=Point.47.642382_-122.328491_2513 Minor Ave E&amp;cp=47.642382~-122.328491","Map")</f>
        <v>Map</v>
      </c>
      <c r="N2393" s="2" t="str">
        <f>HYPERLINK("http://i-0.rfimg.us/photo/1/bigphoto/018/28043018_0.jpg","Photo")</f>
        <v>Photo</v>
      </c>
      <c r="AG2393">
        <v>47.642381999999998</v>
      </c>
      <c r="AH2393">
        <v>-122.328491</v>
      </c>
      <c r="AI2393" t="s">
        <v>66</v>
      </c>
      <c r="AJ2393">
        <v>98102</v>
      </c>
      <c r="AN2393">
        <v>435000</v>
      </c>
      <c r="BC2393" s="22">
        <v>39518.65216435185</v>
      </c>
      <c r="BI2393" s="22">
        <v>39549.294907407406</v>
      </c>
      <c r="BL2393">
        <v>15380</v>
      </c>
      <c r="BM2393">
        <v>1549947</v>
      </c>
      <c r="BN2393" t="s">
        <v>1939</v>
      </c>
      <c r="BO2393" s="17">
        <f t="shared" ca="1" si="37"/>
        <v>30.657241550929029</v>
      </c>
      <c r="BP2393" t="b">
        <v>0</v>
      </c>
      <c r="BQ2393">
        <v>1</v>
      </c>
      <c r="BR2393" t="s">
        <v>1667</v>
      </c>
      <c r="BS2393" t="s">
        <v>3301</v>
      </c>
      <c r="BT2393" t="b">
        <v>0</v>
      </c>
      <c r="BV2393" t="s">
        <v>1668</v>
      </c>
      <c r="BW2393">
        <v>2513</v>
      </c>
      <c r="BX2393" t="s">
        <v>2436</v>
      </c>
      <c r="BY2393">
        <v>131934</v>
      </c>
      <c r="BZ2393" t="s">
        <v>1747</v>
      </c>
      <c r="CA2393">
        <v>1</v>
      </c>
      <c r="CB2393" t="b">
        <v>1</v>
      </c>
      <c r="CC2393">
        <v>0</v>
      </c>
      <c r="CD2393" t="b">
        <v>0</v>
      </c>
      <c r="CE2393" t="b">
        <v>0</v>
      </c>
      <c r="CF2393" t="b">
        <v>0</v>
      </c>
      <c r="CG2393">
        <v>2807156</v>
      </c>
      <c r="CH2393" t="s">
        <v>1681</v>
      </c>
      <c r="CI2393" s="10">
        <v>769000</v>
      </c>
      <c r="CJ2393" s="7">
        <v>36798</v>
      </c>
    </row>
    <row r="2394" spans="1:90">
      <c r="A2394">
        <v>28043121</v>
      </c>
      <c r="B2394" s="15" t="str">
        <f>HYPERLINK("http://www.redfin.com/stingray/do/printable-listing?listing-id=1550376","Subject To Inspection")</f>
        <v>Subject To Inspection</v>
      </c>
      <c r="D2394" t="s">
        <v>194</v>
      </c>
      <c r="E2394" t="s">
        <v>2178</v>
      </c>
      <c r="F2394">
        <v>462500</v>
      </c>
      <c r="G2394">
        <v>1946</v>
      </c>
      <c r="H2394">
        <v>1860</v>
      </c>
      <c r="I2394">
        <v>6968</v>
      </c>
      <c r="J2394">
        <v>2</v>
      </c>
      <c r="K2394">
        <v>1.25</v>
      </c>
      <c r="M2394" s="2" t="str">
        <f>HYPERLINK("http://maps.live.com/default.aspx?v=2&amp;lvl=15&amp;sp=Point.47.696897_-122.30324_2318 NE 94th St&amp;cp=47.696897~-122.30324","Map")</f>
        <v>Map</v>
      </c>
      <c r="N2394" s="2" t="str">
        <f>HYPERLINK("http://i-0.rfimg.us/photo/1/bigphoto/121/28043121_6.jpg","Photo")</f>
        <v>Photo</v>
      </c>
      <c r="AG2394">
        <v>47.696897</v>
      </c>
      <c r="AH2394">
        <v>-122.30324</v>
      </c>
      <c r="AI2394" t="s">
        <v>66</v>
      </c>
      <c r="AJ2394">
        <v>98115</v>
      </c>
      <c r="AN2394">
        <v>152000</v>
      </c>
      <c r="BC2394" s="22">
        <v>39518.756608796299</v>
      </c>
      <c r="BI2394" s="22">
        <v>39549.294907407406</v>
      </c>
      <c r="BL2394">
        <v>9250</v>
      </c>
      <c r="BM2394">
        <v>1550376</v>
      </c>
      <c r="BN2394" t="s">
        <v>1702</v>
      </c>
      <c r="BO2394" s="17">
        <f t="shared" ca="1" si="37"/>
        <v>30.552797106480284</v>
      </c>
      <c r="BP2394" t="b">
        <v>0</v>
      </c>
      <c r="BQ2394">
        <v>1</v>
      </c>
      <c r="BR2394" t="s">
        <v>1686</v>
      </c>
      <c r="BS2394" t="s">
        <v>2716</v>
      </c>
      <c r="BT2394" t="b">
        <v>0</v>
      </c>
      <c r="BU2394" t="s">
        <v>1738</v>
      </c>
      <c r="BV2394" t="s">
        <v>1668</v>
      </c>
      <c r="BW2394">
        <v>2318</v>
      </c>
      <c r="BY2394">
        <v>314760</v>
      </c>
      <c r="BZ2394" t="s">
        <v>2880</v>
      </c>
      <c r="CA2394">
        <v>1</v>
      </c>
      <c r="CB2394" t="b">
        <v>1</v>
      </c>
      <c r="CC2394">
        <v>0</v>
      </c>
      <c r="CD2394" t="b">
        <v>0</v>
      </c>
      <c r="CE2394" t="b">
        <v>0</v>
      </c>
      <c r="CF2394" t="b">
        <v>0</v>
      </c>
      <c r="CG2394">
        <v>2486296</v>
      </c>
      <c r="CH2394" t="s">
        <v>1681</v>
      </c>
      <c r="CI2394" s="10">
        <v>462500</v>
      </c>
      <c r="CJ2394" s="7">
        <v>33548</v>
      </c>
    </row>
    <row r="2395" spans="1:90">
      <c r="A2395">
        <v>28043122</v>
      </c>
      <c r="B2395" s="2" t="str">
        <f>HYPERLINK("http://www.redfin.com/stingray/do/printable-listing?listing-id=1550377","Active")</f>
        <v>Active</v>
      </c>
      <c r="D2395" t="s">
        <v>88</v>
      </c>
      <c r="E2395" t="s">
        <v>1893</v>
      </c>
      <c r="F2395">
        <v>275000</v>
      </c>
      <c r="G2395">
        <v>2004</v>
      </c>
      <c r="H2395">
        <v>500</v>
      </c>
      <c r="I2395">
        <v>0</v>
      </c>
      <c r="J2395">
        <v>1</v>
      </c>
      <c r="K2395">
        <v>1</v>
      </c>
      <c r="M2395" s="2" t="str">
        <f>HYPERLINK("http://maps.live.com/default.aspx?v=2&amp;lvl=15&amp;sp=Point.47.680458_-122.355095_7116 Greenwood Ave N n405&amp;cp=47.680458~-122.355095","Map")</f>
        <v>Map</v>
      </c>
      <c r="N2395" s="2" t="str">
        <f>HYPERLINK("http://i-0.rfimg.us/photo/1/bigphoto/122/28043122_3.jpg","Photo")</f>
        <v>Photo</v>
      </c>
      <c r="AG2395">
        <v>47.680458000000002</v>
      </c>
      <c r="AH2395">
        <v>-122.35509500000001</v>
      </c>
      <c r="AI2395" t="s">
        <v>66</v>
      </c>
      <c r="AJ2395">
        <v>98103</v>
      </c>
      <c r="AM2395" t="s">
        <v>1831</v>
      </c>
      <c r="AN2395">
        <v>235000</v>
      </c>
      <c r="BC2395" s="22">
        <v>39518.75681712963</v>
      </c>
      <c r="BI2395" s="7">
        <v>39530</v>
      </c>
      <c r="BL2395">
        <v>5250</v>
      </c>
      <c r="BM2395">
        <v>1550377</v>
      </c>
      <c r="BN2395" t="s">
        <v>1702</v>
      </c>
      <c r="BO2395" s="17">
        <f t="shared" ca="1" si="37"/>
        <v>30.55258888888784</v>
      </c>
      <c r="BP2395" t="b">
        <v>0</v>
      </c>
      <c r="BQ2395">
        <v>1</v>
      </c>
      <c r="BR2395" t="s">
        <v>1667</v>
      </c>
      <c r="BS2395" t="s">
        <v>55</v>
      </c>
      <c r="BT2395" t="b">
        <v>0</v>
      </c>
      <c r="BV2395" t="s">
        <v>1668</v>
      </c>
      <c r="BW2395">
        <v>7116</v>
      </c>
      <c r="BX2395" t="s">
        <v>1712</v>
      </c>
      <c r="BY2395">
        <v>52696</v>
      </c>
      <c r="BZ2395" t="s">
        <v>2100</v>
      </c>
      <c r="CA2395">
        <v>1</v>
      </c>
      <c r="CB2395" t="b">
        <v>1</v>
      </c>
      <c r="CC2395">
        <v>0</v>
      </c>
      <c r="CD2395" t="b">
        <v>0</v>
      </c>
      <c r="CE2395" t="b">
        <v>0</v>
      </c>
      <c r="CF2395" t="b">
        <v>0</v>
      </c>
      <c r="CG2395">
        <v>2850296</v>
      </c>
      <c r="CH2395" t="s">
        <v>1666</v>
      </c>
      <c r="CI2395" s="10">
        <v>275000</v>
      </c>
      <c r="CJ2395" s="7">
        <v>38852</v>
      </c>
      <c r="CK2395" t="s">
        <v>1999</v>
      </c>
    </row>
    <row r="2396" spans="1:90">
      <c r="A2396">
        <v>28043143</v>
      </c>
      <c r="B2396" s="2" t="str">
        <f>HYPERLINK("http://www.redfin.com/stingray/do/printable-listing?listing-id=1551766","Active")</f>
        <v>Active</v>
      </c>
      <c r="D2396" t="s">
        <v>55</v>
      </c>
      <c r="E2396" t="s">
        <v>2159</v>
      </c>
      <c r="F2396">
        <v>335000</v>
      </c>
      <c r="G2396">
        <v>1953</v>
      </c>
      <c r="H2396">
        <v>0</v>
      </c>
      <c r="I2396">
        <v>0</v>
      </c>
      <c r="J2396">
        <v>2</v>
      </c>
      <c r="K2396">
        <v>1</v>
      </c>
      <c r="M2396" s="2" t="str">
        <f>HYPERLINK("http://maps.live.com/default.aspx?v=2&amp;lvl=15&amp;sp=Point.47.696869_-122.357087_9227 Palatine Ave N&amp;cp=47.696869~-122.357087","Map")</f>
        <v>Map</v>
      </c>
      <c r="N2396" s="2" t="str">
        <f>HYPERLINK("http://i-0.rfimg.us/photo/1/bigphoto/143/28043143_0.jpg","Photo")</f>
        <v>Photo</v>
      </c>
      <c r="AG2396">
        <v>47.696869</v>
      </c>
      <c r="AH2396">
        <v>-122.35708700000001</v>
      </c>
      <c r="AI2396" t="s">
        <v>66</v>
      </c>
      <c r="AJ2396">
        <v>98103</v>
      </c>
      <c r="AN2396">
        <v>160000</v>
      </c>
      <c r="BC2396" s="22">
        <v>39519.317037037035</v>
      </c>
      <c r="BI2396" s="22">
        <v>39549.294907407406</v>
      </c>
      <c r="BL2396">
        <v>6700</v>
      </c>
      <c r="BM2396">
        <v>1551766</v>
      </c>
      <c r="BN2396" t="s">
        <v>1678</v>
      </c>
      <c r="BO2396" s="17">
        <f t="shared" ca="1" si="37"/>
        <v>29.992368865743629</v>
      </c>
      <c r="BP2396" t="b">
        <v>0</v>
      </c>
      <c r="BQ2396">
        <v>1</v>
      </c>
      <c r="BR2396" t="s">
        <v>1667</v>
      </c>
      <c r="BS2396" t="s">
        <v>2605</v>
      </c>
      <c r="BT2396" t="b">
        <v>0</v>
      </c>
      <c r="BV2396" t="s">
        <v>1668</v>
      </c>
      <c r="BW2396">
        <v>9227</v>
      </c>
      <c r="BX2396" t="s">
        <v>1712</v>
      </c>
      <c r="BY2396">
        <v>99930</v>
      </c>
      <c r="BZ2396" t="s">
        <v>1676</v>
      </c>
      <c r="CA2396">
        <v>1</v>
      </c>
      <c r="CB2396" t="b">
        <v>1</v>
      </c>
      <c r="CC2396">
        <v>0</v>
      </c>
      <c r="CD2396" t="b">
        <v>0</v>
      </c>
      <c r="CE2396" t="b">
        <v>0</v>
      </c>
      <c r="CF2396" t="b">
        <v>0</v>
      </c>
      <c r="CG2396">
        <v>2606491</v>
      </c>
      <c r="CH2396" t="s">
        <v>1681</v>
      </c>
      <c r="CI2396" s="10">
        <v>335000</v>
      </c>
      <c r="CJ2396" s="7">
        <v>38460</v>
      </c>
    </row>
    <row r="2397" spans="1:90">
      <c r="A2397">
        <v>28043145</v>
      </c>
      <c r="B2397" s="2" t="str">
        <f>HYPERLINK("http://www.redfin.com/stingray/do/printable-listing?listing-id=1550490","Active")</f>
        <v>Active</v>
      </c>
      <c r="D2397" t="s">
        <v>188</v>
      </c>
      <c r="E2397" t="s">
        <v>189</v>
      </c>
      <c r="F2397">
        <v>389950</v>
      </c>
      <c r="G2397">
        <v>1926</v>
      </c>
      <c r="H2397">
        <v>1930</v>
      </c>
      <c r="I2397">
        <v>8385</v>
      </c>
      <c r="J2397">
        <v>2</v>
      </c>
      <c r="K2397">
        <v>1</v>
      </c>
      <c r="M2397" s="2" t="str">
        <f>HYPERLINK("http://maps.live.com/default.aspx?v=2&amp;lvl=15&amp;sp=Point.47.709699_-122.291686_11040 34th Ave NE&amp;cp=47.709699~-122.291686","Map")</f>
        <v>Map</v>
      </c>
      <c r="N2397" s="2" t="str">
        <f>HYPERLINK("http://i-0.rfimg.us/photo/1/bigphoto/145/28043145_2.jpg","Photo")</f>
        <v>Photo</v>
      </c>
      <c r="AG2397">
        <v>47.709699000000001</v>
      </c>
      <c r="AH2397">
        <v>-122.291686</v>
      </c>
      <c r="AI2397" t="s">
        <v>66</v>
      </c>
      <c r="AJ2397">
        <v>98125</v>
      </c>
      <c r="BC2397" s="22">
        <v>39518.797442129631</v>
      </c>
      <c r="BI2397" s="22">
        <v>39549.294907407406</v>
      </c>
      <c r="BL2397">
        <v>7799</v>
      </c>
      <c r="BM2397">
        <v>1550490</v>
      </c>
      <c r="BN2397" t="s">
        <v>1678</v>
      </c>
      <c r="BO2397" s="17">
        <f t="shared" ca="1" si="37"/>
        <v>30.511963773147727</v>
      </c>
      <c r="BP2397" t="b">
        <v>0</v>
      </c>
      <c r="BQ2397">
        <v>1</v>
      </c>
      <c r="BR2397" t="s">
        <v>1667</v>
      </c>
      <c r="BS2397" t="s">
        <v>2912</v>
      </c>
      <c r="BT2397" t="b">
        <v>0</v>
      </c>
      <c r="BV2397" t="s">
        <v>1668</v>
      </c>
      <c r="BW2397">
        <v>11040</v>
      </c>
      <c r="BX2397" t="s">
        <v>1738</v>
      </c>
      <c r="BY2397">
        <v>111428</v>
      </c>
      <c r="BZ2397" t="s">
        <v>2340</v>
      </c>
      <c r="CA2397">
        <v>1</v>
      </c>
      <c r="CB2397" t="b">
        <v>1</v>
      </c>
      <c r="CC2397">
        <v>0</v>
      </c>
      <c r="CD2397" t="b">
        <v>0</v>
      </c>
      <c r="CE2397" t="b">
        <v>0</v>
      </c>
      <c r="CF2397" t="b">
        <v>0</v>
      </c>
      <c r="CG2397">
        <v>2606375</v>
      </c>
      <c r="CH2397" t="s">
        <v>1681</v>
      </c>
      <c r="CI2397" s="10">
        <v>389950</v>
      </c>
    </row>
    <row r="2398" spans="1:90">
      <c r="A2398">
        <v>28043159</v>
      </c>
      <c r="B2398" s="2" t="str">
        <f>HYPERLINK("http://www.redfin.com/stingray/do/printable-listing?listing-id=1563590","Active")</f>
        <v>Active</v>
      </c>
      <c r="D2398" t="s">
        <v>3924</v>
      </c>
      <c r="E2398" t="s">
        <v>4100</v>
      </c>
      <c r="F2398">
        <v>374950</v>
      </c>
      <c r="G2398">
        <v>2005</v>
      </c>
      <c r="H2398">
        <v>0</v>
      </c>
      <c r="I2398">
        <v>0</v>
      </c>
      <c r="J2398">
        <v>2</v>
      </c>
      <c r="K2398">
        <v>1</v>
      </c>
      <c r="M2398" s="2" t="str">
        <f>HYPERLINK("http://maps.live.com/default.aspx?v=2&amp;lvl=15&amp;sp=Point.47.619037_-122.297013_2710 E Denny Way&amp;cp=47.619037~-122.297013","Map")</f>
        <v>Map</v>
      </c>
      <c r="N2398" s="2" t="str">
        <f>HYPERLINK("http://i-0.rfimg.us/photo/1/bigphoto/159/28043159_2.jpg","Photo")</f>
        <v>Photo</v>
      </c>
      <c r="AG2398">
        <v>47.619036999999999</v>
      </c>
      <c r="AH2398">
        <v>-122.29701300000001</v>
      </c>
      <c r="AI2398" t="s">
        <v>66</v>
      </c>
      <c r="AJ2398">
        <v>98122</v>
      </c>
      <c r="BC2398" s="22">
        <v>39522.827499999999</v>
      </c>
      <c r="BI2398" s="22">
        <v>39549.294907407406</v>
      </c>
      <c r="BL2398">
        <v>7499</v>
      </c>
      <c r="BM2398">
        <v>1563590</v>
      </c>
      <c r="BN2398" t="s">
        <v>1710</v>
      </c>
      <c r="BO2398" s="17">
        <f t="shared" ca="1" si="37"/>
        <v>26.481905902779545</v>
      </c>
      <c r="BP2398" t="b">
        <v>0</v>
      </c>
      <c r="BQ2398">
        <v>1</v>
      </c>
      <c r="BR2398" t="s">
        <v>2463</v>
      </c>
      <c r="BS2398" t="s">
        <v>4085</v>
      </c>
      <c r="BT2398" t="b">
        <v>0</v>
      </c>
      <c r="BU2398" t="s">
        <v>2436</v>
      </c>
      <c r="BV2398" t="s">
        <v>1668</v>
      </c>
      <c r="BW2398">
        <v>2710</v>
      </c>
      <c r="BY2398">
        <v>12429706</v>
      </c>
      <c r="BZ2398" t="s">
        <v>4101</v>
      </c>
      <c r="CA2398">
        <v>1</v>
      </c>
      <c r="CB2398" t="b">
        <v>1</v>
      </c>
      <c r="CC2398">
        <v>0</v>
      </c>
      <c r="CD2398" t="b">
        <v>0</v>
      </c>
      <c r="CE2398" t="b">
        <v>0</v>
      </c>
      <c r="CF2398" t="b">
        <v>0</v>
      </c>
      <c r="CG2398">
        <v>15633454</v>
      </c>
      <c r="CH2398" t="s">
        <v>1681</v>
      </c>
      <c r="CI2398" s="10">
        <v>374950</v>
      </c>
    </row>
    <row r="2399" spans="1:90">
      <c r="A2399">
        <v>28043160</v>
      </c>
      <c r="B2399" s="15" t="str">
        <f>HYPERLINK("http://www.redfin.com/stingray/do/printable-listing?listing-id=1550584","Subject To Inspection")</f>
        <v>Subject To Inspection</v>
      </c>
      <c r="D2399" t="s">
        <v>919</v>
      </c>
      <c r="E2399" t="s">
        <v>1948</v>
      </c>
      <c r="F2399">
        <v>299999</v>
      </c>
      <c r="G2399">
        <v>1934</v>
      </c>
      <c r="H2399">
        <v>1390</v>
      </c>
      <c r="I2399">
        <v>6970</v>
      </c>
      <c r="J2399">
        <v>3</v>
      </c>
      <c r="K2399">
        <v>3</v>
      </c>
      <c r="M2399" s="2" t="str">
        <f>HYPERLINK("http://maps.live.com/default.aspx?v=2&amp;lvl=15&amp;sp=Point.47.699782_-122.365425_9704 Holman Rd NW&amp;cp=47.699782~-122.365425","Map")</f>
        <v>Map</v>
      </c>
      <c r="N2399" s="2" t="str">
        <f>HYPERLINK("http://i-0.rfimg.us/photo/1/bigphoto/160/28043160_1.jpg","Photo")</f>
        <v>Photo</v>
      </c>
      <c r="AG2399">
        <v>47.699781999999999</v>
      </c>
      <c r="AH2399">
        <v>-122.365425</v>
      </c>
      <c r="AI2399" t="s">
        <v>66</v>
      </c>
      <c r="AJ2399">
        <v>98117</v>
      </c>
      <c r="AN2399">
        <v>375000</v>
      </c>
      <c r="BC2399" s="22">
        <v>39518.850023148145</v>
      </c>
      <c r="BI2399" s="22">
        <v>39549.294907407406</v>
      </c>
      <c r="BL2399">
        <v>6000</v>
      </c>
      <c r="BM2399">
        <v>1550584</v>
      </c>
      <c r="BN2399" t="s">
        <v>1917</v>
      </c>
      <c r="BO2399" s="17">
        <f t="shared" ca="1" si="37"/>
        <v>30.459382870372792</v>
      </c>
      <c r="BP2399" t="b">
        <v>0</v>
      </c>
      <c r="BQ2399">
        <v>1</v>
      </c>
      <c r="BR2399" t="s">
        <v>1949</v>
      </c>
      <c r="BS2399" t="s">
        <v>1950</v>
      </c>
      <c r="BT2399" t="b">
        <v>0</v>
      </c>
      <c r="BV2399" t="s">
        <v>1668</v>
      </c>
      <c r="BW2399">
        <v>9704</v>
      </c>
      <c r="BX2399" t="s">
        <v>1669</v>
      </c>
      <c r="BY2399">
        <v>100237</v>
      </c>
      <c r="BZ2399" t="s">
        <v>1836</v>
      </c>
      <c r="CA2399">
        <v>1</v>
      </c>
      <c r="CB2399" t="b">
        <v>1</v>
      </c>
      <c r="CC2399">
        <v>0</v>
      </c>
      <c r="CD2399" t="b">
        <v>0</v>
      </c>
      <c r="CE2399" t="b">
        <v>1</v>
      </c>
      <c r="CF2399" t="b">
        <v>0</v>
      </c>
      <c r="CG2399">
        <v>2480588</v>
      </c>
      <c r="CH2399" t="s">
        <v>1681</v>
      </c>
      <c r="CI2399" s="10">
        <v>299999</v>
      </c>
      <c r="CJ2399" s="7">
        <v>39154</v>
      </c>
      <c r="CK2399" t="s">
        <v>2062</v>
      </c>
    </row>
    <row r="2400" spans="1:90">
      <c r="A2400">
        <v>28043169</v>
      </c>
      <c r="B2400" s="2" t="str">
        <f>HYPERLINK("http://www.redfin.com/stingray/do/printable-listing?listing-id=1552565","Active")</f>
        <v>Active</v>
      </c>
      <c r="D2400" t="s">
        <v>5565</v>
      </c>
      <c r="E2400" t="s">
        <v>5592</v>
      </c>
      <c r="F2400">
        <v>432000</v>
      </c>
      <c r="G2400">
        <v>1966</v>
      </c>
      <c r="H2400">
        <v>0</v>
      </c>
      <c r="I2400">
        <v>12400</v>
      </c>
      <c r="J2400">
        <v>4</v>
      </c>
      <c r="K2400">
        <v>3</v>
      </c>
      <c r="M2400" s="2" t="str">
        <f>HYPERLINK("http://maps.live.com/default.aspx?v=2&amp;lvl=15&amp;sp=Point.47.546771_-122.175317_6224 123rd Ave SE&amp;cp=47.546771~-122.175317","Map")</f>
        <v>Map</v>
      </c>
      <c r="N2400" s="2" t="str">
        <f>HYPERLINK("http://i-0.rfimg.us/photo/1/bigphoto/169/28043169_0.jpg","Photo")</f>
        <v>Photo</v>
      </c>
      <c r="AG2400">
        <v>47.546771</v>
      </c>
      <c r="AH2400">
        <v>-122.17531700000001</v>
      </c>
      <c r="AI2400" t="s">
        <v>369</v>
      </c>
      <c r="AJ2400">
        <v>98006</v>
      </c>
      <c r="AN2400">
        <v>396000</v>
      </c>
      <c r="BC2400" s="22">
        <v>39519.516145833331</v>
      </c>
      <c r="BI2400" s="22">
        <v>39549.294907407406</v>
      </c>
      <c r="BL2400">
        <v>8640</v>
      </c>
      <c r="BM2400">
        <v>1552565</v>
      </c>
      <c r="BN2400" t="s">
        <v>1673</v>
      </c>
      <c r="BO2400" s="17">
        <f t="shared" ca="1" si="37"/>
        <v>29.79326006944757</v>
      </c>
      <c r="BP2400" t="b">
        <v>0</v>
      </c>
      <c r="BQ2400">
        <v>1</v>
      </c>
      <c r="BR2400" t="s">
        <v>1667</v>
      </c>
      <c r="BS2400" t="s">
        <v>2882</v>
      </c>
      <c r="BT2400" t="b">
        <v>0</v>
      </c>
      <c r="BV2400" t="s">
        <v>1668</v>
      </c>
      <c r="BW2400">
        <v>6224</v>
      </c>
      <c r="BX2400" t="s">
        <v>3856</v>
      </c>
      <c r="BY2400">
        <v>417072</v>
      </c>
      <c r="BZ2400" t="s">
        <v>1741</v>
      </c>
      <c r="CA2400">
        <v>1</v>
      </c>
      <c r="CB2400" t="b">
        <v>1</v>
      </c>
      <c r="CC2400">
        <v>0</v>
      </c>
      <c r="CD2400" t="b">
        <v>0</v>
      </c>
      <c r="CE2400" t="b">
        <v>0</v>
      </c>
      <c r="CF2400" t="b">
        <v>0</v>
      </c>
      <c r="CG2400">
        <v>2345065</v>
      </c>
      <c r="CH2400" t="s">
        <v>1681</v>
      </c>
      <c r="CI2400" s="10">
        <v>432000</v>
      </c>
      <c r="CJ2400" s="7">
        <v>38471</v>
      </c>
    </row>
    <row r="2401" spans="1:88">
      <c r="A2401">
        <v>28043187</v>
      </c>
      <c r="B2401" s="2" t="str">
        <f>HYPERLINK("http://www.redfin.com/stingray/do/printable-listing?listing-id=1550926","Active")</f>
        <v>Active</v>
      </c>
      <c r="D2401" t="s">
        <v>2850</v>
      </c>
      <c r="E2401" t="s">
        <v>2849</v>
      </c>
      <c r="F2401">
        <v>929000</v>
      </c>
      <c r="G2401">
        <v>1978</v>
      </c>
      <c r="H2401">
        <v>0</v>
      </c>
      <c r="I2401">
        <v>14210</v>
      </c>
      <c r="J2401">
        <v>3</v>
      </c>
      <c r="K2401">
        <v>2.5</v>
      </c>
      <c r="M2401" s="2" t="str">
        <f>HYPERLINK("http://maps.live.com/default.aspx?v=2&amp;lvl=15&amp;sp=Point.47.716588_-122.257227_13014 Holmes Point Dr&amp;cp=47.716588~-122.257227","Map")</f>
        <v>Map</v>
      </c>
      <c r="N2401" s="2" t="str">
        <f>HYPERLINK("http://i-0.rfimg.us/photo/1/bigphoto/187/28043187_3.jpg","Photo")</f>
        <v>Photo</v>
      </c>
      <c r="AG2401">
        <v>47.716588000000002</v>
      </c>
      <c r="AH2401">
        <v>-122.257227</v>
      </c>
      <c r="AI2401" t="s">
        <v>1058</v>
      </c>
      <c r="AJ2401">
        <v>98034</v>
      </c>
      <c r="BC2401" s="22">
        <v>39518.952592592592</v>
      </c>
      <c r="BI2401" s="22">
        <v>39549.294907407406</v>
      </c>
      <c r="BL2401">
        <v>18580</v>
      </c>
      <c r="BM2401">
        <v>1550926</v>
      </c>
      <c r="BN2401" t="s">
        <v>1674</v>
      </c>
      <c r="BO2401" s="17">
        <f t="shared" ca="1" si="37"/>
        <v>30.356813310187135</v>
      </c>
      <c r="BP2401" t="b">
        <v>0</v>
      </c>
      <c r="BQ2401">
        <v>1</v>
      </c>
      <c r="BR2401" t="s">
        <v>1816</v>
      </c>
      <c r="BS2401" t="s">
        <v>2848</v>
      </c>
      <c r="BT2401" t="b">
        <v>0</v>
      </c>
      <c r="BV2401" t="s">
        <v>1668</v>
      </c>
      <c r="BW2401">
        <v>13014</v>
      </c>
      <c r="BY2401">
        <v>280862</v>
      </c>
      <c r="BZ2401" t="s">
        <v>2707</v>
      </c>
      <c r="CA2401">
        <v>1</v>
      </c>
      <c r="CB2401" t="b">
        <v>1</v>
      </c>
      <c r="CC2401">
        <v>0</v>
      </c>
      <c r="CD2401" t="b">
        <v>0</v>
      </c>
      <c r="CE2401" t="b">
        <v>0</v>
      </c>
      <c r="CF2401" t="b">
        <v>0</v>
      </c>
      <c r="CG2401">
        <v>2802494</v>
      </c>
      <c r="CH2401" t="s">
        <v>1681</v>
      </c>
      <c r="CI2401" s="10">
        <v>929000</v>
      </c>
    </row>
    <row r="2402" spans="1:88">
      <c r="A2402">
        <v>28043188</v>
      </c>
      <c r="B2402" s="2" t="str">
        <f>HYPERLINK("http://www.redfin.com/stingray/do/printable-listing?listing-id=1551492","Active")</f>
        <v>Active</v>
      </c>
      <c r="D2402" t="s">
        <v>3924</v>
      </c>
      <c r="E2402" t="s">
        <v>1657</v>
      </c>
      <c r="F2402">
        <v>599950</v>
      </c>
      <c r="G2402">
        <v>2008</v>
      </c>
      <c r="H2402">
        <v>1820</v>
      </c>
      <c r="I2402">
        <v>0</v>
      </c>
      <c r="J2402">
        <v>3</v>
      </c>
      <c r="K2402">
        <v>2.5</v>
      </c>
      <c r="M2402" s="2" t="str">
        <f>HYPERLINK("http://maps.live.com/default.aspx?v=2&amp;lvl=15&amp;sp=adr.Undisclosed,98112","Map")</f>
        <v>Map</v>
      </c>
      <c r="N2402" s="2" t="str">
        <f>HYPERLINK("http://i-0.rfimg.us/photo/1/bigphoto/188/28043188_0.jpg","Photo")</f>
        <v>Photo</v>
      </c>
      <c r="AI2402" t="s">
        <v>66</v>
      </c>
      <c r="AJ2402">
        <v>98112</v>
      </c>
      <c r="BC2402" s="22">
        <v>39519.04619212963</v>
      </c>
      <c r="BI2402" s="22">
        <v>39549.294907407406</v>
      </c>
      <c r="BL2402">
        <v>11999</v>
      </c>
      <c r="BM2402">
        <v>1551492</v>
      </c>
      <c r="BN2402" t="s">
        <v>1829</v>
      </c>
      <c r="BO2402" s="17">
        <f t="shared" ca="1" si="37"/>
        <v>30.263213773148891</v>
      </c>
      <c r="BP2402" t="b">
        <v>0</v>
      </c>
      <c r="BQ2402">
        <v>1</v>
      </c>
      <c r="BT2402" t="b">
        <v>1</v>
      </c>
      <c r="BV2402" t="s">
        <v>1668</v>
      </c>
      <c r="BY2402">
        <v>0</v>
      </c>
      <c r="BZ2402" t="s">
        <v>1672</v>
      </c>
      <c r="CA2402">
        <v>1</v>
      </c>
      <c r="CB2402" t="b">
        <v>1</v>
      </c>
      <c r="CC2402">
        <v>0</v>
      </c>
      <c r="CD2402" t="b">
        <v>0</v>
      </c>
      <c r="CE2402" t="b">
        <v>0</v>
      </c>
      <c r="CF2402" t="b">
        <v>0</v>
      </c>
      <c r="CG2402" t="s">
        <v>1870</v>
      </c>
      <c r="CH2402" t="s">
        <v>1681</v>
      </c>
      <c r="CI2402" s="10">
        <v>599950</v>
      </c>
    </row>
    <row r="2403" spans="1:88">
      <c r="A2403">
        <v>28043189</v>
      </c>
      <c r="B2403" s="2" t="str">
        <f>HYPERLINK("http://www.redfin.com/stingray/do/printable-listing?listing-id=1551493","Active")</f>
        <v>Active</v>
      </c>
      <c r="D2403" t="s">
        <v>3924</v>
      </c>
      <c r="E2403" t="s">
        <v>1657</v>
      </c>
      <c r="F2403" s="19">
        <v>599950</v>
      </c>
      <c r="G2403">
        <v>2008</v>
      </c>
      <c r="H2403">
        <v>1820</v>
      </c>
      <c r="I2403">
        <v>0</v>
      </c>
      <c r="J2403">
        <v>3</v>
      </c>
      <c r="K2403">
        <v>2.5</v>
      </c>
      <c r="M2403" s="2" t="str">
        <f>HYPERLINK("http://maps.live.com/default.aspx?v=2&amp;lvl=15&amp;sp=adr.Undisclosed,98112","Map")</f>
        <v>Map</v>
      </c>
      <c r="N2403" s="2" t="str">
        <f>HYPERLINK("http://i-0.rfimg.us/photo/1/bigphoto/189/28043189_0.jpg","Photo")</f>
        <v>Photo</v>
      </c>
      <c r="AI2403" t="s">
        <v>66</v>
      </c>
      <c r="AJ2403">
        <v>98112</v>
      </c>
      <c r="BC2403" s="22">
        <v>39519.04619212963</v>
      </c>
      <c r="BI2403" s="22">
        <v>39549.294907407406</v>
      </c>
      <c r="BL2403">
        <v>12279</v>
      </c>
      <c r="BM2403">
        <v>1551493</v>
      </c>
      <c r="BN2403" t="s">
        <v>1829</v>
      </c>
      <c r="BO2403" s="17">
        <f t="shared" ca="1" si="37"/>
        <v>30.263213773148891</v>
      </c>
      <c r="BP2403" t="b">
        <v>0</v>
      </c>
      <c r="BQ2403">
        <v>1</v>
      </c>
      <c r="BT2403" t="b">
        <v>1</v>
      </c>
      <c r="BV2403" t="s">
        <v>1668</v>
      </c>
      <c r="BY2403">
        <v>0</v>
      </c>
      <c r="BZ2403" t="s">
        <v>1672</v>
      </c>
      <c r="CA2403">
        <v>1</v>
      </c>
      <c r="CB2403" t="b">
        <v>1</v>
      </c>
      <c r="CC2403">
        <v>0</v>
      </c>
      <c r="CD2403" t="b">
        <v>0</v>
      </c>
      <c r="CE2403" t="b">
        <v>0</v>
      </c>
      <c r="CF2403" t="b">
        <v>0</v>
      </c>
      <c r="CG2403" t="s">
        <v>1870</v>
      </c>
      <c r="CH2403" t="s">
        <v>1681</v>
      </c>
      <c r="CI2403" s="10">
        <v>613950</v>
      </c>
    </row>
    <row r="2404" spans="1:88">
      <c r="A2404">
        <v>28043211</v>
      </c>
      <c r="B2404" s="2" t="str">
        <f>HYPERLINK("http://www.redfin.com/stingray/do/printable-listing?listing-id=1551818","Subject To Inspection")</f>
        <v>Subject To Inspection</v>
      </c>
      <c r="D2404" t="s">
        <v>3961</v>
      </c>
      <c r="E2404" t="s">
        <v>3993</v>
      </c>
      <c r="F2404">
        <v>299900</v>
      </c>
      <c r="G2404">
        <v>2003</v>
      </c>
      <c r="H2404">
        <v>1820</v>
      </c>
      <c r="I2404">
        <v>1743</v>
      </c>
      <c r="J2404">
        <v>2</v>
      </c>
      <c r="K2404">
        <v>1.5</v>
      </c>
      <c r="M2404" s="2" t="str">
        <f>HYPERLINK("http://maps.live.com/default.aspx?v=2&amp;lvl=15&amp;sp=Point.47.600333_-122.297974_301 27th Ave S&amp;cp=47.600333~-122.297974","Map")</f>
        <v>Map</v>
      </c>
      <c r="N2404" s="2" t="str">
        <f>HYPERLINK("http://i-0.rfimg.us/photo/1/bigphoto/211/28043211_0.jpg","Photo")</f>
        <v>Photo</v>
      </c>
      <c r="AG2404">
        <v>47.600332999999999</v>
      </c>
      <c r="AH2404">
        <v>-122.297974</v>
      </c>
      <c r="AI2404" t="s">
        <v>66</v>
      </c>
      <c r="AJ2404">
        <v>98144</v>
      </c>
      <c r="AN2404">
        <v>324161</v>
      </c>
      <c r="BC2404" s="22">
        <v>39519.338645833333</v>
      </c>
      <c r="BI2404" s="22">
        <v>39549.294907407406</v>
      </c>
      <c r="BL2404">
        <v>5997</v>
      </c>
      <c r="BM2404">
        <v>1551818</v>
      </c>
      <c r="BN2404" t="s">
        <v>1691</v>
      </c>
      <c r="BO2404" s="17">
        <f t="shared" ca="1" si="37"/>
        <v>29.970760069445532</v>
      </c>
      <c r="BP2404" t="b">
        <v>0</v>
      </c>
      <c r="BQ2404">
        <v>2</v>
      </c>
      <c r="BR2404" t="s">
        <v>1667</v>
      </c>
      <c r="BS2404" t="s">
        <v>1751</v>
      </c>
      <c r="BT2404" t="b">
        <v>0</v>
      </c>
      <c r="BV2404" t="s">
        <v>1668</v>
      </c>
      <c r="BW2404">
        <v>301</v>
      </c>
      <c r="BX2404" t="s">
        <v>1881</v>
      </c>
      <c r="BY2404">
        <v>144149</v>
      </c>
      <c r="BZ2404" t="s">
        <v>1801</v>
      </c>
      <c r="CA2404">
        <v>1</v>
      </c>
      <c r="CB2404" t="b">
        <v>1</v>
      </c>
      <c r="CC2404">
        <v>0</v>
      </c>
      <c r="CD2404" t="b">
        <v>1</v>
      </c>
      <c r="CE2404" t="b">
        <v>0</v>
      </c>
      <c r="CF2404" t="b">
        <v>0</v>
      </c>
      <c r="CG2404">
        <v>2515060</v>
      </c>
      <c r="CH2404" t="s">
        <v>1681</v>
      </c>
      <c r="CI2404" s="10">
        <v>299900</v>
      </c>
      <c r="CJ2404" s="7">
        <v>39422</v>
      </c>
    </row>
    <row r="2405" spans="1:88">
      <c r="A2405">
        <v>28043221</v>
      </c>
      <c r="B2405" s="2" t="str">
        <f>HYPERLINK("http://www.redfin.com/stingray/do/printable-listing?listing-id=1551835","Active")</f>
        <v>Active</v>
      </c>
      <c r="D2405" t="s">
        <v>60</v>
      </c>
      <c r="E2405" t="s">
        <v>2142</v>
      </c>
      <c r="F2405">
        <v>499000</v>
      </c>
      <c r="G2405">
        <v>2008</v>
      </c>
      <c r="H2405">
        <v>1584</v>
      </c>
      <c r="I2405">
        <v>0</v>
      </c>
      <c r="J2405">
        <v>3</v>
      </c>
      <c r="K2405">
        <v>3.5</v>
      </c>
      <c r="M2405" s="2" t="str">
        <f>HYPERLINK("http://maps.live.com/default.aspx?v=2&amp;lvl=15&amp;sp=Point.47.664437_-122.348342_806 N 49th St&amp;cp=47.664437~-122.348342","Map")</f>
        <v>Map</v>
      </c>
      <c r="N2405" s="2" t="str">
        <f>HYPERLINK("http://i-0.rfimg.us/photo/1/bigphoto/221/28043221_2.jpg","Photo")</f>
        <v>Photo</v>
      </c>
      <c r="AG2405">
        <v>47.664437</v>
      </c>
      <c r="AH2405">
        <v>-122.348342</v>
      </c>
      <c r="AI2405" t="s">
        <v>66</v>
      </c>
      <c r="AJ2405">
        <v>98103</v>
      </c>
      <c r="BC2405" s="22">
        <v>39519.348321759258</v>
      </c>
      <c r="BI2405" s="22">
        <v>39549.294907407406</v>
      </c>
      <c r="BL2405">
        <v>9980</v>
      </c>
      <c r="BM2405">
        <v>1551835</v>
      </c>
      <c r="BN2405" t="s">
        <v>2450</v>
      </c>
      <c r="BO2405" s="17">
        <f t="shared" ca="1" si="37"/>
        <v>29.961084259259223</v>
      </c>
      <c r="BP2405" t="b">
        <v>0</v>
      </c>
      <c r="BQ2405">
        <v>1</v>
      </c>
      <c r="BR2405" t="s">
        <v>1686</v>
      </c>
      <c r="BS2405" t="s">
        <v>2446</v>
      </c>
      <c r="BT2405" t="b">
        <v>0</v>
      </c>
      <c r="BU2405" t="s">
        <v>1712</v>
      </c>
      <c r="BV2405" t="s">
        <v>1668</v>
      </c>
      <c r="BW2405">
        <v>806</v>
      </c>
      <c r="BY2405">
        <v>12330168</v>
      </c>
      <c r="BZ2405" t="s">
        <v>2466</v>
      </c>
      <c r="CA2405">
        <v>1</v>
      </c>
      <c r="CB2405" t="b">
        <v>1</v>
      </c>
      <c r="CC2405">
        <v>0</v>
      </c>
      <c r="CD2405" t="b">
        <v>0</v>
      </c>
      <c r="CE2405" t="b">
        <v>0</v>
      </c>
      <c r="CF2405" t="b">
        <v>0</v>
      </c>
      <c r="CG2405">
        <v>15536170</v>
      </c>
      <c r="CH2405" t="s">
        <v>1681</v>
      </c>
      <c r="CI2405" s="10">
        <v>499000</v>
      </c>
    </row>
    <row r="2406" spans="1:88">
      <c r="A2406">
        <v>28043240</v>
      </c>
      <c r="B2406" s="2" t="str">
        <f>HYPERLINK("http://www.redfin.com/stingray/do/printable-listing?listing-id=1551913","Active")</f>
        <v>Active</v>
      </c>
      <c r="D2406" t="s">
        <v>60</v>
      </c>
      <c r="E2406" t="s">
        <v>2141</v>
      </c>
      <c r="F2406">
        <v>499000</v>
      </c>
      <c r="G2406">
        <v>2008</v>
      </c>
      <c r="H2406">
        <v>1580</v>
      </c>
      <c r="I2406">
        <v>0</v>
      </c>
      <c r="J2406">
        <v>3</v>
      </c>
      <c r="K2406">
        <v>3.5</v>
      </c>
      <c r="M2406" s="2" t="str">
        <f>HYPERLINK("http://maps.live.com/default.aspx?v=2&amp;lvl=15&amp;sp=Point.47.664517_-122.34812_808 N 49th St&amp;cp=47.664517~-122.34812","Map")</f>
        <v>Map</v>
      </c>
      <c r="N2406" s="2" t="str">
        <f>HYPERLINK("http://i-0.rfimg.us/photo/1/bigphoto/240/28043240_1.jpg","Photo")</f>
        <v>Photo</v>
      </c>
      <c r="AG2406">
        <v>47.664516999999996</v>
      </c>
      <c r="AH2406">
        <v>-122.34811999999999</v>
      </c>
      <c r="AI2406" t="s">
        <v>66</v>
      </c>
      <c r="AJ2406">
        <v>98103</v>
      </c>
      <c r="AN2406">
        <v>520000</v>
      </c>
      <c r="BC2406" s="22">
        <v>39519.359386574077</v>
      </c>
      <c r="BI2406" s="22">
        <v>39549.294907407406</v>
      </c>
      <c r="BL2406">
        <v>9980</v>
      </c>
      <c r="BM2406">
        <v>1551913</v>
      </c>
      <c r="BN2406" t="s">
        <v>2450</v>
      </c>
      <c r="BO2406" s="17">
        <f t="shared" ca="1" si="37"/>
        <v>29.950019444440841</v>
      </c>
      <c r="BP2406" t="b">
        <v>0</v>
      </c>
      <c r="BQ2406">
        <v>1</v>
      </c>
      <c r="BR2406" t="s">
        <v>1686</v>
      </c>
      <c r="BS2406" t="s">
        <v>2446</v>
      </c>
      <c r="BT2406" t="b">
        <v>0</v>
      </c>
      <c r="BU2406" t="s">
        <v>1712</v>
      </c>
      <c r="BV2406" t="s">
        <v>1668</v>
      </c>
      <c r="BW2406">
        <v>808</v>
      </c>
      <c r="BY2406">
        <v>299233</v>
      </c>
      <c r="BZ2406" t="s">
        <v>2451</v>
      </c>
      <c r="CA2406">
        <v>1</v>
      </c>
      <c r="CB2406" t="b">
        <v>1</v>
      </c>
      <c r="CC2406">
        <v>0</v>
      </c>
      <c r="CD2406" t="b">
        <v>0</v>
      </c>
      <c r="CE2406" t="b">
        <v>0</v>
      </c>
      <c r="CF2406" t="b">
        <v>0</v>
      </c>
      <c r="CG2406">
        <v>2565212</v>
      </c>
      <c r="CH2406" t="s">
        <v>1681</v>
      </c>
      <c r="CI2406" s="10">
        <v>499000</v>
      </c>
      <c r="CJ2406" s="7">
        <v>38993</v>
      </c>
    </row>
    <row r="2407" spans="1:88">
      <c r="A2407">
        <v>28043251</v>
      </c>
      <c r="B2407" s="2" t="str">
        <f>HYPERLINK("http://www.redfin.com/stingray/do/printable-listing?listing-id=1559349","Active")</f>
        <v>Active</v>
      </c>
      <c r="D2407" t="s">
        <v>2745</v>
      </c>
      <c r="E2407" t="s">
        <v>2746</v>
      </c>
      <c r="F2407">
        <v>2950000</v>
      </c>
      <c r="G2407">
        <v>1931</v>
      </c>
      <c r="H2407">
        <v>3510</v>
      </c>
      <c r="I2407">
        <v>18677</v>
      </c>
      <c r="J2407">
        <v>4</v>
      </c>
      <c r="K2407">
        <v>3.25</v>
      </c>
      <c r="M2407" s="2" t="str">
        <f>HYPERLINK("http://maps.live.com/default.aspx?v=2&amp;lvl=15&amp;sp=Point.47.704503_-122.381228_1857 NW Roundhill Circle&amp;cp=47.704503~-122.381228","Map")</f>
        <v>Map</v>
      </c>
      <c r="N2407" s="2" t="str">
        <f>HYPERLINK("http://i-0.rfimg.us/photo/1/bigphoto/251/28043251_1.jpg","Photo")</f>
        <v>Photo</v>
      </c>
      <c r="AG2407">
        <v>47.704503000000003</v>
      </c>
      <c r="AH2407">
        <v>-122.38122799999999</v>
      </c>
      <c r="AI2407" t="s">
        <v>66</v>
      </c>
      <c r="AJ2407">
        <v>98177</v>
      </c>
      <c r="AN2407">
        <v>2400000</v>
      </c>
      <c r="BC2407" s="22">
        <v>39521.43409722222</v>
      </c>
      <c r="BI2407" s="22">
        <v>39549.294907407406</v>
      </c>
      <c r="BL2407">
        <v>59000</v>
      </c>
      <c r="BM2407">
        <v>1559349</v>
      </c>
      <c r="BN2407" t="s">
        <v>1710</v>
      </c>
      <c r="BO2407" s="17">
        <f t="shared" ca="1" si="37"/>
        <v>27.875308680559101</v>
      </c>
      <c r="BP2407" t="b">
        <v>0</v>
      </c>
      <c r="BQ2407">
        <v>1</v>
      </c>
      <c r="BR2407" t="s">
        <v>2747</v>
      </c>
      <c r="BS2407" t="s">
        <v>2748</v>
      </c>
      <c r="BT2407" t="b">
        <v>0</v>
      </c>
      <c r="BU2407" t="s">
        <v>1669</v>
      </c>
      <c r="BV2407" t="s">
        <v>1668</v>
      </c>
      <c r="BW2407">
        <v>1857</v>
      </c>
      <c r="BY2407">
        <v>288753</v>
      </c>
      <c r="BZ2407" t="s">
        <v>1709</v>
      </c>
      <c r="CA2407">
        <v>1</v>
      </c>
      <c r="CB2407" t="b">
        <v>1</v>
      </c>
      <c r="CC2407">
        <v>0</v>
      </c>
      <c r="CD2407" t="b">
        <v>0</v>
      </c>
      <c r="CE2407" t="b">
        <v>0</v>
      </c>
      <c r="CF2407" t="b">
        <v>0</v>
      </c>
      <c r="CG2407">
        <v>2524734</v>
      </c>
      <c r="CH2407" t="s">
        <v>1681</v>
      </c>
      <c r="CI2407" s="10">
        <v>2950000</v>
      </c>
      <c r="CJ2407" s="7">
        <v>38645</v>
      </c>
    </row>
    <row r="2408" spans="1:88">
      <c r="A2408">
        <v>28043259</v>
      </c>
      <c r="B2408" s="15" t="str">
        <f>HYPERLINK("http://www.redfin.com/stingray/do/printable-listing?listing-id=1552027","Subject To Inspection")</f>
        <v>Subject To Inspection</v>
      </c>
      <c r="D2408" t="s">
        <v>60</v>
      </c>
      <c r="E2408" t="s">
        <v>2137</v>
      </c>
      <c r="F2408">
        <v>499950</v>
      </c>
      <c r="G2408">
        <v>2008</v>
      </c>
      <c r="H2408">
        <v>1432</v>
      </c>
      <c r="I2408">
        <v>0</v>
      </c>
      <c r="J2408">
        <v>3</v>
      </c>
      <c r="K2408">
        <v>2.5</v>
      </c>
      <c r="M2408" s="2" t="str">
        <f>HYPERLINK("http://maps.live.com/default.aspx?v=2&amp;lvl=15&amp;sp=Point.47.679976_-122.347503_7011 linden Ave N&amp;cp=47.679976~-122.347503","Map")</f>
        <v>Map</v>
      </c>
      <c r="N2408" s="2" t="str">
        <f>HYPERLINK("http://i-0.rfimg.us/photo/1/bigphoto/259/28043259_0.jpg","Photo")</f>
        <v>Photo</v>
      </c>
      <c r="AG2408">
        <v>47.679976000000003</v>
      </c>
      <c r="AH2408">
        <v>-122.347503</v>
      </c>
      <c r="AI2408" t="s">
        <v>66</v>
      </c>
      <c r="AJ2408">
        <v>98103</v>
      </c>
      <c r="AN2408">
        <v>1620000</v>
      </c>
      <c r="BC2408" s="22">
        <v>39519.380069444444</v>
      </c>
      <c r="BI2408" s="22">
        <v>39549.294907407406</v>
      </c>
      <c r="BL2408">
        <v>9999</v>
      </c>
      <c r="BM2408">
        <v>1552027</v>
      </c>
      <c r="BN2408" t="s">
        <v>1710</v>
      </c>
      <c r="BO2408" s="17">
        <f t="shared" ca="1" si="37"/>
        <v>29.929336574074114</v>
      </c>
      <c r="BP2408" t="b">
        <v>0</v>
      </c>
      <c r="BQ2408">
        <v>1</v>
      </c>
      <c r="BR2408" t="s">
        <v>1667</v>
      </c>
      <c r="BS2408" t="s">
        <v>2425</v>
      </c>
      <c r="BT2408" t="b">
        <v>0</v>
      </c>
      <c r="BV2408" t="s">
        <v>1668</v>
      </c>
      <c r="BW2408">
        <v>7011</v>
      </c>
      <c r="BX2408" t="s">
        <v>1712</v>
      </c>
      <c r="BY2408">
        <v>2092708</v>
      </c>
      <c r="BZ2408" t="s">
        <v>1672</v>
      </c>
      <c r="CA2408">
        <v>1</v>
      </c>
      <c r="CB2408" t="b">
        <v>1</v>
      </c>
      <c r="CC2408">
        <v>0</v>
      </c>
      <c r="CD2408" t="b">
        <v>0</v>
      </c>
      <c r="CE2408" t="b">
        <v>0</v>
      </c>
      <c r="CF2408" t="b">
        <v>0</v>
      </c>
      <c r="CG2408">
        <v>2938473</v>
      </c>
      <c r="CH2408" t="s">
        <v>1681</v>
      </c>
      <c r="CI2408" s="10">
        <v>499950</v>
      </c>
      <c r="CJ2408" s="7">
        <v>38944</v>
      </c>
    </row>
    <row r="2409" spans="1:88">
      <c r="A2409">
        <v>28043262</v>
      </c>
      <c r="B2409" s="15" t="str">
        <f>HYPERLINK("http://www.redfin.com/stingray/do/printable-listing?listing-id=1552025","Subject To Inspection")</f>
        <v>Subject To Inspection</v>
      </c>
      <c r="D2409" t="s">
        <v>78</v>
      </c>
      <c r="E2409" t="s">
        <v>1274</v>
      </c>
      <c r="F2409" s="19">
        <v>814950</v>
      </c>
      <c r="G2409">
        <v>2007</v>
      </c>
      <c r="H2409">
        <v>3111</v>
      </c>
      <c r="I2409">
        <v>5500</v>
      </c>
      <c r="J2409">
        <v>4</v>
      </c>
      <c r="K2409">
        <v>2.75</v>
      </c>
      <c r="M2409" s="2" t="str">
        <f>HYPERLINK("http://maps.live.com/default.aspx?v=2&amp;lvl=15&amp;sp=Point.47.698261_-122.371195_9514 12th Ave NW&amp;cp=47.698261~-122.371195","Map")</f>
        <v>Map</v>
      </c>
      <c r="N2409" s="2" t="str">
        <f>HYPERLINK("http://i-0.rfimg.us/photo/1/bigphoto/262/28043262_0.jpg","Photo")</f>
        <v>Photo</v>
      </c>
      <c r="AG2409">
        <v>47.698261000000002</v>
      </c>
      <c r="AH2409">
        <v>-122.371195</v>
      </c>
      <c r="AI2409" t="s">
        <v>66</v>
      </c>
      <c r="AJ2409">
        <v>98117</v>
      </c>
      <c r="AN2409">
        <v>284500</v>
      </c>
      <c r="BC2409" s="22">
        <v>39519.380046296297</v>
      </c>
      <c r="BI2409" s="22">
        <v>39549.294907407406</v>
      </c>
      <c r="BL2409">
        <v>16799</v>
      </c>
      <c r="BM2409">
        <v>1552025</v>
      </c>
      <c r="BN2409" t="s">
        <v>1731</v>
      </c>
      <c r="BO2409" s="17">
        <f t="shared" ca="1" si="37"/>
        <v>29.929359722220397</v>
      </c>
      <c r="BP2409" t="b">
        <v>0</v>
      </c>
      <c r="BQ2409">
        <v>1</v>
      </c>
      <c r="BR2409" t="s">
        <v>1667</v>
      </c>
      <c r="BS2409" t="s">
        <v>1803</v>
      </c>
      <c r="BT2409" t="b">
        <v>0</v>
      </c>
      <c r="BV2409" t="s">
        <v>1668</v>
      </c>
      <c r="BW2409">
        <v>9514</v>
      </c>
      <c r="BX2409" t="s">
        <v>1669</v>
      </c>
      <c r="BY2409">
        <v>95518</v>
      </c>
      <c r="BZ2409" t="s">
        <v>1672</v>
      </c>
      <c r="CA2409">
        <v>1</v>
      </c>
      <c r="CB2409" t="b">
        <v>1</v>
      </c>
      <c r="CC2409">
        <v>0</v>
      </c>
      <c r="CD2409" t="b">
        <v>0</v>
      </c>
      <c r="CE2409" t="b">
        <v>1</v>
      </c>
      <c r="CF2409" t="b">
        <v>0</v>
      </c>
      <c r="CG2409">
        <v>2410132</v>
      </c>
      <c r="CH2409" t="s">
        <v>1681</v>
      </c>
      <c r="CI2409" s="10">
        <v>839950</v>
      </c>
      <c r="CJ2409" s="7">
        <v>37391</v>
      </c>
    </row>
    <row r="2410" spans="1:88">
      <c r="A2410">
        <v>28043290</v>
      </c>
      <c r="B2410" s="2" t="str">
        <f>HYPERLINK("http://www.redfin.com/stingray/do/printable-listing?listing-id=1555181","Active")</f>
        <v>Active</v>
      </c>
      <c r="D2410" t="s">
        <v>5490</v>
      </c>
      <c r="E2410" t="s">
        <v>5611</v>
      </c>
      <c r="F2410">
        <v>839000</v>
      </c>
      <c r="G2410">
        <v>1991</v>
      </c>
      <c r="H2410">
        <v>2623</v>
      </c>
      <c r="I2410">
        <v>9614</v>
      </c>
      <c r="J2410">
        <v>4</v>
      </c>
      <c r="K2410">
        <v>2.5</v>
      </c>
      <c r="M2410" s="2" t="str">
        <f>HYPERLINK("http://maps.live.com/default.aspx?v=2&amp;lvl=15&amp;sp=Point.47.562256_-122.115927_16810 SE 47th Way&amp;cp=47.562256~-122.115927","Map")</f>
        <v>Map</v>
      </c>
      <c r="N2410" s="2" t="str">
        <f>HYPERLINK("http://i-0.rfimg.us/photo/1/bigphoto/290/28043290_2.jpg","Photo")</f>
        <v>Photo</v>
      </c>
      <c r="AG2410">
        <v>47.562255999999998</v>
      </c>
      <c r="AH2410">
        <v>-122.115927</v>
      </c>
      <c r="AI2410" t="s">
        <v>369</v>
      </c>
      <c r="AJ2410">
        <v>98006</v>
      </c>
      <c r="AN2410">
        <v>645820</v>
      </c>
      <c r="BC2410" s="22">
        <v>39520.3594212963</v>
      </c>
      <c r="BI2410" s="22">
        <v>39549.294907407406</v>
      </c>
      <c r="BL2410">
        <v>16780</v>
      </c>
      <c r="BM2410">
        <v>1555181</v>
      </c>
      <c r="BN2410" t="s">
        <v>2136</v>
      </c>
      <c r="BO2410" s="17">
        <f t="shared" ca="1" si="37"/>
        <v>28.94998460647912</v>
      </c>
      <c r="BP2410" t="b">
        <v>0</v>
      </c>
      <c r="BQ2410">
        <v>1</v>
      </c>
      <c r="BR2410" t="s">
        <v>2463</v>
      </c>
      <c r="BS2410" t="s">
        <v>2453</v>
      </c>
      <c r="BT2410" t="b">
        <v>0</v>
      </c>
      <c r="BU2410" t="s">
        <v>3856</v>
      </c>
      <c r="BV2410" t="s">
        <v>1668</v>
      </c>
      <c r="BW2410">
        <v>16810</v>
      </c>
      <c r="BY2410">
        <v>236185</v>
      </c>
      <c r="BZ2410" t="s">
        <v>2577</v>
      </c>
      <c r="CA2410">
        <v>1</v>
      </c>
      <c r="CB2410" t="b">
        <v>1</v>
      </c>
      <c r="CC2410">
        <v>0</v>
      </c>
      <c r="CD2410" t="b">
        <v>0</v>
      </c>
      <c r="CE2410" t="b">
        <v>0</v>
      </c>
      <c r="CF2410" t="b">
        <v>0</v>
      </c>
      <c r="CG2410">
        <v>2704891</v>
      </c>
      <c r="CH2410" t="s">
        <v>1681</v>
      </c>
      <c r="CI2410" s="10">
        <v>839000</v>
      </c>
      <c r="CJ2410" s="7">
        <v>38457</v>
      </c>
    </row>
    <row r="2411" spans="1:88">
      <c r="A2411">
        <v>28043299</v>
      </c>
      <c r="B2411" s="2" t="str">
        <f>HYPERLINK("http://www.redfin.com/stingray/do/printable-listing?listing-id=1559177","Active")</f>
        <v>Active</v>
      </c>
      <c r="D2411" t="s">
        <v>60</v>
      </c>
      <c r="E2411" t="s">
        <v>2454</v>
      </c>
      <c r="F2411">
        <v>749000</v>
      </c>
      <c r="G2411">
        <v>1927</v>
      </c>
      <c r="H2411">
        <v>2580</v>
      </c>
      <c r="I2411">
        <v>4328</v>
      </c>
      <c r="J2411">
        <v>3</v>
      </c>
      <c r="K2411">
        <v>2.5</v>
      </c>
      <c r="M2411" s="2" t="str">
        <f>HYPERLINK("http://maps.live.com/default.aspx?v=2&amp;lvl=15&amp;sp=Point.47.666615_-122.339216_1418 N 52nd St&amp;cp=47.666615~-122.339216","Map")</f>
        <v>Map</v>
      </c>
      <c r="N2411" s="2" t="str">
        <f>HYPERLINK("http://i-0.rfimg.us/photo/1/bigphoto/299/28043299_0.jpg","Photo")</f>
        <v>Photo</v>
      </c>
      <c r="AG2411">
        <v>47.666615</v>
      </c>
      <c r="AH2411">
        <v>-122.33921599999999</v>
      </c>
      <c r="AI2411" t="s">
        <v>66</v>
      </c>
      <c r="AJ2411">
        <v>98103</v>
      </c>
      <c r="AN2411">
        <v>510000</v>
      </c>
      <c r="BC2411" s="22">
        <v>39521.401006944441</v>
      </c>
      <c r="BI2411" s="22">
        <v>39549.294907407406</v>
      </c>
      <c r="BL2411">
        <v>14980</v>
      </c>
      <c r="BM2411">
        <v>1559177</v>
      </c>
      <c r="BN2411" t="s">
        <v>1731</v>
      </c>
      <c r="BO2411" s="17">
        <f t="shared" ca="1" si="37"/>
        <v>27.908399074076442</v>
      </c>
      <c r="BP2411" t="b">
        <v>0</v>
      </c>
      <c r="BQ2411">
        <v>1</v>
      </c>
      <c r="BR2411" t="s">
        <v>1686</v>
      </c>
      <c r="BS2411" t="s">
        <v>2455</v>
      </c>
      <c r="BT2411" t="b">
        <v>0</v>
      </c>
      <c r="BU2411" t="s">
        <v>1712</v>
      </c>
      <c r="BV2411" t="s">
        <v>1668</v>
      </c>
      <c r="BW2411">
        <v>1418</v>
      </c>
      <c r="BY2411">
        <v>304215</v>
      </c>
      <c r="BZ2411" t="s">
        <v>1672</v>
      </c>
      <c r="CA2411">
        <v>1</v>
      </c>
      <c r="CB2411" t="b">
        <v>1</v>
      </c>
      <c r="CC2411">
        <v>0</v>
      </c>
      <c r="CD2411" t="b">
        <v>0</v>
      </c>
      <c r="CE2411" t="b">
        <v>0</v>
      </c>
      <c r="CF2411" t="b">
        <v>0</v>
      </c>
      <c r="CG2411">
        <v>2837395</v>
      </c>
      <c r="CH2411" t="s">
        <v>1681</v>
      </c>
      <c r="CI2411" s="10">
        <v>749000</v>
      </c>
      <c r="CJ2411" s="7">
        <v>38980</v>
      </c>
    </row>
    <row r="2412" spans="1:88">
      <c r="A2412">
        <v>28043351</v>
      </c>
      <c r="B2412" s="2" t="str">
        <f>HYPERLINK("http://www.redfin.com/stingray/do/printable-listing?listing-id=1552273","Active")</f>
        <v>Active</v>
      </c>
      <c r="D2412" t="s">
        <v>60</v>
      </c>
      <c r="E2412" t="s">
        <v>2138</v>
      </c>
      <c r="F2412">
        <v>479950</v>
      </c>
      <c r="G2412">
        <v>2008</v>
      </c>
      <c r="H2412">
        <v>1357</v>
      </c>
      <c r="I2412">
        <v>0</v>
      </c>
      <c r="J2412">
        <v>3</v>
      </c>
      <c r="K2412">
        <v>2.5</v>
      </c>
      <c r="M2412" s="2" t="str">
        <f>HYPERLINK("http://maps.live.com/default.aspx?v=2&amp;lvl=15&amp;sp=Point.47.67998_-122.347503_7013 linden Ave N&amp;cp=47.67998~-122.347503","Map")</f>
        <v>Map</v>
      </c>
      <c r="N2412" s="2" t="str">
        <f>HYPERLINK("http://i-0.rfimg.us/photo/1/bigphoto/351/28043351_0.jpg","Photo")</f>
        <v>Photo</v>
      </c>
      <c r="AG2412">
        <v>47.67998</v>
      </c>
      <c r="AH2412">
        <v>-122.347503</v>
      </c>
      <c r="AI2412" t="s">
        <v>66</v>
      </c>
      <c r="AJ2412">
        <v>98103</v>
      </c>
      <c r="BC2412" s="22">
        <v>39519.448252314818</v>
      </c>
      <c r="BI2412" s="22">
        <v>39549.294907407406</v>
      </c>
      <c r="BL2412">
        <v>9599</v>
      </c>
      <c r="BM2412">
        <v>1552273</v>
      </c>
      <c r="BN2412" t="s">
        <v>1710</v>
      </c>
      <c r="BO2412" s="17">
        <f t="shared" ca="1" si="37"/>
        <v>29.861153703699529</v>
      </c>
      <c r="BP2412" t="b">
        <v>0</v>
      </c>
      <c r="BQ2412">
        <v>1</v>
      </c>
      <c r="BR2412" t="s">
        <v>1667</v>
      </c>
      <c r="BS2412" t="s">
        <v>2425</v>
      </c>
      <c r="BT2412" t="b">
        <v>0</v>
      </c>
      <c r="BV2412" t="s">
        <v>1668</v>
      </c>
      <c r="BW2412">
        <v>7013</v>
      </c>
      <c r="BX2412" t="s">
        <v>1712</v>
      </c>
      <c r="BY2412">
        <v>12426322</v>
      </c>
      <c r="BZ2412" t="s">
        <v>1672</v>
      </c>
      <c r="CA2412">
        <v>1</v>
      </c>
      <c r="CB2412" t="b">
        <v>1</v>
      </c>
      <c r="CC2412">
        <v>0</v>
      </c>
      <c r="CD2412" t="b">
        <v>0</v>
      </c>
      <c r="CE2412" t="b">
        <v>0</v>
      </c>
      <c r="CF2412" t="b">
        <v>0</v>
      </c>
      <c r="CG2412">
        <v>15630070</v>
      </c>
      <c r="CH2412" t="s">
        <v>1681</v>
      </c>
      <c r="CI2412" s="10">
        <v>479950</v>
      </c>
    </row>
    <row r="2413" spans="1:88">
      <c r="A2413">
        <v>28043356</v>
      </c>
      <c r="B2413" s="2" t="str">
        <f>HYPERLINK("http://www.redfin.com/stingray/do/printable-listing?listing-id=1552274","Active")</f>
        <v>Active</v>
      </c>
      <c r="D2413" t="s">
        <v>60</v>
      </c>
      <c r="E2413" t="s">
        <v>2139</v>
      </c>
      <c r="F2413">
        <v>389950</v>
      </c>
      <c r="G2413">
        <v>2008</v>
      </c>
      <c r="H2413">
        <v>1096</v>
      </c>
      <c r="I2413">
        <v>0</v>
      </c>
      <c r="J2413">
        <v>2</v>
      </c>
      <c r="K2413">
        <v>1.5</v>
      </c>
      <c r="M2413" s="2" t="str">
        <f>HYPERLINK("http://maps.live.com/default.aspx?v=2&amp;lvl=15&amp;sp=Point.47.680163_-122.347885_761 N 71st St&amp;cp=47.680163~-122.347885","Map")</f>
        <v>Map</v>
      </c>
      <c r="N2413" s="2" t="str">
        <f>HYPERLINK("http://i-0.rfimg.us/photo/1/bigphoto/356/28043356_1.jpg","Photo")</f>
        <v>Photo</v>
      </c>
      <c r="AG2413">
        <v>47.680163</v>
      </c>
      <c r="AH2413">
        <v>-122.34788500000001</v>
      </c>
      <c r="AI2413" t="s">
        <v>66</v>
      </c>
      <c r="AJ2413">
        <v>98103</v>
      </c>
      <c r="BC2413" s="22">
        <v>39519.448252314818</v>
      </c>
      <c r="BI2413" s="22">
        <v>39549.294907407406</v>
      </c>
      <c r="BL2413">
        <v>7799</v>
      </c>
      <c r="BM2413">
        <v>1552274</v>
      </c>
      <c r="BN2413" t="s">
        <v>1710</v>
      </c>
      <c r="BO2413" s="17">
        <f t="shared" ca="1" si="37"/>
        <v>29.861153703699529</v>
      </c>
      <c r="BP2413" t="b">
        <v>0</v>
      </c>
      <c r="BQ2413">
        <v>1</v>
      </c>
      <c r="BR2413" t="s">
        <v>1686</v>
      </c>
      <c r="BS2413" t="s">
        <v>1830</v>
      </c>
      <c r="BT2413" t="b">
        <v>0</v>
      </c>
      <c r="BU2413" t="s">
        <v>1712</v>
      </c>
      <c r="BV2413" t="s">
        <v>1668</v>
      </c>
      <c r="BW2413">
        <v>761</v>
      </c>
      <c r="BY2413">
        <v>12426323</v>
      </c>
      <c r="BZ2413" t="s">
        <v>1704</v>
      </c>
      <c r="CA2413">
        <v>1</v>
      </c>
      <c r="CB2413" t="b">
        <v>1</v>
      </c>
      <c r="CC2413">
        <v>0</v>
      </c>
      <c r="CD2413" t="b">
        <v>0</v>
      </c>
      <c r="CE2413" t="b">
        <v>0</v>
      </c>
      <c r="CF2413" t="b">
        <v>0</v>
      </c>
      <c r="CG2413">
        <v>15630071</v>
      </c>
      <c r="CH2413" t="s">
        <v>1681</v>
      </c>
      <c r="CI2413" s="10">
        <v>389950</v>
      </c>
    </row>
    <row r="2414" spans="1:88">
      <c r="A2414">
        <v>28043370</v>
      </c>
      <c r="B2414" s="2" t="str">
        <f>HYPERLINK("http://www.redfin.com/stingray/do/printable-listing?listing-id=1552302","Active")</f>
        <v>Active</v>
      </c>
      <c r="D2414" t="s">
        <v>207</v>
      </c>
      <c r="E2414" t="s">
        <v>3118</v>
      </c>
      <c r="F2414">
        <v>549000</v>
      </c>
      <c r="G2414">
        <v>1956</v>
      </c>
      <c r="H2414">
        <v>2100</v>
      </c>
      <c r="I2414">
        <v>2950</v>
      </c>
      <c r="J2414">
        <v>3</v>
      </c>
      <c r="K2414">
        <v>1.75</v>
      </c>
      <c r="M2414" s="2" t="str">
        <f>HYPERLINK("http://maps.live.com/default.aspx?v=2&amp;lvl=15&amp;sp=Point.47.674683_-122.290502_6221 35th Ave NE&amp;cp=47.674683~-122.290502","Map")</f>
        <v>Map</v>
      </c>
      <c r="N2414" s="2" t="str">
        <f>HYPERLINK("http://i-0.rfimg.us/photo/1/bigphoto/370/28043370_1.jpg","Photo")</f>
        <v>Photo</v>
      </c>
      <c r="AG2414">
        <v>47.674683000000002</v>
      </c>
      <c r="AH2414">
        <v>-122.290502</v>
      </c>
      <c r="AI2414" t="s">
        <v>66</v>
      </c>
      <c r="AJ2414">
        <v>98115</v>
      </c>
      <c r="AN2414">
        <v>340000</v>
      </c>
      <c r="BC2414" s="22">
        <v>39519.453402777777</v>
      </c>
      <c r="BI2414" s="22">
        <v>39549.294907407406</v>
      </c>
      <c r="BL2414">
        <v>10980</v>
      </c>
      <c r="BM2414">
        <v>1552302</v>
      </c>
      <c r="BN2414" t="s">
        <v>3117</v>
      </c>
      <c r="BO2414" s="17">
        <f t="shared" ca="1" si="37"/>
        <v>29.856003125001735</v>
      </c>
      <c r="BP2414" t="b">
        <v>0</v>
      </c>
      <c r="BQ2414">
        <v>1</v>
      </c>
      <c r="BR2414" t="s">
        <v>1667</v>
      </c>
      <c r="BS2414" t="s">
        <v>2920</v>
      </c>
      <c r="BT2414" t="b">
        <v>0</v>
      </c>
      <c r="BV2414" t="s">
        <v>1668</v>
      </c>
      <c r="BW2414">
        <v>6221</v>
      </c>
      <c r="BX2414" t="s">
        <v>1738</v>
      </c>
      <c r="BY2414">
        <v>313302</v>
      </c>
      <c r="BZ2414" t="s">
        <v>3119</v>
      </c>
      <c r="CA2414">
        <v>1</v>
      </c>
      <c r="CB2414" t="b">
        <v>1</v>
      </c>
      <c r="CC2414">
        <v>0</v>
      </c>
      <c r="CD2414" t="b">
        <v>0</v>
      </c>
      <c r="CE2414" t="b">
        <v>0</v>
      </c>
      <c r="CF2414" t="b">
        <v>0</v>
      </c>
      <c r="CG2414">
        <v>2362553</v>
      </c>
      <c r="CH2414" t="s">
        <v>1681</v>
      </c>
      <c r="CI2414" s="10">
        <v>549000</v>
      </c>
      <c r="CJ2414" s="7">
        <v>38238</v>
      </c>
    </row>
    <row r="2415" spans="1:88">
      <c r="A2415">
        <v>28043372</v>
      </c>
      <c r="B2415" s="15" t="str">
        <f>HYPERLINK("http://www.redfin.com/stingray/do/printable-listing?listing-id=1559743","Subject To Inspection")</f>
        <v>Subject To Inspection</v>
      </c>
      <c r="D2415" t="s">
        <v>1058</v>
      </c>
      <c r="E2415" t="s">
        <v>4456</v>
      </c>
      <c r="F2415">
        <v>649000</v>
      </c>
      <c r="G2415">
        <v>1999</v>
      </c>
      <c r="H2415">
        <v>2480</v>
      </c>
      <c r="I2415">
        <v>8502</v>
      </c>
      <c r="J2415">
        <v>4</v>
      </c>
      <c r="K2415">
        <v>2.5</v>
      </c>
      <c r="M2415" s="2" t="str">
        <f>HYPERLINK("http://maps.live.com/default.aspx?v=2&amp;lvl=15&amp;sp=Point.47.703544_-122.192688_11519 111th PL NE&amp;cp=47.703544~-122.192688","Map")</f>
        <v>Map</v>
      </c>
      <c r="N2415" s="2" t="str">
        <f>HYPERLINK("http://i-0.rfimg.us/photo/1/bigphoto/372/28043372_2.jpg","Photo")</f>
        <v>Photo</v>
      </c>
      <c r="AG2415">
        <v>47.703544000000001</v>
      </c>
      <c r="AH2415">
        <v>-122.192688</v>
      </c>
      <c r="AI2415" t="s">
        <v>1058</v>
      </c>
      <c r="AJ2415">
        <v>98033</v>
      </c>
      <c r="AN2415">
        <v>358000</v>
      </c>
      <c r="BC2415" s="22">
        <v>39521.507928240739</v>
      </c>
      <c r="BI2415" s="7">
        <v>39543</v>
      </c>
      <c r="BL2415">
        <v>12980</v>
      </c>
      <c r="BM2415">
        <v>1559743</v>
      </c>
      <c r="BN2415" t="s">
        <v>1688</v>
      </c>
      <c r="BO2415" s="17">
        <f t="shared" ca="1" si="37"/>
        <v>27.80147766204027</v>
      </c>
      <c r="BP2415" t="b">
        <v>0</v>
      </c>
      <c r="BQ2415">
        <v>1</v>
      </c>
      <c r="BR2415" t="s">
        <v>4457</v>
      </c>
      <c r="BS2415" t="s">
        <v>4388</v>
      </c>
      <c r="BT2415" t="b">
        <v>0</v>
      </c>
      <c r="BV2415" t="s">
        <v>1668</v>
      </c>
      <c r="BW2415">
        <v>11519</v>
      </c>
      <c r="BX2415" t="s">
        <v>1738</v>
      </c>
      <c r="BY2415">
        <v>464076</v>
      </c>
      <c r="BZ2415" t="s">
        <v>4458</v>
      </c>
      <c r="CA2415">
        <v>1</v>
      </c>
      <c r="CB2415" t="b">
        <v>1</v>
      </c>
      <c r="CC2415">
        <v>0</v>
      </c>
      <c r="CD2415" t="b">
        <v>0</v>
      </c>
      <c r="CE2415" t="b">
        <v>0</v>
      </c>
      <c r="CF2415" t="b">
        <v>0</v>
      </c>
      <c r="CG2415">
        <v>2928221</v>
      </c>
      <c r="CH2415" t="s">
        <v>1681</v>
      </c>
      <c r="CI2415" s="10">
        <v>649000</v>
      </c>
      <c r="CJ2415" s="7">
        <v>36474</v>
      </c>
    </row>
    <row r="2416" spans="1:88">
      <c r="A2416">
        <v>28043401</v>
      </c>
      <c r="B2416" s="2" t="str">
        <f>HYPERLINK("http://www.redfin.com/stingray/do/printable-listing?listing-id=1561308","Active")</f>
        <v>Active</v>
      </c>
      <c r="D2416" t="s">
        <v>5121</v>
      </c>
      <c r="E2416" t="s">
        <v>5120</v>
      </c>
      <c r="F2416">
        <v>820000</v>
      </c>
      <c r="G2416">
        <v>1950</v>
      </c>
      <c r="H2416">
        <v>0</v>
      </c>
      <c r="I2416">
        <v>9030</v>
      </c>
      <c r="J2416">
        <v>2</v>
      </c>
      <c r="K2416">
        <v>1</v>
      </c>
      <c r="M2416" s="2" t="str">
        <f>HYPERLINK("http://maps.live.com/default.aspx?v=2&amp;lvl=15&amp;sp=Point.47.599139_-122.200206_10436 SE 13th St&amp;cp=47.599139~-122.200206","Map")</f>
        <v>Map</v>
      </c>
      <c r="N2416" s="2" t="str">
        <f>HYPERLINK("http://i-0.rfimg.us/photo/1/bigphoto/401/28043401_.jpg","Photo")</f>
        <v>Photo</v>
      </c>
      <c r="AG2416">
        <v>47.599139000000001</v>
      </c>
      <c r="AH2416">
        <v>-122.20020599999999</v>
      </c>
      <c r="AI2416" t="s">
        <v>369</v>
      </c>
      <c r="AJ2416">
        <v>98004</v>
      </c>
      <c r="AN2416">
        <v>690000</v>
      </c>
      <c r="BC2416" s="22">
        <v>39521.765428240738</v>
      </c>
      <c r="BI2416" s="22">
        <v>39549.294907407406</v>
      </c>
      <c r="BL2416">
        <v>16400</v>
      </c>
      <c r="BM2416">
        <v>1561308</v>
      </c>
      <c r="BN2416" t="s">
        <v>2444</v>
      </c>
      <c r="BO2416" s="17">
        <f t="shared" ca="1" si="37"/>
        <v>27.543977662040561</v>
      </c>
      <c r="BP2416" t="b">
        <v>0</v>
      </c>
      <c r="BQ2416">
        <v>1</v>
      </c>
      <c r="BR2416" t="s">
        <v>1686</v>
      </c>
      <c r="BS2416" t="s">
        <v>1809</v>
      </c>
      <c r="BT2416" t="b">
        <v>0</v>
      </c>
      <c r="BU2416" t="s">
        <v>3856</v>
      </c>
      <c r="BV2416" t="s">
        <v>1668</v>
      </c>
      <c r="BW2416">
        <v>10436</v>
      </c>
      <c r="BY2416">
        <v>511033</v>
      </c>
      <c r="BZ2416" t="s">
        <v>1813</v>
      </c>
      <c r="CA2416">
        <v>1</v>
      </c>
      <c r="CB2416" t="b">
        <v>1</v>
      </c>
      <c r="CC2416">
        <v>0</v>
      </c>
      <c r="CD2416" t="b">
        <v>0</v>
      </c>
      <c r="CE2416" t="b">
        <v>0</v>
      </c>
      <c r="CF2416" t="b">
        <v>0</v>
      </c>
      <c r="CG2416">
        <v>2783768</v>
      </c>
      <c r="CH2416" t="s">
        <v>1681</v>
      </c>
      <c r="CI2416" s="10">
        <v>820000</v>
      </c>
      <c r="CJ2416" s="7">
        <v>39223</v>
      </c>
    </row>
    <row r="2417" spans="1:88">
      <c r="A2417">
        <v>28043405</v>
      </c>
      <c r="B2417" s="15" t="str">
        <f>HYPERLINK("http://www.redfin.com/stingray/do/printable-listing?listing-id=1552385","Subject To Inspection")</f>
        <v>Subject To Inspection</v>
      </c>
      <c r="D2417" t="s">
        <v>5058</v>
      </c>
      <c r="E2417" t="s">
        <v>5059</v>
      </c>
      <c r="F2417">
        <v>1083000</v>
      </c>
      <c r="G2417">
        <v>1956</v>
      </c>
      <c r="H2417">
        <v>2780</v>
      </c>
      <c r="I2417">
        <v>16000</v>
      </c>
      <c r="J2417">
        <v>4</v>
      </c>
      <c r="K2417">
        <v>2.75</v>
      </c>
      <c r="M2417" s="2" t="str">
        <f>HYPERLINK("http://maps.live.com/default.aspx?v=2&amp;lvl=15&amp;sp=Point.47.616219_-122.228352_601 84th Ave NE&amp;cp=47.616219~-122.228352","Map")</f>
        <v>Map</v>
      </c>
      <c r="N2417" s="2" t="str">
        <f>HYPERLINK("http://i-0.rfimg.us/photo/1/bigphoto/405/28043405_0.jpg","Photo")</f>
        <v>Photo</v>
      </c>
      <c r="AG2417">
        <v>47.616219000000001</v>
      </c>
      <c r="AH2417">
        <v>-122.228352</v>
      </c>
      <c r="AI2417" t="s">
        <v>5058</v>
      </c>
      <c r="AJ2417">
        <v>98039</v>
      </c>
      <c r="AN2417">
        <v>820000</v>
      </c>
      <c r="BC2417" s="22">
        <v>39519.475243055553</v>
      </c>
      <c r="BI2417" s="22">
        <v>39549.294907407406</v>
      </c>
      <c r="BL2417">
        <v>21660</v>
      </c>
      <c r="BM2417">
        <v>1552385</v>
      </c>
      <c r="BN2417" t="s">
        <v>1720</v>
      </c>
      <c r="BO2417" s="17">
        <f t="shared" ca="1" si="37"/>
        <v>29.834162847226253</v>
      </c>
      <c r="BP2417" t="b">
        <v>0</v>
      </c>
      <c r="BQ2417">
        <v>1</v>
      </c>
      <c r="BR2417" t="s">
        <v>1667</v>
      </c>
      <c r="BS2417" t="s">
        <v>1826</v>
      </c>
      <c r="BT2417" t="b">
        <v>0</v>
      </c>
      <c r="BV2417" t="s">
        <v>1668</v>
      </c>
      <c r="BW2417">
        <v>601</v>
      </c>
      <c r="BX2417" t="s">
        <v>1738</v>
      </c>
      <c r="BY2417">
        <v>251811</v>
      </c>
      <c r="BZ2417" t="s">
        <v>1747</v>
      </c>
      <c r="CA2417">
        <v>1</v>
      </c>
      <c r="CB2417" t="b">
        <v>1</v>
      </c>
      <c r="CC2417">
        <v>0</v>
      </c>
      <c r="CD2417" t="b">
        <v>0</v>
      </c>
      <c r="CE2417" t="b">
        <v>0</v>
      </c>
      <c r="CF2417" t="b">
        <v>0</v>
      </c>
      <c r="CG2417">
        <v>2364549</v>
      </c>
      <c r="CH2417" t="s">
        <v>1681</v>
      </c>
      <c r="CI2417" s="10">
        <v>1083000</v>
      </c>
      <c r="CJ2417" s="7">
        <v>38460</v>
      </c>
    </row>
    <row r="2418" spans="1:88">
      <c r="A2418">
        <v>28043413</v>
      </c>
      <c r="B2418" s="2" t="str">
        <f>HYPERLINK("http://www.redfin.com/stingray/do/printable-listing?listing-id=1554752","Active")</f>
        <v>Active</v>
      </c>
      <c r="D2418" t="s">
        <v>1058</v>
      </c>
      <c r="E2418" t="s">
        <v>4469</v>
      </c>
      <c r="F2418">
        <v>525000</v>
      </c>
      <c r="G2418">
        <v>1978</v>
      </c>
      <c r="H2418">
        <v>2190</v>
      </c>
      <c r="I2418">
        <v>8400</v>
      </c>
      <c r="J2418">
        <v>5</v>
      </c>
      <c r="K2418">
        <v>2.25</v>
      </c>
      <c r="M2418" s="2" t="str">
        <f>HYPERLINK("http://maps.live.com/default.aspx?v=2&amp;lvl=15&amp;sp=Point.47.721189_-122.236916_13405 78th Pl NE&amp;cp=47.721189~-122.236916","Map")</f>
        <v>Map</v>
      </c>
      <c r="N2418" s="2" t="str">
        <f>HYPERLINK("http://i-0.rfimg.us/photo/1/bigphoto/413/28043413_1.jpg","Photo")</f>
        <v>Photo</v>
      </c>
      <c r="AG2418">
        <v>47.721189000000003</v>
      </c>
      <c r="AH2418">
        <v>-122.23691599999999</v>
      </c>
      <c r="AI2418" t="s">
        <v>1058</v>
      </c>
      <c r="AJ2418">
        <v>98034</v>
      </c>
      <c r="BC2418" s="22">
        <v>39520.13962962963</v>
      </c>
      <c r="BI2418" s="22">
        <v>39549.294907407406</v>
      </c>
      <c r="BL2418">
        <v>10500</v>
      </c>
      <c r="BM2418">
        <v>1554752</v>
      </c>
      <c r="BN2418" t="s">
        <v>1798</v>
      </c>
      <c r="BO2418" s="17">
        <f t="shared" ca="1" si="37"/>
        <v>29.169776273149182</v>
      </c>
      <c r="BP2418" t="b">
        <v>0</v>
      </c>
      <c r="BQ2418">
        <v>1</v>
      </c>
      <c r="BR2418" t="s">
        <v>1842</v>
      </c>
      <c r="BS2418" t="s">
        <v>2354</v>
      </c>
      <c r="BT2418" t="b">
        <v>0</v>
      </c>
      <c r="BV2418" t="s">
        <v>1668</v>
      </c>
      <c r="BW2418">
        <v>13405</v>
      </c>
      <c r="BX2418" t="s">
        <v>1738</v>
      </c>
      <c r="BY2418">
        <v>276050</v>
      </c>
      <c r="BZ2418" t="s">
        <v>1704</v>
      </c>
      <c r="CA2418">
        <v>1</v>
      </c>
      <c r="CB2418" t="b">
        <v>1</v>
      </c>
      <c r="CC2418">
        <v>0</v>
      </c>
      <c r="CD2418" t="b">
        <v>0</v>
      </c>
      <c r="CE2418" t="b">
        <v>0</v>
      </c>
      <c r="CF2418" t="b">
        <v>0</v>
      </c>
      <c r="CG2418">
        <v>2842076</v>
      </c>
      <c r="CH2418" t="s">
        <v>1681</v>
      </c>
      <c r="CI2418" s="10">
        <v>525000</v>
      </c>
    </row>
    <row r="2419" spans="1:88">
      <c r="A2419">
        <v>28043415</v>
      </c>
      <c r="B2419" s="2" t="str">
        <f>HYPERLINK("http://www.redfin.com/stingray/do/printable-listing?listing-id=1552388","Active")</f>
        <v>Active</v>
      </c>
      <c r="D2419" t="s">
        <v>4974</v>
      </c>
      <c r="E2419" t="s">
        <v>5035</v>
      </c>
      <c r="F2419">
        <v>877800</v>
      </c>
      <c r="G2419">
        <v>1993</v>
      </c>
      <c r="H2419">
        <v>2500</v>
      </c>
      <c r="I2419">
        <v>40075</v>
      </c>
      <c r="J2419">
        <v>3</v>
      </c>
      <c r="K2419">
        <v>2.5</v>
      </c>
      <c r="M2419" s="2" t="str">
        <f>HYPERLINK("http://maps.live.com/default.aspx?v=2&amp;lvl=15&amp;sp=Point.47.63364_-122.201348_2601 Bellevue Way NE&amp;cp=47.63364~-122.201348","Map")</f>
        <v>Map</v>
      </c>
      <c r="N2419" s="2" t="str">
        <f>HYPERLINK("http://i-0.rfimg.us/photo/1/bigphoto/415/28043415_.jpg","Photo")</f>
        <v>Photo</v>
      </c>
      <c r="AG2419">
        <v>47.63364</v>
      </c>
      <c r="AH2419">
        <v>-122.201348</v>
      </c>
      <c r="AI2419" t="s">
        <v>369</v>
      </c>
      <c r="AJ2419">
        <v>98004</v>
      </c>
      <c r="AN2419">
        <v>870000</v>
      </c>
      <c r="BC2419" s="22">
        <v>39519.475335648145</v>
      </c>
      <c r="BI2419" s="22">
        <v>39549.294907407406</v>
      </c>
      <c r="BL2419">
        <v>17556</v>
      </c>
      <c r="BM2419">
        <v>1552388</v>
      </c>
      <c r="BN2419" t="s">
        <v>1720</v>
      </c>
      <c r="BO2419" s="17">
        <f t="shared" ca="1" si="37"/>
        <v>29.834070254633843</v>
      </c>
      <c r="BP2419" t="b">
        <v>0</v>
      </c>
      <c r="BQ2419">
        <v>1</v>
      </c>
      <c r="BR2419" t="s">
        <v>2463</v>
      </c>
      <c r="BS2419" t="s">
        <v>369</v>
      </c>
      <c r="BT2419" t="b">
        <v>0</v>
      </c>
      <c r="BV2419" t="s">
        <v>1668</v>
      </c>
      <c r="BW2419">
        <v>2601</v>
      </c>
      <c r="BX2419" t="s">
        <v>1738</v>
      </c>
      <c r="BY2419">
        <v>506065</v>
      </c>
      <c r="CA2419">
        <v>1</v>
      </c>
      <c r="CB2419" t="b">
        <v>1</v>
      </c>
      <c r="CC2419">
        <v>0</v>
      </c>
      <c r="CD2419" t="b">
        <v>0</v>
      </c>
      <c r="CE2419" t="b">
        <v>0</v>
      </c>
      <c r="CF2419" t="b">
        <v>0</v>
      </c>
      <c r="CG2419">
        <v>2613873</v>
      </c>
      <c r="CH2419" t="s">
        <v>1681</v>
      </c>
      <c r="CI2419" s="10">
        <v>877800</v>
      </c>
      <c r="CJ2419" s="7">
        <v>38959</v>
      </c>
    </row>
    <row r="2420" spans="1:88">
      <c r="A2420">
        <v>28043452</v>
      </c>
      <c r="B2420" s="2" t="str">
        <f>HYPERLINK("http://www.redfin.com/stingray/do/printable-listing?listing-id=1552535","Active")</f>
        <v>Active</v>
      </c>
      <c r="D2420" t="s">
        <v>100</v>
      </c>
      <c r="E2420" t="s">
        <v>2486</v>
      </c>
      <c r="F2420" s="19">
        <v>475920</v>
      </c>
      <c r="G2420">
        <v>2005</v>
      </c>
      <c r="H2420">
        <v>1400</v>
      </c>
      <c r="I2420">
        <v>0</v>
      </c>
      <c r="J2420">
        <v>3</v>
      </c>
      <c r="K2420">
        <v>2.5</v>
      </c>
      <c r="M2420" s="2" t="str">
        <f>HYPERLINK("http://maps.live.com/default.aspx?v=2&amp;lvl=15&amp;sp=Point.47.661698_-122.351803_4509 Evanston Ave N nA&amp;cp=47.661698~-122.351803","Map")</f>
        <v>Map</v>
      </c>
      <c r="N2420" s="2" t="str">
        <f>HYPERLINK("http://i-0.rfimg.us/photo/1/bigphoto/452/28043452_2.jpg","Photo")</f>
        <v>Photo</v>
      </c>
      <c r="AG2420">
        <v>47.661698000000001</v>
      </c>
      <c r="AH2420">
        <v>-122.351803</v>
      </c>
      <c r="AI2420" t="s">
        <v>66</v>
      </c>
      <c r="AJ2420">
        <v>98103</v>
      </c>
      <c r="AM2420" t="s">
        <v>1722</v>
      </c>
      <c r="BC2420" s="22">
        <v>39519.506956018522</v>
      </c>
      <c r="BI2420" s="22">
        <v>39549.294907407406</v>
      </c>
      <c r="BL2420">
        <v>9799</v>
      </c>
      <c r="BM2420">
        <v>1552535</v>
      </c>
      <c r="BN2420" t="s">
        <v>1821</v>
      </c>
      <c r="BO2420" s="17">
        <f t="shared" ca="1" si="37"/>
        <v>29.802449999995588</v>
      </c>
      <c r="BP2420" t="b">
        <v>0</v>
      </c>
      <c r="BQ2420">
        <v>1</v>
      </c>
      <c r="BR2420" t="s">
        <v>1667</v>
      </c>
      <c r="BS2420" t="s">
        <v>2487</v>
      </c>
      <c r="BT2420" t="b">
        <v>0</v>
      </c>
      <c r="BV2420" t="s">
        <v>1668</v>
      </c>
      <c r="BW2420">
        <v>4509</v>
      </c>
      <c r="BX2420" t="s">
        <v>1712</v>
      </c>
      <c r="BY2420">
        <v>12426345</v>
      </c>
      <c r="BZ2420" t="s">
        <v>2488</v>
      </c>
      <c r="CA2420">
        <v>1</v>
      </c>
      <c r="CB2420" t="b">
        <v>1</v>
      </c>
      <c r="CC2420">
        <v>0</v>
      </c>
      <c r="CD2420" t="b">
        <v>0</v>
      </c>
      <c r="CE2420" t="b">
        <v>0</v>
      </c>
      <c r="CF2420" t="b">
        <v>0</v>
      </c>
      <c r="CG2420">
        <v>15630093</v>
      </c>
      <c r="CH2420" t="s">
        <v>1681</v>
      </c>
      <c r="CI2420" s="10">
        <v>489960</v>
      </c>
    </row>
    <row r="2421" spans="1:88">
      <c r="A2421">
        <v>28043472</v>
      </c>
      <c r="B2421" s="2" t="str">
        <f>HYPERLINK("http://www.redfin.com/stingray/do/printable-listing?listing-id=1552560","Active")</f>
        <v>Active</v>
      </c>
      <c r="D2421" t="s">
        <v>99</v>
      </c>
      <c r="E2421" t="s">
        <v>1791</v>
      </c>
      <c r="F2421" s="19">
        <v>405000</v>
      </c>
      <c r="G2421">
        <v>1940</v>
      </c>
      <c r="H2421">
        <v>1720</v>
      </c>
      <c r="I2421">
        <v>5000</v>
      </c>
      <c r="J2421">
        <v>3</v>
      </c>
      <c r="K2421">
        <v>1.5</v>
      </c>
      <c r="M2421" s="2" t="str">
        <f>HYPERLINK("http://maps.live.com/default.aspx?v=2&amp;lvl=15&amp;sp=Point.47.697052_-122.37066_9231 11th Ave NW&amp;cp=47.697052~-122.37066","Map")</f>
        <v>Map</v>
      </c>
      <c r="N2421" s="2" t="str">
        <f>HYPERLINK("http://i-0.rfimg.us/photo/1/bigphoto/472/28043472_0.jpg","Photo")</f>
        <v>Photo</v>
      </c>
      <c r="AG2421">
        <v>47.697051999999999</v>
      </c>
      <c r="AH2421">
        <v>-122.37066</v>
      </c>
      <c r="AI2421" t="s">
        <v>66</v>
      </c>
      <c r="AJ2421">
        <v>98117</v>
      </c>
      <c r="AN2421">
        <v>342000</v>
      </c>
      <c r="BC2421" s="22">
        <v>39519.51525462963</v>
      </c>
      <c r="BI2421" s="22">
        <v>39549.294907407406</v>
      </c>
      <c r="BL2421">
        <v>8360</v>
      </c>
      <c r="BM2421">
        <v>1552560</v>
      </c>
      <c r="BN2421" t="s">
        <v>1790</v>
      </c>
      <c r="BO2421" s="17">
        <f t="shared" ca="1" si="37"/>
        <v>29.794151388887258</v>
      </c>
      <c r="BP2421" t="b">
        <v>0</v>
      </c>
      <c r="BQ2421">
        <v>1</v>
      </c>
      <c r="BR2421" t="s">
        <v>1667</v>
      </c>
      <c r="BS2421" t="s">
        <v>1792</v>
      </c>
      <c r="BT2421" t="b">
        <v>0</v>
      </c>
      <c r="BV2421" t="s">
        <v>1668</v>
      </c>
      <c r="BW2421">
        <v>9231</v>
      </c>
      <c r="BX2421" t="s">
        <v>1669</v>
      </c>
      <c r="BY2421">
        <v>100187</v>
      </c>
      <c r="BZ2421" t="s">
        <v>1793</v>
      </c>
      <c r="CA2421">
        <v>1</v>
      </c>
      <c r="CB2421" t="b">
        <v>1</v>
      </c>
      <c r="CC2421">
        <v>0</v>
      </c>
      <c r="CD2421" t="b">
        <v>0</v>
      </c>
      <c r="CE2421" t="b">
        <v>1</v>
      </c>
      <c r="CF2421" t="b">
        <v>0</v>
      </c>
      <c r="CG2421">
        <v>2525813</v>
      </c>
      <c r="CH2421" t="s">
        <v>1681</v>
      </c>
      <c r="CI2421" s="10">
        <v>418000</v>
      </c>
      <c r="CJ2421" s="7">
        <v>38881</v>
      </c>
    </row>
    <row r="2422" spans="1:88">
      <c r="A2422">
        <v>28043475</v>
      </c>
      <c r="B2422" s="2" t="str">
        <f>HYPERLINK("http://www.redfin.com/stingray/do/printable-listing?listing-id=1553045","Subject To Inspection")</f>
        <v>Subject To Inspection</v>
      </c>
      <c r="D2422" t="s">
        <v>70</v>
      </c>
      <c r="E2422" t="s">
        <v>2168</v>
      </c>
      <c r="F2422">
        <v>399950</v>
      </c>
      <c r="G2422">
        <v>1953</v>
      </c>
      <c r="H2422">
        <v>1480</v>
      </c>
      <c r="I2422">
        <v>0</v>
      </c>
      <c r="J2422">
        <v>3</v>
      </c>
      <c r="K2422">
        <v>1</v>
      </c>
      <c r="M2422" s="2" t="str">
        <f>HYPERLINK("http://maps.live.com/default.aspx?v=2&amp;lvl=15&amp;sp=Point.47.70711_-122.361526_10702 4th Ave NW&amp;cp=47.70711~-122.361526","Map")</f>
        <v>Map</v>
      </c>
      <c r="N2422" s="2" t="str">
        <f>HYPERLINK("http://i-0.rfimg.us/photo/1/bigphoto/475/28043475_0.jpg","Photo")</f>
        <v>Photo</v>
      </c>
      <c r="AG2422">
        <v>47.70711</v>
      </c>
      <c r="AH2422">
        <v>-122.361526</v>
      </c>
      <c r="AI2422" t="s">
        <v>66</v>
      </c>
      <c r="AJ2422">
        <v>98177</v>
      </c>
      <c r="AN2422">
        <v>272450</v>
      </c>
      <c r="BC2422" s="22">
        <v>39519.613877314812</v>
      </c>
      <c r="BI2422" s="7">
        <v>39532</v>
      </c>
      <c r="BL2422">
        <v>7999</v>
      </c>
      <c r="BM2422">
        <v>1553045</v>
      </c>
      <c r="BN2422" t="s">
        <v>1700</v>
      </c>
      <c r="BO2422" s="17">
        <f t="shared" ca="1" si="37"/>
        <v>29.695528587966692</v>
      </c>
      <c r="BP2422" t="b">
        <v>0</v>
      </c>
      <c r="BQ2422">
        <v>2</v>
      </c>
      <c r="BR2422" t="s">
        <v>1667</v>
      </c>
      <c r="BS2422" t="s">
        <v>1724</v>
      </c>
      <c r="BT2422" t="b">
        <v>0</v>
      </c>
      <c r="BV2422" t="s">
        <v>1668</v>
      </c>
      <c r="BW2422">
        <v>10702</v>
      </c>
      <c r="BX2422" t="s">
        <v>1669</v>
      </c>
      <c r="BY2422">
        <v>96693</v>
      </c>
      <c r="BZ2422" t="s">
        <v>1672</v>
      </c>
      <c r="CA2422">
        <v>1</v>
      </c>
      <c r="CB2422" t="b">
        <v>1</v>
      </c>
      <c r="CC2422">
        <v>0</v>
      </c>
      <c r="CD2422" t="b">
        <v>0</v>
      </c>
      <c r="CE2422" t="b">
        <v>0</v>
      </c>
      <c r="CF2422" t="b">
        <v>0</v>
      </c>
      <c r="CG2422">
        <v>2771924</v>
      </c>
      <c r="CH2422" t="s">
        <v>1681</v>
      </c>
      <c r="CI2422" s="10">
        <v>399950</v>
      </c>
      <c r="CJ2422" s="7">
        <v>37707</v>
      </c>
    </row>
    <row r="2423" spans="1:88">
      <c r="A2423">
        <v>28043487</v>
      </c>
      <c r="B2423" s="2" t="str">
        <f>HYPERLINK("http://www.redfin.com/stingray/do/printable-listing?listing-id=1552706","Active")</f>
        <v>Active</v>
      </c>
      <c r="D2423" t="s">
        <v>1238</v>
      </c>
      <c r="E2423" t="s">
        <v>3702</v>
      </c>
      <c r="F2423">
        <v>898000</v>
      </c>
      <c r="G2423">
        <v>1918</v>
      </c>
      <c r="H2423">
        <v>2600</v>
      </c>
      <c r="I2423">
        <v>5250</v>
      </c>
      <c r="J2423">
        <v>3</v>
      </c>
      <c r="K2423">
        <v>3</v>
      </c>
      <c r="M2423" s="2" t="str">
        <f>HYPERLINK("http://maps.live.com/default.aspx?v=2&amp;lvl=15&amp;sp=Point.47.632613_-122.308859_1509 18th Ave E&amp;cp=47.632613~-122.308859","Map")</f>
        <v>Map</v>
      </c>
      <c r="N2423" s="2" t="str">
        <f>HYPERLINK("http://i-0.rfimg.us/photo/1/bigphoto/487/28043487_0.jpg","Photo")</f>
        <v>Photo</v>
      </c>
      <c r="AG2423">
        <v>47.632612999999999</v>
      </c>
      <c r="AH2423">
        <v>-122.308859</v>
      </c>
      <c r="AI2423" t="s">
        <v>66</v>
      </c>
      <c r="AJ2423">
        <v>98112</v>
      </c>
      <c r="BC2423" s="22">
        <v>39519.557210648149</v>
      </c>
      <c r="BI2423" s="22">
        <v>39549.294907407406</v>
      </c>
      <c r="BL2423">
        <v>17960</v>
      </c>
      <c r="BM2423">
        <v>1552706</v>
      </c>
      <c r="BN2423" t="s">
        <v>3701</v>
      </c>
      <c r="BO2423" s="17">
        <f t="shared" ca="1" si="37"/>
        <v>29.752195254630351</v>
      </c>
      <c r="BP2423" t="b">
        <v>0</v>
      </c>
      <c r="BQ2423">
        <v>1</v>
      </c>
      <c r="BR2423" t="s">
        <v>1667</v>
      </c>
      <c r="BS2423" t="s">
        <v>1909</v>
      </c>
      <c r="BT2423" t="b">
        <v>0</v>
      </c>
      <c r="BV2423" t="s">
        <v>1668</v>
      </c>
      <c r="BW2423">
        <v>1509</v>
      </c>
      <c r="BX2423" t="s">
        <v>2436</v>
      </c>
      <c r="BY2423">
        <v>135921</v>
      </c>
      <c r="BZ2423" t="s">
        <v>1676</v>
      </c>
      <c r="CA2423">
        <v>1</v>
      </c>
      <c r="CB2423" t="b">
        <v>1</v>
      </c>
      <c r="CC2423">
        <v>0</v>
      </c>
      <c r="CD2423" t="b">
        <v>0</v>
      </c>
      <c r="CE2423" t="b">
        <v>0</v>
      </c>
      <c r="CF2423" t="b">
        <v>0</v>
      </c>
      <c r="CG2423">
        <v>2900909</v>
      </c>
      <c r="CH2423" t="s">
        <v>1681</v>
      </c>
      <c r="CI2423" s="10">
        <v>898000</v>
      </c>
    </row>
    <row r="2424" spans="1:88">
      <c r="A2424">
        <v>28043494</v>
      </c>
      <c r="B2424" s="2" t="str">
        <f>HYPERLINK("http://www.redfin.com/stingray/do/printable-listing?listing-id=1552848","Active")</f>
        <v>Active</v>
      </c>
      <c r="D2424" t="s">
        <v>5280</v>
      </c>
      <c r="E2424" t="s">
        <v>5607</v>
      </c>
      <c r="F2424">
        <v>949950</v>
      </c>
      <c r="G2424">
        <v>1996</v>
      </c>
      <c r="H2424">
        <v>3402</v>
      </c>
      <c r="I2424">
        <v>14911</v>
      </c>
      <c r="J2424">
        <v>4</v>
      </c>
      <c r="K2424">
        <v>2.5</v>
      </c>
      <c r="M2424" s="2" t="str">
        <f>HYPERLINK("http://maps.live.com/default.aspx?v=2&amp;lvl=15&amp;sp=Point.47.550344_-122.082978_5695 193rd Pl SE&amp;cp=47.550344~-122.082978","Map")</f>
        <v>Map</v>
      </c>
      <c r="N2424" s="2" t="str">
        <f>HYPERLINK("http://i-0.rfimg.us/photo/1/bigphoto/494/28043494_1.jpg","Photo")</f>
        <v>Photo</v>
      </c>
      <c r="AG2424">
        <v>47.550344000000003</v>
      </c>
      <c r="AH2424">
        <v>-122.082978</v>
      </c>
      <c r="AI2424" t="s">
        <v>5280</v>
      </c>
      <c r="AJ2424">
        <v>98027</v>
      </c>
      <c r="AN2424">
        <v>580000</v>
      </c>
      <c r="BC2424" s="22">
        <v>39519.578541666669</v>
      </c>
      <c r="BI2424" s="22">
        <v>39549.294907407406</v>
      </c>
      <c r="BL2424">
        <v>18999</v>
      </c>
      <c r="BM2424">
        <v>1552848</v>
      </c>
      <c r="BN2424" t="s">
        <v>1768</v>
      </c>
      <c r="BO2424" s="17">
        <f t="shared" ca="1" si="37"/>
        <v>29.730864236109483</v>
      </c>
      <c r="BP2424" t="b">
        <v>0</v>
      </c>
      <c r="BQ2424">
        <v>1</v>
      </c>
      <c r="BR2424" t="s">
        <v>1842</v>
      </c>
      <c r="BS2424" t="s">
        <v>5608</v>
      </c>
      <c r="BT2424" t="b">
        <v>0</v>
      </c>
      <c r="BV2424" t="s">
        <v>1668</v>
      </c>
      <c r="BW2424">
        <v>5695</v>
      </c>
      <c r="BX2424" t="s">
        <v>3856</v>
      </c>
      <c r="BY2424">
        <v>418443</v>
      </c>
      <c r="BZ2424" t="s">
        <v>3305</v>
      </c>
      <c r="CA2424">
        <v>1</v>
      </c>
      <c r="CB2424" t="b">
        <v>1</v>
      </c>
      <c r="CC2424">
        <v>0</v>
      </c>
      <c r="CD2424" t="b">
        <v>0</v>
      </c>
      <c r="CE2424" t="b">
        <v>0</v>
      </c>
      <c r="CF2424" t="b">
        <v>0</v>
      </c>
      <c r="CG2424">
        <v>2361262</v>
      </c>
      <c r="CH2424" t="s">
        <v>1681</v>
      </c>
      <c r="CI2424" s="10">
        <v>949950</v>
      </c>
      <c r="CJ2424" s="7">
        <v>37763</v>
      </c>
    </row>
    <row r="2425" spans="1:88">
      <c r="A2425">
        <v>28043528</v>
      </c>
      <c r="B2425" s="2" t="str">
        <f>HYPERLINK("http://www.redfin.com/stingray/do/printable-listing?listing-id=1552770","Active")</f>
        <v>Active</v>
      </c>
      <c r="D2425" t="s">
        <v>88</v>
      </c>
      <c r="E2425" t="s">
        <v>2456</v>
      </c>
      <c r="F2425">
        <v>700000</v>
      </c>
      <c r="G2425">
        <v>1915</v>
      </c>
      <c r="H2425">
        <v>3090</v>
      </c>
      <c r="I2425">
        <v>5000</v>
      </c>
      <c r="J2425">
        <v>5</v>
      </c>
      <c r="K2425">
        <v>1.75</v>
      </c>
      <c r="M2425" s="2" t="str">
        <f>HYPERLINK("http://maps.live.com/default.aspx?v=2&amp;lvl=15&amp;sp=Point.47.662663_-122.355002_309 N 47th St&amp;cp=47.662663~-122.355002","Map")</f>
        <v>Map</v>
      </c>
      <c r="N2425" s="2" t="str">
        <f>HYPERLINK("http://i-0.rfimg.us/photo/1/bigphoto/528/28043528_1.jpg","Photo")</f>
        <v>Photo</v>
      </c>
      <c r="AG2425">
        <v>47.662663000000002</v>
      </c>
      <c r="AH2425">
        <v>-122.355002</v>
      </c>
      <c r="AI2425" t="s">
        <v>66</v>
      </c>
      <c r="AJ2425">
        <v>98103</v>
      </c>
      <c r="AN2425">
        <v>425000</v>
      </c>
      <c r="BC2425" s="22">
        <v>39519.568194444444</v>
      </c>
      <c r="BI2425" s="22">
        <v>39549.294907407406</v>
      </c>
      <c r="BL2425">
        <v>14000</v>
      </c>
      <c r="BM2425">
        <v>1552770</v>
      </c>
      <c r="BN2425" t="s">
        <v>1688</v>
      </c>
      <c r="BO2425" s="17">
        <f t="shared" ca="1" si="37"/>
        <v>29.741211574073532</v>
      </c>
      <c r="BP2425" t="b">
        <v>0</v>
      </c>
      <c r="BQ2425">
        <v>1</v>
      </c>
      <c r="BR2425" t="s">
        <v>1686</v>
      </c>
      <c r="BS2425" t="s">
        <v>2453</v>
      </c>
      <c r="BT2425" t="b">
        <v>0</v>
      </c>
      <c r="BU2425" t="s">
        <v>1712</v>
      </c>
      <c r="BV2425" t="s">
        <v>1668</v>
      </c>
      <c r="BW2425">
        <v>309</v>
      </c>
      <c r="BY2425">
        <v>298962</v>
      </c>
      <c r="BZ2425" t="s">
        <v>2457</v>
      </c>
      <c r="CA2425">
        <v>1</v>
      </c>
      <c r="CB2425" t="b">
        <v>1</v>
      </c>
      <c r="CC2425">
        <v>0</v>
      </c>
      <c r="CD2425" t="b">
        <v>0</v>
      </c>
      <c r="CE2425" t="b">
        <v>0</v>
      </c>
      <c r="CF2425" t="b">
        <v>0</v>
      </c>
      <c r="CG2425">
        <v>2556225</v>
      </c>
      <c r="CH2425" t="s">
        <v>1681</v>
      </c>
      <c r="CI2425" s="10">
        <v>700000</v>
      </c>
      <c r="CJ2425" s="7">
        <v>37636</v>
      </c>
    </row>
    <row r="2426" spans="1:88">
      <c r="A2426">
        <v>28043541</v>
      </c>
      <c r="B2426" s="2" t="str">
        <f>HYPERLINK("http://www.redfin.com/stingray/do/printable-listing?listing-id=1554058","Active")</f>
        <v>Active</v>
      </c>
      <c r="D2426" t="s">
        <v>3959</v>
      </c>
      <c r="E2426" t="s">
        <v>3987</v>
      </c>
      <c r="F2426">
        <v>529000</v>
      </c>
      <c r="G2426">
        <v>2006</v>
      </c>
      <c r="H2426">
        <v>1995</v>
      </c>
      <c r="I2426">
        <v>0</v>
      </c>
      <c r="J2426">
        <v>3</v>
      </c>
      <c r="K2426">
        <v>2.5</v>
      </c>
      <c r="M2426" s="2" t="str">
        <f>HYPERLINK("http://maps.live.com/default.aspx?v=2&amp;lvl=15&amp;sp=Point.47.602229_-122.310403_127 17th Ave&amp;cp=47.602229~-122.310403","Map")</f>
        <v>Map</v>
      </c>
      <c r="N2426" s="2" t="str">
        <f>HYPERLINK("http://i-0.rfimg.us/photo/1/bigphoto/541/28043541_0.jpg","Photo")</f>
        <v>Photo</v>
      </c>
      <c r="AG2426">
        <v>47.602229000000001</v>
      </c>
      <c r="AH2426">
        <v>-122.31040299999999</v>
      </c>
      <c r="AI2426" t="s">
        <v>66</v>
      </c>
      <c r="AJ2426">
        <v>98122</v>
      </c>
      <c r="AN2426">
        <v>499950</v>
      </c>
      <c r="BC2426" s="22">
        <v>39519.859594907408</v>
      </c>
      <c r="BI2426" s="22">
        <v>39549.294907407406</v>
      </c>
      <c r="BL2426">
        <v>10580</v>
      </c>
      <c r="BM2426">
        <v>1554058</v>
      </c>
      <c r="BN2426" t="s">
        <v>1710</v>
      </c>
      <c r="BO2426" s="17">
        <f t="shared" ca="1" si="37"/>
        <v>29.449810995371081</v>
      </c>
      <c r="BP2426" t="b">
        <v>0</v>
      </c>
      <c r="BQ2426">
        <v>1</v>
      </c>
      <c r="BR2426" t="s">
        <v>1667</v>
      </c>
      <c r="BS2426" t="s">
        <v>1683</v>
      </c>
      <c r="BT2426" t="b">
        <v>0</v>
      </c>
      <c r="BV2426" t="s">
        <v>1668</v>
      </c>
      <c r="BW2426">
        <v>127</v>
      </c>
      <c r="BY2426">
        <v>2064829</v>
      </c>
      <c r="BZ2426" t="s">
        <v>1672</v>
      </c>
      <c r="CA2426">
        <v>1</v>
      </c>
      <c r="CB2426" t="b">
        <v>1</v>
      </c>
      <c r="CC2426">
        <v>0</v>
      </c>
      <c r="CD2426" t="b">
        <v>0</v>
      </c>
      <c r="CE2426" t="b">
        <v>0</v>
      </c>
      <c r="CF2426" t="b">
        <v>0</v>
      </c>
      <c r="CG2426">
        <v>2438904</v>
      </c>
      <c r="CH2426" t="s">
        <v>1681</v>
      </c>
      <c r="CI2426" s="10">
        <v>529000</v>
      </c>
      <c r="CJ2426" s="7">
        <v>38821</v>
      </c>
    </row>
    <row r="2427" spans="1:88">
      <c r="A2427">
        <v>28043543</v>
      </c>
      <c r="B2427" s="2" t="str">
        <f>HYPERLINK("http://www.redfin.com/stingray/do/printable-listing?listing-id=1561154","Active")</f>
        <v>Active</v>
      </c>
      <c r="D2427" t="s">
        <v>5161</v>
      </c>
      <c r="E2427" t="s">
        <v>5159</v>
      </c>
      <c r="F2427">
        <v>849000</v>
      </c>
      <c r="G2427">
        <v>1982</v>
      </c>
      <c r="H2427">
        <v>2356</v>
      </c>
      <c r="I2427">
        <v>8712</v>
      </c>
      <c r="J2427">
        <v>3</v>
      </c>
      <c r="K2427">
        <v>3.25</v>
      </c>
      <c r="M2427" s="2" t="str">
        <f>HYPERLINK("http://maps.live.com/default.aspx?v=2&amp;lvl=15&amp;sp=Point.47.577301_-122.220141_8844 SE 37th St&amp;cp=47.577301~-122.220141","Map")</f>
        <v>Map</v>
      </c>
      <c r="N2427" s="2" t="str">
        <f>HYPERLINK("http://i-0.rfimg.us/photo/1/bigphoto/543/28043543_2.jpg","Photo")</f>
        <v>Photo</v>
      </c>
      <c r="AG2427">
        <v>47.577300999999999</v>
      </c>
      <c r="AH2427">
        <v>-122.220141</v>
      </c>
      <c r="AI2427" t="s">
        <v>5139</v>
      </c>
      <c r="AJ2427">
        <v>98040</v>
      </c>
      <c r="BC2427" s="22">
        <v>39521.706273148149</v>
      </c>
      <c r="BI2427" s="22">
        <v>39549.294907407406</v>
      </c>
      <c r="BL2427">
        <v>16980</v>
      </c>
      <c r="BM2427">
        <v>1561154</v>
      </c>
      <c r="BN2427" t="s">
        <v>5158</v>
      </c>
      <c r="BO2427" s="17">
        <f t="shared" ca="1" si="37"/>
        <v>27.603132754629769</v>
      </c>
      <c r="BP2427" t="b">
        <v>0</v>
      </c>
      <c r="BQ2427">
        <v>1</v>
      </c>
      <c r="BR2427" t="s">
        <v>1686</v>
      </c>
      <c r="BS2427" t="s">
        <v>2192</v>
      </c>
      <c r="BT2427" t="b">
        <v>0</v>
      </c>
      <c r="BU2427" t="s">
        <v>3856</v>
      </c>
      <c r="BV2427" t="s">
        <v>1668</v>
      </c>
      <c r="BW2427">
        <v>8844</v>
      </c>
      <c r="BY2427">
        <v>254968</v>
      </c>
      <c r="BZ2427" t="s">
        <v>5160</v>
      </c>
      <c r="CA2427">
        <v>1</v>
      </c>
      <c r="CB2427" t="b">
        <v>1</v>
      </c>
      <c r="CC2427">
        <v>0</v>
      </c>
      <c r="CD2427" t="b">
        <v>0</v>
      </c>
      <c r="CE2427" t="b">
        <v>0</v>
      </c>
      <c r="CF2427" t="b">
        <v>0</v>
      </c>
      <c r="CG2427">
        <v>2789135</v>
      </c>
      <c r="CH2427" t="s">
        <v>1681</v>
      </c>
      <c r="CI2427" s="10">
        <v>849000</v>
      </c>
    </row>
    <row r="2428" spans="1:88">
      <c r="A2428">
        <v>28043638</v>
      </c>
      <c r="B2428" s="2" t="str">
        <f>HYPERLINK("http://www.redfin.com/stingray/do/printable-listing?listing-id=1553080","Active")</f>
        <v>Active</v>
      </c>
      <c r="D2428" t="s">
        <v>192</v>
      </c>
      <c r="E2428" t="s">
        <v>2861</v>
      </c>
      <c r="F2428">
        <v>835500</v>
      </c>
      <c r="G2428">
        <v>2008</v>
      </c>
      <c r="H2428">
        <v>3127</v>
      </c>
      <c r="I2428">
        <v>0</v>
      </c>
      <c r="J2428">
        <v>5</v>
      </c>
      <c r="K2428">
        <v>3.5</v>
      </c>
      <c r="M2428" s="2" t="str">
        <f>HYPERLINK("http://maps.live.com/default.aspx?v=2&amp;lvl=15&amp;sp=Point.47.697253_-122.320095_9400 8th Ave NE&amp;cp=47.697253~-122.320095","Map")</f>
        <v>Map</v>
      </c>
      <c r="N2428" s="2" t="str">
        <f>HYPERLINK("http://i-0.rfimg.us/photo/1/bigphoto/638/28043638_.jpg","Photo")</f>
        <v>Photo</v>
      </c>
      <c r="AG2428">
        <v>47.697253000000003</v>
      </c>
      <c r="AH2428">
        <v>-122.32009499999999</v>
      </c>
      <c r="AI2428" t="s">
        <v>66</v>
      </c>
      <c r="AJ2428">
        <v>98115</v>
      </c>
      <c r="AN2428">
        <v>429000</v>
      </c>
      <c r="BC2428" s="22">
        <v>39519.623495370368</v>
      </c>
      <c r="BI2428" s="22">
        <v>39549.294907407406</v>
      </c>
      <c r="BL2428">
        <v>16710</v>
      </c>
      <c r="BM2428">
        <v>1553080</v>
      </c>
      <c r="BN2428" t="s">
        <v>1710</v>
      </c>
      <c r="BO2428" s="17">
        <f t="shared" ca="1" si="37"/>
        <v>29.685910532411071</v>
      </c>
      <c r="BP2428" t="b">
        <v>0</v>
      </c>
      <c r="BQ2428">
        <v>1</v>
      </c>
      <c r="BR2428" t="s">
        <v>1667</v>
      </c>
      <c r="BS2428" t="s">
        <v>1723</v>
      </c>
      <c r="BT2428" t="b">
        <v>0</v>
      </c>
      <c r="BV2428" t="s">
        <v>1668</v>
      </c>
      <c r="BW2428">
        <v>9400</v>
      </c>
      <c r="BX2428" t="s">
        <v>1738</v>
      </c>
      <c r="BY2428">
        <v>110334</v>
      </c>
      <c r="CA2428">
        <v>1</v>
      </c>
      <c r="CB2428" t="b">
        <v>1</v>
      </c>
      <c r="CC2428">
        <v>0</v>
      </c>
      <c r="CD2428" t="b">
        <v>0</v>
      </c>
      <c r="CE2428" t="b">
        <v>0</v>
      </c>
      <c r="CF2428" t="b">
        <v>0</v>
      </c>
      <c r="CG2428">
        <v>2456739</v>
      </c>
      <c r="CH2428" t="s">
        <v>1681</v>
      </c>
      <c r="CI2428" s="10">
        <v>835500</v>
      </c>
      <c r="CJ2428" s="7">
        <v>38553</v>
      </c>
    </row>
    <row r="2429" spans="1:88">
      <c r="A2429">
        <v>28043644</v>
      </c>
      <c r="B2429" s="2" t="str">
        <f>HYPERLINK("http://www.redfin.com/stingray/do/printable-listing?listing-id=1553174","Subject To Inspection")</f>
        <v>Subject To Inspection</v>
      </c>
      <c r="D2429" t="s">
        <v>192</v>
      </c>
      <c r="E2429" t="s">
        <v>2174</v>
      </c>
      <c r="F2429">
        <v>469000</v>
      </c>
      <c r="G2429">
        <v>1948</v>
      </c>
      <c r="H2429">
        <v>1940</v>
      </c>
      <c r="I2429">
        <v>7344</v>
      </c>
      <c r="J2429">
        <v>3</v>
      </c>
      <c r="K2429">
        <v>1.5</v>
      </c>
      <c r="M2429" s="2" t="str">
        <f>HYPERLINK("http://maps.live.com/default.aspx?v=2&amp;lvl=15&amp;sp=Point.47.694136_-122.31248_1256 NE 90th St&amp;cp=47.694136~-122.31248","Map")</f>
        <v>Map</v>
      </c>
      <c r="N2429" s="2" t="str">
        <f>HYPERLINK("http://i-0.rfimg.us/photo/1/bigphoto/644/28043644_0.jpg","Photo")</f>
        <v>Photo</v>
      </c>
      <c r="AG2429">
        <v>47.694136</v>
      </c>
      <c r="AH2429">
        <v>-122.31247999999999</v>
      </c>
      <c r="AI2429" t="s">
        <v>66</v>
      </c>
      <c r="AJ2429">
        <v>98115</v>
      </c>
      <c r="BC2429" s="22">
        <v>39519.641180555554</v>
      </c>
      <c r="BI2429" s="22">
        <v>39545.917314814818</v>
      </c>
      <c r="BL2429">
        <v>9380</v>
      </c>
      <c r="BM2429">
        <v>1553174</v>
      </c>
      <c r="BN2429" t="s">
        <v>1688</v>
      </c>
      <c r="BO2429" s="17">
        <f t="shared" ca="1" si="37"/>
        <v>29.668225347224507</v>
      </c>
      <c r="BP2429" t="b">
        <v>0</v>
      </c>
      <c r="BQ2429">
        <v>2</v>
      </c>
      <c r="BR2429" t="s">
        <v>1686</v>
      </c>
      <c r="BS2429" t="s">
        <v>1761</v>
      </c>
      <c r="BT2429" t="b">
        <v>0</v>
      </c>
      <c r="BU2429" t="s">
        <v>1738</v>
      </c>
      <c r="BV2429" t="s">
        <v>1668</v>
      </c>
      <c r="BW2429">
        <v>1256</v>
      </c>
      <c r="BY2429">
        <v>110525</v>
      </c>
      <c r="BZ2429" t="s">
        <v>1745</v>
      </c>
      <c r="CA2429">
        <v>1</v>
      </c>
      <c r="CB2429" t="b">
        <v>1</v>
      </c>
      <c r="CC2429">
        <v>0</v>
      </c>
      <c r="CD2429" t="b">
        <v>0</v>
      </c>
      <c r="CE2429" t="b">
        <v>0</v>
      </c>
      <c r="CF2429" t="b">
        <v>0</v>
      </c>
      <c r="CG2429">
        <v>2637784</v>
      </c>
      <c r="CH2429" t="s">
        <v>1681</v>
      </c>
      <c r="CI2429" s="10">
        <v>469000</v>
      </c>
    </row>
    <row r="2430" spans="1:88">
      <c r="A2430">
        <v>28043657</v>
      </c>
      <c r="B2430" s="2" t="str">
        <f>HYPERLINK("http://www.redfin.com/stingray/do/printable-listing?listing-id=1553147","Active")</f>
        <v>Active</v>
      </c>
      <c r="D2430" t="s">
        <v>192</v>
      </c>
      <c r="E2430" t="s">
        <v>2862</v>
      </c>
      <c r="F2430">
        <v>869500</v>
      </c>
      <c r="G2430">
        <v>2008</v>
      </c>
      <c r="H2430">
        <v>3400</v>
      </c>
      <c r="I2430">
        <v>0</v>
      </c>
      <c r="J2430">
        <v>5</v>
      </c>
      <c r="K2430">
        <v>3.5</v>
      </c>
      <c r="M2430" s="2" t="str">
        <f>HYPERLINK("http://maps.live.com/default.aspx?v=2&amp;lvl=15&amp;sp=Point.47.697265_-122.320095_9404 8th Ave NE&amp;cp=47.697265~-122.320095","Map")</f>
        <v>Map</v>
      </c>
      <c r="N2430" s="2" t="str">
        <f>HYPERLINK("http://i-0.rfimg.us/photo/1/bigphoto/657/28043657_1.jpg","Photo")</f>
        <v>Photo</v>
      </c>
      <c r="AG2430">
        <v>47.697265000000002</v>
      </c>
      <c r="AH2430">
        <v>-122.32009499999999</v>
      </c>
      <c r="AI2430" t="s">
        <v>66</v>
      </c>
      <c r="AJ2430">
        <v>98115</v>
      </c>
      <c r="BC2430" s="22">
        <v>39519.63386574074</v>
      </c>
      <c r="BI2430" s="22">
        <v>39549.294907407406</v>
      </c>
      <c r="BL2430">
        <v>17390</v>
      </c>
      <c r="BM2430">
        <v>1553147</v>
      </c>
      <c r="BN2430" t="s">
        <v>1710</v>
      </c>
      <c r="BO2430" s="17">
        <f t="shared" ca="1" si="37"/>
        <v>29.675540162039397</v>
      </c>
      <c r="BP2430" t="b">
        <v>0</v>
      </c>
      <c r="BQ2430">
        <v>1</v>
      </c>
      <c r="BR2430" t="s">
        <v>1667</v>
      </c>
      <c r="BS2430" t="s">
        <v>1723</v>
      </c>
      <c r="BT2430" t="b">
        <v>0</v>
      </c>
      <c r="BV2430" t="s">
        <v>1668</v>
      </c>
      <c r="BW2430">
        <v>9404</v>
      </c>
      <c r="BX2430" t="s">
        <v>1738</v>
      </c>
      <c r="BY2430">
        <v>12318091</v>
      </c>
      <c r="BZ2430" t="s">
        <v>2345</v>
      </c>
      <c r="CA2430">
        <v>1</v>
      </c>
      <c r="CB2430" t="b">
        <v>1</v>
      </c>
      <c r="CC2430">
        <v>0</v>
      </c>
      <c r="CD2430" t="b">
        <v>0</v>
      </c>
      <c r="CE2430" t="b">
        <v>0</v>
      </c>
      <c r="CF2430" t="b">
        <v>0</v>
      </c>
      <c r="CG2430">
        <v>15524128</v>
      </c>
      <c r="CH2430" t="s">
        <v>1681</v>
      </c>
      <c r="CI2430" s="10">
        <v>869500</v>
      </c>
    </row>
    <row r="2431" spans="1:88">
      <c r="A2431">
        <v>28043659</v>
      </c>
      <c r="B2431" s="2" t="str">
        <f>HYPERLINK("http://www.redfin.com/stingray/do/printable-listing?listing-id=1559470","Active")</f>
        <v>Active</v>
      </c>
      <c r="D2431" t="s">
        <v>3064</v>
      </c>
      <c r="E2431" t="s">
        <v>4671</v>
      </c>
      <c r="F2431">
        <v>500000</v>
      </c>
      <c r="G2431">
        <v>1983</v>
      </c>
      <c r="H2431">
        <v>1610</v>
      </c>
      <c r="I2431">
        <v>8661</v>
      </c>
      <c r="J2431">
        <v>4</v>
      </c>
      <c r="K2431">
        <v>2.5</v>
      </c>
      <c r="M2431" s="2" t="str">
        <f>HYPERLINK("http://maps.live.com/default.aspx?v=2&amp;lvl=15&amp;sp=Point.47.687941_-122.185241_11615 NE 97th St&amp;cp=47.687941~-122.185241","Map")</f>
        <v>Map</v>
      </c>
      <c r="N2431" s="2" t="str">
        <f>HYPERLINK("http://i-0.rfimg.us/photo/1/bigphoto/659/28043659_0.jpg","Photo")</f>
        <v>Photo</v>
      </c>
      <c r="AG2431">
        <v>47.687941000000002</v>
      </c>
      <c r="AH2431">
        <v>-122.185241</v>
      </c>
      <c r="AI2431" t="s">
        <v>1058</v>
      </c>
      <c r="AJ2431">
        <v>98033</v>
      </c>
      <c r="AN2431">
        <v>113000</v>
      </c>
      <c r="BC2431" s="22">
        <v>39521.453379629631</v>
      </c>
      <c r="BI2431" s="22">
        <v>39549.294907407406</v>
      </c>
      <c r="BL2431">
        <v>10000</v>
      </c>
      <c r="BM2431">
        <v>1559470</v>
      </c>
      <c r="BN2431" t="s">
        <v>1725</v>
      </c>
      <c r="BO2431" s="17">
        <f t="shared" ca="1" si="37"/>
        <v>27.856026273148018</v>
      </c>
      <c r="BP2431" t="b">
        <v>0</v>
      </c>
      <c r="BQ2431">
        <v>1</v>
      </c>
      <c r="BR2431" t="s">
        <v>1686</v>
      </c>
      <c r="BS2431" t="s">
        <v>1840</v>
      </c>
      <c r="BT2431" t="b">
        <v>0</v>
      </c>
      <c r="BU2431" t="s">
        <v>1738</v>
      </c>
      <c r="BV2431" t="s">
        <v>1668</v>
      </c>
      <c r="BW2431">
        <v>11615</v>
      </c>
      <c r="BY2431">
        <v>461416</v>
      </c>
      <c r="BZ2431" t="s">
        <v>1672</v>
      </c>
      <c r="CA2431">
        <v>1</v>
      </c>
      <c r="CB2431" t="b">
        <v>1</v>
      </c>
      <c r="CC2431">
        <v>0</v>
      </c>
      <c r="CD2431" t="b">
        <v>0</v>
      </c>
      <c r="CE2431" t="b">
        <v>0</v>
      </c>
      <c r="CF2431" t="b">
        <v>0</v>
      </c>
      <c r="CG2431">
        <v>2627488</v>
      </c>
      <c r="CH2431" t="s">
        <v>1681</v>
      </c>
      <c r="CI2431" s="10">
        <v>500000</v>
      </c>
      <c r="CJ2431" s="7">
        <v>32625</v>
      </c>
    </row>
    <row r="2432" spans="1:88">
      <c r="A2432">
        <v>28043670</v>
      </c>
      <c r="B2432" s="15" t="str">
        <f>HYPERLINK("http://www.redfin.com/stingray/do/printable-listing?listing-id=1570184","Subject To Inspection")</f>
        <v>Subject To Inspection</v>
      </c>
      <c r="D2432" t="s">
        <v>983</v>
      </c>
      <c r="E2432" t="s">
        <v>2952</v>
      </c>
      <c r="F2432">
        <v>1275000</v>
      </c>
      <c r="G2432">
        <v>1931</v>
      </c>
      <c r="H2432">
        <v>2001</v>
      </c>
      <c r="I2432">
        <v>3716</v>
      </c>
      <c r="J2432">
        <v>3</v>
      </c>
      <c r="K2432">
        <v>2.5</v>
      </c>
      <c r="M2432" s="2" t="str">
        <f>HYPERLINK("http://maps.live.com/default.aspx?v=2&amp;lvl=15&amp;sp=Point.47.705442_-122.27484_10546 Riviera Pl NE&amp;cp=47.705442~-122.27484","Map")</f>
        <v>Map</v>
      </c>
      <c r="N2432" s="2" t="str">
        <f>HYPERLINK("http://i-0.rfimg.us/photo/1/bigphoto/670/28043670_2.jpg","Photo")</f>
        <v>Photo</v>
      </c>
      <c r="AG2432">
        <v>47.705441999999998</v>
      </c>
      <c r="AH2432">
        <v>-122.27484</v>
      </c>
      <c r="AI2432" t="s">
        <v>66</v>
      </c>
      <c r="AJ2432">
        <v>98125</v>
      </c>
      <c r="AN2432">
        <v>855000</v>
      </c>
      <c r="BC2432" s="22">
        <v>39525.807326388887</v>
      </c>
      <c r="BI2432" s="22">
        <v>39545.917314814818</v>
      </c>
      <c r="BL2432">
        <v>25500</v>
      </c>
      <c r="BM2432">
        <v>1570184</v>
      </c>
      <c r="BN2432" t="s">
        <v>1710</v>
      </c>
      <c r="BO2432" s="17">
        <f t="shared" ca="1" si="37"/>
        <v>23.502079513891658</v>
      </c>
      <c r="BP2432" t="b">
        <v>0</v>
      </c>
      <c r="BQ2432">
        <v>1</v>
      </c>
      <c r="BR2432" t="s">
        <v>1842</v>
      </c>
      <c r="BS2432" t="s">
        <v>2834</v>
      </c>
      <c r="BT2432" t="b">
        <v>0</v>
      </c>
      <c r="BV2432" t="s">
        <v>1668</v>
      </c>
      <c r="BW2432">
        <v>10546</v>
      </c>
      <c r="BX2432" t="s">
        <v>1738</v>
      </c>
      <c r="BY2432">
        <v>319423</v>
      </c>
      <c r="BZ2432" t="s">
        <v>2953</v>
      </c>
      <c r="CA2432">
        <v>1</v>
      </c>
      <c r="CB2432" t="b">
        <v>1</v>
      </c>
      <c r="CC2432">
        <v>0</v>
      </c>
      <c r="CD2432" t="b">
        <v>0</v>
      </c>
      <c r="CE2432" t="b">
        <v>0</v>
      </c>
      <c r="CF2432" t="b">
        <v>0</v>
      </c>
      <c r="CG2432">
        <v>2646529</v>
      </c>
      <c r="CH2432" t="s">
        <v>1681</v>
      </c>
      <c r="CI2432" s="10">
        <v>1275000</v>
      </c>
      <c r="CJ2432" s="7">
        <v>38008</v>
      </c>
    </row>
    <row r="2433" spans="1:90">
      <c r="A2433">
        <v>28043672</v>
      </c>
      <c r="B2433" s="2" t="str">
        <f>HYPERLINK("http://www.redfin.com/stingray/do/printable-listing?listing-id=1553146","Active")</f>
        <v>Active</v>
      </c>
      <c r="D2433" t="s">
        <v>55</v>
      </c>
      <c r="E2433" t="s">
        <v>1866</v>
      </c>
      <c r="F2433">
        <v>321000</v>
      </c>
      <c r="G2433">
        <v>1910</v>
      </c>
      <c r="H2433">
        <v>1790</v>
      </c>
      <c r="I2433">
        <v>4220</v>
      </c>
      <c r="J2433">
        <v>2</v>
      </c>
      <c r="K2433">
        <v>1</v>
      </c>
      <c r="M2433" s="2" t="str">
        <f>HYPERLINK("http://maps.live.com/default.aspx?v=2&amp;lvl=15&amp;sp=Point.47.690069_-122.358334_104 NW 84th St&amp;cp=47.690069~-122.358334","Map")</f>
        <v>Map</v>
      </c>
      <c r="N2433" s="2" t="str">
        <f>HYPERLINK("http://i-0.rfimg.us/photo/1/bigphoto/672/28043672_.jpg","Photo")</f>
        <v>Photo</v>
      </c>
      <c r="AG2433">
        <v>47.690069000000001</v>
      </c>
      <c r="AH2433">
        <v>-122.358334</v>
      </c>
      <c r="AI2433" t="s">
        <v>66</v>
      </c>
      <c r="AJ2433">
        <v>98117</v>
      </c>
      <c r="BC2433" s="22">
        <v>39519.63386574074</v>
      </c>
      <c r="BI2433" s="7">
        <v>39524</v>
      </c>
      <c r="BL2433">
        <v>6420</v>
      </c>
      <c r="BM2433">
        <v>1553146</v>
      </c>
      <c r="BN2433" t="s">
        <v>1815</v>
      </c>
      <c r="BO2433" s="17">
        <f t="shared" ca="1" si="37"/>
        <v>29.675540277778055</v>
      </c>
      <c r="BP2433" t="b">
        <v>0</v>
      </c>
      <c r="BQ2433">
        <v>1</v>
      </c>
      <c r="BR2433" t="s">
        <v>1686</v>
      </c>
      <c r="BS2433" t="s">
        <v>1826</v>
      </c>
      <c r="BT2433" t="b">
        <v>0</v>
      </c>
      <c r="BU2433" t="s">
        <v>1669</v>
      </c>
      <c r="BV2433" t="s">
        <v>1668</v>
      </c>
      <c r="BW2433">
        <v>104</v>
      </c>
      <c r="BY2433">
        <v>495660</v>
      </c>
      <c r="CA2433">
        <v>1</v>
      </c>
      <c r="CB2433" t="b">
        <v>1</v>
      </c>
      <c r="CC2433">
        <v>0</v>
      </c>
      <c r="CD2433" t="b">
        <v>0</v>
      </c>
      <c r="CE2433" t="b">
        <v>1</v>
      </c>
      <c r="CF2433" t="b">
        <v>0</v>
      </c>
      <c r="CG2433">
        <v>2721651</v>
      </c>
      <c r="CH2433" t="s">
        <v>1681</v>
      </c>
      <c r="CI2433" s="10">
        <v>321000</v>
      </c>
    </row>
    <row r="2434" spans="1:90">
      <c r="A2434">
        <v>28043686</v>
      </c>
      <c r="B2434" s="15" t="str">
        <f>HYPERLINK("http://www.redfin.com/stingray/do/printable-listing?listing-id=1555475","Subject To Inspection")</f>
        <v>Subject To Inspection</v>
      </c>
      <c r="D2434" t="s">
        <v>109</v>
      </c>
      <c r="E2434" t="s">
        <v>3325</v>
      </c>
      <c r="F2434">
        <v>599950</v>
      </c>
      <c r="G2434">
        <v>2008</v>
      </c>
      <c r="H2434">
        <v>2136</v>
      </c>
      <c r="I2434">
        <v>0</v>
      </c>
      <c r="J2434">
        <v>3</v>
      </c>
      <c r="K2434">
        <v>3.5</v>
      </c>
      <c r="M2434" s="2" t="str">
        <f>HYPERLINK("http://maps.live.com/default.aspx?v=2&amp;lvl=15&amp;sp=Point.47.6538_-122.339995_3824 Ashworth Ave N&amp;cp=47.6538~-122.339995","Map")</f>
        <v>Map</v>
      </c>
      <c r="N2434" s="2" t="str">
        <f>HYPERLINK("http://i-0.rfimg.us/photo/1/bigphoto/686/28043686_0.jpg","Photo")</f>
        <v>Photo</v>
      </c>
      <c r="AG2434">
        <v>47.653799999999997</v>
      </c>
      <c r="AH2434">
        <v>-122.339995</v>
      </c>
      <c r="AI2434" t="s">
        <v>66</v>
      </c>
      <c r="AJ2434">
        <v>98103</v>
      </c>
      <c r="BC2434" s="22">
        <v>39520.433298611111</v>
      </c>
      <c r="BI2434" s="22">
        <v>39545.917314814818</v>
      </c>
      <c r="BL2434">
        <v>11999</v>
      </c>
      <c r="BM2434">
        <v>1555475</v>
      </c>
      <c r="BN2434" t="s">
        <v>1700</v>
      </c>
      <c r="BO2434" s="17">
        <f t="shared" ref="BO2434:BO2497" ca="1" si="38">NOW()-BC2434</f>
        <v>28.876107291667722</v>
      </c>
      <c r="BP2434" t="b">
        <v>0</v>
      </c>
      <c r="BQ2434">
        <v>1</v>
      </c>
      <c r="BR2434" t="s">
        <v>1667</v>
      </c>
      <c r="BS2434" t="s">
        <v>1825</v>
      </c>
      <c r="BT2434" t="b">
        <v>0</v>
      </c>
      <c r="BV2434" t="s">
        <v>1668</v>
      </c>
      <c r="BW2434">
        <v>3824</v>
      </c>
      <c r="BX2434" t="s">
        <v>1712</v>
      </c>
      <c r="BY2434">
        <v>12296843</v>
      </c>
      <c r="BZ2434" t="s">
        <v>1745</v>
      </c>
      <c r="CA2434">
        <v>1</v>
      </c>
      <c r="CB2434" t="b">
        <v>1</v>
      </c>
      <c r="CC2434">
        <v>0</v>
      </c>
      <c r="CD2434" t="b">
        <v>0</v>
      </c>
      <c r="CE2434" t="b">
        <v>0</v>
      </c>
      <c r="CF2434" t="b">
        <v>0</v>
      </c>
      <c r="CG2434">
        <v>15505058</v>
      </c>
      <c r="CH2434" t="s">
        <v>1681</v>
      </c>
      <c r="CI2434" s="10">
        <v>599950</v>
      </c>
    </row>
    <row r="2435" spans="1:90">
      <c r="A2435">
        <v>28043696</v>
      </c>
      <c r="B2435" s="2" t="str">
        <f>HYPERLINK("http://www.redfin.com/stingray/do/printable-listing?listing-id=1553401","Subject To Inspection")</f>
        <v>Subject To Inspection</v>
      </c>
      <c r="D2435" t="s">
        <v>109</v>
      </c>
      <c r="E2435" t="s">
        <v>3275</v>
      </c>
      <c r="F2435">
        <v>599950</v>
      </c>
      <c r="G2435">
        <v>2008</v>
      </c>
      <c r="H2435">
        <v>2176</v>
      </c>
      <c r="I2435">
        <v>1679</v>
      </c>
      <c r="J2435">
        <v>3</v>
      </c>
      <c r="K2435">
        <v>3.5</v>
      </c>
      <c r="M2435" s="2" t="str">
        <f>HYPERLINK("http://maps.live.com/default.aspx?v=2&amp;lvl=15&amp;sp=Point.47.653519_-122.339854_3826 Ashworth Ave N&amp;cp=47.653519~-122.339854","Map")</f>
        <v>Map</v>
      </c>
      <c r="N2435" s="2" t="str">
        <f>HYPERLINK("http://i-0.rfimg.us/photo/1/bigphoto/696/28043696_2.jpg","Photo")</f>
        <v>Photo</v>
      </c>
      <c r="AG2435">
        <v>47.653519000000003</v>
      </c>
      <c r="AH2435">
        <v>-122.339854</v>
      </c>
      <c r="AI2435" t="s">
        <v>66</v>
      </c>
      <c r="AJ2435">
        <v>98103</v>
      </c>
      <c r="BC2435" s="22">
        <v>39519.674293981479</v>
      </c>
      <c r="BI2435" s="7">
        <v>39533</v>
      </c>
      <c r="BL2435">
        <v>11999</v>
      </c>
      <c r="BM2435">
        <v>1553401</v>
      </c>
      <c r="BN2435" t="s">
        <v>3236</v>
      </c>
      <c r="BO2435" s="17">
        <f t="shared" ca="1" si="38"/>
        <v>29.63511192129954</v>
      </c>
      <c r="BP2435" t="b">
        <v>0</v>
      </c>
      <c r="BQ2435">
        <v>2</v>
      </c>
      <c r="BR2435" t="s">
        <v>1667</v>
      </c>
      <c r="BS2435" t="s">
        <v>1825</v>
      </c>
      <c r="BT2435" t="b">
        <v>0</v>
      </c>
      <c r="BV2435" t="s">
        <v>1668</v>
      </c>
      <c r="BW2435">
        <v>3826</v>
      </c>
      <c r="BX2435" t="s">
        <v>1712</v>
      </c>
      <c r="BY2435">
        <v>12301693</v>
      </c>
      <c r="BZ2435" t="s">
        <v>3276</v>
      </c>
      <c r="CA2435">
        <v>1</v>
      </c>
      <c r="CB2435" t="b">
        <v>1</v>
      </c>
      <c r="CC2435">
        <v>0</v>
      </c>
      <c r="CD2435" t="b">
        <v>0</v>
      </c>
      <c r="CE2435" t="b">
        <v>0</v>
      </c>
      <c r="CF2435" t="b">
        <v>0</v>
      </c>
      <c r="CG2435">
        <v>15509428</v>
      </c>
      <c r="CH2435" t="s">
        <v>1681</v>
      </c>
      <c r="CI2435" s="10">
        <v>599950</v>
      </c>
    </row>
    <row r="2436" spans="1:90">
      <c r="A2436">
        <v>28043731</v>
      </c>
      <c r="B2436" s="2" t="str">
        <f>HYPERLINK("http://www.redfin.com/stingray/do/printable-listing?listing-id=1553350","Active")</f>
        <v>Active</v>
      </c>
      <c r="D2436" t="s">
        <v>3966</v>
      </c>
      <c r="E2436" t="s">
        <v>4017</v>
      </c>
      <c r="F2436">
        <v>1875000</v>
      </c>
      <c r="G2436">
        <v>1905</v>
      </c>
      <c r="H2436">
        <v>5000</v>
      </c>
      <c r="I2436">
        <v>6000</v>
      </c>
      <c r="J2436">
        <v>5</v>
      </c>
      <c r="K2436">
        <v>4.5</v>
      </c>
      <c r="M2436" s="2" t="str">
        <f>HYPERLINK("http://maps.live.com/default.aspx?v=2&amp;lvl=15&amp;sp=Point.47.614216_-122.289999_1502 33rd Ave&amp;cp=47.614216~-122.289999","Map")</f>
        <v>Map</v>
      </c>
      <c r="N2436" s="2" t="str">
        <f>HYPERLINK("http://i-0.rfimg.us/photo/1/bigphoto/731/28043731_0.jpg","Photo")</f>
        <v>Photo</v>
      </c>
      <c r="AG2436">
        <v>47.614215999999999</v>
      </c>
      <c r="AH2436">
        <v>-122.28999899999999</v>
      </c>
      <c r="AI2436" t="s">
        <v>66</v>
      </c>
      <c r="AJ2436">
        <v>98122</v>
      </c>
      <c r="AN2436">
        <v>635000</v>
      </c>
      <c r="BC2436" s="22">
        <v>39519.66207175926</v>
      </c>
      <c r="BI2436" s="22">
        <v>39546.925937499997</v>
      </c>
      <c r="BL2436">
        <v>37500</v>
      </c>
      <c r="BM2436">
        <v>1553350</v>
      </c>
      <c r="BN2436" t="s">
        <v>1766</v>
      </c>
      <c r="BO2436" s="17">
        <f t="shared" ca="1" si="38"/>
        <v>29.647334143519402</v>
      </c>
      <c r="BP2436" t="b">
        <v>0</v>
      </c>
      <c r="BQ2436">
        <v>1</v>
      </c>
      <c r="BR2436" t="s">
        <v>1667</v>
      </c>
      <c r="BS2436" t="s">
        <v>3460</v>
      </c>
      <c r="BT2436" t="b">
        <v>0</v>
      </c>
      <c r="BV2436" t="s">
        <v>1668</v>
      </c>
      <c r="BW2436">
        <v>1502</v>
      </c>
      <c r="BY2436">
        <v>146431</v>
      </c>
      <c r="BZ2436" t="s">
        <v>1670</v>
      </c>
      <c r="CA2436">
        <v>1</v>
      </c>
      <c r="CB2436" t="b">
        <v>1</v>
      </c>
      <c r="CC2436">
        <v>0</v>
      </c>
      <c r="CD2436" t="b">
        <v>0</v>
      </c>
      <c r="CE2436" t="b">
        <v>0</v>
      </c>
      <c r="CF2436" t="b">
        <v>0</v>
      </c>
      <c r="CG2436">
        <v>2742973</v>
      </c>
      <c r="CH2436" t="s">
        <v>1681</v>
      </c>
      <c r="CI2436" s="10">
        <v>1875000</v>
      </c>
      <c r="CJ2436" s="7">
        <v>38399</v>
      </c>
    </row>
    <row r="2437" spans="1:90">
      <c r="A2437">
        <v>28043734</v>
      </c>
      <c r="B2437" s="2" t="str">
        <f>HYPERLINK("http://www.redfin.com/stingray/do/printable-listing?listing-id=1573049","Active")</f>
        <v>Active</v>
      </c>
      <c r="D2437" t="s">
        <v>3249</v>
      </c>
      <c r="E2437" t="s">
        <v>3345</v>
      </c>
      <c r="F2437">
        <v>949900</v>
      </c>
      <c r="G2437">
        <v>1923</v>
      </c>
      <c r="H2437">
        <v>2930</v>
      </c>
      <c r="I2437">
        <v>3904</v>
      </c>
      <c r="J2437">
        <v>3</v>
      </c>
      <c r="K2437">
        <v>1.5</v>
      </c>
      <c r="M2437" s="2" t="str">
        <f>HYPERLINK("http://maps.live.com/default.aspx?v=2&amp;lvl=15&amp;sp=Point.47.638818_-122.348005_2216 Bigelow Ave N&amp;cp=47.638818~-122.348005","Map")</f>
        <v>Map</v>
      </c>
      <c r="N2437" s="2" t="str">
        <f>HYPERLINK("http://i-0.rfimg.us/photo/1/bigphoto/734/28043734_0.jpg","Photo")</f>
        <v>Photo</v>
      </c>
      <c r="AG2437">
        <v>47.638818000000001</v>
      </c>
      <c r="AH2437">
        <v>-122.348005</v>
      </c>
      <c r="AI2437" t="s">
        <v>66</v>
      </c>
      <c r="AJ2437">
        <v>98109</v>
      </c>
      <c r="AN2437">
        <v>750000</v>
      </c>
      <c r="BC2437" s="22">
        <v>39526.765925925924</v>
      </c>
      <c r="BI2437" s="22">
        <v>39549.294907407406</v>
      </c>
      <c r="BL2437">
        <v>18998</v>
      </c>
      <c r="BM2437">
        <v>1573049</v>
      </c>
      <c r="BN2437" t="s">
        <v>1768</v>
      </c>
      <c r="BO2437" s="17">
        <f t="shared" ca="1" si="38"/>
        <v>22.543479976855451</v>
      </c>
      <c r="BP2437" t="b">
        <v>0</v>
      </c>
      <c r="BQ2437">
        <v>1</v>
      </c>
      <c r="BR2437" t="s">
        <v>1667</v>
      </c>
      <c r="BS2437" t="s">
        <v>3346</v>
      </c>
      <c r="BT2437" t="b">
        <v>0</v>
      </c>
      <c r="BV2437" t="s">
        <v>1668</v>
      </c>
      <c r="BW2437">
        <v>2216</v>
      </c>
      <c r="BX2437" t="s">
        <v>1712</v>
      </c>
      <c r="BY2437">
        <v>134423</v>
      </c>
      <c r="BZ2437" t="s">
        <v>1672</v>
      </c>
      <c r="CA2437">
        <v>1</v>
      </c>
      <c r="CB2437" t="b">
        <v>1</v>
      </c>
      <c r="CC2437">
        <v>0</v>
      </c>
      <c r="CD2437" t="b">
        <v>0</v>
      </c>
      <c r="CE2437" t="b">
        <v>0</v>
      </c>
      <c r="CF2437" t="b">
        <v>0</v>
      </c>
      <c r="CG2437">
        <v>2511033</v>
      </c>
      <c r="CH2437" t="s">
        <v>1681</v>
      </c>
      <c r="CI2437" s="10">
        <v>949900</v>
      </c>
      <c r="CJ2437" s="7">
        <v>38315</v>
      </c>
    </row>
    <row r="2438" spans="1:90">
      <c r="A2438">
        <v>28043768</v>
      </c>
      <c r="B2438" s="2" t="str">
        <f>HYPERLINK("http://www.redfin.com/stingray/do/printable-listing?listing-id=1553647","Subject To Inspection")</f>
        <v>Subject To Inspection</v>
      </c>
      <c r="D2438" t="s">
        <v>60</v>
      </c>
      <c r="E2438" t="s">
        <v>2438</v>
      </c>
      <c r="F2438">
        <v>928700</v>
      </c>
      <c r="G2438">
        <v>2004</v>
      </c>
      <c r="H2438">
        <v>3990</v>
      </c>
      <c r="I2438">
        <v>4000</v>
      </c>
      <c r="J2438">
        <v>4</v>
      </c>
      <c r="K2438">
        <v>3.5</v>
      </c>
      <c r="M2438" s="2" t="str">
        <f>HYPERLINK("http://maps.live.com/default.aspx?v=2&amp;lvl=15&amp;sp=Point.47.674992_-122.3488_6311 Linden Ave N&amp;cp=47.674992~-122.3488","Map")</f>
        <v>Map</v>
      </c>
      <c r="N2438" s="2" t="str">
        <f>HYPERLINK("http://i-0.rfimg.us/photo/1/bigphoto/768/28043768_3.jpg","Photo")</f>
        <v>Photo</v>
      </c>
      <c r="AG2438">
        <v>47.674992000000003</v>
      </c>
      <c r="AH2438">
        <v>-122.3488</v>
      </c>
      <c r="AI2438" t="s">
        <v>66</v>
      </c>
      <c r="AJ2438">
        <v>98103</v>
      </c>
      <c r="AN2438">
        <v>785000</v>
      </c>
      <c r="BC2438" s="22">
        <v>39519.706354166665</v>
      </c>
      <c r="BI2438" s="7">
        <v>39536</v>
      </c>
      <c r="BL2438">
        <v>18574</v>
      </c>
      <c r="BM2438">
        <v>1553647</v>
      </c>
      <c r="BN2438" t="s">
        <v>1749</v>
      </c>
      <c r="BO2438" s="17">
        <f t="shared" ca="1" si="38"/>
        <v>29.603051851852797</v>
      </c>
      <c r="BP2438" t="b">
        <v>0</v>
      </c>
      <c r="BQ2438">
        <v>2</v>
      </c>
      <c r="BR2438" t="s">
        <v>1667</v>
      </c>
      <c r="BS2438" t="s">
        <v>2439</v>
      </c>
      <c r="BT2438" t="b">
        <v>0</v>
      </c>
      <c r="BV2438" t="s">
        <v>1668</v>
      </c>
      <c r="BW2438">
        <v>6311</v>
      </c>
      <c r="BX2438" t="s">
        <v>1712</v>
      </c>
      <c r="BY2438">
        <v>298926</v>
      </c>
      <c r="BZ2438" t="s">
        <v>2440</v>
      </c>
      <c r="CA2438">
        <v>1</v>
      </c>
      <c r="CB2438" t="b">
        <v>1</v>
      </c>
      <c r="CC2438">
        <v>0</v>
      </c>
      <c r="CD2438" t="b">
        <v>0</v>
      </c>
      <c r="CE2438" t="b">
        <v>0</v>
      </c>
      <c r="CF2438" t="b">
        <v>0</v>
      </c>
      <c r="CG2438">
        <v>2598179</v>
      </c>
      <c r="CH2438" t="s">
        <v>1681</v>
      </c>
      <c r="CI2438" s="10">
        <v>928700</v>
      </c>
      <c r="CJ2438" s="7">
        <v>38196</v>
      </c>
    </row>
    <row r="2439" spans="1:90">
      <c r="A2439">
        <v>28043841</v>
      </c>
      <c r="B2439" s="2" t="str">
        <f>HYPERLINK("http://www.redfin.com/stingray/do/printable-listing?listing-id=1554057","Active")</f>
        <v>Active</v>
      </c>
      <c r="D2439" t="s">
        <v>66</v>
      </c>
      <c r="E2439" t="s">
        <v>3985</v>
      </c>
      <c r="F2439" s="19">
        <v>525950</v>
      </c>
      <c r="G2439">
        <v>1979</v>
      </c>
      <c r="H2439">
        <v>1560</v>
      </c>
      <c r="I2439">
        <v>4160</v>
      </c>
      <c r="J2439">
        <v>4</v>
      </c>
      <c r="K2439">
        <v>2</v>
      </c>
      <c r="M2439" s="2" t="str">
        <f>HYPERLINK("http://maps.live.com/default.aspx?v=2&amp;lvl=15&amp;sp=Point.47.599764_-122.305457_2019 S Main St&amp;cp=47.599764~-122.305457","Map")</f>
        <v>Map</v>
      </c>
      <c r="N2439" s="2" t="str">
        <f>HYPERLINK("http://i-0.rfimg.us/photo/1/bigphoto/841/28043841_0.jpg","Photo")</f>
        <v>Photo</v>
      </c>
      <c r="AG2439">
        <v>47.599764</v>
      </c>
      <c r="AH2439">
        <v>-122.305457</v>
      </c>
      <c r="AI2439" t="s">
        <v>66</v>
      </c>
      <c r="AJ2439">
        <v>98144</v>
      </c>
      <c r="AN2439">
        <v>380000</v>
      </c>
      <c r="BC2439" s="22">
        <v>39519.859571759262</v>
      </c>
      <c r="BI2439" s="22">
        <v>39549.294907407406</v>
      </c>
      <c r="BL2439">
        <v>10599</v>
      </c>
      <c r="BM2439">
        <v>1554057</v>
      </c>
      <c r="BN2439" t="s">
        <v>1737</v>
      </c>
      <c r="BO2439" s="17">
        <f t="shared" ca="1" si="38"/>
        <v>29.449834143517364</v>
      </c>
      <c r="BP2439" t="b">
        <v>0</v>
      </c>
      <c r="BQ2439">
        <v>1</v>
      </c>
      <c r="BR2439" t="s">
        <v>1686</v>
      </c>
      <c r="BS2439" t="s">
        <v>3986</v>
      </c>
      <c r="BT2439" t="b">
        <v>0</v>
      </c>
      <c r="BU2439" t="s">
        <v>1881</v>
      </c>
      <c r="BV2439" t="s">
        <v>1668</v>
      </c>
      <c r="BW2439">
        <v>2019</v>
      </c>
      <c r="BY2439">
        <v>143509</v>
      </c>
      <c r="BZ2439" t="s">
        <v>1684</v>
      </c>
      <c r="CA2439">
        <v>1</v>
      </c>
      <c r="CB2439" t="b">
        <v>1</v>
      </c>
      <c r="CC2439">
        <v>0</v>
      </c>
      <c r="CD2439" t="b">
        <v>0</v>
      </c>
      <c r="CE2439" t="b">
        <v>0</v>
      </c>
      <c r="CF2439" t="b">
        <v>0</v>
      </c>
      <c r="CG2439">
        <v>2485329</v>
      </c>
      <c r="CH2439" t="s">
        <v>1681</v>
      </c>
      <c r="CI2439" s="10">
        <v>529950</v>
      </c>
      <c r="CJ2439" s="7">
        <v>38532</v>
      </c>
    </row>
    <row r="2440" spans="1:90">
      <c r="A2440">
        <v>28043855</v>
      </c>
      <c r="B2440" s="15" t="str">
        <f>HYPERLINK("http://www.redfin.com/stingray/do/printable-listing?listing-id=1554084","Subject To Inspection")</f>
        <v>Subject To Inspection</v>
      </c>
      <c r="D2440" t="s">
        <v>3704</v>
      </c>
      <c r="E2440" t="s">
        <v>4067</v>
      </c>
      <c r="F2440">
        <v>399950</v>
      </c>
      <c r="G2440">
        <v>1999</v>
      </c>
      <c r="H2440">
        <v>1100</v>
      </c>
      <c r="I2440">
        <v>1562</v>
      </c>
      <c r="J2440">
        <v>2</v>
      </c>
      <c r="K2440">
        <v>1.5</v>
      </c>
      <c r="M2440" s="2" t="str">
        <f>HYPERLINK("http://maps.live.com/default.aspx?v=2&amp;lvl=15&amp;sp=Point.47.609902_-122.312293_822 15th Ave&amp;cp=47.609902~-122.312293","Map")</f>
        <v>Map</v>
      </c>
      <c r="N2440" s="2" t="str">
        <f>HYPERLINK("http://i-0.rfimg.us/photo/1/bigphoto/855/28043855_0.jpg","Photo")</f>
        <v>Photo</v>
      </c>
      <c r="AG2440">
        <v>47.609901999999998</v>
      </c>
      <c r="AH2440">
        <v>-122.312293</v>
      </c>
      <c r="AI2440" t="s">
        <v>66</v>
      </c>
      <c r="AJ2440">
        <v>98122</v>
      </c>
      <c r="AN2440">
        <v>315000</v>
      </c>
      <c r="BC2440" s="22">
        <v>39519.880439814813</v>
      </c>
      <c r="BI2440" s="22">
        <v>39549.294907407406</v>
      </c>
      <c r="BL2440">
        <v>7999</v>
      </c>
      <c r="BM2440">
        <v>1554084</v>
      </c>
      <c r="BN2440" t="s">
        <v>1688</v>
      </c>
      <c r="BO2440" s="17">
        <f t="shared" ca="1" si="38"/>
        <v>29.428966087965819</v>
      </c>
      <c r="BP2440" t="b">
        <v>0</v>
      </c>
      <c r="BQ2440">
        <v>1</v>
      </c>
      <c r="BR2440" t="s">
        <v>1667</v>
      </c>
      <c r="BS2440" t="s">
        <v>1838</v>
      </c>
      <c r="BT2440" t="b">
        <v>0</v>
      </c>
      <c r="BV2440" t="s">
        <v>1668</v>
      </c>
      <c r="BW2440">
        <v>822</v>
      </c>
      <c r="BY2440">
        <v>144771</v>
      </c>
      <c r="BZ2440" t="s">
        <v>1747</v>
      </c>
      <c r="CA2440">
        <v>1</v>
      </c>
      <c r="CB2440" t="b">
        <v>1</v>
      </c>
      <c r="CC2440">
        <v>0</v>
      </c>
      <c r="CD2440" t="b">
        <v>0</v>
      </c>
      <c r="CE2440" t="b">
        <v>0</v>
      </c>
      <c r="CF2440" t="b">
        <v>0</v>
      </c>
      <c r="CG2440">
        <v>2690292</v>
      </c>
      <c r="CH2440" t="s">
        <v>1681</v>
      </c>
      <c r="CI2440" s="10">
        <v>399950</v>
      </c>
      <c r="CJ2440" s="7">
        <v>37965</v>
      </c>
    </row>
    <row r="2441" spans="1:90">
      <c r="A2441">
        <v>28043878</v>
      </c>
      <c r="B2441" s="2" t="str">
        <f>HYPERLINK("http://www.redfin.com/stingray/do/printable-listing?listing-id=1554729","Active")</f>
        <v>Active</v>
      </c>
      <c r="D2441" t="s">
        <v>5204</v>
      </c>
      <c r="E2441" t="s">
        <v>5214</v>
      </c>
      <c r="F2441">
        <v>569000</v>
      </c>
      <c r="G2441">
        <v>1964</v>
      </c>
      <c r="H2441">
        <v>2140</v>
      </c>
      <c r="I2441">
        <v>7700</v>
      </c>
      <c r="J2441">
        <v>4</v>
      </c>
      <c r="K2441">
        <v>2.5</v>
      </c>
      <c r="M2441" s="2" t="str">
        <f>HYPERLINK("http://maps.live.com/default.aspx?v=2&amp;lvl=15&amp;sp=Point.47.614074_-122.144677_14708 NE 4 Pl&amp;cp=47.614074~-122.144677","Map")</f>
        <v>Map</v>
      </c>
      <c r="N2441" s="2" t="str">
        <f>HYPERLINK("http://i-0.rfimg.us/photo/1/bigphoto/878/28043878_0.jpg","Photo")</f>
        <v>Photo</v>
      </c>
      <c r="AG2441">
        <v>47.614074000000002</v>
      </c>
      <c r="AH2441">
        <v>-122.144677</v>
      </c>
      <c r="AI2441" t="s">
        <v>369</v>
      </c>
      <c r="AJ2441">
        <v>98007</v>
      </c>
      <c r="AN2441">
        <v>435000</v>
      </c>
      <c r="BC2441" s="22">
        <v>39520.046215277776</v>
      </c>
      <c r="BI2441" s="22">
        <v>39549.294907407406</v>
      </c>
      <c r="BL2441">
        <v>11380</v>
      </c>
      <c r="BM2441">
        <v>1554729</v>
      </c>
      <c r="BN2441" t="s">
        <v>1737</v>
      </c>
      <c r="BO2441" s="17">
        <f t="shared" ca="1" si="38"/>
        <v>29.263190625002608</v>
      </c>
      <c r="BP2441" t="b">
        <v>0</v>
      </c>
      <c r="BQ2441">
        <v>1</v>
      </c>
      <c r="BR2441" t="s">
        <v>1842</v>
      </c>
      <c r="BS2441">
        <v>4</v>
      </c>
      <c r="BT2441" t="b">
        <v>0</v>
      </c>
      <c r="BU2441" t="s">
        <v>1738</v>
      </c>
      <c r="BV2441" t="s">
        <v>1668</v>
      </c>
      <c r="BW2441">
        <v>14708</v>
      </c>
      <c r="BY2441">
        <v>501540</v>
      </c>
      <c r="BZ2441" t="s">
        <v>1696</v>
      </c>
      <c r="CA2441">
        <v>1</v>
      </c>
      <c r="CB2441" t="b">
        <v>1</v>
      </c>
      <c r="CC2441">
        <v>0</v>
      </c>
      <c r="CD2441" t="b">
        <v>0</v>
      </c>
      <c r="CE2441" t="b">
        <v>0</v>
      </c>
      <c r="CF2441" t="b">
        <v>0</v>
      </c>
      <c r="CG2441">
        <v>2527493</v>
      </c>
      <c r="CH2441" t="s">
        <v>1681</v>
      </c>
      <c r="CI2441" s="10">
        <v>569000</v>
      </c>
      <c r="CJ2441" s="7">
        <v>38625</v>
      </c>
    </row>
    <row r="2442" spans="1:90">
      <c r="A2442">
        <v>28043907</v>
      </c>
      <c r="B2442" s="2" t="str">
        <f>HYPERLINK("http://www.redfin.com/stingray/do/printable-listing?listing-id=1559132","Active")</f>
        <v>Active</v>
      </c>
      <c r="D2442" t="s">
        <v>5191</v>
      </c>
      <c r="E2442" t="s">
        <v>5284</v>
      </c>
      <c r="F2442">
        <v>629000</v>
      </c>
      <c r="G2442">
        <v>1966</v>
      </c>
      <c r="H2442">
        <v>1470</v>
      </c>
      <c r="I2442">
        <v>8800</v>
      </c>
      <c r="J2442">
        <v>3</v>
      </c>
      <c r="K2442">
        <v>1.75</v>
      </c>
      <c r="M2442" s="2" t="str">
        <f>HYPERLINK("http://maps.live.com/default.aspx?v=2&amp;lvl=15&amp;sp=Point.47.567821_-122.161503_13405 SE 43rd St&amp;cp=47.567821~-122.161503","Map")</f>
        <v>Map</v>
      </c>
      <c r="N2442" s="2" t="str">
        <f>HYPERLINK("http://i-0.rfimg.us/photo/1/bigphoto/907/28043907_0.jpg","Photo")</f>
        <v>Photo</v>
      </c>
      <c r="AG2442">
        <v>47.567821000000002</v>
      </c>
      <c r="AH2442">
        <v>-122.161503</v>
      </c>
      <c r="AI2442" t="s">
        <v>369</v>
      </c>
      <c r="AJ2442">
        <v>98006</v>
      </c>
      <c r="AN2442">
        <v>306950</v>
      </c>
      <c r="BC2442" s="22">
        <v>39521.390196759261</v>
      </c>
      <c r="BI2442" s="22">
        <v>39549.294907407406</v>
      </c>
      <c r="BL2442">
        <v>12580</v>
      </c>
      <c r="BM2442">
        <v>1559132</v>
      </c>
      <c r="BN2442" t="s">
        <v>5282</v>
      </c>
      <c r="BO2442" s="17">
        <f t="shared" ca="1" si="38"/>
        <v>27.919209143517946</v>
      </c>
      <c r="BP2442" t="b">
        <v>0</v>
      </c>
      <c r="BQ2442">
        <v>1</v>
      </c>
      <c r="BR2442" t="s">
        <v>1686</v>
      </c>
      <c r="BS2442" t="s">
        <v>3134</v>
      </c>
      <c r="BT2442" t="b">
        <v>0</v>
      </c>
      <c r="BU2442" t="s">
        <v>3856</v>
      </c>
      <c r="BV2442" t="s">
        <v>1668</v>
      </c>
      <c r="BW2442">
        <v>13405</v>
      </c>
      <c r="BY2442">
        <v>236868</v>
      </c>
      <c r="BZ2442" t="s">
        <v>1701</v>
      </c>
      <c r="CA2442">
        <v>1</v>
      </c>
      <c r="CB2442" t="b">
        <v>1</v>
      </c>
      <c r="CC2442">
        <v>0</v>
      </c>
      <c r="CD2442" t="b">
        <v>0</v>
      </c>
      <c r="CE2442" t="b">
        <v>0</v>
      </c>
      <c r="CF2442" t="b">
        <v>0</v>
      </c>
      <c r="CG2442">
        <v>2582398</v>
      </c>
      <c r="CH2442" t="s">
        <v>1681</v>
      </c>
      <c r="CI2442" s="10">
        <v>629000</v>
      </c>
      <c r="CJ2442" s="7">
        <v>36924</v>
      </c>
      <c r="CL2442" t="s">
        <v>5283</v>
      </c>
    </row>
    <row r="2443" spans="1:90">
      <c r="A2443">
        <v>28043911</v>
      </c>
      <c r="B2443" s="2" t="str">
        <f>HYPERLINK("http://www.redfin.com/stingray/do/printable-listing?listing-id=1557742","Active")</f>
        <v>Active</v>
      </c>
      <c r="D2443" t="s">
        <v>207</v>
      </c>
      <c r="E2443" t="s">
        <v>3122</v>
      </c>
      <c r="F2443">
        <v>499950</v>
      </c>
      <c r="G2443">
        <v>2006</v>
      </c>
      <c r="H2443">
        <v>1330</v>
      </c>
      <c r="I2443">
        <v>0</v>
      </c>
      <c r="J2443">
        <v>3</v>
      </c>
      <c r="K2443">
        <v>2.25</v>
      </c>
      <c r="M2443" s="2" t="str">
        <f>HYPERLINK("http://maps.live.com/default.aspx?v=2&amp;lvl=15&amp;sp=Point.47.665177_-122.285003_5015 40th Ave NE nB&amp;cp=47.665177~-122.285003","Map")</f>
        <v>Map</v>
      </c>
      <c r="N2443" s="2" t="str">
        <f>HYPERLINK("http://i-0.rfimg.us/photo/1/bigphoto/911/28043911_1.jpg","Photo")</f>
        <v>Photo</v>
      </c>
      <c r="AG2443">
        <v>47.665177</v>
      </c>
      <c r="AH2443">
        <v>-122.285003</v>
      </c>
      <c r="AI2443" t="s">
        <v>66</v>
      </c>
      <c r="AJ2443">
        <v>98105</v>
      </c>
      <c r="AM2443" t="s">
        <v>1699</v>
      </c>
      <c r="BC2443" s="22">
        <v>39520.890370370369</v>
      </c>
      <c r="BI2443" s="22">
        <v>39549.294907407406</v>
      </c>
      <c r="BL2443">
        <v>9999</v>
      </c>
      <c r="BM2443">
        <v>1557742</v>
      </c>
      <c r="BN2443" t="s">
        <v>3121</v>
      </c>
      <c r="BO2443" s="17">
        <f t="shared" ca="1" si="38"/>
        <v>28.419035532409907</v>
      </c>
      <c r="BP2443" t="b">
        <v>0</v>
      </c>
      <c r="BQ2443">
        <v>1</v>
      </c>
      <c r="BR2443" t="s">
        <v>1667</v>
      </c>
      <c r="BS2443" t="s">
        <v>2832</v>
      </c>
      <c r="BT2443" t="b">
        <v>0</v>
      </c>
      <c r="BV2443" t="s">
        <v>1668</v>
      </c>
      <c r="BW2443">
        <v>5015</v>
      </c>
      <c r="BX2443" t="s">
        <v>1738</v>
      </c>
      <c r="BY2443">
        <v>12427193</v>
      </c>
      <c r="BZ2443" t="s">
        <v>1689</v>
      </c>
      <c r="CA2443">
        <v>1</v>
      </c>
      <c r="CB2443" t="b">
        <v>1</v>
      </c>
      <c r="CC2443">
        <v>0</v>
      </c>
      <c r="CD2443" t="b">
        <v>0</v>
      </c>
      <c r="CE2443" t="b">
        <v>0</v>
      </c>
      <c r="CF2443" t="b">
        <v>0</v>
      </c>
      <c r="CG2443">
        <v>15630941</v>
      </c>
      <c r="CH2443" t="s">
        <v>1681</v>
      </c>
      <c r="CI2443" s="10">
        <v>499950</v>
      </c>
    </row>
    <row r="2444" spans="1:90">
      <c r="A2444">
        <v>28043923</v>
      </c>
      <c r="B2444" s="2" t="str">
        <f>HYPERLINK("http://www.redfin.com/stingray/do/printable-listing?listing-id=1555107","Active")</f>
        <v>Active</v>
      </c>
      <c r="D2444" t="s">
        <v>3704</v>
      </c>
      <c r="E2444" t="s">
        <v>4088</v>
      </c>
      <c r="F2444">
        <v>539950</v>
      </c>
      <c r="G2444">
        <v>2002</v>
      </c>
      <c r="H2444">
        <v>1320</v>
      </c>
      <c r="I2444">
        <v>1344</v>
      </c>
      <c r="J2444">
        <v>2</v>
      </c>
      <c r="K2444">
        <v>2.5</v>
      </c>
      <c r="M2444" s="2" t="str">
        <f>HYPERLINK("http://maps.live.com/default.aspx?v=2&amp;lvl=15&amp;sp=Point.47.61801_-122.313786_1806 14th Ave&amp;cp=47.61801~-122.313786","Map")</f>
        <v>Map</v>
      </c>
      <c r="N2444" s="2" t="str">
        <f>HYPERLINK("http://i-0.rfimg.us/photo/1/bigphoto/923/28043923_2.jpg","Photo")</f>
        <v>Photo</v>
      </c>
      <c r="AG2444">
        <v>47.618009999999998</v>
      </c>
      <c r="AH2444">
        <v>-122.31378599999999</v>
      </c>
      <c r="AI2444" t="s">
        <v>66</v>
      </c>
      <c r="AJ2444">
        <v>98122</v>
      </c>
      <c r="AN2444">
        <v>347000</v>
      </c>
      <c r="BC2444" s="22">
        <v>39520.337870370371</v>
      </c>
      <c r="BI2444" s="22">
        <v>39549.294907407406</v>
      </c>
      <c r="BL2444">
        <v>10799</v>
      </c>
      <c r="BM2444">
        <v>1555107</v>
      </c>
      <c r="BN2444" t="s">
        <v>1678</v>
      </c>
      <c r="BO2444" s="17">
        <f t="shared" ca="1" si="38"/>
        <v>28.97153553240787</v>
      </c>
      <c r="BP2444" t="b">
        <v>0</v>
      </c>
      <c r="BQ2444">
        <v>1</v>
      </c>
      <c r="BR2444" t="s">
        <v>1667</v>
      </c>
      <c r="BS2444" t="s">
        <v>1900</v>
      </c>
      <c r="BT2444" t="b">
        <v>0</v>
      </c>
      <c r="BV2444" t="s">
        <v>1668</v>
      </c>
      <c r="BW2444">
        <v>1806</v>
      </c>
      <c r="BY2444">
        <v>145420</v>
      </c>
      <c r="BZ2444" t="s">
        <v>2532</v>
      </c>
      <c r="CA2444">
        <v>1</v>
      </c>
      <c r="CB2444" t="b">
        <v>1</v>
      </c>
      <c r="CC2444">
        <v>0</v>
      </c>
      <c r="CD2444" t="b">
        <v>0</v>
      </c>
      <c r="CE2444" t="b">
        <v>0</v>
      </c>
      <c r="CF2444" t="b">
        <v>0</v>
      </c>
      <c r="CG2444">
        <v>2547205</v>
      </c>
      <c r="CH2444" t="s">
        <v>1681</v>
      </c>
      <c r="CI2444" s="10">
        <v>539950</v>
      </c>
      <c r="CJ2444" s="7">
        <v>37449</v>
      </c>
    </row>
    <row r="2445" spans="1:90">
      <c r="A2445">
        <v>28043939</v>
      </c>
      <c r="B2445" s="2" t="str">
        <f>HYPERLINK("http://www.redfin.com/stingray/do/printable-listing?listing-id=1559350","Subject To Inspection")</f>
        <v>Subject To Inspection</v>
      </c>
      <c r="D2445" t="s">
        <v>63</v>
      </c>
      <c r="E2445" t="s">
        <v>2149</v>
      </c>
      <c r="F2445">
        <v>449950</v>
      </c>
      <c r="G2445">
        <v>1904</v>
      </c>
      <c r="H2445">
        <v>1400</v>
      </c>
      <c r="I2445">
        <v>5000</v>
      </c>
      <c r="J2445">
        <v>2</v>
      </c>
      <c r="K2445">
        <v>1.5</v>
      </c>
      <c r="M2445" s="2" t="str">
        <f>HYPERLINK("http://maps.live.com/default.aspx?v=2&amp;lvl=15&amp;sp=Point.47.668138_-122.362251_336 NW 54th St&amp;cp=47.668138~-122.362251","Map")</f>
        <v>Map</v>
      </c>
      <c r="N2445" s="2" t="str">
        <f>HYPERLINK("http://i-0.rfimg.us/photo/1/bigphoto/939/28043939_2.jpg","Photo")</f>
        <v>Photo</v>
      </c>
      <c r="AG2445">
        <v>47.668137999999999</v>
      </c>
      <c r="AH2445">
        <v>-122.362251</v>
      </c>
      <c r="AI2445" t="s">
        <v>66</v>
      </c>
      <c r="AJ2445">
        <v>98107</v>
      </c>
      <c r="AN2445">
        <v>131000</v>
      </c>
      <c r="BC2445" s="22">
        <v>39521.434108796297</v>
      </c>
      <c r="BI2445" s="7">
        <v>39533</v>
      </c>
      <c r="BL2445">
        <v>8999</v>
      </c>
      <c r="BM2445">
        <v>1559350</v>
      </c>
      <c r="BN2445" t="s">
        <v>1725</v>
      </c>
      <c r="BO2445" s="17">
        <f t="shared" ca="1" si="38"/>
        <v>27.875297222220979</v>
      </c>
      <c r="BP2445" t="b">
        <v>0</v>
      </c>
      <c r="BQ2445">
        <v>2</v>
      </c>
      <c r="BR2445" t="s">
        <v>1686</v>
      </c>
      <c r="BS2445" t="s">
        <v>2585</v>
      </c>
      <c r="BT2445" t="b">
        <v>0</v>
      </c>
      <c r="BU2445" t="s">
        <v>1669</v>
      </c>
      <c r="BV2445" t="s">
        <v>1668</v>
      </c>
      <c r="BW2445">
        <v>336</v>
      </c>
      <c r="BY2445">
        <v>302020</v>
      </c>
      <c r="BZ2445" t="s">
        <v>2586</v>
      </c>
      <c r="CA2445">
        <v>1</v>
      </c>
      <c r="CB2445" t="b">
        <v>1</v>
      </c>
      <c r="CC2445">
        <v>0</v>
      </c>
      <c r="CD2445" t="b">
        <v>0</v>
      </c>
      <c r="CE2445" t="b">
        <v>0</v>
      </c>
      <c r="CF2445" t="b">
        <v>0</v>
      </c>
      <c r="CG2445">
        <v>2707939</v>
      </c>
      <c r="CH2445" t="s">
        <v>1681</v>
      </c>
      <c r="CI2445" s="10">
        <v>449950</v>
      </c>
      <c r="CJ2445" s="7">
        <v>34045</v>
      </c>
    </row>
    <row r="2446" spans="1:90">
      <c r="A2446">
        <v>28043952</v>
      </c>
      <c r="B2446" s="2" t="str">
        <f>HYPERLINK("http://www.redfin.com/stingray/do/printable-listing?listing-id=1556882","Active")</f>
        <v>Active</v>
      </c>
      <c r="D2446" t="s">
        <v>3066</v>
      </c>
      <c r="E2446" t="s">
        <v>4683</v>
      </c>
      <c r="F2446">
        <v>529900</v>
      </c>
      <c r="G2446">
        <v>2006</v>
      </c>
      <c r="H2446">
        <v>1480</v>
      </c>
      <c r="I2446">
        <v>2790</v>
      </c>
      <c r="J2446">
        <v>2</v>
      </c>
      <c r="K2446">
        <v>2.5</v>
      </c>
      <c r="M2446" s="2" t="str">
        <f>HYPERLINK("http://maps.live.com/default.aspx?v=2&amp;lvl=15&amp;sp=Point.47.687395079894_-122.16659013913_13019 NE 97th St&amp;cp=47.687395079894~-122.16659013913","Map")</f>
        <v>Map</v>
      </c>
      <c r="N2446" s="2" t="str">
        <f>HYPERLINK("http://i-0.rfimg.us/photo/1/bigphoto/952/28043952_0.jpg","Photo")</f>
        <v>Photo</v>
      </c>
      <c r="AG2446">
        <v>47.687395079894003</v>
      </c>
      <c r="AH2446">
        <v>-122.16659013912999</v>
      </c>
      <c r="AI2446" t="s">
        <v>1058</v>
      </c>
      <c r="AJ2446">
        <v>98033</v>
      </c>
      <c r="AN2446">
        <v>446000</v>
      </c>
      <c r="BC2446" s="22">
        <v>39520.673622685186</v>
      </c>
      <c r="BI2446" s="22">
        <v>39549.294907407406</v>
      </c>
      <c r="BL2446">
        <v>10598</v>
      </c>
      <c r="BM2446">
        <v>1556882</v>
      </c>
      <c r="BN2446" t="s">
        <v>1768</v>
      </c>
      <c r="BO2446" s="17">
        <f t="shared" ca="1" si="38"/>
        <v>28.635783217592689</v>
      </c>
      <c r="BP2446" t="b">
        <v>0</v>
      </c>
      <c r="BQ2446">
        <v>1</v>
      </c>
      <c r="BR2446" t="s">
        <v>1686</v>
      </c>
      <c r="BS2446" t="s">
        <v>1840</v>
      </c>
      <c r="BT2446" t="b">
        <v>0</v>
      </c>
      <c r="BU2446" t="s">
        <v>1738</v>
      </c>
      <c r="BV2446" t="s">
        <v>1668</v>
      </c>
      <c r="BW2446">
        <v>13019</v>
      </c>
      <c r="BY2446">
        <v>2084315</v>
      </c>
      <c r="BZ2446" t="s">
        <v>1745</v>
      </c>
      <c r="CA2446">
        <v>1</v>
      </c>
      <c r="CB2446" t="b">
        <v>1</v>
      </c>
      <c r="CC2446">
        <v>0</v>
      </c>
      <c r="CD2446" t="b">
        <v>0</v>
      </c>
      <c r="CE2446" t="b">
        <v>0</v>
      </c>
      <c r="CF2446" t="b">
        <v>0</v>
      </c>
      <c r="CG2446">
        <v>2786161</v>
      </c>
      <c r="CH2446" t="s">
        <v>1681</v>
      </c>
      <c r="CI2446" s="10">
        <v>529900</v>
      </c>
      <c r="CJ2446" s="7">
        <v>38586</v>
      </c>
    </row>
    <row r="2447" spans="1:90">
      <c r="A2447">
        <v>28043962</v>
      </c>
      <c r="B2447" s="2" t="str">
        <f>HYPERLINK("http://www.redfin.com/stingray/do/printable-listing?listing-id=1560291","Active")</f>
        <v>Active</v>
      </c>
      <c r="D2447" t="s">
        <v>63</v>
      </c>
      <c r="E2447" t="s">
        <v>2531</v>
      </c>
      <c r="F2447" s="19">
        <v>359000</v>
      </c>
      <c r="G2447">
        <v>1999</v>
      </c>
      <c r="H2447">
        <v>1200</v>
      </c>
      <c r="I2447">
        <v>1301</v>
      </c>
      <c r="J2447">
        <v>2</v>
      </c>
      <c r="K2447">
        <v>1.5</v>
      </c>
      <c r="M2447" s="2" t="str">
        <f>HYPERLINK("http://maps.live.com/default.aspx?v=2&amp;lvl=15&amp;sp=Point.47.671037_-122.377359_1546 NW 58th St nB&amp;cp=47.671037~-122.377359","Map")</f>
        <v>Map</v>
      </c>
      <c r="N2447" s="2" t="str">
        <f>HYPERLINK("http://i-0.rfimg.us/photo/1/bigphoto/962/28043962_0.jpg","Photo")</f>
        <v>Photo</v>
      </c>
      <c r="AG2447">
        <v>47.671036999999998</v>
      </c>
      <c r="AH2447">
        <v>-122.377359</v>
      </c>
      <c r="AI2447" t="s">
        <v>66</v>
      </c>
      <c r="AJ2447">
        <v>98107</v>
      </c>
      <c r="AM2447" t="s">
        <v>1699</v>
      </c>
      <c r="BC2447" s="22">
        <v>39521.59003472222</v>
      </c>
      <c r="BI2447" s="22">
        <v>39549.294907407406</v>
      </c>
      <c r="BL2447">
        <v>7400</v>
      </c>
      <c r="BM2447">
        <v>1560291</v>
      </c>
      <c r="BN2447" t="s">
        <v>1702</v>
      </c>
      <c r="BO2447" s="17">
        <f t="shared" ca="1" si="38"/>
        <v>27.71937129629805</v>
      </c>
      <c r="BP2447" t="b">
        <v>0</v>
      </c>
      <c r="BQ2447">
        <v>1</v>
      </c>
      <c r="BR2447" t="s">
        <v>1686</v>
      </c>
      <c r="BS2447" t="s">
        <v>2490</v>
      </c>
      <c r="BT2447" t="b">
        <v>0</v>
      </c>
      <c r="BU2447" t="s">
        <v>1669</v>
      </c>
      <c r="BV2447" t="s">
        <v>1668</v>
      </c>
      <c r="BW2447">
        <v>1546</v>
      </c>
      <c r="BY2447">
        <v>12428499</v>
      </c>
      <c r="BZ2447" t="s">
        <v>1701</v>
      </c>
      <c r="CA2447">
        <v>1</v>
      </c>
      <c r="CB2447" t="b">
        <v>1</v>
      </c>
      <c r="CC2447">
        <v>0</v>
      </c>
      <c r="CD2447" t="b">
        <v>0</v>
      </c>
      <c r="CE2447" t="b">
        <v>0</v>
      </c>
      <c r="CF2447" t="b">
        <v>0</v>
      </c>
      <c r="CG2447">
        <v>15632247</v>
      </c>
      <c r="CH2447" t="s">
        <v>1681</v>
      </c>
      <c r="CI2447" s="10">
        <v>370000</v>
      </c>
    </row>
    <row r="2448" spans="1:90">
      <c r="A2448">
        <v>28044054</v>
      </c>
      <c r="B2448" s="2" t="str">
        <f>HYPERLINK("http://www.redfin.com/stingray/do/printable-listing?listing-id=1565008","Active")</f>
        <v>Active</v>
      </c>
      <c r="D2448" t="s">
        <v>2552</v>
      </c>
      <c r="E2448" t="s">
        <v>3504</v>
      </c>
      <c r="F2448" s="19">
        <v>479000</v>
      </c>
      <c r="G2448">
        <v>2007</v>
      </c>
      <c r="H2448">
        <v>1460</v>
      </c>
      <c r="I2448">
        <v>0</v>
      </c>
      <c r="J2448">
        <v>3</v>
      </c>
      <c r="K2448">
        <v>3.25</v>
      </c>
      <c r="M2448" s="2" t="str">
        <f>HYPERLINK("http://maps.live.com/default.aspx?v=2&amp;lvl=15&amp;sp=Point.47.638629_-122.388038_2209 Thorndyke Ave W&amp;cp=47.638629~-122.388038","Map")</f>
        <v>Map</v>
      </c>
      <c r="N2448" s="2" t="str">
        <f>HYPERLINK("http://i-0.rfimg.us/photo/1/bigphoto/054/28044054_1.jpg","Photo")</f>
        <v>Photo</v>
      </c>
      <c r="AG2448">
        <v>47.638629000000002</v>
      </c>
      <c r="AH2448">
        <v>-122.38803799999999</v>
      </c>
      <c r="AI2448" t="s">
        <v>66</v>
      </c>
      <c r="AJ2448">
        <v>98199</v>
      </c>
      <c r="AN2448">
        <v>508089</v>
      </c>
      <c r="BC2448" s="22">
        <v>39524.264733796299</v>
      </c>
      <c r="BI2448" s="22">
        <v>39549.294907407406</v>
      </c>
      <c r="BL2448">
        <v>9900</v>
      </c>
      <c r="BM2448">
        <v>1565008</v>
      </c>
      <c r="BN2448" t="s">
        <v>1710</v>
      </c>
      <c r="BO2448" s="17">
        <f t="shared" ca="1" si="38"/>
        <v>25.044672106479993</v>
      </c>
      <c r="BP2448" t="b">
        <v>0</v>
      </c>
      <c r="BQ2448">
        <v>1</v>
      </c>
      <c r="BR2448" t="s">
        <v>1667</v>
      </c>
      <c r="BS2448" t="s">
        <v>3505</v>
      </c>
      <c r="BT2448" t="b">
        <v>0</v>
      </c>
      <c r="BV2448" t="s">
        <v>1668</v>
      </c>
      <c r="BW2448">
        <v>2209</v>
      </c>
      <c r="BX2448" t="s">
        <v>2423</v>
      </c>
      <c r="BY2448">
        <v>8190031</v>
      </c>
      <c r="BZ2448" t="s">
        <v>3506</v>
      </c>
      <c r="CA2448">
        <v>1</v>
      </c>
      <c r="CB2448" t="b">
        <v>1</v>
      </c>
      <c r="CC2448">
        <v>0</v>
      </c>
      <c r="CD2448" t="b">
        <v>0</v>
      </c>
      <c r="CE2448" t="b">
        <v>0</v>
      </c>
      <c r="CF2448" t="b">
        <v>0</v>
      </c>
      <c r="CG2448">
        <v>10532739</v>
      </c>
      <c r="CH2448" t="s">
        <v>1681</v>
      </c>
      <c r="CI2448" s="10">
        <v>495000</v>
      </c>
      <c r="CJ2448" s="7">
        <v>39073</v>
      </c>
    </row>
    <row r="2449" spans="1:90">
      <c r="A2449">
        <v>28044064</v>
      </c>
      <c r="B2449" s="2" t="str">
        <f>HYPERLINK("http://www.redfin.com/stingray/do/printable-listing?listing-id=1563678","Active")</f>
        <v>Active</v>
      </c>
      <c r="D2449" t="s">
        <v>3064</v>
      </c>
      <c r="E2449" t="s">
        <v>6100</v>
      </c>
      <c r="F2449">
        <v>445000</v>
      </c>
      <c r="G2449">
        <v>2006</v>
      </c>
      <c r="H2449">
        <v>2978</v>
      </c>
      <c r="I2449">
        <v>5342</v>
      </c>
      <c r="J2449">
        <v>4</v>
      </c>
      <c r="K2449">
        <v>2.5</v>
      </c>
      <c r="M2449" s="2" t="str">
        <f>HYPERLINK("http://maps.live.com/default.aspx?v=2&amp;lvl=15&amp;sp=Point.47.490414910944_-122.15008215111_5122 NE 5th St&amp;cp=47.490414910944~-122.15008215111","Map")</f>
        <v>Map</v>
      </c>
      <c r="N2449" s="2" t="str">
        <f>HYPERLINK("http://i-0.rfimg.us/photo/1/bigphoto/064/28044064_1.jpg","Photo")</f>
        <v>Photo</v>
      </c>
      <c r="AG2449">
        <v>47.490414910943997</v>
      </c>
      <c r="AH2449">
        <v>-122.15008215111</v>
      </c>
      <c r="AI2449" t="s">
        <v>1077</v>
      </c>
      <c r="AJ2449">
        <v>98059</v>
      </c>
      <c r="AN2449">
        <v>496230</v>
      </c>
      <c r="BC2449" s="22">
        <v>39522.931689814817</v>
      </c>
      <c r="BI2449" s="7">
        <v>39534</v>
      </c>
      <c r="BL2449">
        <v>8900</v>
      </c>
      <c r="BM2449">
        <v>1563678</v>
      </c>
      <c r="BN2449" t="s">
        <v>3092</v>
      </c>
      <c r="BO2449" s="17">
        <f t="shared" ca="1" si="38"/>
        <v>26.377716087961744</v>
      </c>
      <c r="BP2449" t="b">
        <v>0</v>
      </c>
      <c r="BQ2449">
        <v>1</v>
      </c>
      <c r="BR2449" t="s">
        <v>1686</v>
      </c>
      <c r="BS2449" t="s">
        <v>1832</v>
      </c>
      <c r="BT2449" t="b">
        <v>0</v>
      </c>
      <c r="BU2449" t="s">
        <v>1738</v>
      </c>
      <c r="BV2449" t="s">
        <v>1668</v>
      </c>
      <c r="BW2449">
        <v>5122</v>
      </c>
      <c r="BY2449">
        <v>11761543</v>
      </c>
      <c r="BZ2449" t="s">
        <v>1836</v>
      </c>
      <c r="CA2449">
        <v>1</v>
      </c>
      <c r="CB2449" t="b">
        <v>1</v>
      </c>
      <c r="CC2449">
        <v>0</v>
      </c>
      <c r="CD2449" t="b">
        <v>0</v>
      </c>
      <c r="CE2449" t="b">
        <v>0</v>
      </c>
      <c r="CF2449" t="b">
        <v>0</v>
      </c>
      <c r="CG2449">
        <v>3028116</v>
      </c>
      <c r="CH2449" t="s">
        <v>1681</v>
      </c>
      <c r="CI2449" s="10">
        <v>445000</v>
      </c>
      <c r="CJ2449" s="7">
        <v>39052</v>
      </c>
    </row>
    <row r="2450" spans="1:90">
      <c r="A2450">
        <v>28044080</v>
      </c>
      <c r="B2450" s="2" t="str">
        <f>HYPERLINK("http://www.redfin.com/stingray/do/printable-listing?listing-id=1557166","Active")</f>
        <v>Active</v>
      </c>
      <c r="D2450" t="s">
        <v>4611</v>
      </c>
      <c r="E2450" t="s">
        <v>5476</v>
      </c>
      <c r="F2450">
        <v>379990</v>
      </c>
      <c r="G2450">
        <v>1960</v>
      </c>
      <c r="H2450">
        <v>1100</v>
      </c>
      <c r="I2450">
        <v>7350</v>
      </c>
      <c r="J2450">
        <v>3</v>
      </c>
      <c r="K2450">
        <v>1</v>
      </c>
      <c r="M2450" s="2" t="str">
        <f>HYPERLINK("http://maps.live.com/default.aspx?v=2&amp;lvl=15&amp;sp=Point.47.624226_-122.120212_16437 NE 16th Pl&amp;cp=47.624226~-122.120212","Map")</f>
        <v>Map</v>
      </c>
      <c r="N2450" s="2" t="str">
        <f>HYPERLINK("http://i-0.rfimg.us/photo/1/bigphoto/080/28044080_3.jpg","Photo")</f>
        <v>Photo</v>
      </c>
      <c r="AG2450">
        <v>47.624226</v>
      </c>
      <c r="AH2450">
        <v>-122.120212</v>
      </c>
      <c r="AI2450" t="s">
        <v>369</v>
      </c>
      <c r="AJ2450">
        <v>98008</v>
      </c>
      <c r="AN2450">
        <v>139950</v>
      </c>
      <c r="BC2450" s="22">
        <v>39520.735381944447</v>
      </c>
      <c r="BI2450" s="22">
        <v>39549.294907407406</v>
      </c>
      <c r="BL2450">
        <v>7600</v>
      </c>
      <c r="BM2450">
        <v>1557166</v>
      </c>
      <c r="BN2450" t="s">
        <v>5475</v>
      </c>
      <c r="BO2450" s="17">
        <f t="shared" ca="1" si="38"/>
        <v>28.574023958331964</v>
      </c>
      <c r="BP2450" t="b">
        <v>0</v>
      </c>
      <c r="BQ2450">
        <v>1</v>
      </c>
      <c r="BR2450" t="s">
        <v>1842</v>
      </c>
      <c r="BS2450" t="s">
        <v>1695</v>
      </c>
      <c r="BT2450" t="b">
        <v>0</v>
      </c>
      <c r="BU2450" t="s">
        <v>1738</v>
      </c>
      <c r="BV2450" t="s">
        <v>1668</v>
      </c>
      <c r="BW2450">
        <v>16437</v>
      </c>
      <c r="BY2450">
        <v>432297</v>
      </c>
      <c r="BZ2450" t="s">
        <v>5477</v>
      </c>
      <c r="CA2450">
        <v>1</v>
      </c>
      <c r="CB2450" t="b">
        <v>1</v>
      </c>
      <c r="CC2450">
        <v>0</v>
      </c>
      <c r="CD2450" t="b">
        <v>0</v>
      </c>
      <c r="CE2450" t="b">
        <v>0</v>
      </c>
      <c r="CF2450" t="b">
        <v>0</v>
      </c>
      <c r="CG2450">
        <v>2485300</v>
      </c>
      <c r="CH2450" t="s">
        <v>1681</v>
      </c>
      <c r="CI2450" s="10">
        <v>379990</v>
      </c>
      <c r="CJ2450" s="7">
        <v>34906</v>
      </c>
    </row>
    <row r="2451" spans="1:90">
      <c r="A2451">
        <v>28044092</v>
      </c>
      <c r="B2451" s="2" t="str">
        <f>HYPERLINK("http://www.redfin.com/stingray/do/printable-listing?listing-id=1566209","Active")</f>
        <v>Active</v>
      </c>
      <c r="D2451" t="s">
        <v>63</v>
      </c>
      <c r="E2451" t="s">
        <v>1234</v>
      </c>
      <c r="F2451">
        <v>649950</v>
      </c>
      <c r="G2451">
        <v>1928</v>
      </c>
      <c r="H2451">
        <v>2140</v>
      </c>
      <c r="I2451">
        <v>3880</v>
      </c>
      <c r="J2451">
        <v>3</v>
      </c>
      <c r="K2451">
        <v>2.75</v>
      </c>
      <c r="M2451" s="2" t="str">
        <f>HYPERLINK("http://maps.live.com/default.aspx?v=2&amp;lvl=15&amp;sp=Point.47.683593_-122.391161_7515 27th Ave NW&amp;cp=47.683593~-122.391161","Map")</f>
        <v>Map</v>
      </c>
      <c r="N2451" s="2" t="str">
        <f>HYPERLINK("http://i-0.rfimg.us/photo/1/bigphoto/092/28044092_0.jpg","Photo")</f>
        <v>Photo</v>
      </c>
      <c r="AG2451">
        <v>47.683593000000002</v>
      </c>
      <c r="AH2451">
        <v>-122.391161</v>
      </c>
      <c r="AI2451" t="s">
        <v>66</v>
      </c>
      <c r="AJ2451">
        <v>98117</v>
      </c>
      <c r="AN2451">
        <v>390000</v>
      </c>
      <c r="BC2451" s="22">
        <v>39524.580439814818</v>
      </c>
      <c r="BI2451" s="22">
        <v>39549.294907407406</v>
      </c>
      <c r="BL2451">
        <v>12999</v>
      </c>
      <c r="BM2451">
        <v>1566209</v>
      </c>
      <c r="BN2451" t="s">
        <v>1725</v>
      </c>
      <c r="BO2451" s="17">
        <f t="shared" ca="1" si="38"/>
        <v>24.728966203700111</v>
      </c>
      <c r="BP2451" t="b">
        <v>0</v>
      </c>
      <c r="BQ2451">
        <v>1</v>
      </c>
      <c r="BR2451" t="s">
        <v>1667</v>
      </c>
      <c r="BS2451" t="s">
        <v>1751</v>
      </c>
      <c r="BT2451" t="b">
        <v>0</v>
      </c>
      <c r="BV2451" t="s">
        <v>1668</v>
      </c>
      <c r="BW2451">
        <v>7515</v>
      </c>
      <c r="BX2451" t="s">
        <v>1669</v>
      </c>
      <c r="BY2451">
        <v>165743</v>
      </c>
      <c r="BZ2451" t="s">
        <v>1670</v>
      </c>
      <c r="CA2451">
        <v>1</v>
      </c>
      <c r="CB2451" t="b">
        <v>1</v>
      </c>
      <c r="CC2451">
        <v>0</v>
      </c>
      <c r="CD2451" t="b">
        <v>0</v>
      </c>
      <c r="CE2451" t="b">
        <v>1</v>
      </c>
      <c r="CF2451" t="b">
        <v>0</v>
      </c>
      <c r="CG2451">
        <v>2543390</v>
      </c>
      <c r="CH2451" t="s">
        <v>1681</v>
      </c>
      <c r="CI2451" s="10">
        <v>649950</v>
      </c>
      <c r="CJ2451" s="7">
        <v>38103</v>
      </c>
      <c r="CL2451" s="19" t="s">
        <v>2298</v>
      </c>
    </row>
    <row r="2452" spans="1:90">
      <c r="A2452">
        <v>28044105</v>
      </c>
      <c r="B2452" s="2" t="str">
        <f>HYPERLINK("http://www.redfin.com/stingray/do/printable-listing?listing-id=1557257","Active")</f>
        <v>Active</v>
      </c>
      <c r="D2452" t="s">
        <v>1058</v>
      </c>
      <c r="E2452" t="s">
        <v>4420</v>
      </c>
      <c r="F2452">
        <v>379950</v>
      </c>
      <c r="G2452">
        <v>1981</v>
      </c>
      <c r="H2452">
        <v>1400</v>
      </c>
      <c r="I2452">
        <v>3533</v>
      </c>
      <c r="J2452">
        <v>3</v>
      </c>
      <c r="K2452">
        <v>2.5</v>
      </c>
      <c r="M2452" s="2" t="str">
        <f>HYPERLINK("http://maps.live.com/default.aspx?v=2&amp;lvl=15&amp;sp=Point.47.724634_-122.163516_13207 NE 138th Pl&amp;cp=47.724634~-122.163516","Map")</f>
        <v>Map</v>
      </c>
      <c r="N2452" s="2" t="str">
        <f>HYPERLINK("http://i-0.rfimg.us/photo/1/bigphoto/105/28044105_1.jpg","Photo")</f>
        <v>Photo</v>
      </c>
      <c r="AG2452">
        <v>47.724634000000002</v>
      </c>
      <c r="AH2452">
        <v>-122.163516</v>
      </c>
      <c r="AI2452" t="s">
        <v>1058</v>
      </c>
      <c r="AJ2452">
        <v>98034</v>
      </c>
      <c r="AN2452">
        <v>175000</v>
      </c>
      <c r="BC2452" s="22">
        <v>39520.776238425926</v>
      </c>
      <c r="BI2452" s="22">
        <v>39549.294907407406</v>
      </c>
      <c r="BL2452">
        <v>7599</v>
      </c>
      <c r="BM2452">
        <v>1557257</v>
      </c>
      <c r="BN2452" t="s">
        <v>1824</v>
      </c>
      <c r="BO2452" s="17">
        <f t="shared" ca="1" si="38"/>
        <v>28.533167476853123</v>
      </c>
      <c r="BP2452" t="b">
        <v>0</v>
      </c>
      <c r="BQ2452">
        <v>1</v>
      </c>
      <c r="BR2452" t="s">
        <v>1842</v>
      </c>
      <c r="BS2452" t="s">
        <v>4421</v>
      </c>
      <c r="BT2452" t="b">
        <v>0</v>
      </c>
      <c r="BU2452" t="s">
        <v>1738</v>
      </c>
      <c r="BV2452" t="s">
        <v>1668</v>
      </c>
      <c r="BW2452">
        <v>13207</v>
      </c>
      <c r="BY2452">
        <v>512998</v>
      </c>
      <c r="BZ2452" t="s">
        <v>1704</v>
      </c>
      <c r="CA2452">
        <v>1</v>
      </c>
      <c r="CB2452" t="b">
        <v>1</v>
      </c>
      <c r="CC2452">
        <v>0</v>
      </c>
      <c r="CD2452" t="b">
        <v>0</v>
      </c>
      <c r="CE2452" t="b">
        <v>0</v>
      </c>
      <c r="CF2452" t="b">
        <v>0</v>
      </c>
      <c r="CG2452">
        <v>2784161</v>
      </c>
      <c r="CH2452" t="s">
        <v>1681</v>
      </c>
      <c r="CI2452" s="10">
        <v>379950</v>
      </c>
      <c r="CJ2452" s="7">
        <v>36707</v>
      </c>
    </row>
    <row r="2453" spans="1:90">
      <c r="A2453">
        <v>28044113</v>
      </c>
      <c r="B2453" s="2" t="str">
        <f>HYPERLINK("http://www.redfin.com/stingray/do/printable-listing?listing-id=1559181","Active")</f>
        <v>Active</v>
      </c>
      <c r="D2453" t="s">
        <v>3924</v>
      </c>
      <c r="E2453" t="s">
        <v>4110</v>
      </c>
      <c r="F2453" s="19">
        <v>389950</v>
      </c>
      <c r="G2453">
        <v>2008</v>
      </c>
      <c r="H2453">
        <v>0</v>
      </c>
      <c r="I2453">
        <v>0</v>
      </c>
      <c r="J2453">
        <v>2</v>
      </c>
      <c r="K2453">
        <v>1.5</v>
      </c>
      <c r="M2453" s="2" t="str">
        <f>HYPERLINK("http://maps.live.com/default.aspx?v=2&amp;lvl=15&amp;sp=Point.47.621686_-122.2974_305 27th Ave E&amp;cp=47.621686~-122.2974","Map")</f>
        <v>Map</v>
      </c>
      <c r="N2453" s="2" t="str">
        <f>HYPERLINK("http://i-0.rfimg.us/photo/1/bigphoto/113/28044113_0.jpg","Photo")</f>
        <v>Photo</v>
      </c>
      <c r="AG2453">
        <v>47.621685999999997</v>
      </c>
      <c r="AH2453">
        <v>-122.2974</v>
      </c>
      <c r="AI2453" t="s">
        <v>66</v>
      </c>
      <c r="AJ2453">
        <v>98112</v>
      </c>
      <c r="BC2453" s="22">
        <v>39521.401053240741</v>
      </c>
      <c r="BI2453" s="22">
        <v>39549.294907407406</v>
      </c>
      <c r="BL2453">
        <v>7999</v>
      </c>
      <c r="BM2453">
        <v>1559181</v>
      </c>
      <c r="BN2453" t="s">
        <v>2777</v>
      </c>
      <c r="BO2453" s="17">
        <f t="shared" ca="1" si="38"/>
        <v>27.908352662037942</v>
      </c>
      <c r="BP2453" t="b">
        <v>0</v>
      </c>
      <c r="BQ2453">
        <v>1</v>
      </c>
      <c r="BR2453" t="s">
        <v>1667</v>
      </c>
      <c r="BS2453" t="s">
        <v>1751</v>
      </c>
      <c r="BT2453" t="b">
        <v>0</v>
      </c>
      <c r="BV2453" t="s">
        <v>1668</v>
      </c>
      <c r="BW2453">
        <v>305</v>
      </c>
      <c r="BX2453" t="s">
        <v>2436</v>
      </c>
      <c r="BY2453">
        <v>12427347</v>
      </c>
      <c r="BZ2453" t="s">
        <v>1701</v>
      </c>
      <c r="CA2453">
        <v>1</v>
      </c>
      <c r="CB2453" t="b">
        <v>1</v>
      </c>
      <c r="CC2453">
        <v>0</v>
      </c>
      <c r="CD2453" t="b">
        <v>0</v>
      </c>
      <c r="CE2453" t="b">
        <v>0</v>
      </c>
      <c r="CF2453" t="b">
        <v>0</v>
      </c>
      <c r="CG2453">
        <v>15631095</v>
      </c>
      <c r="CH2453" t="s">
        <v>1681</v>
      </c>
      <c r="CI2453" s="10">
        <v>399950</v>
      </c>
    </row>
    <row r="2454" spans="1:90">
      <c r="A2454">
        <v>28044128</v>
      </c>
      <c r="B2454" s="2" t="str">
        <f>HYPERLINK("http://www.redfin.com/stingray/do/printable-listing?listing-id=1555910","Active")</f>
        <v>Active</v>
      </c>
      <c r="D2454" t="s">
        <v>3249</v>
      </c>
      <c r="E2454" t="s">
        <v>3327</v>
      </c>
      <c r="F2454">
        <v>525000</v>
      </c>
      <c r="G2454">
        <v>1927</v>
      </c>
      <c r="H2454">
        <v>2060</v>
      </c>
      <c r="I2454">
        <v>2480</v>
      </c>
      <c r="J2454">
        <v>3</v>
      </c>
      <c r="K2454">
        <v>1.5</v>
      </c>
      <c r="M2454" s="2" t="str">
        <f>HYPERLINK("http://maps.live.com/default.aspx?v=2&amp;lvl=15&amp;sp=Point.47.64715_-122.358837_112 W Florentia St&amp;cp=47.64715~-122.358837","Map")</f>
        <v>Map</v>
      </c>
      <c r="N2454" s="2" t="str">
        <f>HYPERLINK("http://i-0.rfimg.us/photo/1/bigphoto/128/28044128_0.jpg","Photo")</f>
        <v>Photo</v>
      </c>
      <c r="AG2454">
        <v>47.647150000000003</v>
      </c>
      <c r="AH2454">
        <v>-122.35883699999999</v>
      </c>
      <c r="AI2454" t="s">
        <v>66</v>
      </c>
      <c r="AJ2454">
        <v>98119</v>
      </c>
      <c r="AN2454">
        <v>625000</v>
      </c>
      <c r="BC2454" s="22">
        <v>39520.475185185183</v>
      </c>
      <c r="BI2454" s="22">
        <v>39549.294907407406</v>
      </c>
      <c r="BL2454">
        <v>10500</v>
      </c>
      <c r="BM2454">
        <v>1555910</v>
      </c>
      <c r="BN2454" t="s">
        <v>1710</v>
      </c>
      <c r="BO2454" s="17">
        <f t="shared" ca="1" si="38"/>
        <v>28.834220717595599</v>
      </c>
      <c r="BP2454" t="b">
        <v>0</v>
      </c>
      <c r="BQ2454">
        <v>1</v>
      </c>
      <c r="BR2454" t="s">
        <v>1686</v>
      </c>
      <c r="BS2454" t="s">
        <v>3255</v>
      </c>
      <c r="BT2454" t="b">
        <v>0</v>
      </c>
      <c r="BU2454" t="s">
        <v>2423</v>
      </c>
      <c r="BV2454" t="s">
        <v>1668</v>
      </c>
      <c r="BW2454">
        <v>112</v>
      </c>
      <c r="BY2454">
        <v>131223</v>
      </c>
      <c r="BZ2454" t="s">
        <v>1672</v>
      </c>
      <c r="CA2454">
        <v>1</v>
      </c>
      <c r="CB2454" t="b">
        <v>1</v>
      </c>
      <c r="CC2454">
        <v>0</v>
      </c>
      <c r="CD2454" t="b">
        <v>0</v>
      </c>
      <c r="CE2454" t="b">
        <v>0</v>
      </c>
      <c r="CF2454" t="b">
        <v>0</v>
      </c>
      <c r="CG2454">
        <v>2734382</v>
      </c>
      <c r="CH2454" t="s">
        <v>1681</v>
      </c>
      <c r="CI2454" s="10">
        <v>525000</v>
      </c>
      <c r="CJ2454" s="7">
        <v>38814</v>
      </c>
    </row>
    <row r="2455" spans="1:90">
      <c r="A2455">
        <v>28044190</v>
      </c>
      <c r="B2455" s="2" t="str">
        <f>HYPERLINK("http://www.redfin.com/stingray/do/printable-listing?listing-id=1556297","Active")</f>
        <v>Active</v>
      </c>
      <c r="D2455" t="s">
        <v>55</v>
      </c>
      <c r="E2455" t="s">
        <v>2704</v>
      </c>
      <c r="F2455">
        <v>274500</v>
      </c>
      <c r="G2455">
        <v>2004</v>
      </c>
      <c r="H2455">
        <v>940</v>
      </c>
      <c r="I2455">
        <v>0</v>
      </c>
      <c r="J2455">
        <v>2</v>
      </c>
      <c r="K2455">
        <v>1.5</v>
      </c>
      <c r="M2455" s="2" t="str">
        <f>HYPERLINK("http://maps.live.com/default.aspx?v=2&amp;lvl=15&amp;sp=Point.47.704863_-122.353594_335 N 105th St&amp;cp=47.704863~-122.353594","Map")</f>
        <v>Map</v>
      </c>
      <c r="N2455" s="2" t="str">
        <f>HYPERLINK("http://i-0.rfimg.us/photo/1/bigphoto/190/28044190_0.jpg","Photo")</f>
        <v>Photo</v>
      </c>
      <c r="AG2455">
        <v>47.704863000000003</v>
      </c>
      <c r="AH2455">
        <v>-122.353594</v>
      </c>
      <c r="AI2455" t="s">
        <v>66</v>
      </c>
      <c r="AJ2455">
        <v>98133</v>
      </c>
      <c r="BC2455" s="22">
        <v>39520.642731481479</v>
      </c>
      <c r="BI2455" s="22">
        <v>39549.294907407406</v>
      </c>
      <c r="BL2455">
        <v>5235</v>
      </c>
      <c r="BM2455">
        <v>1556297</v>
      </c>
      <c r="BN2455" t="s">
        <v>2703</v>
      </c>
      <c r="BO2455" s="17">
        <f t="shared" ca="1" si="38"/>
        <v>28.666674421299831</v>
      </c>
      <c r="BP2455" t="b">
        <v>0</v>
      </c>
      <c r="BQ2455">
        <v>1</v>
      </c>
      <c r="BR2455" t="s">
        <v>1686</v>
      </c>
      <c r="BS2455" t="s">
        <v>2705</v>
      </c>
      <c r="BT2455" t="b">
        <v>0</v>
      </c>
      <c r="BU2455" t="s">
        <v>1712</v>
      </c>
      <c r="BV2455" t="s">
        <v>1668</v>
      </c>
      <c r="BW2455">
        <v>335</v>
      </c>
      <c r="BY2455">
        <v>12383912</v>
      </c>
      <c r="BZ2455" t="s">
        <v>1684</v>
      </c>
      <c r="CA2455">
        <v>1</v>
      </c>
      <c r="CB2455" t="b">
        <v>1</v>
      </c>
      <c r="CC2455">
        <v>0</v>
      </c>
      <c r="CD2455" t="b">
        <v>0</v>
      </c>
      <c r="CE2455" t="b">
        <v>0</v>
      </c>
      <c r="CF2455" t="b">
        <v>0</v>
      </c>
      <c r="CG2455">
        <v>15587660</v>
      </c>
      <c r="CH2455" t="s">
        <v>1681</v>
      </c>
      <c r="CI2455" s="10">
        <v>274500</v>
      </c>
    </row>
    <row r="2456" spans="1:90">
      <c r="A2456">
        <v>28044201</v>
      </c>
      <c r="B2456" s="15" t="str">
        <f>HYPERLINK("http://www.redfin.com/stingray/do/printable-listing?listing-id=1557395","Active")</f>
        <v>Active</v>
      </c>
      <c r="D2456" t="s">
        <v>240</v>
      </c>
      <c r="E2456" t="s">
        <v>3120</v>
      </c>
      <c r="F2456">
        <v>875000</v>
      </c>
      <c r="G2456">
        <v>1953</v>
      </c>
      <c r="H2456">
        <v>2230</v>
      </c>
      <c r="I2456">
        <v>9477</v>
      </c>
      <c r="J2456">
        <v>4</v>
      </c>
      <c r="K2456">
        <v>1.75</v>
      </c>
      <c r="M2456" s="2" t="str">
        <f>HYPERLINK("http://maps.live.com/default.aspx?v=2&amp;lvl=15&amp;sp=Point.47.672311_-122.257866_6500 NE 60 St&amp;cp=47.672311~-122.257866","Map")</f>
        <v>Map</v>
      </c>
      <c r="N2456" s="2" t="str">
        <f>HYPERLINK("http://i-0.rfimg.us/photo/1/bigphoto/201/28044201_0.jpg","Photo")</f>
        <v>Photo</v>
      </c>
      <c r="AG2456">
        <v>47.672311000000001</v>
      </c>
      <c r="AH2456">
        <v>-122.25786600000001</v>
      </c>
      <c r="AI2456" t="s">
        <v>66</v>
      </c>
      <c r="AJ2456">
        <v>98115</v>
      </c>
      <c r="AN2456">
        <v>155000</v>
      </c>
      <c r="BC2456" s="22">
        <v>39520.84946759259</v>
      </c>
      <c r="BI2456" s="22">
        <v>39549.294907407406</v>
      </c>
      <c r="BL2456">
        <v>17500</v>
      </c>
      <c r="BM2456">
        <v>1557395</v>
      </c>
      <c r="BN2456" t="s">
        <v>1690</v>
      </c>
      <c r="BO2456" s="17">
        <f t="shared" ca="1" si="38"/>
        <v>28.459938310188591</v>
      </c>
      <c r="BP2456" t="b">
        <v>0</v>
      </c>
      <c r="BQ2456">
        <v>1</v>
      </c>
      <c r="BR2456" t="s">
        <v>1686</v>
      </c>
      <c r="BS2456">
        <v>60</v>
      </c>
      <c r="BT2456" t="b">
        <v>0</v>
      </c>
      <c r="BU2456" t="s">
        <v>1738</v>
      </c>
      <c r="BV2456" t="s">
        <v>1668</v>
      </c>
      <c r="BW2456">
        <v>6500</v>
      </c>
      <c r="BY2456">
        <v>121042</v>
      </c>
      <c r="BZ2456" t="s">
        <v>1713</v>
      </c>
      <c r="CA2456">
        <v>1</v>
      </c>
      <c r="CB2456" t="b">
        <v>1</v>
      </c>
      <c r="CC2456">
        <v>0</v>
      </c>
      <c r="CD2456" t="b">
        <v>0</v>
      </c>
      <c r="CE2456" t="b">
        <v>0</v>
      </c>
      <c r="CF2456" t="b">
        <v>0</v>
      </c>
      <c r="CG2456">
        <v>2862450</v>
      </c>
      <c r="CH2456" t="s">
        <v>1681</v>
      </c>
      <c r="CI2456" s="10">
        <v>875000</v>
      </c>
      <c r="CJ2456" s="7">
        <v>31202</v>
      </c>
    </row>
    <row r="2457" spans="1:90">
      <c r="A2457">
        <v>28044224</v>
      </c>
      <c r="B2457" s="15" t="str">
        <f>HYPERLINK("http://www.redfin.com/stingray/do/printable-listing?listing-id=1556364","Subject To Inspection")</f>
        <v>Subject To Inspection</v>
      </c>
      <c r="D2457" t="s">
        <v>5565</v>
      </c>
      <c r="E2457" t="s">
        <v>5718</v>
      </c>
      <c r="F2457">
        <v>499900</v>
      </c>
      <c r="G2457">
        <v>1959</v>
      </c>
      <c r="H2457">
        <v>1620</v>
      </c>
      <c r="I2457">
        <v>10062</v>
      </c>
      <c r="J2457">
        <v>3</v>
      </c>
      <c r="K2457">
        <v>1.75</v>
      </c>
      <c r="M2457" s="2" t="str">
        <f>HYPERLINK("http://maps.live.com/default.aspx?v=2&amp;lvl=15&amp;sp=Point.47.55345_-122.180479_11820 SE 56th St&amp;cp=47.55345~-122.180479","Map")</f>
        <v>Map</v>
      </c>
      <c r="N2457" s="2" t="str">
        <f>HYPERLINK("http://i-0.rfimg.us/photo/1/bigphoto/224/28044224_1.jpg","Photo")</f>
        <v>Photo</v>
      </c>
      <c r="AG2457">
        <v>47.553449999999998</v>
      </c>
      <c r="AH2457">
        <v>-122.18047900000001</v>
      </c>
      <c r="AI2457" t="s">
        <v>369</v>
      </c>
      <c r="AJ2457">
        <v>98006</v>
      </c>
      <c r="AN2457">
        <v>284000</v>
      </c>
      <c r="BC2457" s="22">
        <v>39520.643113425926</v>
      </c>
      <c r="BI2457" s="22">
        <v>39549.294907407406</v>
      </c>
      <c r="BL2457">
        <v>9998</v>
      </c>
      <c r="BM2457">
        <v>1556364</v>
      </c>
      <c r="BN2457" t="s">
        <v>4597</v>
      </c>
      <c r="BO2457" s="17">
        <f t="shared" ca="1" si="38"/>
        <v>28.666292476853414</v>
      </c>
      <c r="BP2457" t="b">
        <v>0</v>
      </c>
      <c r="BQ2457">
        <v>1</v>
      </c>
      <c r="BR2457" t="s">
        <v>1686</v>
      </c>
      <c r="BS2457" t="s">
        <v>2467</v>
      </c>
      <c r="BT2457" t="b">
        <v>0</v>
      </c>
      <c r="BU2457" t="s">
        <v>3856</v>
      </c>
      <c r="BV2457" t="s">
        <v>1668</v>
      </c>
      <c r="BW2457">
        <v>11820</v>
      </c>
      <c r="BY2457">
        <v>414045</v>
      </c>
      <c r="BZ2457" t="s">
        <v>1843</v>
      </c>
      <c r="CA2457">
        <v>1</v>
      </c>
      <c r="CB2457" t="b">
        <v>1</v>
      </c>
      <c r="CC2457">
        <v>0</v>
      </c>
      <c r="CD2457" t="b">
        <v>0</v>
      </c>
      <c r="CE2457" t="b">
        <v>0</v>
      </c>
      <c r="CF2457" t="b">
        <v>0</v>
      </c>
      <c r="CG2457">
        <v>2788109</v>
      </c>
      <c r="CH2457" t="s">
        <v>1681</v>
      </c>
      <c r="CI2457" s="10">
        <v>499900</v>
      </c>
      <c r="CJ2457" s="7">
        <v>37554</v>
      </c>
    </row>
    <row r="2458" spans="1:90">
      <c r="A2458">
        <v>28044230</v>
      </c>
      <c r="B2458" s="2" t="str">
        <f>HYPERLINK("http://www.redfin.com/stingray/do/printable-listing?listing-id=1556394","Subject To Inspection")</f>
        <v>Subject To Inspection</v>
      </c>
      <c r="D2458" t="s">
        <v>184</v>
      </c>
      <c r="E2458" t="s">
        <v>2915</v>
      </c>
      <c r="F2458">
        <v>249950</v>
      </c>
      <c r="G2458">
        <v>2007</v>
      </c>
      <c r="H2458">
        <v>707</v>
      </c>
      <c r="I2458">
        <v>0</v>
      </c>
      <c r="J2458">
        <v>1</v>
      </c>
      <c r="K2458">
        <v>1</v>
      </c>
      <c r="M2458" s="2" t="str">
        <f>HYPERLINK("http://maps.live.com/default.aspx?v=2&amp;lvl=15&amp;sp=Point.47.719224_-122.317145_1017 NE 125th St&amp;cp=47.719224~-122.317145","Map")</f>
        <v>Map</v>
      </c>
      <c r="N2458" s="2" t="str">
        <f>HYPERLINK("http://i-0.rfimg.us/photo/1/bigphoto/230/28044230_0.jpg","Photo")</f>
        <v>Photo</v>
      </c>
      <c r="AG2458">
        <v>47.719223999999997</v>
      </c>
      <c r="AH2458">
        <v>-122.317145</v>
      </c>
      <c r="AI2458" t="s">
        <v>66</v>
      </c>
      <c r="AJ2458">
        <v>98125</v>
      </c>
      <c r="AN2458">
        <v>600000</v>
      </c>
      <c r="BC2458" s="22">
        <v>39520.643217592595</v>
      </c>
      <c r="BI2458" s="7">
        <v>39534</v>
      </c>
      <c r="BL2458">
        <v>4499</v>
      </c>
      <c r="BM2458">
        <v>1556394</v>
      </c>
      <c r="BN2458" t="s">
        <v>1678</v>
      </c>
      <c r="BO2458" s="17">
        <f t="shared" ca="1" si="38"/>
        <v>28.666188310184225</v>
      </c>
      <c r="BP2458" t="b">
        <v>0</v>
      </c>
      <c r="BQ2458">
        <v>2</v>
      </c>
      <c r="BR2458" t="s">
        <v>1686</v>
      </c>
      <c r="BS2458" t="s">
        <v>2677</v>
      </c>
      <c r="BT2458" t="b">
        <v>0</v>
      </c>
      <c r="BU2458" t="s">
        <v>1738</v>
      </c>
      <c r="BV2458" t="s">
        <v>1668</v>
      </c>
      <c r="BW2458">
        <v>1017</v>
      </c>
      <c r="BY2458">
        <v>106092</v>
      </c>
      <c r="BZ2458" t="s">
        <v>1713</v>
      </c>
      <c r="CA2458">
        <v>1</v>
      </c>
      <c r="CB2458" t="b">
        <v>1</v>
      </c>
      <c r="CC2458">
        <v>0</v>
      </c>
      <c r="CD2458" t="b">
        <v>0</v>
      </c>
      <c r="CE2458" t="b">
        <v>0</v>
      </c>
      <c r="CF2458" t="b">
        <v>0</v>
      </c>
      <c r="CG2458">
        <v>2737702</v>
      </c>
      <c r="CH2458" t="s">
        <v>1681</v>
      </c>
      <c r="CI2458" s="10">
        <v>249950</v>
      </c>
      <c r="CJ2458" s="7">
        <v>38642</v>
      </c>
    </row>
    <row r="2459" spans="1:90">
      <c r="A2459">
        <v>28044243</v>
      </c>
      <c r="B2459" s="2" t="str">
        <f>HYPERLINK("http://www.redfin.com/stingray/do/printable-listing?listing-id=1556034","Active")</f>
        <v>Active</v>
      </c>
      <c r="D2459" t="s">
        <v>4401</v>
      </c>
      <c r="E2459" t="s">
        <v>4417</v>
      </c>
      <c r="F2459">
        <v>409950</v>
      </c>
      <c r="G2459">
        <v>1966</v>
      </c>
      <c r="H2459">
        <v>1580</v>
      </c>
      <c r="I2459">
        <v>5900</v>
      </c>
      <c r="J2459">
        <v>3</v>
      </c>
      <c r="K2459">
        <v>1.5</v>
      </c>
      <c r="M2459" s="2" t="str">
        <f>HYPERLINK("http://maps.live.com/default.aspx?v=2&amp;lvl=15&amp;sp=Point.47.719624_-122.183468_13236 118th Place NE&amp;cp=47.719624~-122.183468","Map")</f>
        <v>Map</v>
      </c>
      <c r="N2459" s="2" t="str">
        <f>HYPERLINK("http://i-0.rfimg.us/photo/1/bigphoto/243/28044243_0.jpg","Photo")</f>
        <v>Photo</v>
      </c>
      <c r="AG2459">
        <v>47.719624000000003</v>
      </c>
      <c r="AH2459">
        <v>-122.183468</v>
      </c>
      <c r="AI2459" t="s">
        <v>1058</v>
      </c>
      <c r="AJ2459">
        <v>98034</v>
      </c>
      <c r="AN2459">
        <v>71500</v>
      </c>
      <c r="BC2459" s="22">
        <v>39520.625625000001</v>
      </c>
      <c r="BI2459" s="22">
        <v>39549.294907407406</v>
      </c>
      <c r="BL2459">
        <v>8199</v>
      </c>
      <c r="BM2459">
        <v>1556034</v>
      </c>
      <c r="BN2459" t="s">
        <v>1725</v>
      </c>
      <c r="BO2459" s="17">
        <f t="shared" ca="1" si="38"/>
        <v>28.683780902778381</v>
      </c>
      <c r="BP2459" t="b">
        <v>0</v>
      </c>
      <c r="BQ2459">
        <v>1</v>
      </c>
      <c r="BR2459" t="s">
        <v>4418</v>
      </c>
      <c r="BS2459" t="s">
        <v>4419</v>
      </c>
      <c r="BT2459" t="b">
        <v>0</v>
      </c>
      <c r="BV2459" t="s">
        <v>1668</v>
      </c>
      <c r="BW2459">
        <v>13236</v>
      </c>
      <c r="BX2459" t="s">
        <v>1738</v>
      </c>
      <c r="BY2459">
        <v>452855</v>
      </c>
      <c r="BZ2459" t="s">
        <v>1762</v>
      </c>
      <c r="CA2459">
        <v>1</v>
      </c>
      <c r="CB2459" t="b">
        <v>1</v>
      </c>
      <c r="CC2459">
        <v>0</v>
      </c>
      <c r="CD2459" t="b">
        <v>0</v>
      </c>
      <c r="CE2459" t="b">
        <v>0</v>
      </c>
      <c r="CF2459" t="b">
        <v>0</v>
      </c>
      <c r="CG2459">
        <v>2492719</v>
      </c>
      <c r="CH2459" t="s">
        <v>1681</v>
      </c>
      <c r="CI2459" s="10">
        <v>409950</v>
      </c>
      <c r="CJ2459" s="7">
        <v>30424</v>
      </c>
    </row>
    <row r="2460" spans="1:90">
      <c r="A2460">
        <v>28044245</v>
      </c>
      <c r="B2460" s="2" t="str">
        <f>HYPERLINK("http://www.redfin.com/stingray/do/printable-listing?listing-id=1556701","Active")</f>
        <v>Active</v>
      </c>
      <c r="D2460" t="s">
        <v>63</v>
      </c>
      <c r="E2460" t="s">
        <v>2127</v>
      </c>
      <c r="F2460">
        <v>297500</v>
      </c>
      <c r="G2460">
        <v>1907</v>
      </c>
      <c r="H2460">
        <v>1570</v>
      </c>
      <c r="I2460">
        <v>3060</v>
      </c>
      <c r="J2460">
        <v>2</v>
      </c>
      <c r="K2460">
        <v>1</v>
      </c>
      <c r="M2460" s="2" t="str">
        <f>HYPERLINK("http://maps.live.com/default.aspx?v=2&amp;lvl=15&amp;sp=Point.47.677124_-122.379234_6543 17th Ave NW&amp;cp=47.677124~-122.379234","Map")</f>
        <v>Map</v>
      </c>
      <c r="N2460" s="2" t="str">
        <f>HYPERLINK("http://i-0.rfimg.us/photo/1/bigphoto/245/28044245_0.jpg","Photo")</f>
        <v>Photo</v>
      </c>
      <c r="AG2460">
        <v>47.677123999999999</v>
      </c>
      <c r="AH2460">
        <v>-122.379234</v>
      </c>
      <c r="AI2460" t="s">
        <v>66</v>
      </c>
      <c r="AJ2460">
        <v>98117</v>
      </c>
      <c r="BC2460" s="22">
        <v>39520.653275462966</v>
      </c>
      <c r="BI2460" s="7">
        <v>39522</v>
      </c>
      <c r="BL2460">
        <v>5925</v>
      </c>
      <c r="BM2460">
        <v>1556701</v>
      </c>
      <c r="BN2460" t="s">
        <v>2066</v>
      </c>
      <c r="BO2460" s="17">
        <f t="shared" ca="1" si="38"/>
        <v>28.656130555551499</v>
      </c>
      <c r="BP2460" t="b">
        <v>0</v>
      </c>
      <c r="BQ2460">
        <v>1</v>
      </c>
      <c r="BR2460" t="s">
        <v>1667</v>
      </c>
      <c r="BS2460" t="s">
        <v>1683</v>
      </c>
      <c r="BT2460" t="b">
        <v>0</v>
      </c>
      <c r="BV2460" t="s">
        <v>1668</v>
      </c>
      <c r="BW2460">
        <v>6543</v>
      </c>
      <c r="BX2460" t="s">
        <v>1669</v>
      </c>
      <c r="BY2460">
        <v>165203</v>
      </c>
      <c r="BZ2460" t="s">
        <v>1684</v>
      </c>
      <c r="CA2460">
        <v>1</v>
      </c>
      <c r="CB2460" t="b">
        <v>1</v>
      </c>
      <c r="CC2460">
        <v>0</v>
      </c>
      <c r="CD2460" t="b">
        <v>1</v>
      </c>
      <c r="CE2460" t="b">
        <v>1</v>
      </c>
      <c r="CF2460" t="b">
        <v>0</v>
      </c>
      <c r="CG2460">
        <v>2702462</v>
      </c>
      <c r="CH2460" t="s">
        <v>1681</v>
      </c>
      <c r="CI2460" s="10">
        <v>297500</v>
      </c>
    </row>
    <row r="2461" spans="1:90">
      <c r="A2461">
        <v>28044255</v>
      </c>
      <c r="B2461" s="2" t="str">
        <f>HYPERLINK("http://www.redfin.com/stingray/do/printable-listing?listing-id=1560299","Active")</f>
        <v>Active</v>
      </c>
      <c r="D2461" t="s">
        <v>207</v>
      </c>
      <c r="E2461" t="s">
        <v>3123</v>
      </c>
      <c r="F2461">
        <v>759950</v>
      </c>
      <c r="G2461">
        <v>1942</v>
      </c>
      <c r="H2461">
        <v>2540</v>
      </c>
      <c r="I2461">
        <v>4000</v>
      </c>
      <c r="J2461">
        <v>4</v>
      </c>
      <c r="K2461">
        <v>3</v>
      </c>
      <c r="M2461" s="2" t="str">
        <f>HYPERLINK("http://maps.live.com/default.aspx?v=2&amp;lvl=15&amp;sp=Point.47.667604_-122.286062_5231 39th Ave NE&amp;cp=47.667604~-122.286062","Map")</f>
        <v>Map</v>
      </c>
      <c r="N2461" s="2" t="str">
        <f>HYPERLINK("http://i-0.rfimg.us/photo/1/bigphoto/255/28044255_0.jpg","Photo")</f>
        <v>Photo</v>
      </c>
      <c r="AG2461">
        <v>47.667603999999997</v>
      </c>
      <c r="AH2461">
        <v>-122.286062</v>
      </c>
      <c r="AI2461" t="s">
        <v>66</v>
      </c>
      <c r="AJ2461">
        <v>98115</v>
      </c>
      <c r="AN2461">
        <v>515000</v>
      </c>
      <c r="BC2461" s="22">
        <v>39521.590219907404</v>
      </c>
      <c r="BI2461" s="22">
        <v>39549.294907407406</v>
      </c>
      <c r="BL2461">
        <v>15199</v>
      </c>
      <c r="BM2461">
        <v>1560299</v>
      </c>
      <c r="BN2461" t="s">
        <v>1725</v>
      </c>
      <c r="BO2461" s="17">
        <f t="shared" ca="1" si="38"/>
        <v>27.719185995374573</v>
      </c>
      <c r="BP2461" t="b">
        <v>0</v>
      </c>
      <c r="BQ2461">
        <v>1</v>
      </c>
      <c r="BR2461" t="s">
        <v>1667</v>
      </c>
      <c r="BS2461" t="s">
        <v>3124</v>
      </c>
      <c r="BT2461" t="b">
        <v>0</v>
      </c>
      <c r="BV2461" t="s">
        <v>1668</v>
      </c>
      <c r="BW2461">
        <v>5231</v>
      </c>
      <c r="BX2461" t="s">
        <v>1738</v>
      </c>
      <c r="BY2461">
        <v>314489</v>
      </c>
      <c r="BZ2461" t="s">
        <v>1672</v>
      </c>
      <c r="CA2461">
        <v>1</v>
      </c>
      <c r="CB2461" t="b">
        <v>1</v>
      </c>
      <c r="CC2461">
        <v>0</v>
      </c>
      <c r="CD2461" t="b">
        <v>0</v>
      </c>
      <c r="CE2461" t="b">
        <v>0</v>
      </c>
      <c r="CF2461" t="b">
        <v>0</v>
      </c>
      <c r="CG2461">
        <v>2489481</v>
      </c>
      <c r="CH2461" t="s">
        <v>1681</v>
      </c>
      <c r="CI2461" s="10">
        <v>759950</v>
      </c>
      <c r="CJ2461" s="7">
        <v>39273</v>
      </c>
    </row>
    <row r="2462" spans="1:90">
      <c r="A2462">
        <v>28044309</v>
      </c>
      <c r="B2462" s="2" t="str">
        <f>HYPERLINK("http://www.redfin.com/stingray/do/printable-listing?listing-id=1574557","Active")</f>
        <v>Active</v>
      </c>
      <c r="D2462" t="s">
        <v>3066</v>
      </c>
      <c r="E2462" t="s">
        <v>4510</v>
      </c>
      <c r="F2462">
        <v>799900</v>
      </c>
      <c r="G2462">
        <v>2008</v>
      </c>
      <c r="H2462">
        <v>2782</v>
      </c>
      <c r="I2462">
        <v>0</v>
      </c>
      <c r="J2462">
        <v>3</v>
      </c>
      <c r="K2462">
        <v>2.5</v>
      </c>
      <c r="M2462" s="2" t="str">
        <f>HYPERLINK("http://maps.live.com/default.aspx?v=2&amp;lvl=15&amp;sp=Point.47.71316_-122.233103_12519 NE 81st Dr&amp;cp=47.71316~-122.233103","Map")</f>
        <v>Map</v>
      </c>
      <c r="N2462" s="2" t="str">
        <f>HYPERLINK("http://i-0.rfimg.us/photo/1/bigphoto/309/28044309_0.jpg","Photo")</f>
        <v>Photo</v>
      </c>
      <c r="AG2462">
        <v>47.713160000000002</v>
      </c>
      <c r="AH2462">
        <v>-122.233103</v>
      </c>
      <c r="AI2462" t="s">
        <v>1058</v>
      </c>
      <c r="AJ2462">
        <v>98033</v>
      </c>
      <c r="BC2462" s="22">
        <v>39527.400925925926</v>
      </c>
      <c r="BI2462" s="22">
        <v>39549.294907407406</v>
      </c>
      <c r="BL2462">
        <v>15998</v>
      </c>
      <c r="BM2462">
        <v>1574557</v>
      </c>
      <c r="BN2462" t="s">
        <v>3329</v>
      </c>
      <c r="BO2462" s="17">
        <f t="shared" ca="1" si="38"/>
        <v>21.908479976853414</v>
      </c>
      <c r="BP2462" t="b">
        <v>0</v>
      </c>
      <c r="BQ2462">
        <v>1</v>
      </c>
      <c r="BR2462" t="s">
        <v>1816</v>
      </c>
      <c r="BS2462" t="s">
        <v>1955</v>
      </c>
      <c r="BT2462" t="b">
        <v>0</v>
      </c>
      <c r="BU2462" t="s">
        <v>1738</v>
      </c>
      <c r="BV2462" t="s">
        <v>1668</v>
      </c>
      <c r="BW2462">
        <v>12519</v>
      </c>
      <c r="BY2462">
        <v>12433106</v>
      </c>
      <c r="BZ2462" t="s">
        <v>1684</v>
      </c>
      <c r="CA2462">
        <v>1</v>
      </c>
      <c r="CB2462" t="b">
        <v>1</v>
      </c>
      <c r="CC2462">
        <v>0</v>
      </c>
      <c r="CD2462" t="b">
        <v>0</v>
      </c>
      <c r="CE2462" t="b">
        <v>0</v>
      </c>
      <c r="CF2462" t="b">
        <v>0</v>
      </c>
      <c r="CG2462">
        <v>15636854</v>
      </c>
      <c r="CH2462" t="s">
        <v>1681</v>
      </c>
      <c r="CI2462" s="10">
        <v>799900</v>
      </c>
    </row>
    <row r="2463" spans="1:90">
      <c r="A2463">
        <v>28044310</v>
      </c>
      <c r="B2463" s="2" t="str">
        <f>HYPERLINK("http://www.redfin.com/stingray/do/printable-listing?listing-id=1572783","Active")</f>
        <v>Active</v>
      </c>
      <c r="D2463" t="s">
        <v>1058</v>
      </c>
      <c r="E2463" t="s">
        <v>4508</v>
      </c>
      <c r="F2463">
        <v>680000</v>
      </c>
      <c r="G2463">
        <v>1995</v>
      </c>
      <c r="H2463">
        <v>2760</v>
      </c>
      <c r="I2463">
        <v>9355</v>
      </c>
      <c r="J2463">
        <v>4</v>
      </c>
      <c r="K2463">
        <v>2.5</v>
      </c>
      <c r="M2463" s="2" t="str">
        <f>HYPERLINK("http://maps.live.com/default.aspx?v=2&amp;lvl=15&amp;sp=Point.47.709015_-122.228898_8425 NE 121 Pl&amp;cp=47.709015~-122.228898","Map")</f>
        <v>Map</v>
      </c>
      <c r="N2463" s="2" t="str">
        <f>HYPERLINK("http://i-0.rfimg.us/photo/1/bigphoto/310/28044310_0.jpg","Photo")</f>
        <v>Photo</v>
      </c>
      <c r="AG2463">
        <v>47.709015000000001</v>
      </c>
      <c r="AH2463">
        <v>-122.228898</v>
      </c>
      <c r="AI2463" t="s">
        <v>1058</v>
      </c>
      <c r="AJ2463">
        <v>98034</v>
      </c>
      <c r="AN2463">
        <v>350000</v>
      </c>
      <c r="BC2463" s="22">
        <v>39526.671944444446</v>
      </c>
      <c r="BI2463" s="22">
        <v>39549.294907407406</v>
      </c>
      <c r="BL2463">
        <v>13600</v>
      </c>
      <c r="BM2463">
        <v>1572783</v>
      </c>
      <c r="BN2463" t="s">
        <v>1674</v>
      </c>
      <c r="BO2463" s="17">
        <f t="shared" ca="1" si="38"/>
        <v>22.637461458332837</v>
      </c>
      <c r="BP2463" t="b">
        <v>0</v>
      </c>
      <c r="BQ2463">
        <v>1</v>
      </c>
      <c r="BR2463" t="s">
        <v>1842</v>
      </c>
      <c r="BS2463">
        <v>121</v>
      </c>
      <c r="BT2463" t="b">
        <v>0</v>
      </c>
      <c r="BU2463" t="s">
        <v>1738</v>
      </c>
      <c r="BV2463" t="s">
        <v>1668</v>
      </c>
      <c r="BW2463">
        <v>8425</v>
      </c>
      <c r="BY2463">
        <v>281915</v>
      </c>
      <c r="BZ2463" t="s">
        <v>1672</v>
      </c>
      <c r="CA2463">
        <v>1</v>
      </c>
      <c r="CB2463" t="b">
        <v>1</v>
      </c>
      <c r="CC2463">
        <v>0</v>
      </c>
      <c r="CD2463" t="b">
        <v>0</v>
      </c>
      <c r="CE2463" t="b">
        <v>0</v>
      </c>
      <c r="CF2463" t="b">
        <v>0</v>
      </c>
      <c r="CG2463">
        <v>2442710</v>
      </c>
      <c r="CH2463" t="s">
        <v>1681</v>
      </c>
      <c r="CI2463" s="10">
        <v>680000</v>
      </c>
      <c r="CJ2463" s="7">
        <v>36692</v>
      </c>
    </row>
    <row r="2464" spans="1:90">
      <c r="A2464">
        <v>28044316</v>
      </c>
      <c r="B2464" s="2" t="str">
        <f>HYPERLINK("http://www.redfin.com/stingray/do/printable-listing?listing-id=1561420","Active")</f>
        <v>Active</v>
      </c>
      <c r="D2464" t="s">
        <v>3066</v>
      </c>
      <c r="E2464" t="s">
        <v>4501</v>
      </c>
      <c r="F2464">
        <v>829900</v>
      </c>
      <c r="G2464">
        <v>2008</v>
      </c>
      <c r="H2464">
        <v>2920</v>
      </c>
      <c r="I2464">
        <v>0</v>
      </c>
      <c r="J2464">
        <v>4</v>
      </c>
      <c r="K2464">
        <v>2.5</v>
      </c>
      <c r="M2464" s="2" t="str">
        <f>HYPERLINK("http://maps.live.com/default.aspx?v=2&amp;lvl=15&amp;sp=Point.47.712213_-122.233519_8103 125th Pl NE&amp;cp=47.712213~-122.233519","Map")</f>
        <v>Map</v>
      </c>
      <c r="N2464" s="2" t="str">
        <f>HYPERLINK("http://i-0.rfimg.us/photo/1/bigphoto/316/28044316_0.jpg","Photo")</f>
        <v>Photo</v>
      </c>
      <c r="AG2464">
        <v>47.712212999999998</v>
      </c>
      <c r="AH2464">
        <v>-122.233519</v>
      </c>
      <c r="AI2464" t="s">
        <v>1058</v>
      </c>
      <c r="AJ2464">
        <v>98033</v>
      </c>
      <c r="BC2464" s="22">
        <v>39521.778784722221</v>
      </c>
      <c r="BI2464" s="22">
        <v>39549.294907407406</v>
      </c>
      <c r="BL2464">
        <v>16598</v>
      </c>
      <c r="BM2464">
        <v>1561420</v>
      </c>
      <c r="BN2464" t="s">
        <v>3329</v>
      </c>
      <c r="BO2464" s="17">
        <f t="shared" ca="1" si="38"/>
        <v>27.530621180558228</v>
      </c>
      <c r="BP2464" t="b">
        <v>0</v>
      </c>
      <c r="BQ2464">
        <v>1</v>
      </c>
      <c r="BR2464" t="s">
        <v>1842</v>
      </c>
      <c r="BS2464" t="s">
        <v>2677</v>
      </c>
      <c r="BT2464" t="b">
        <v>0</v>
      </c>
      <c r="BV2464" t="s">
        <v>1668</v>
      </c>
      <c r="BW2464">
        <v>8103</v>
      </c>
      <c r="BX2464" t="s">
        <v>1738</v>
      </c>
      <c r="BY2464">
        <v>12428721</v>
      </c>
      <c r="BZ2464" t="s">
        <v>1713</v>
      </c>
      <c r="CA2464">
        <v>1</v>
      </c>
      <c r="CB2464" t="b">
        <v>1</v>
      </c>
      <c r="CC2464">
        <v>0</v>
      </c>
      <c r="CD2464" t="b">
        <v>0</v>
      </c>
      <c r="CE2464" t="b">
        <v>0</v>
      </c>
      <c r="CF2464" t="b">
        <v>0</v>
      </c>
      <c r="CG2464">
        <v>15632469</v>
      </c>
      <c r="CH2464" t="s">
        <v>1681</v>
      </c>
      <c r="CI2464" s="10">
        <v>829900</v>
      </c>
      <c r="CL2464" s="19" t="s">
        <v>6898</v>
      </c>
    </row>
    <row r="2465" spans="1:90">
      <c r="A2465">
        <v>28044325</v>
      </c>
      <c r="B2465" s="2" t="str">
        <f>HYPERLINK("http://www.redfin.com/stingray/do/printable-listing?listing-id=1556406","Active")</f>
        <v>Active</v>
      </c>
      <c r="D2465" t="s">
        <v>3066</v>
      </c>
      <c r="E2465" t="s">
        <v>4750</v>
      </c>
      <c r="F2465">
        <v>499950</v>
      </c>
      <c r="G2465">
        <v>1961</v>
      </c>
      <c r="H2465">
        <v>1610</v>
      </c>
      <c r="I2465">
        <v>10890</v>
      </c>
      <c r="J2465">
        <v>4</v>
      </c>
      <c r="K2465">
        <v>1.75</v>
      </c>
      <c r="M2465" s="2" t="str">
        <f>HYPERLINK("http://maps.live.com/default.aspx?v=2&amp;lvl=15&amp;sp=Point.47.673888_-122.166211_7810 130th Ave NE&amp;cp=47.673888~-122.166211","Map")</f>
        <v>Map</v>
      </c>
      <c r="N2465" s="2" t="str">
        <f>HYPERLINK("http://i-0.rfimg.us/photo/1/bigphoto/325/28044325_0.jpg","Photo")</f>
        <v>Photo</v>
      </c>
      <c r="AG2465">
        <v>47.673887999999998</v>
      </c>
      <c r="AH2465">
        <v>-122.166211</v>
      </c>
      <c r="AI2465" t="s">
        <v>1058</v>
      </c>
      <c r="AJ2465">
        <v>98033</v>
      </c>
      <c r="AN2465">
        <v>432500</v>
      </c>
      <c r="BC2465" s="22">
        <v>39520.643368055556</v>
      </c>
      <c r="BI2465" s="22">
        <v>39549.294907407406</v>
      </c>
      <c r="BL2465">
        <v>9999</v>
      </c>
      <c r="BM2465">
        <v>1556406</v>
      </c>
      <c r="BN2465" t="s">
        <v>4593</v>
      </c>
      <c r="BO2465" s="17">
        <f t="shared" ca="1" si="38"/>
        <v>28.666037847222469</v>
      </c>
      <c r="BP2465" t="b">
        <v>0</v>
      </c>
      <c r="BQ2465">
        <v>1</v>
      </c>
      <c r="BR2465" t="s">
        <v>1667</v>
      </c>
      <c r="BS2465" t="s">
        <v>2964</v>
      </c>
      <c r="BT2465" t="b">
        <v>0</v>
      </c>
      <c r="BV2465" t="s">
        <v>1668</v>
      </c>
      <c r="BW2465">
        <v>7810</v>
      </c>
      <c r="BX2465" t="s">
        <v>1738</v>
      </c>
      <c r="BY2465">
        <v>514319</v>
      </c>
      <c r="BZ2465" t="s">
        <v>1747</v>
      </c>
      <c r="CA2465">
        <v>1</v>
      </c>
      <c r="CB2465" t="b">
        <v>1</v>
      </c>
      <c r="CC2465">
        <v>0</v>
      </c>
      <c r="CD2465" t="b">
        <v>0</v>
      </c>
      <c r="CE2465" t="b">
        <v>0</v>
      </c>
      <c r="CF2465" t="b">
        <v>0</v>
      </c>
      <c r="CG2465">
        <v>2345704</v>
      </c>
      <c r="CH2465" t="s">
        <v>1681</v>
      </c>
      <c r="CI2465" s="10">
        <v>499950</v>
      </c>
      <c r="CJ2465" s="7">
        <v>39288</v>
      </c>
    </row>
    <row r="2466" spans="1:90">
      <c r="A2466">
        <v>28044344</v>
      </c>
      <c r="B2466" s="2" t="str">
        <f>HYPERLINK("http://www.redfin.com/stingray/do/printable-listing?listing-id=1556362","Active")</f>
        <v>Active</v>
      </c>
      <c r="D2466" t="s">
        <v>1077</v>
      </c>
      <c r="E2466" t="s">
        <v>6020</v>
      </c>
      <c r="F2466">
        <v>459950</v>
      </c>
      <c r="G2466">
        <v>2005</v>
      </c>
      <c r="H2466">
        <v>2210</v>
      </c>
      <c r="I2466">
        <v>4954</v>
      </c>
      <c r="J2466">
        <v>5</v>
      </c>
      <c r="K2466">
        <v>2.5</v>
      </c>
      <c r="M2466" s="2" t="str">
        <f>HYPERLINK("http://maps.live.com/default.aspx?v=2&amp;lvl=15&amp;sp=Point.47.500590331628_-122.15005991374_5129 NE 11th St&amp;cp=47.500590331628~-122.15005991374","Map")</f>
        <v>Map</v>
      </c>
      <c r="N2466" s="2" t="str">
        <f>HYPERLINK("http://i-0.rfimg.us/photo/1/bigphoto/344/28044344_0.jpg","Photo")</f>
        <v>Photo</v>
      </c>
      <c r="AG2466">
        <v>47.500590331627997</v>
      </c>
      <c r="AH2466">
        <v>-122.15005991373999</v>
      </c>
      <c r="AI2466" t="s">
        <v>1077</v>
      </c>
      <c r="AJ2466">
        <v>98059</v>
      </c>
      <c r="AN2466">
        <v>369950</v>
      </c>
      <c r="BC2466" s="22">
        <v>39520.643113425926</v>
      </c>
      <c r="BI2466" s="22">
        <v>39549.294907407406</v>
      </c>
      <c r="BL2466">
        <v>9199</v>
      </c>
      <c r="BM2466">
        <v>1556362</v>
      </c>
      <c r="BN2466" t="s">
        <v>1737</v>
      </c>
      <c r="BO2466" s="17">
        <f t="shared" ca="1" si="38"/>
        <v>28.666292476853414</v>
      </c>
      <c r="BP2466" t="b">
        <v>0</v>
      </c>
      <c r="BQ2466">
        <v>1</v>
      </c>
      <c r="BR2466" t="s">
        <v>1686</v>
      </c>
      <c r="BS2466" t="s">
        <v>1792</v>
      </c>
      <c r="BT2466" t="b">
        <v>0</v>
      </c>
      <c r="BU2466" t="s">
        <v>1738</v>
      </c>
      <c r="BV2466" t="s">
        <v>1668</v>
      </c>
      <c r="BW2466">
        <v>5129</v>
      </c>
      <c r="BY2466">
        <v>2080616</v>
      </c>
      <c r="BZ2466" t="s">
        <v>1745</v>
      </c>
      <c r="CA2466">
        <v>1</v>
      </c>
      <c r="CB2466" t="b">
        <v>1</v>
      </c>
      <c r="CC2466">
        <v>0</v>
      </c>
      <c r="CD2466" t="b">
        <v>0</v>
      </c>
      <c r="CE2466" t="b">
        <v>0</v>
      </c>
      <c r="CF2466" t="b">
        <v>0</v>
      </c>
      <c r="CG2466">
        <v>2716924</v>
      </c>
      <c r="CH2466" t="s">
        <v>1681</v>
      </c>
      <c r="CI2466" s="10">
        <v>459950</v>
      </c>
      <c r="CJ2466" s="7">
        <v>38510</v>
      </c>
    </row>
    <row r="2467" spans="1:90">
      <c r="A2467">
        <v>28044369</v>
      </c>
      <c r="B2467" s="15" t="str">
        <f>HYPERLINK("http://www.redfin.com/stingray/do/printable-listing?listing-id=1556630","Subject To Inspection")</f>
        <v>Subject To Inspection</v>
      </c>
      <c r="D2467" t="s">
        <v>218</v>
      </c>
      <c r="E2467" t="s">
        <v>3163</v>
      </c>
      <c r="F2467" s="19">
        <v>898800</v>
      </c>
      <c r="G2467">
        <v>2008</v>
      </c>
      <c r="H2467">
        <v>3050</v>
      </c>
      <c r="I2467">
        <v>0</v>
      </c>
      <c r="J2467">
        <v>4</v>
      </c>
      <c r="K2467">
        <v>3.5</v>
      </c>
      <c r="M2467" s="2" t="str">
        <f>HYPERLINK("http://maps.live.com/default.aspx?v=2&amp;lvl=15&amp;sp=Point.47.681829_-122.304933_7316 21st Ave NE&amp;cp=47.681829~-122.304933","Map")</f>
        <v>Map</v>
      </c>
      <c r="N2467" s="2" t="str">
        <f>HYPERLINK("http://i-0.rfimg.us/photo/1/bigphoto/369/28044369_1.jpg","Photo")</f>
        <v>Photo</v>
      </c>
      <c r="AG2467">
        <v>47.681829</v>
      </c>
      <c r="AH2467">
        <v>-122.30493300000001</v>
      </c>
      <c r="AI2467" t="s">
        <v>66</v>
      </c>
      <c r="AJ2467">
        <v>98115</v>
      </c>
      <c r="AN2467">
        <v>909000</v>
      </c>
      <c r="BC2467" s="22">
        <v>39520.652187500003</v>
      </c>
      <c r="BI2467" s="22">
        <v>39547.913935185185</v>
      </c>
      <c r="BL2467">
        <v>18770</v>
      </c>
      <c r="BM2467">
        <v>1556630</v>
      </c>
      <c r="BN2467" t="s">
        <v>1685</v>
      </c>
      <c r="BO2467" s="17">
        <f t="shared" ca="1" si="38"/>
        <v>28.65721840277547</v>
      </c>
      <c r="BP2467" t="b">
        <v>0</v>
      </c>
      <c r="BQ2467">
        <v>1</v>
      </c>
      <c r="BR2467" t="s">
        <v>1667</v>
      </c>
      <c r="BS2467" t="s">
        <v>1903</v>
      </c>
      <c r="BT2467" t="b">
        <v>0</v>
      </c>
      <c r="BV2467" t="s">
        <v>1668</v>
      </c>
      <c r="BW2467">
        <v>7316</v>
      </c>
      <c r="BX2467" t="s">
        <v>1738</v>
      </c>
      <c r="BY2467">
        <v>310647</v>
      </c>
      <c r="BZ2467" t="s">
        <v>1709</v>
      </c>
      <c r="CA2467">
        <v>1</v>
      </c>
      <c r="CB2467" t="b">
        <v>1</v>
      </c>
      <c r="CC2467">
        <v>0</v>
      </c>
      <c r="CD2467" t="b">
        <v>0</v>
      </c>
      <c r="CE2467" t="b">
        <v>0</v>
      </c>
      <c r="CF2467" t="b">
        <v>0</v>
      </c>
      <c r="CG2467">
        <v>2974836</v>
      </c>
      <c r="CH2467" t="s">
        <v>1681</v>
      </c>
      <c r="CI2467" s="10">
        <v>938500</v>
      </c>
      <c r="CJ2467" s="7">
        <v>39051</v>
      </c>
    </row>
    <row r="2468" spans="1:90">
      <c r="A2468">
        <v>28044378</v>
      </c>
      <c r="B2468" s="2" t="str">
        <f>HYPERLINK("http://www.redfin.com/stingray/do/printable-listing?listing-id=1556628","Active")</f>
        <v>Active</v>
      </c>
      <c r="D2468" t="s">
        <v>3961</v>
      </c>
      <c r="E2468" t="s">
        <v>3971</v>
      </c>
      <c r="F2468">
        <v>515000</v>
      </c>
      <c r="G2468">
        <v>1926</v>
      </c>
      <c r="H2468">
        <v>2460</v>
      </c>
      <c r="I2468">
        <v>4550</v>
      </c>
      <c r="J2468">
        <v>3</v>
      </c>
      <c r="K2468">
        <v>1</v>
      </c>
      <c r="M2468" s="2" t="str">
        <f>HYPERLINK("http://maps.live.com/default.aspx?v=2&amp;lvl=15&amp;sp=Point.47.603676_-122.295232_203 29 Ave&amp;cp=47.603676~-122.295232","Map")</f>
        <v>Map</v>
      </c>
      <c r="N2468" s="2" t="str">
        <f>HYPERLINK("http://i-0.rfimg.us/photo/1/bigphoto/378/28044378_1.jpg","Photo")</f>
        <v>Photo</v>
      </c>
      <c r="AG2468">
        <v>47.603676</v>
      </c>
      <c r="AH2468">
        <v>-122.295232</v>
      </c>
      <c r="AI2468" t="s">
        <v>66</v>
      </c>
      <c r="AJ2468">
        <v>98122</v>
      </c>
      <c r="BC2468" s="22">
        <v>39520.652175925927</v>
      </c>
      <c r="BI2468" s="22">
        <v>39549.294907407406</v>
      </c>
      <c r="BL2468">
        <v>10300</v>
      </c>
      <c r="BM2468">
        <v>1556628</v>
      </c>
      <c r="BN2468" t="s">
        <v>1688</v>
      </c>
      <c r="BO2468" s="17">
        <f t="shared" ca="1" si="38"/>
        <v>28.65722997685225</v>
      </c>
      <c r="BP2468" t="b">
        <v>0</v>
      </c>
      <c r="BQ2468">
        <v>1</v>
      </c>
      <c r="BR2468" t="s">
        <v>1667</v>
      </c>
      <c r="BS2468">
        <v>29</v>
      </c>
      <c r="BT2468" t="b">
        <v>0</v>
      </c>
      <c r="BV2468" t="s">
        <v>1668</v>
      </c>
      <c r="BW2468">
        <v>203</v>
      </c>
      <c r="BY2468">
        <v>148866</v>
      </c>
      <c r="BZ2468" t="s">
        <v>1742</v>
      </c>
      <c r="CA2468">
        <v>1</v>
      </c>
      <c r="CB2468" t="b">
        <v>1</v>
      </c>
      <c r="CC2468">
        <v>0</v>
      </c>
      <c r="CD2468" t="b">
        <v>0</v>
      </c>
      <c r="CE2468" t="b">
        <v>0</v>
      </c>
      <c r="CF2468" t="b">
        <v>0</v>
      </c>
      <c r="CG2468">
        <v>2738565</v>
      </c>
      <c r="CH2468" t="s">
        <v>1681</v>
      </c>
      <c r="CI2468" s="10">
        <v>515000</v>
      </c>
    </row>
    <row r="2469" spans="1:90">
      <c r="A2469">
        <v>28044387</v>
      </c>
      <c r="B2469" s="2" t="str">
        <f>HYPERLINK("http://www.redfin.com/stingray/do/printable-listing?listing-id=1556624","Active")</f>
        <v>Active</v>
      </c>
      <c r="D2469" t="s">
        <v>226</v>
      </c>
      <c r="E2469" t="s">
        <v>3188</v>
      </c>
      <c r="F2469">
        <v>849000</v>
      </c>
      <c r="G2469">
        <v>1920</v>
      </c>
      <c r="H2469">
        <v>0</v>
      </c>
      <c r="I2469">
        <v>0</v>
      </c>
      <c r="J2469">
        <v>9</v>
      </c>
      <c r="K2469">
        <v>4</v>
      </c>
      <c r="M2469" s="2" t="str">
        <f>HYPERLINK("http://maps.live.com/default.aspx?v=2&amp;lvl=15&amp;sp=Point.47.669114_-122.316095_5514 11th Ave NE&amp;cp=47.669114~-122.316095","Map")</f>
        <v>Map</v>
      </c>
      <c r="N2469" s="2" t="str">
        <f>HYPERLINK("http://i-0.rfimg.us/photo/1/bigphoto/387/28044387_2.jpg","Photo")</f>
        <v>Photo</v>
      </c>
      <c r="AG2469">
        <v>47.669114</v>
      </c>
      <c r="AH2469">
        <v>-122.316095</v>
      </c>
      <c r="AI2469" t="s">
        <v>66</v>
      </c>
      <c r="AJ2469">
        <v>98105</v>
      </c>
      <c r="AN2469">
        <v>675100</v>
      </c>
      <c r="BC2469" s="22">
        <v>39520.651585648149</v>
      </c>
      <c r="BI2469" s="22">
        <v>39549.294907407406</v>
      </c>
      <c r="BL2469">
        <v>16980</v>
      </c>
      <c r="BM2469">
        <v>1556624</v>
      </c>
      <c r="BN2469" t="s">
        <v>1674</v>
      </c>
      <c r="BO2469" s="17">
        <f t="shared" ca="1" si="38"/>
        <v>28.657820254629769</v>
      </c>
      <c r="BP2469" t="b">
        <v>0</v>
      </c>
      <c r="BQ2469">
        <v>1</v>
      </c>
      <c r="BR2469" t="s">
        <v>1667</v>
      </c>
      <c r="BS2469" t="s">
        <v>1792</v>
      </c>
      <c r="BT2469" t="b">
        <v>0</v>
      </c>
      <c r="BV2469" t="s">
        <v>1668</v>
      </c>
      <c r="BW2469">
        <v>5514</v>
      </c>
      <c r="BX2469" t="s">
        <v>1738</v>
      </c>
      <c r="BY2469">
        <v>311580</v>
      </c>
      <c r="BZ2469" t="s">
        <v>2958</v>
      </c>
      <c r="CA2469">
        <v>1</v>
      </c>
      <c r="CB2469" t="b">
        <v>1</v>
      </c>
      <c r="CC2469">
        <v>0</v>
      </c>
      <c r="CD2469" t="b">
        <v>0</v>
      </c>
      <c r="CE2469" t="b">
        <v>0</v>
      </c>
      <c r="CF2469" t="b">
        <v>0</v>
      </c>
      <c r="CG2469">
        <v>2706456</v>
      </c>
      <c r="CH2469" t="s">
        <v>1681</v>
      </c>
      <c r="CI2469" s="10">
        <v>849000</v>
      </c>
      <c r="CJ2469" s="7">
        <v>38896</v>
      </c>
    </row>
    <row r="2470" spans="1:90">
      <c r="A2470">
        <v>28044404</v>
      </c>
      <c r="B2470" s="2" t="str">
        <f>HYPERLINK("http://www.redfin.com/stingray/do/printable-listing?listing-id=1556702","Active")</f>
        <v>Active</v>
      </c>
      <c r="D2470" t="s">
        <v>55</v>
      </c>
      <c r="E2470" t="s">
        <v>2158</v>
      </c>
      <c r="F2470">
        <v>479950</v>
      </c>
      <c r="G2470">
        <v>1954</v>
      </c>
      <c r="H2470">
        <v>2400</v>
      </c>
      <c r="I2470">
        <v>4835</v>
      </c>
      <c r="J2470">
        <v>4</v>
      </c>
      <c r="K2470">
        <v>1.75</v>
      </c>
      <c r="M2470" s="2" t="str">
        <f>HYPERLINK("http://maps.live.com/default.aspx?v=2&amp;lvl=15&amp;sp=Point.47.700976_-122.354407_9745 Phinney Ave N&amp;cp=47.700976~-122.354407","Map")</f>
        <v>Map</v>
      </c>
      <c r="N2470" s="2" t="str">
        <f>HYPERLINK("http://i-0.rfimg.us/photo/1/bigphoto/404/28044404_1.jpg","Photo")</f>
        <v>Photo</v>
      </c>
      <c r="AG2470">
        <v>47.700975999999997</v>
      </c>
      <c r="AH2470">
        <v>-122.35440699999999</v>
      </c>
      <c r="AI2470" t="s">
        <v>66</v>
      </c>
      <c r="AJ2470">
        <v>98103</v>
      </c>
      <c r="AN2470">
        <v>400000</v>
      </c>
      <c r="BC2470" s="22">
        <v>39520.653275462966</v>
      </c>
      <c r="BI2470" s="22">
        <v>39549.294907407406</v>
      </c>
      <c r="BL2470">
        <v>9599</v>
      </c>
      <c r="BM2470">
        <v>1556702</v>
      </c>
      <c r="BN2470" t="s">
        <v>2365</v>
      </c>
      <c r="BO2470" s="17">
        <f t="shared" ca="1" si="38"/>
        <v>28.656130439812841</v>
      </c>
      <c r="BP2470" t="b">
        <v>0</v>
      </c>
      <c r="BQ2470">
        <v>1</v>
      </c>
      <c r="BR2470" t="s">
        <v>1667</v>
      </c>
      <c r="BS2470" t="s">
        <v>2475</v>
      </c>
      <c r="BT2470" t="b">
        <v>0</v>
      </c>
      <c r="BV2470" t="s">
        <v>1668</v>
      </c>
      <c r="BW2470">
        <v>9745</v>
      </c>
      <c r="BX2470" t="s">
        <v>1712</v>
      </c>
      <c r="BY2470">
        <v>99249</v>
      </c>
      <c r="BZ2470" t="s">
        <v>1756</v>
      </c>
      <c r="CA2470">
        <v>1</v>
      </c>
      <c r="CB2470" t="b">
        <v>1</v>
      </c>
      <c r="CC2470">
        <v>0</v>
      </c>
      <c r="CD2470" t="b">
        <v>0</v>
      </c>
      <c r="CE2470" t="b">
        <v>0</v>
      </c>
      <c r="CF2470" t="b">
        <v>0</v>
      </c>
      <c r="CG2470">
        <v>2423337</v>
      </c>
      <c r="CH2470" t="s">
        <v>1681</v>
      </c>
      <c r="CI2470" s="10">
        <v>479950</v>
      </c>
      <c r="CJ2470" s="7">
        <v>38965</v>
      </c>
    </row>
    <row r="2471" spans="1:90">
      <c r="A2471">
        <v>28044434</v>
      </c>
      <c r="B2471" s="2" t="str">
        <f>HYPERLINK("http://www.redfin.com/stingray/do/printable-listing?listing-id=1575381","Active")</f>
        <v>Active</v>
      </c>
      <c r="D2471" t="s">
        <v>369</v>
      </c>
      <c r="E2471" t="s">
        <v>5621</v>
      </c>
      <c r="F2471">
        <v>749999</v>
      </c>
      <c r="G2471">
        <v>1976</v>
      </c>
      <c r="H2471">
        <v>2880</v>
      </c>
      <c r="I2471">
        <v>10125</v>
      </c>
      <c r="J2471">
        <v>3</v>
      </c>
      <c r="K2471">
        <v>2.75</v>
      </c>
      <c r="M2471" s="2" t="str">
        <f>HYPERLINK("http://maps.live.com/default.aspx?v=2&amp;lvl=15&amp;sp=Point.47.555496_-122.139633_5135 150th Pl SE&amp;cp=47.555496~-122.139633","Map")</f>
        <v>Map</v>
      </c>
      <c r="N2471" s="2" t="str">
        <f>HYPERLINK("http://i-0.rfimg.us/photo/1/bigphoto/434/28044434_0.jpg","Photo")</f>
        <v>Photo</v>
      </c>
      <c r="AG2471">
        <v>47.555495999999998</v>
      </c>
      <c r="AH2471">
        <v>-122.139633</v>
      </c>
      <c r="AI2471" t="s">
        <v>369</v>
      </c>
      <c r="AJ2471">
        <v>98006</v>
      </c>
      <c r="AN2471">
        <v>459000</v>
      </c>
      <c r="BC2471" s="22">
        <v>39527.578356481485</v>
      </c>
      <c r="BI2471" s="22">
        <v>39549.294907407406</v>
      </c>
      <c r="BL2471">
        <v>15000</v>
      </c>
      <c r="BM2471">
        <v>1575381</v>
      </c>
      <c r="BN2471" t="s">
        <v>1768</v>
      </c>
      <c r="BO2471" s="17">
        <f t="shared" ca="1" si="38"/>
        <v>21.731049421294301</v>
      </c>
      <c r="BP2471" t="b">
        <v>0</v>
      </c>
      <c r="BQ2471">
        <v>1</v>
      </c>
      <c r="BR2471" t="s">
        <v>1842</v>
      </c>
      <c r="BS2471" t="s">
        <v>4926</v>
      </c>
      <c r="BT2471" t="b">
        <v>0</v>
      </c>
      <c r="BV2471" t="s">
        <v>1668</v>
      </c>
      <c r="BW2471">
        <v>5135</v>
      </c>
      <c r="BX2471" t="s">
        <v>3856</v>
      </c>
      <c r="BY2471">
        <v>236951</v>
      </c>
      <c r="BZ2471" t="s">
        <v>1745</v>
      </c>
      <c r="CA2471">
        <v>1</v>
      </c>
      <c r="CB2471" t="b">
        <v>1</v>
      </c>
      <c r="CC2471">
        <v>0</v>
      </c>
      <c r="CD2471" t="b">
        <v>0</v>
      </c>
      <c r="CE2471" t="b">
        <v>0</v>
      </c>
      <c r="CF2471" t="b">
        <v>0</v>
      </c>
      <c r="CG2471">
        <v>2802066</v>
      </c>
      <c r="CH2471" t="s">
        <v>1681</v>
      </c>
      <c r="CI2471" s="10">
        <v>749999</v>
      </c>
      <c r="CJ2471" s="7">
        <v>36874</v>
      </c>
    </row>
    <row r="2472" spans="1:90">
      <c r="A2472">
        <v>28044467</v>
      </c>
      <c r="B2472" s="2" t="str">
        <f>HYPERLINK("http://www.redfin.com/stingray/do/printable-listing?listing-id=1556697","Active")</f>
        <v>Active</v>
      </c>
      <c r="D2472" t="s">
        <v>369</v>
      </c>
      <c r="E2472" t="s">
        <v>4950</v>
      </c>
      <c r="F2472">
        <v>1095000</v>
      </c>
      <c r="G2472">
        <v>1986</v>
      </c>
      <c r="H2472">
        <v>4126</v>
      </c>
      <c r="I2472">
        <v>10441</v>
      </c>
      <c r="J2472">
        <v>5</v>
      </c>
      <c r="K2472">
        <v>4.75</v>
      </c>
      <c r="M2472" s="2" t="str">
        <f>HYPERLINK("http://maps.live.com/default.aspx?v=2&amp;lvl=15&amp;sp=Point.47.645799_-122.193074_10905 NE 39th Pl&amp;cp=47.645799~-122.193074","Map")</f>
        <v>Map</v>
      </c>
      <c r="N2472" s="2" t="str">
        <f>HYPERLINK("http://i-0.rfimg.us/photo/1/bigphoto/467/28044467_0.jpg","Photo")</f>
        <v>Photo</v>
      </c>
      <c r="AG2472">
        <v>47.645798999999997</v>
      </c>
      <c r="AH2472">
        <v>-122.193074</v>
      </c>
      <c r="AI2472" t="s">
        <v>369</v>
      </c>
      <c r="AJ2472">
        <v>98004</v>
      </c>
      <c r="AN2472">
        <v>795000</v>
      </c>
      <c r="BC2472" s="22">
        <v>39520.653240740743</v>
      </c>
      <c r="BI2472" s="22">
        <v>39549.294907407406</v>
      </c>
      <c r="BL2472">
        <v>21900</v>
      </c>
      <c r="BM2472">
        <v>1556697</v>
      </c>
      <c r="BN2472" t="s">
        <v>1798</v>
      </c>
      <c r="BO2472" s="17">
        <f t="shared" ca="1" si="38"/>
        <v>28.656165162035904</v>
      </c>
      <c r="BP2472" t="b">
        <v>0</v>
      </c>
      <c r="BQ2472">
        <v>1</v>
      </c>
      <c r="BR2472" t="s">
        <v>1842</v>
      </c>
      <c r="BS2472" t="s">
        <v>3124</v>
      </c>
      <c r="BT2472" t="b">
        <v>0</v>
      </c>
      <c r="BU2472" t="s">
        <v>1738</v>
      </c>
      <c r="BV2472" t="s">
        <v>1668</v>
      </c>
      <c r="BW2472">
        <v>10905</v>
      </c>
      <c r="BY2472">
        <v>460716</v>
      </c>
      <c r="BZ2472" t="s">
        <v>1745</v>
      </c>
      <c r="CA2472">
        <v>1</v>
      </c>
      <c r="CB2472" t="b">
        <v>1</v>
      </c>
      <c r="CC2472">
        <v>0</v>
      </c>
      <c r="CD2472" t="b">
        <v>0</v>
      </c>
      <c r="CE2472" t="b">
        <v>0</v>
      </c>
      <c r="CF2472" t="b">
        <v>0</v>
      </c>
      <c r="CG2472">
        <v>2500160</v>
      </c>
      <c r="CH2472" t="s">
        <v>1681</v>
      </c>
      <c r="CI2472" s="10">
        <v>1095000</v>
      </c>
      <c r="CJ2472" s="7">
        <v>37811</v>
      </c>
    </row>
    <row r="2473" spans="1:90">
      <c r="A2473">
        <v>28044484</v>
      </c>
      <c r="B2473" s="2" t="str">
        <f>HYPERLINK("http://www.redfin.com/stingray/do/printable-listing?listing-id=1556695","Active")</f>
        <v>Active</v>
      </c>
      <c r="D2473" t="s">
        <v>1077</v>
      </c>
      <c r="E2473" t="s">
        <v>6018</v>
      </c>
      <c r="F2473">
        <v>749950</v>
      </c>
      <c r="G2473">
        <v>2008</v>
      </c>
      <c r="H2473">
        <v>2600</v>
      </c>
      <c r="I2473">
        <v>13503</v>
      </c>
      <c r="J2473">
        <v>4</v>
      </c>
      <c r="K2473">
        <v>3.5</v>
      </c>
      <c r="M2473" s="2" t="str">
        <f>HYPERLINK("http://maps.live.com/default.aspx?v=2&amp;lvl=15&amp;sp=Point.47.499282_-122.185198_972 EDMONDS Ave NE&amp;cp=47.499282~-122.185198","Map")</f>
        <v>Map</v>
      </c>
      <c r="N2473" s="2" t="str">
        <f>HYPERLINK("http://i-0.rfimg.us/photo/1/bigphoto/484/28044484_.jpg","Photo")</f>
        <v>Photo</v>
      </c>
      <c r="AG2473">
        <v>47.499282000000001</v>
      </c>
      <c r="AH2473">
        <v>-122.185198</v>
      </c>
      <c r="AI2473" t="s">
        <v>1077</v>
      </c>
      <c r="AJ2473">
        <v>98056</v>
      </c>
      <c r="AN2473">
        <v>99666</v>
      </c>
      <c r="BC2473" s="22">
        <v>39520.653217592589</v>
      </c>
      <c r="BI2473" s="22">
        <v>39549.294907407406</v>
      </c>
      <c r="BL2473">
        <v>14999</v>
      </c>
      <c r="BM2473">
        <v>1556695</v>
      </c>
      <c r="BN2473" t="s">
        <v>1688</v>
      </c>
      <c r="BO2473" s="17">
        <f t="shared" ca="1" si="38"/>
        <v>28.656188310189464</v>
      </c>
      <c r="BP2473" t="b">
        <v>0</v>
      </c>
      <c r="BQ2473">
        <v>1</v>
      </c>
      <c r="BR2473" t="s">
        <v>1667</v>
      </c>
      <c r="BS2473" t="s">
        <v>6019</v>
      </c>
      <c r="BT2473" t="b">
        <v>0</v>
      </c>
      <c r="BV2473" t="s">
        <v>1668</v>
      </c>
      <c r="BW2473">
        <v>972</v>
      </c>
      <c r="BX2473" t="s">
        <v>1738</v>
      </c>
      <c r="BY2473">
        <v>242086</v>
      </c>
      <c r="BZ2473" t="s">
        <v>1801</v>
      </c>
      <c r="CA2473">
        <v>1</v>
      </c>
      <c r="CB2473" t="b">
        <v>1</v>
      </c>
      <c r="CC2473">
        <v>0</v>
      </c>
      <c r="CD2473" t="b">
        <v>0</v>
      </c>
      <c r="CE2473" t="b">
        <v>0</v>
      </c>
      <c r="CF2473" t="b">
        <v>0</v>
      </c>
      <c r="CG2473">
        <v>2350708</v>
      </c>
      <c r="CH2473" t="s">
        <v>1681</v>
      </c>
      <c r="CI2473" s="10">
        <v>749950</v>
      </c>
      <c r="CJ2473" s="7">
        <v>38566</v>
      </c>
    </row>
    <row r="2474" spans="1:90">
      <c r="A2474">
        <v>28044527</v>
      </c>
      <c r="B2474" s="2" t="str">
        <f>HYPERLINK("http://www.redfin.com/stingray/do/printable-listing?listing-id=1558818","Active")</f>
        <v>Active</v>
      </c>
      <c r="D2474" t="s">
        <v>3066</v>
      </c>
      <c r="E2474" t="s">
        <v>4762</v>
      </c>
      <c r="F2474" s="19">
        <v>850000</v>
      </c>
      <c r="G2474">
        <v>2006</v>
      </c>
      <c r="H2474">
        <v>3270</v>
      </c>
      <c r="I2474">
        <v>7032</v>
      </c>
      <c r="J2474">
        <v>4</v>
      </c>
      <c r="K2474">
        <v>3</v>
      </c>
      <c r="M2474" s="2" t="str">
        <f>HYPERLINK("http://maps.live.com/default.aspx?v=2&amp;lvl=15&amp;sp=Point.47.668376_-122.17188_7010 126th AV NE&amp;cp=47.668376~-122.17188","Map")</f>
        <v>Map</v>
      </c>
      <c r="N2474" s="2" t="str">
        <f>HYPERLINK("http://i-0.rfimg.us/photo/1/bigphoto/527/28044527_1.jpg","Photo")</f>
        <v>Photo</v>
      </c>
      <c r="AG2474">
        <v>47.668376000000002</v>
      </c>
      <c r="AH2474">
        <v>-122.17188</v>
      </c>
      <c r="AI2474" t="s">
        <v>1058</v>
      </c>
      <c r="AJ2474">
        <v>98033</v>
      </c>
      <c r="AN2474">
        <v>107500</v>
      </c>
      <c r="BC2474" s="22">
        <v>39521.348217592589</v>
      </c>
      <c r="BI2474" s="22">
        <v>39549.294907407406</v>
      </c>
      <c r="BL2474">
        <v>18000</v>
      </c>
      <c r="BM2474">
        <v>1558818</v>
      </c>
      <c r="BN2474" t="s">
        <v>2006</v>
      </c>
      <c r="BO2474" s="17">
        <f t="shared" ca="1" si="38"/>
        <v>27.961188310189755</v>
      </c>
      <c r="BP2474" t="b">
        <v>0</v>
      </c>
      <c r="BQ2474">
        <v>1</v>
      </c>
      <c r="BR2474" t="s">
        <v>4763</v>
      </c>
      <c r="BS2474" t="s">
        <v>4544</v>
      </c>
      <c r="BT2474" t="b">
        <v>0</v>
      </c>
      <c r="BV2474" t="s">
        <v>1668</v>
      </c>
      <c r="BW2474">
        <v>7010</v>
      </c>
      <c r="BX2474" t="s">
        <v>1738</v>
      </c>
      <c r="BY2474">
        <v>517061</v>
      </c>
      <c r="BZ2474" t="s">
        <v>4706</v>
      </c>
      <c r="CA2474">
        <v>1</v>
      </c>
      <c r="CB2474" t="b">
        <v>1</v>
      </c>
      <c r="CC2474">
        <v>0</v>
      </c>
      <c r="CD2474" t="b">
        <v>0</v>
      </c>
      <c r="CE2474" t="b">
        <v>0</v>
      </c>
      <c r="CF2474" t="b">
        <v>0</v>
      </c>
      <c r="CG2474">
        <v>2683981</v>
      </c>
      <c r="CH2474" t="s">
        <v>1681</v>
      </c>
      <c r="CI2474" s="10">
        <v>900000</v>
      </c>
      <c r="CJ2474" s="7">
        <v>38275</v>
      </c>
    </row>
    <row r="2475" spans="1:90">
      <c r="A2475">
        <v>28044530</v>
      </c>
      <c r="B2475" s="15" t="str">
        <f>HYPERLINK("http://www.redfin.com/stingray/do/printable-listing?listing-id=1557039","Subject To Inspection")</f>
        <v>Subject To Inspection</v>
      </c>
      <c r="D2475" t="s">
        <v>2850</v>
      </c>
      <c r="E2475" t="s">
        <v>4465</v>
      </c>
      <c r="F2475">
        <v>384900</v>
      </c>
      <c r="G2475">
        <v>1963</v>
      </c>
      <c r="H2475">
        <v>2060</v>
      </c>
      <c r="I2475">
        <v>9750</v>
      </c>
      <c r="J2475">
        <v>3</v>
      </c>
      <c r="K2475">
        <v>2.5</v>
      </c>
      <c r="M2475" s="2" t="str">
        <f>HYPERLINK("http://maps.live.com/default.aspx?v=2&amp;lvl=15&amp;sp=Point.47.718916_-122.196151_13213 109th Ave NE&amp;cp=47.718916~-122.196151","Map")</f>
        <v>Map</v>
      </c>
      <c r="N2475" s="2" t="str">
        <f>HYPERLINK("http://i-0.rfimg.us/photo/1/bigphoto/530/28044530_0.jpg","Photo")</f>
        <v>Photo</v>
      </c>
      <c r="AG2475">
        <v>47.718916</v>
      </c>
      <c r="AH2475">
        <v>-122.196151</v>
      </c>
      <c r="AI2475" t="s">
        <v>1058</v>
      </c>
      <c r="AJ2475">
        <v>98034</v>
      </c>
      <c r="AN2475">
        <v>360824</v>
      </c>
      <c r="BC2475" s="22">
        <v>39520.694201388891</v>
      </c>
      <c r="BI2475" s="22">
        <v>39549.294907407406</v>
      </c>
      <c r="BL2475">
        <v>7698</v>
      </c>
      <c r="BM2475">
        <v>1557039</v>
      </c>
      <c r="BN2475" t="s">
        <v>1674</v>
      </c>
      <c r="BO2475" s="17">
        <f t="shared" ca="1" si="38"/>
        <v>28.615204513887875</v>
      </c>
      <c r="BP2475" t="b">
        <v>0</v>
      </c>
      <c r="BQ2475">
        <v>1</v>
      </c>
      <c r="BR2475" t="s">
        <v>1667</v>
      </c>
      <c r="BS2475" t="s">
        <v>4367</v>
      </c>
      <c r="BT2475" t="b">
        <v>0</v>
      </c>
      <c r="BV2475" t="s">
        <v>1668</v>
      </c>
      <c r="BW2475">
        <v>13213</v>
      </c>
      <c r="BX2475" t="s">
        <v>1738</v>
      </c>
      <c r="BY2475">
        <v>458247</v>
      </c>
      <c r="BZ2475" t="s">
        <v>1696</v>
      </c>
      <c r="CA2475">
        <v>1</v>
      </c>
      <c r="CB2475" t="b">
        <v>1</v>
      </c>
      <c r="CC2475">
        <v>0</v>
      </c>
      <c r="CD2475" t="b">
        <v>0</v>
      </c>
      <c r="CE2475" t="b">
        <v>0</v>
      </c>
      <c r="CF2475" t="b">
        <v>0</v>
      </c>
      <c r="CG2475">
        <v>2493910</v>
      </c>
      <c r="CH2475" t="s">
        <v>1681</v>
      </c>
      <c r="CI2475" s="10">
        <v>384900</v>
      </c>
      <c r="CJ2475" s="7">
        <v>39469</v>
      </c>
    </row>
    <row r="2476" spans="1:90">
      <c r="A2476">
        <v>28044554</v>
      </c>
      <c r="B2476" s="2" t="str">
        <f>HYPERLINK("http://www.redfin.com/stingray/do/printable-listing?listing-id=1557323","Active")</f>
        <v>Active</v>
      </c>
      <c r="D2476" t="s">
        <v>207</v>
      </c>
      <c r="E2476" t="s">
        <v>3186</v>
      </c>
      <c r="F2476">
        <v>1150000</v>
      </c>
      <c r="G2476">
        <v>2008</v>
      </c>
      <c r="H2476">
        <v>3190</v>
      </c>
      <c r="I2476">
        <v>4000</v>
      </c>
      <c r="J2476">
        <v>4</v>
      </c>
      <c r="K2476">
        <v>3.5</v>
      </c>
      <c r="M2476" s="2" t="str">
        <f>HYPERLINK("http://maps.live.com/default.aspx?v=2&amp;lvl=15&amp;sp=Point.47.66353_-122.293159_4803 University View Pl NE&amp;cp=47.66353~-122.293159","Map")</f>
        <v>Map</v>
      </c>
      <c r="N2476" s="2" t="str">
        <f>HYPERLINK("http://i-0.rfimg.us/photo/1/bigphoto/554/28044554_0.jpg","Photo")</f>
        <v>Photo</v>
      </c>
      <c r="AG2476">
        <v>47.663530000000002</v>
      </c>
      <c r="AH2476">
        <v>-122.293159</v>
      </c>
      <c r="AI2476" t="s">
        <v>66</v>
      </c>
      <c r="AJ2476">
        <v>98105</v>
      </c>
      <c r="AN2476">
        <v>384950</v>
      </c>
      <c r="BC2476" s="22">
        <v>39520.807245370372</v>
      </c>
      <c r="BI2476" s="22">
        <v>39549.294907407406</v>
      </c>
      <c r="BL2476">
        <v>23000</v>
      </c>
      <c r="BM2476">
        <v>1557323</v>
      </c>
      <c r="BN2476" t="s">
        <v>3048</v>
      </c>
      <c r="BO2476" s="17">
        <f t="shared" ca="1" si="38"/>
        <v>28.502160532407288</v>
      </c>
      <c r="BP2476" t="b">
        <v>0</v>
      </c>
      <c r="BQ2476">
        <v>1</v>
      </c>
      <c r="BR2476" t="s">
        <v>1842</v>
      </c>
      <c r="BS2476" t="s">
        <v>3187</v>
      </c>
      <c r="BT2476" t="b">
        <v>0</v>
      </c>
      <c r="BV2476" t="s">
        <v>1668</v>
      </c>
      <c r="BW2476">
        <v>4803</v>
      </c>
      <c r="BX2476" t="s">
        <v>1738</v>
      </c>
      <c r="BY2476">
        <v>312692</v>
      </c>
      <c r="BZ2476" t="s">
        <v>1813</v>
      </c>
      <c r="CA2476">
        <v>1</v>
      </c>
      <c r="CB2476" t="b">
        <v>1</v>
      </c>
      <c r="CC2476">
        <v>0</v>
      </c>
      <c r="CD2476" t="b">
        <v>0</v>
      </c>
      <c r="CE2476" t="b">
        <v>0</v>
      </c>
      <c r="CF2476" t="b">
        <v>0</v>
      </c>
      <c r="CG2476">
        <v>2445636</v>
      </c>
      <c r="CH2476" t="s">
        <v>1681</v>
      </c>
      <c r="CI2476" s="10">
        <v>1150000</v>
      </c>
      <c r="CJ2476" s="7">
        <v>38800</v>
      </c>
    </row>
    <row r="2477" spans="1:90">
      <c r="A2477">
        <v>28044567</v>
      </c>
      <c r="B2477" s="15" t="str">
        <f>HYPERLINK("http://www.redfin.com/stingray/do/printable-listing?listing-id=1564930","Subject To Inspection")</f>
        <v>Subject To Inspection</v>
      </c>
      <c r="D2477" t="s">
        <v>5216</v>
      </c>
      <c r="E2477" t="s">
        <v>5301</v>
      </c>
      <c r="F2477">
        <v>575000</v>
      </c>
      <c r="G2477">
        <v>1963</v>
      </c>
      <c r="H2477">
        <v>1760</v>
      </c>
      <c r="I2477">
        <v>7140</v>
      </c>
      <c r="J2477">
        <v>4</v>
      </c>
      <c r="K2477">
        <v>2.75</v>
      </c>
      <c r="M2477" s="2" t="str">
        <f>HYPERLINK("http://maps.live.com/default.aspx?v=2&amp;lvl=15&amp;sp=Point.47.619691_-122.11223_1035 170th Pl NE&amp;cp=47.619691~-122.11223","Map")</f>
        <v>Map</v>
      </c>
      <c r="N2477" s="2" t="str">
        <f>HYPERLINK("http://i-0.rfimg.us/photo/1/bigphoto/567/28044567_0.jpg","Photo")</f>
        <v>Photo</v>
      </c>
      <c r="AG2477">
        <v>47.619691000000003</v>
      </c>
      <c r="AH2477">
        <v>-122.11223</v>
      </c>
      <c r="AI2477" t="s">
        <v>369</v>
      </c>
      <c r="AJ2477">
        <v>98008</v>
      </c>
      <c r="AN2477">
        <v>525000</v>
      </c>
      <c r="BC2477" s="22">
        <v>39524.046400462961</v>
      </c>
      <c r="BI2477" s="22">
        <v>39545.917314814818</v>
      </c>
      <c r="BL2477">
        <v>11500</v>
      </c>
      <c r="BM2477">
        <v>1564930</v>
      </c>
      <c r="BN2477" t="s">
        <v>1917</v>
      </c>
      <c r="BO2477" s="17">
        <f t="shared" ca="1" si="38"/>
        <v>25.263005439817789</v>
      </c>
      <c r="BP2477" t="b">
        <v>0</v>
      </c>
      <c r="BQ2477">
        <v>1</v>
      </c>
      <c r="BR2477" t="s">
        <v>1842</v>
      </c>
      <c r="BS2477" t="s">
        <v>5302</v>
      </c>
      <c r="BT2477" t="b">
        <v>0</v>
      </c>
      <c r="BV2477" t="s">
        <v>1668</v>
      </c>
      <c r="BW2477">
        <v>1035</v>
      </c>
      <c r="BX2477" t="s">
        <v>1738</v>
      </c>
      <c r="BY2477">
        <v>501445</v>
      </c>
      <c r="BZ2477" t="s">
        <v>1745</v>
      </c>
      <c r="CA2477">
        <v>1</v>
      </c>
      <c r="CB2477" t="b">
        <v>1</v>
      </c>
      <c r="CC2477">
        <v>0</v>
      </c>
      <c r="CD2477" t="b">
        <v>0</v>
      </c>
      <c r="CE2477" t="b">
        <v>0</v>
      </c>
      <c r="CF2477" t="b">
        <v>0</v>
      </c>
      <c r="CG2477">
        <v>2618945</v>
      </c>
      <c r="CH2477" t="s">
        <v>1681</v>
      </c>
      <c r="CI2477" s="10">
        <v>575000</v>
      </c>
      <c r="CJ2477" s="7">
        <v>38756</v>
      </c>
      <c r="CL2477" t="s">
        <v>2347</v>
      </c>
    </row>
    <row r="2478" spans="1:90">
      <c r="A2478">
        <v>28044573</v>
      </c>
      <c r="B2478" s="15" t="str">
        <f>HYPERLINK("http://www.redfin.com/stingray/do/printable-listing?listing-id=1562858","Subject To Inspection")</f>
        <v>Subject To Inspection</v>
      </c>
      <c r="D2478" t="s">
        <v>3249</v>
      </c>
      <c r="E2478" t="s">
        <v>3619</v>
      </c>
      <c r="F2478">
        <v>849000</v>
      </c>
      <c r="G2478">
        <v>1928</v>
      </c>
      <c r="H2478">
        <v>0</v>
      </c>
      <c r="I2478">
        <v>4000</v>
      </c>
      <c r="J2478">
        <v>3</v>
      </c>
      <c r="K2478">
        <v>1.5</v>
      </c>
      <c r="M2478" s="2" t="str">
        <f>HYPERLINK("http://maps.live.com/default.aspx?v=2&amp;lvl=15&amp;sp=Point.47.641219_-122.369737_2518 10TH Ave W&amp;cp=47.641219~-122.369737","Map")</f>
        <v>Map</v>
      </c>
      <c r="N2478" s="2" t="str">
        <f>HYPERLINK("http://i-0.rfimg.us/photo/1/bigphoto/573/28044573_0.jpg","Photo")</f>
        <v>Photo</v>
      </c>
      <c r="AG2478">
        <v>47.641219</v>
      </c>
      <c r="AH2478">
        <v>-122.369737</v>
      </c>
      <c r="AI2478" t="s">
        <v>66</v>
      </c>
      <c r="AJ2478">
        <v>98119</v>
      </c>
      <c r="AN2478">
        <v>245000</v>
      </c>
      <c r="BC2478" s="22">
        <v>39522.452407407407</v>
      </c>
      <c r="BI2478" s="7">
        <v>39538</v>
      </c>
      <c r="BL2478">
        <v>16980</v>
      </c>
      <c r="BM2478">
        <v>1562858</v>
      </c>
      <c r="BN2478" t="s">
        <v>1710</v>
      </c>
      <c r="BO2478" s="17">
        <f t="shared" ca="1" si="38"/>
        <v>26.856998495371954</v>
      </c>
      <c r="BP2478" t="b">
        <v>0</v>
      </c>
      <c r="BQ2478">
        <v>1</v>
      </c>
      <c r="BR2478" t="s">
        <v>1667</v>
      </c>
      <c r="BS2478" t="s">
        <v>3620</v>
      </c>
      <c r="BT2478" t="b">
        <v>0</v>
      </c>
      <c r="BV2478" t="s">
        <v>1668</v>
      </c>
      <c r="BW2478">
        <v>2518</v>
      </c>
      <c r="BX2478" t="s">
        <v>2423</v>
      </c>
      <c r="BY2478">
        <v>130412</v>
      </c>
      <c r="BZ2478" t="s">
        <v>1672</v>
      </c>
      <c r="CA2478">
        <v>1</v>
      </c>
      <c r="CB2478" t="b">
        <v>1</v>
      </c>
      <c r="CC2478">
        <v>0</v>
      </c>
      <c r="CD2478" t="b">
        <v>0</v>
      </c>
      <c r="CE2478" t="b">
        <v>0</v>
      </c>
      <c r="CF2478" t="b">
        <v>0</v>
      </c>
      <c r="CG2478">
        <v>2898544</v>
      </c>
      <c r="CH2478" t="s">
        <v>1681</v>
      </c>
      <c r="CI2478" s="10">
        <v>849000</v>
      </c>
      <c r="CJ2478" s="7">
        <v>33603</v>
      </c>
    </row>
    <row r="2479" spans="1:90">
      <c r="A2479">
        <v>28044580</v>
      </c>
      <c r="B2479" s="2" t="str">
        <f>HYPERLINK("http://www.redfin.com/stingray/do/printable-listing?listing-id=1562247","Active")</f>
        <v>Active</v>
      </c>
      <c r="D2479" t="s">
        <v>3066</v>
      </c>
      <c r="E2479" t="s">
        <v>4737</v>
      </c>
      <c r="F2479" s="19">
        <v>530000</v>
      </c>
      <c r="G2479">
        <v>1986</v>
      </c>
      <c r="H2479">
        <v>1900</v>
      </c>
      <c r="I2479">
        <v>3745</v>
      </c>
      <c r="J2479">
        <v>2</v>
      </c>
      <c r="K2479">
        <v>2.5</v>
      </c>
      <c r="M2479" s="2" t="str">
        <f>HYPERLINK("http://maps.live.com/default.aspx?v=2&amp;lvl=15&amp;sp=Point.47.682019_-122.163055_13304 NE 89th St&amp;cp=47.682019~-122.163055","Map")</f>
        <v>Map</v>
      </c>
      <c r="N2479" s="2" t="str">
        <f>HYPERLINK("http://i-0.rfimg.us/photo/1/bigphoto/580/28044580_0.jpg","Photo")</f>
        <v>Photo</v>
      </c>
      <c r="AG2479">
        <v>47.682018999999997</v>
      </c>
      <c r="AH2479">
        <v>-122.163055</v>
      </c>
      <c r="AI2479" t="s">
        <v>4363</v>
      </c>
      <c r="AJ2479">
        <v>98052</v>
      </c>
      <c r="AN2479">
        <v>246000</v>
      </c>
      <c r="BC2479" s="22">
        <v>39522.046423611115</v>
      </c>
      <c r="BI2479" s="22">
        <v>39549.294907407406</v>
      </c>
      <c r="BL2479">
        <v>11000</v>
      </c>
      <c r="BM2479">
        <v>1562247</v>
      </c>
      <c r="BN2479" t="s">
        <v>1674</v>
      </c>
      <c r="BO2479" s="17">
        <f t="shared" ca="1" si="38"/>
        <v>27.26298229166423</v>
      </c>
      <c r="BP2479" t="b">
        <v>0</v>
      </c>
      <c r="BQ2479">
        <v>1</v>
      </c>
      <c r="BR2479" t="s">
        <v>1686</v>
      </c>
      <c r="BS2479" t="s">
        <v>2741</v>
      </c>
      <c r="BT2479" t="b">
        <v>0</v>
      </c>
      <c r="BU2479" t="s">
        <v>1738</v>
      </c>
      <c r="BV2479" t="s">
        <v>1668</v>
      </c>
      <c r="BW2479">
        <v>13304</v>
      </c>
      <c r="BY2479">
        <v>512827</v>
      </c>
      <c r="BZ2479" t="s">
        <v>2901</v>
      </c>
      <c r="CA2479">
        <v>1</v>
      </c>
      <c r="CB2479" t="b">
        <v>1</v>
      </c>
      <c r="CC2479">
        <v>0</v>
      </c>
      <c r="CD2479" t="b">
        <v>0</v>
      </c>
      <c r="CE2479" t="b">
        <v>0</v>
      </c>
      <c r="CF2479" t="b">
        <v>0</v>
      </c>
      <c r="CG2479">
        <v>2508847</v>
      </c>
      <c r="CH2479" t="s">
        <v>1681</v>
      </c>
      <c r="CI2479" s="10">
        <v>550000</v>
      </c>
      <c r="CJ2479" s="7">
        <v>36462</v>
      </c>
    </row>
    <row r="2480" spans="1:90">
      <c r="A2480">
        <v>28044586</v>
      </c>
      <c r="B2480" s="2" t="str">
        <f>HYPERLINK("http://www.redfin.com/stingray/do/printable-listing?listing-id=1558957","Subject To Inspection")</f>
        <v>Subject To Inspection</v>
      </c>
      <c r="D2480" t="s">
        <v>3966</v>
      </c>
      <c r="E2480" t="s">
        <v>4303</v>
      </c>
      <c r="F2480">
        <v>749000</v>
      </c>
      <c r="G2480">
        <v>1912</v>
      </c>
      <c r="H2480">
        <v>3318</v>
      </c>
      <c r="I2480">
        <v>3500</v>
      </c>
      <c r="J2480">
        <v>6</v>
      </c>
      <c r="K2480">
        <v>3.5</v>
      </c>
      <c r="M2480" s="2" t="str">
        <f>HYPERLINK("http://maps.live.com/default.aspx?v=2&amp;lvl=15&amp;sp=Point.47.606947_-122.298165_525 27th Ave&amp;cp=47.606947~-122.298165","Map")</f>
        <v>Map</v>
      </c>
      <c r="N2480" s="2" t="str">
        <f>HYPERLINK("http://i-0.rfimg.us/photo/1/bigphoto/586/28044586_2.jpg","Photo")</f>
        <v>Photo</v>
      </c>
      <c r="AG2480">
        <v>47.606946999999998</v>
      </c>
      <c r="AH2480">
        <v>-122.298165</v>
      </c>
      <c r="AI2480" t="s">
        <v>66</v>
      </c>
      <c r="AJ2480">
        <v>98122</v>
      </c>
      <c r="AN2480">
        <v>308380</v>
      </c>
      <c r="BC2480" s="22">
        <v>39521.369131944448</v>
      </c>
      <c r="BI2480" s="7">
        <v>39538</v>
      </c>
      <c r="BL2480">
        <v>14980</v>
      </c>
      <c r="BM2480">
        <v>1558957</v>
      </c>
      <c r="BN2480" t="s">
        <v>1905</v>
      </c>
      <c r="BO2480" s="17">
        <f t="shared" ca="1" si="38"/>
        <v>27.94027395833109</v>
      </c>
      <c r="BP2480" t="b">
        <v>0</v>
      </c>
      <c r="BQ2480">
        <v>2</v>
      </c>
      <c r="BR2480" t="s">
        <v>1667</v>
      </c>
      <c r="BS2480" t="s">
        <v>1751</v>
      </c>
      <c r="BT2480" t="b">
        <v>0</v>
      </c>
      <c r="BV2480" t="s">
        <v>1668</v>
      </c>
      <c r="BW2480">
        <v>525</v>
      </c>
      <c r="BY2480">
        <v>144959</v>
      </c>
      <c r="BZ2480" t="s">
        <v>2651</v>
      </c>
      <c r="CA2480">
        <v>1</v>
      </c>
      <c r="CB2480" t="b">
        <v>1</v>
      </c>
      <c r="CC2480">
        <v>0</v>
      </c>
      <c r="CD2480" t="b">
        <v>0</v>
      </c>
      <c r="CE2480" t="b">
        <v>0</v>
      </c>
      <c r="CF2480" t="b">
        <v>0</v>
      </c>
      <c r="CG2480">
        <v>2563029</v>
      </c>
      <c r="CH2480" t="s">
        <v>1681</v>
      </c>
      <c r="CI2480" s="10">
        <v>749000</v>
      </c>
      <c r="CJ2480" s="7">
        <v>38896</v>
      </c>
    </row>
    <row r="2481" spans="1:90">
      <c r="A2481">
        <v>28044600</v>
      </c>
      <c r="B2481" s="2" t="str">
        <f>HYPERLINK("http://www.redfin.com/stingray/do/printable-listing?listing-id=1557537","Active")</f>
        <v>Active</v>
      </c>
      <c r="D2481" s="19" t="s">
        <v>88</v>
      </c>
      <c r="E2481" t="s">
        <v>1236</v>
      </c>
      <c r="F2481">
        <v>674950</v>
      </c>
      <c r="G2481">
        <v>1926</v>
      </c>
      <c r="H2481">
        <v>2260</v>
      </c>
      <c r="I2481">
        <v>0</v>
      </c>
      <c r="J2481">
        <v>4</v>
      </c>
      <c r="K2481">
        <v>2.25</v>
      </c>
      <c r="M2481" s="2" t="str">
        <f>HYPERLINK("http://maps.live.com/default.aspx?v=2&amp;lvl=15&amp;sp=Point.47.689326_-122.359469_132 NW 83rd St&amp;cp=47.689326~-122.359469","Map")</f>
        <v>Map</v>
      </c>
      <c r="N2481" s="2" t="str">
        <f>HYPERLINK("http://i-0.rfimg.us/photo/1/bigphoto/600/28044600_0.jpg","Photo")</f>
        <v>Photo</v>
      </c>
      <c r="AG2481">
        <v>47.689326000000001</v>
      </c>
      <c r="AH2481">
        <v>-122.359469</v>
      </c>
      <c r="AI2481" t="s">
        <v>66</v>
      </c>
      <c r="AJ2481">
        <v>98117</v>
      </c>
      <c r="AN2481">
        <v>627500</v>
      </c>
      <c r="BC2481" s="22">
        <v>39520.860497685186</v>
      </c>
      <c r="BI2481" s="22">
        <v>39549.294907407406</v>
      </c>
      <c r="BL2481">
        <v>13499</v>
      </c>
      <c r="BM2481">
        <v>1557537</v>
      </c>
      <c r="BN2481" t="s">
        <v>1968</v>
      </c>
      <c r="BO2481" s="17">
        <f t="shared" ca="1" si="38"/>
        <v>28.448908333331929</v>
      </c>
      <c r="BP2481" t="b">
        <v>0</v>
      </c>
      <c r="BQ2481">
        <v>1</v>
      </c>
      <c r="BR2481" t="s">
        <v>1686</v>
      </c>
      <c r="BS2481" t="s">
        <v>1867</v>
      </c>
      <c r="BT2481" t="b">
        <v>0</v>
      </c>
      <c r="BU2481" t="s">
        <v>1669</v>
      </c>
      <c r="BV2481" t="s">
        <v>1668</v>
      </c>
      <c r="BW2481">
        <v>132</v>
      </c>
      <c r="BY2481">
        <v>498150</v>
      </c>
      <c r="BZ2481" t="s">
        <v>1747</v>
      </c>
      <c r="CA2481">
        <v>1</v>
      </c>
      <c r="CB2481" t="b">
        <v>1</v>
      </c>
      <c r="CC2481">
        <v>0</v>
      </c>
      <c r="CD2481" t="b">
        <v>0</v>
      </c>
      <c r="CE2481" t="b">
        <v>1</v>
      </c>
      <c r="CF2481" t="b">
        <v>0</v>
      </c>
      <c r="CG2481">
        <v>2446095</v>
      </c>
      <c r="CH2481" t="s">
        <v>1681</v>
      </c>
      <c r="CI2481" s="10">
        <v>674950</v>
      </c>
      <c r="CJ2481" s="7">
        <v>39059</v>
      </c>
    </row>
    <row r="2482" spans="1:90">
      <c r="A2482">
        <v>28044630</v>
      </c>
      <c r="B2482" s="2" t="str">
        <f>HYPERLINK("http://www.redfin.com/stingray/do/printable-listing?listing-id=1557794","Active")</f>
        <v>Active</v>
      </c>
      <c r="D2482" t="s">
        <v>3064</v>
      </c>
      <c r="E2482" t="s">
        <v>6092</v>
      </c>
      <c r="F2482">
        <v>359900</v>
      </c>
      <c r="G2482">
        <v>2006</v>
      </c>
      <c r="H2482">
        <v>2160</v>
      </c>
      <c r="I2482">
        <v>6410</v>
      </c>
      <c r="J2482">
        <v>4</v>
      </c>
      <c r="K2482">
        <v>2.5</v>
      </c>
      <c r="M2482" s="2" t="str">
        <f>HYPERLINK("http://maps.live.com/default.aspx?v=2&amp;lvl=15&amp;sp=Point.47.49248_-122.189849_652 Blaine Ct NE&amp;cp=47.49248~-122.189849","Map")</f>
        <v>Map</v>
      </c>
      <c r="N2482" s="2" t="str">
        <f>HYPERLINK("http://i-0.rfimg.us/photo/1/bigphoto/630/28044630_0.jpg","Photo")</f>
        <v>Photo</v>
      </c>
      <c r="AG2482">
        <v>47.49248</v>
      </c>
      <c r="AH2482">
        <v>-122.189849</v>
      </c>
      <c r="AI2482" t="s">
        <v>1077</v>
      </c>
      <c r="AJ2482">
        <v>98056</v>
      </c>
      <c r="AN2482">
        <v>399950</v>
      </c>
      <c r="BC2482" s="22">
        <v>39520.942465277774</v>
      </c>
      <c r="BI2482" s="7">
        <v>39537</v>
      </c>
      <c r="BL2482">
        <v>7198</v>
      </c>
      <c r="BM2482">
        <v>1557794</v>
      </c>
      <c r="BN2482" t="s">
        <v>6091</v>
      </c>
      <c r="BO2482" s="17">
        <f t="shared" ca="1" si="38"/>
        <v>28.366940625004645</v>
      </c>
      <c r="BP2482" t="b">
        <v>0</v>
      </c>
      <c r="BQ2482">
        <v>1</v>
      </c>
      <c r="BR2482" t="s">
        <v>3768</v>
      </c>
      <c r="BS2482" t="s">
        <v>3542</v>
      </c>
      <c r="BT2482" t="b">
        <v>0</v>
      </c>
      <c r="BV2482" t="s">
        <v>1668</v>
      </c>
      <c r="BW2482">
        <v>652</v>
      </c>
      <c r="BX2482" t="s">
        <v>1738</v>
      </c>
      <c r="BY2482">
        <v>2115475</v>
      </c>
      <c r="BZ2482" t="s">
        <v>1670</v>
      </c>
      <c r="CA2482">
        <v>1</v>
      </c>
      <c r="CB2482" t="b">
        <v>1</v>
      </c>
      <c r="CC2482">
        <v>0</v>
      </c>
      <c r="CD2482" t="b">
        <v>0</v>
      </c>
      <c r="CE2482" t="b">
        <v>0</v>
      </c>
      <c r="CF2482" t="b">
        <v>0</v>
      </c>
      <c r="CG2482">
        <v>2852825</v>
      </c>
      <c r="CH2482" t="s">
        <v>1681</v>
      </c>
      <c r="CI2482" s="10">
        <v>359900</v>
      </c>
      <c r="CJ2482" s="7">
        <v>39069</v>
      </c>
    </row>
    <row r="2483" spans="1:90">
      <c r="A2483">
        <v>28044640</v>
      </c>
      <c r="B2483" s="2" t="str">
        <f>HYPERLINK("http://www.redfin.com/stingray/do/printable-listing?listing-id=1558331","Active")</f>
        <v>Active</v>
      </c>
      <c r="D2483" t="s">
        <v>78</v>
      </c>
      <c r="E2483" t="s">
        <v>158</v>
      </c>
      <c r="F2483" s="19">
        <v>424950</v>
      </c>
      <c r="G2483">
        <v>1918</v>
      </c>
      <c r="H2483">
        <v>1830</v>
      </c>
      <c r="I2483">
        <v>4284</v>
      </c>
      <c r="J2483">
        <v>2</v>
      </c>
      <c r="K2483">
        <v>1</v>
      </c>
      <c r="M2483" s="2" t="str">
        <f>HYPERLINK("http://maps.live.com/default.aspx?v=2&amp;lvl=15&amp;sp=Point.47.683585_-122.392678_7514 28th Ave NW&amp;cp=47.683585~-122.392678","Map")</f>
        <v>Map</v>
      </c>
      <c r="N2483" s="2" t="str">
        <f>HYPERLINK("http://i-0.rfimg.us/photo/1/bigphoto/640/28044640_1.jpg","Photo")</f>
        <v>Photo</v>
      </c>
      <c r="AG2483">
        <v>47.683585000000001</v>
      </c>
      <c r="AH2483">
        <v>-122.392678</v>
      </c>
      <c r="AI2483" t="s">
        <v>66</v>
      </c>
      <c r="AJ2483">
        <v>98117</v>
      </c>
      <c r="BC2483" s="22">
        <v>39521.046296296299</v>
      </c>
      <c r="BI2483" s="22">
        <v>39549.294907407406</v>
      </c>
      <c r="BL2483">
        <v>8750</v>
      </c>
      <c r="BM2483">
        <v>1558331</v>
      </c>
      <c r="BN2483" t="s">
        <v>1764</v>
      </c>
      <c r="BO2483" s="17">
        <f t="shared" ca="1" si="38"/>
        <v>28.26310972221836</v>
      </c>
      <c r="BP2483" t="b">
        <v>0</v>
      </c>
      <c r="BQ2483">
        <v>1</v>
      </c>
      <c r="BR2483" t="s">
        <v>1667</v>
      </c>
      <c r="BS2483" t="s">
        <v>1760</v>
      </c>
      <c r="BT2483" t="b">
        <v>0</v>
      </c>
      <c r="BV2483" t="s">
        <v>1668</v>
      </c>
      <c r="BW2483">
        <v>7514</v>
      </c>
      <c r="BX2483" t="s">
        <v>1669</v>
      </c>
      <c r="BY2483">
        <v>164770</v>
      </c>
      <c r="BZ2483" t="s">
        <v>1765</v>
      </c>
      <c r="CA2483">
        <v>1</v>
      </c>
      <c r="CB2483" t="b">
        <v>1</v>
      </c>
      <c r="CC2483">
        <v>0</v>
      </c>
      <c r="CD2483" t="b">
        <v>0</v>
      </c>
      <c r="CE2483" t="b">
        <v>1</v>
      </c>
      <c r="CF2483" t="b">
        <v>0</v>
      </c>
      <c r="CG2483">
        <v>2873523</v>
      </c>
      <c r="CH2483" t="s">
        <v>1681</v>
      </c>
      <c r="CI2483" s="10">
        <v>437500</v>
      </c>
      <c r="CL2483" t="s">
        <v>2325</v>
      </c>
    </row>
    <row r="2484" spans="1:90">
      <c r="A2484">
        <v>28044652</v>
      </c>
      <c r="B2484" s="2" t="str">
        <f>HYPERLINK("http://www.redfin.com/stingray/do/printable-listing?listing-id=1558594","Active")</f>
        <v>Active</v>
      </c>
      <c r="D2484" t="s">
        <v>4777</v>
      </c>
      <c r="E2484" t="s">
        <v>4957</v>
      </c>
      <c r="F2484">
        <v>635000</v>
      </c>
      <c r="G2484">
        <v>1976</v>
      </c>
      <c r="H2484">
        <v>2100</v>
      </c>
      <c r="I2484">
        <v>9148</v>
      </c>
      <c r="J2484">
        <v>4</v>
      </c>
      <c r="K2484">
        <v>2.5</v>
      </c>
      <c r="M2484" s="2" t="str">
        <f>HYPERLINK("http://maps.live.com/default.aspx?v=2&amp;lvl=15&amp;sp=Point.47.660432_-122.189004_11218 NE 59th Pl&amp;cp=47.660432~-122.189004","Map")</f>
        <v>Map</v>
      </c>
      <c r="N2484" s="2" t="str">
        <f>HYPERLINK("http://i-0.rfimg.us/photo/1/bigphoto/652/28044652_0.jpg","Photo")</f>
        <v>Photo</v>
      </c>
      <c r="AG2484">
        <v>47.660432</v>
      </c>
      <c r="AH2484">
        <v>-122.189004</v>
      </c>
      <c r="AI2484" t="s">
        <v>1058</v>
      </c>
      <c r="AJ2484">
        <v>98033</v>
      </c>
      <c r="AN2484">
        <v>550000</v>
      </c>
      <c r="BC2484" s="22">
        <v>39521.264606481483</v>
      </c>
      <c r="BI2484" s="22">
        <v>39549.294907407406</v>
      </c>
      <c r="BL2484">
        <v>12700</v>
      </c>
      <c r="BM2484">
        <v>1558594</v>
      </c>
      <c r="BN2484" t="s">
        <v>1725</v>
      </c>
      <c r="BO2484" s="17">
        <f t="shared" ca="1" si="38"/>
        <v>28.044799421295465</v>
      </c>
      <c r="BP2484" t="b">
        <v>0</v>
      </c>
      <c r="BQ2484">
        <v>1</v>
      </c>
      <c r="BR2484" t="s">
        <v>1842</v>
      </c>
      <c r="BS2484" t="s">
        <v>2492</v>
      </c>
      <c r="BT2484" t="b">
        <v>0</v>
      </c>
      <c r="BU2484" t="s">
        <v>1738</v>
      </c>
      <c r="BV2484" t="s">
        <v>1668</v>
      </c>
      <c r="BW2484">
        <v>11218</v>
      </c>
      <c r="BY2484">
        <v>459589</v>
      </c>
      <c r="BZ2484" t="s">
        <v>1670</v>
      </c>
      <c r="CA2484">
        <v>1</v>
      </c>
      <c r="CB2484" t="b">
        <v>1</v>
      </c>
      <c r="CC2484">
        <v>0</v>
      </c>
      <c r="CD2484" t="b">
        <v>0</v>
      </c>
      <c r="CE2484" t="b">
        <v>0</v>
      </c>
      <c r="CF2484" t="b">
        <v>0</v>
      </c>
      <c r="CG2484">
        <v>2372252</v>
      </c>
      <c r="CH2484" t="s">
        <v>1681</v>
      </c>
      <c r="CI2484" s="10">
        <v>635000</v>
      </c>
      <c r="CJ2484" s="7">
        <v>39287</v>
      </c>
      <c r="CL2484" s="19" t="s">
        <v>2204</v>
      </c>
    </row>
    <row r="2485" spans="1:90">
      <c r="A2485">
        <v>28044654</v>
      </c>
      <c r="B2485" s="2" t="str">
        <f>HYPERLINK("http://www.redfin.com/stingray/do/printable-listing?listing-id=1558567","Active")</f>
        <v>Active</v>
      </c>
      <c r="D2485" t="s">
        <v>3064</v>
      </c>
      <c r="E2485" t="s">
        <v>6021</v>
      </c>
      <c r="F2485">
        <v>449000</v>
      </c>
      <c r="G2485">
        <v>2005</v>
      </c>
      <c r="H2485">
        <v>2020</v>
      </c>
      <c r="I2485">
        <v>7719</v>
      </c>
      <c r="J2485">
        <v>4</v>
      </c>
      <c r="K2485">
        <v>2.5</v>
      </c>
      <c r="M2485" s="2" t="str">
        <f>HYPERLINK("http://maps.live.com/default.aspx?v=2&amp;lvl=15&amp;sp=Point.47.5012615547_-122.15105198925_5103 NE 11th Ct&amp;cp=47.5012615547~-122.15105198925","Map")</f>
        <v>Map</v>
      </c>
      <c r="N2485" s="2" t="str">
        <f>HYPERLINK("http://i-0.rfimg.us/photo/1/bigphoto/654/28044654_0.jpg","Photo")</f>
        <v>Photo</v>
      </c>
      <c r="AG2485">
        <v>47.501261554700001</v>
      </c>
      <c r="AH2485">
        <v>-122.15105198925001</v>
      </c>
      <c r="AI2485" t="s">
        <v>1077</v>
      </c>
      <c r="AJ2485">
        <v>98059</v>
      </c>
      <c r="AN2485">
        <v>368950</v>
      </c>
      <c r="BC2485" s="22">
        <v>39521.254247685189</v>
      </c>
      <c r="BI2485" s="22">
        <v>39549.294907407406</v>
      </c>
      <c r="BL2485">
        <v>8980</v>
      </c>
      <c r="BM2485">
        <v>1558567</v>
      </c>
      <c r="BN2485" t="s">
        <v>3236</v>
      </c>
      <c r="BO2485" s="17">
        <f t="shared" ca="1" si="38"/>
        <v>28.05515821759036</v>
      </c>
      <c r="BP2485" t="b">
        <v>0</v>
      </c>
      <c r="BQ2485">
        <v>1</v>
      </c>
      <c r="BR2485" t="s">
        <v>3768</v>
      </c>
      <c r="BS2485" t="s">
        <v>1792</v>
      </c>
      <c r="BT2485" t="b">
        <v>0</v>
      </c>
      <c r="BU2485" t="s">
        <v>1738</v>
      </c>
      <c r="BV2485" t="s">
        <v>1668</v>
      </c>
      <c r="BW2485">
        <v>5103</v>
      </c>
      <c r="BY2485">
        <v>2066967</v>
      </c>
      <c r="BZ2485" t="s">
        <v>1745</v>
      </c>
      <c r="CA2485">
        <v>1</v>
      </c>
      <c r="CB2485" t="b">
        <v>1</v>
      </c>
      <c r="CC2485">
        <v>0</v>
      </c>
      <c r="CD2485" t="b">
        <v>0</v>
      </c>
      <c r="CE2485" t="b">
        <v>0</v>
      </c>
      <c r="CF2485" t="b">
        <v>0</v>
      </c>
      <c r="CG2485">
        <v>2471845</v>
      </c>
      <c r="CH2485" t="s">
        <v>1681</v>
      </c>
      <c r="CI2485" s="10">
        <v>449000</v>
      </c>
      <c r="CJ2485" s="7">
        <v>38499</v>
      </c>
    </row>
    <row r="2486" spans="1:90">
      <c r="A2486">
        <v>28044700</v>
      </c>
      <c r="B2486" s="2" t="str">
        <f>HYPERLINK("http://www.redfin.com/stingray/do/printable-listing?listing-id=1570392","Active")</f>
        <v>Active</v>
      </c>
      <c r="D2486" t="s">
        <v>2845</v>
      </c>
      <c r="E2486" t="s">
        <v>2872</v>
      </c>
      <c r="F2486">
        <v>980000</v>
      </c>
      <c r="G2486">
        <v>1984</v>
      </c>
      <c r="H2486">
        <v>2640</v>
      </c>
      <c r="I2486">
        <v>8695</v>
      </c>
      <c r="J2486">
        <v>4</v>
      </c>
      <c r="K2486">
        <v>2.5</v>
      </c>
      <c r="M2486" s="2" t="str">
        <f>HYPERLINK("http://maps.live.com/default.aspx?v=2&amp;lvl=15&amp;sp=Point.47.693591_-122.277224_4610 NE 89th St&amp;cp=47.693591~-122.277224","Map")</f>
        <v>Map</v>
      </c>
      <c r="N2486" s="2" t="str">
        <f>HYPERLINK("http://i-0.rfimg.us/photo/1/bigphoto/700/28044700_1.jpg","Photo")</f>
        <v>Photo</v>
      </c>
      <c r="AG2486">
        <v>47.693590999999998</v>
      </c>
      <c r="AH2486">
        <v>-122.277224</v>
      </c>
      <c r="AI2486" t="s">
        <v>66</v>
      </c>
      <c r="AJ2486">
        <v>98115</v>
      </c>
      <c r="AN2486">
        <v>119920</v>
      </c>
      <c r="BC2486" s="22">
        <v>39525.921840277777</v>
      </c>
      <c r="BI2486" s="22">
        <v>39549.294907407406</v>
      </c>
      <c r="BL2486">
        <v>19600</v>
      </c>
      <c r="BM2486">
        <v>1570392</v>
      </c>
      <c r="BN2486" t="s">
        <v>1678</v>
      </c>
      <c r="BO2486" s="17">
        <f t="shared" ca="1" si="38"/>
        <v>23.387565625002026</v>
      </c>
      <c r="BP2486" t="b">
        <v>0</v>
      </c>
      <c r="BQ2486">
        <v>1</v>
      </c>
      <c r="BR2486" t="s">
        <v>1686</v>
      </c>
      <c r="BS2486" t="s">
        <v>2741</v>
      </c>
      <c r="BT2486" t="b">
        <v>0</v>
      </c>
      <c r="BU2486" t="s">
        <v>1738</v>
      </c>
      <c r="BV2486" t="s">
        <v>1668</v>
      </c>
      <c r="BW2486">
        <v>4610</v>
      </c>
      <c r="BY2486">
        <v>321391</v>
      </c>
      <c r="BZ2486" t="s">
        <v>1709</v>
      </c>
      <c r="CA2486">
        <v>1</v>
      </c>
      <c r="CB2486" t="b">
        <v>1</v>
      </c>
      <c r="CC2486">
        <v>0</v>
      </c>
      <c r="CD2486" t="b">
        <v>0</v>
      </c>
      <c r="CE2486" t="b">
        <v>0</v>
      </c>
      <c r="CF2486" t="b">
        <v>0</v>
      </c>
      <c r="CG2486">
        <v>2570044</v>
      </c>
      <c r="CH2486" t="s">
        <v>1681</v>
      </c>
      <c r="CI2486" s="10">
        <v>980000</v>
      </c>
      <c r="CJ2486" s="7">
        <v>30589</v>
      </c>
    </row>
    <row r="2487" spans="1:90">
      <c r="A2487">
        <v>28044713</v>
      </c>
      <c r="B2487" s="2" t="str">
        <f>HYPERLINK("http://www.redfin.com/stingray/do/printable-listing?listing-id=1558821","Active")</f>
        <v>Active</v>
      </c>
      <c r="D2487" t="s">
        <v>192</v>
      </c>
      <c r="E2487" t="s">
        <v>2909</v>
      </c>
      <c r="F2487">
        <v>525950</v>
      </c>
      <c r="G2487">
        <v>1926</v>
      </c>
      <c r="H2487">
        <v>1850</v>
      </c>
      <c r="I2487">
        <v>5080</v>
      </c>
      <c r="J2487">
        <v>3</v>
      </c>
      <c r="K2487">
        <v>2</v>
      </c>
      <c r="M2487" s="2" t="str">
        <f>HYPERLINK("http://maps.live.com/default.aspx?v=2&amp;lvl=15&amp;sp=Point.47.701001_-122.313419_1235 NE 100 St&amp;cp=47.701001~-122.313419","Map")</f>
        <v>Map</v>
      </c>
      <c r="N2487" s="2" t="str">
        <f>HYPERLINK("http://i-0.rfimg.us/photo/1/bigphoto/713/28044713_0.jpg","Photo")</f>
        <v>Photo</v>
      </c>
      <c r="AG2487">
        <v>47.701000999999998</v>
      </c>
      <c r="AH2487">
        <v>-122.313419</v>
      </c>
      <c r="AI2487" t="s">
        <v>66</v>
      </c>
      <c r="AJ2487">
        <v>98125</v>
      </c>
      <c r="AN2487">
        <v>164950</v>
      </c>
      <c r="BC2487" s="22">
        <v>39521.348240740743</v>
      </c>
      <c r="BI2487" s="22">
        <v>39549.294907407406</v>
      </c>
      <c r="BL2487">
        <v>10519</v>
      </c>
      <c r="BM2487">
        <v>1558821</v>
      </c>
      <c r="BN2487" t="s">
        <v>2908</v>
      </c>
      <c r="BO2487" s="17">
        <f t="shared" ca="1" si="38"/>
        <v>27.961165162036195</v>
      </c>
      <c r="BP2487" t="b">
        <v>0</v>
      </c>
      <c r="BQ2487">
        <v>1</v>
      </c>
      <c r="BR2487" t="s">
        <v>1686</v>
      </c>
      <c r="BS2487">
        <v>100</v>
      </c>
      <c r="BT2487" t="b">
        <v>0</v>
      </c>
      <c r="BU2487" t="s">
        <v>1738</v>
      </c>
      <c r="BV2487" t="s">
        <v>1668</v>
      </c>
      <c r="BW2487">
        <v>1235</v>
      </c>
      <c r="BY2487">
        <v>109717</v>
      </c>
      <c r="BZ2487" t="s">
        <v>1741</v>
      </c>
      <c r="CA2487">
        <v>1</v>
      </c>
      <c r="CB2487" t="b">
        <v>1</v>
      </c>
      <c r="CC2487">
        <v>0</v>
      </c>
      <c r="CD2487" t="b">
        <v>0</v>
      </c>
      <c r="CE2487" t="b">
        <v>0</v>
      </c>
      <c r="CF2487" t="b">
        <v>0</v>
      </c>
      <c r="CG2487">
        <v>2864402</v>
      </c>
      <c r="CH2487" t="s">
        <v>1681</v>
      </c>
      <c r="CI2487" s="10">
        <v>525950</v>
      </c>
      <c r="CJ2487" s="7">
        <v>34571</v>
      </c>
    </row>
    <row r="2488" spans="1:90">
      <c r="A2488">
        <v>28044721</v>
      </c>
      <c r="B2488" s="2" t="str">
        <f>HYPERLINK("http://www.redfin.com/stingray/do/printable-listing?listing-id=1559473","Active")</f>
        <v>Active</v>
      </c>
      <c r="D2488" s="19" t="s">
        <v>3704</v>
      </c>
      <c r="E2488" t="s">
        <v>3708</v>
      </c>
      <c r="F2488">
        <v>929000</v>
      </c>
      <c r="G2488">
        <v>1922</v>
      </c>
      <c r="H2488">
        <v>2660</v>
      </c>
      <c r="I2488">
        <v>4337</v>
      </c>
      <c r="J2488">
        <v>4</v>
      </c>
      <c r="K2488">
        <v>2.75</v>
      </c>
      <c r="M2488" s="2" t="str">
        <f>HYPERLINK("http://maps.live.com/default.aspx?v=2&amp;lvl=15&amp;sp=Point.47.630971_-122.306854_1210 19th Ave E&amp;cp=47.630971~-122.306854","Map")</f>
        <v>Map</v>
      </c>
      <c r="N2488" s="2" t="str">
        <f>HYPERLINK("http://i-0.rfimg.us/photo/1/bigphoto/721/28044721_2.jpg","Photo")</f>
        <v>Photo</v>
      </c>
      <c r="AG2488">
        <v>47.630971000000002</v>
      </c>
      <c r="AH2488">
        <v>-122.306854</v>
      </c>
      <c r="AI2488" t="s">
        <v>66</v>
      </c>
      <c r="AJ2488">
        <v>98112</v>
      </c>
      <c r="AN2488">
        <v>414950</v>
      </c>
      <c r="BC2488" s="22">
        <v>39521.453402777777</v>
      </c>
      <c r="BI2488" s="22">
        <v>39549.294907407406</v>
      </c>
      <c r="BL2488">
        <v>18580</v>
      </c>
      <c r="BM2488">
        <v>1559473</v>
      </c>
      <c r="BN2488" t="s">
        <v>1678</v>
      </c>
      <c r="BO2488" s="17">
        <f t="shared" ca="1" si="38"/>
        <v>27.856003125001735</v>
      </c>
      <c r="BP2488" t="b">
        <v>0</v>
      </c>
      <c r="BQ2488">
        <v>1</v>
      </c>
      <c r="BR2488" t="s">
        <v>1667</v>
      </c>
      <c r="BS2488" t="s">
        <v>1906</v>
      </c>
      <c r="BT2488" t="b">
        <v>0</v>
      </c>
      <c r="BV2488" t="s">
        <v>1668</v>
      </c>
      <c r="BW2488">
        <v>1210</v>
      </c>
      <c r="BX2488" t="s">
        <v>2436</v>
      </c>
      <c r="BY2488">
        <v>135682</v>
      </c>
      <c r="BZ2488" t="s">
        <v>1730</v>
      </c>
      <c r="CA2488">
        <v>1</v>
      </c>
      <c r="CB2488" t="b">
        <v>1</v>
      </c>
      <c r="CC2488">
        <v>0</v>
      </c>
      <c r="CD2488" t="b">
        <v>0</v>
      </c>
      <c r="CE2488" t="b">
        <v>0</v>
      </c>
      <c r="CF2488" t="b">
        <v>0</v>
      </c>
      <c r="CG2488">
        <v>2346857</v>
      </c>
      <c r="CH2488" t="s">
        <v>1681</v>
      </c>
      <c r="CI2488" s="10">
        <v>929000</v>
      </c>
      <c r="CJ2488" s="7">
        <v>36487</v>
      </c>
    </row>
    <row r="2489" spans="1:90">
      <c r="A2489">
        <v>28044741</v>
      </c>
      <c r="B2489" s="2" t="str">
        <f>HYPERLINK("http://www.redfin.com/stingray/do/printable-listing?listing-id=1559250","Active")</f>
        <v>Active</v>
      </c>
      <c r="D2489" t="s">
        <v>3064</v>
      </c>
      <c r="E2489" t="s">
        <v>6086</v>
      </c>
      <c r="F2489" s="19">
        <v>599000</v>
      </c>
      <c r="G2489">
        <v>2006</v>
      </c>
      <c r="H2489">
        <v>2470</v>
      </c>
      <c r="I2489">
        <v>7235</v>
      </c>
      <c r="J2489">
        <v>4</v>
      </c>
      <c r="K2489">
        <v>2.5</v>
      </c>
      <c r="M2489" s="2" t="str">
        <f>HYPERLINK("http://maps.live.com/default.aspx?v=2&amp;lvl=15&amp;sp=Point.47.4921462587_-122.14547763283_12403 146th Pl SE&amp;cp=47.4921462587~-122.14547763283","Map")</f>
        <v>Map</v>
      </c>
      <c r="N2489" s="2" t="str">
        <f>HYPERLINK("http://i-0.rfimg.us/photo/1/bigphoto/741/28044741_2.jpg","Photo")</f>
        <v>Photo</v>
      </c>
      <c r="AG2489">
        <v>47.492146258699997</v>
      </c>
      <c r="AH2489">
        <v>-122.14547763282999</v>
      </c>
      <c r="AI2489" t="s">
        <v>1077</v>
      </c>
      <c r="AJ2489">
        <v>98059</v>
      </c>
      <c r="AN2489">
        <v>578450</v>
      </c>
      <c r="BC2489" s="22">
        <v>39521.411747685182</v>
      </c>
      <c r="BI2489" s="22">
        <v>39549.294907407406</v>
      </c>
      <c r="BL2489">
        <v>12580</v>
      </c>
      <c r="BM2489">
        <v>1559250</v>
      </c>
      <c r="BN2489" t="s">
        <v>2590</v>
      </c>
      <c r="BO2489" s="17">
        <f t="shared" ca="1" si="38"/>
        <v>27.897658217596472</v>
      </c>
      <c r="BP2489" t="b">
        <v>0</v>
      </c>
      <c r="BQ2489">
        <v>1</v>
      </c>
      <c r="BR2489" t="s">
        <v>1842</v>
      </c>
      <c r="BS2489" t="s">
        <v>5404</v>
      </c>
      <c r="BT2489" t="b">
        <v>0</v>
      </c>
      <c r="BV2489" t="s">
        <v>1668</v>
      </c>
      <c r="BW2489">
        <v>12403</v>
      </c>
      <c r="BX2489" t="s">
        <v>3856</v>
      </c>
      <c r="BY2489">
        <v>8189681</v>
      </c>
      <c r="BZ2489" t="s">
        <v>1730</v>
      </c>
      <c r="CA2489">
        <v>1</v>
      </c>
      <c r="CB2489" t="b">
        <v>1</v>
      </c>
      <c r="CC2489">
        <v>0</v>
      </c>
      <c r="CD2489" t="b">
        <v>0</v>
      </c>
      <c r="CE2489" t="b">
        <v>0</v>
      </c>
      <c r="CF2489" t="b">
        <v>0</v>
      </c>
      <c r="CG2489">
        <v>3027788</v>
      </c>
      <c r="CH2489" t="s">
        <v>1681</v>
      </c>
      <c r="CI2489" s="10">
        <v>629000</v>
      </c>
      <c r="CJ2489" s="7">
        <v>38988</v>
      </c>
    </row>
    <row r="2490" spans="1:90">
      <c r="A2490">
        <v>28044749</v>
      </c>
      <c r="B2490" s="2" t="str">
        <f>HYPERLINK("http://www.redfin.com/stingray/do/printable-listing?listing-id=1560290","Active")</f>
        <v>Active</v>
      </c>
      <c r="D2490" t="s">
        <v>55</v>
      </c>
      <c r="E2490" t="s">
        <v>2721</v>
      </c>
      <c r="F2490">
        <v>325000</v>
      </c>
      <c r="G2490">
        <v>1999</v>
      </c>
      <c r="H2490">
        <v>1240</v>
      </c>
      <c r="I2490">
        <v>1480</v>
      </c>
      <c r="J2490">
        <v>2</v>
      </c>
      <c r="K2490">
        <v>1.5</v>
      </c>
      <c r="M2490" s="2" t="str">
        <f>HYPERLINK("http://maps.live.com/default.aspx?v=2&amp;lvl=15&amp;sp=Point.47.697738_-122.349143_727 N 95th St nA&amp;cp=47.697738~-122.349143","Map")</f>
        <v>Map</v>
      </c>
      <c r="N2490" s="2" t="str">
        <f>HYPERLINK("http://i-0.rfimg.us/photo/1/bigphoto/749/28044749_2.jpg","Photo")</f>
        <v>Photo</v>
      </c>
      <c r="AG2490">
        <v>47.697738000000001</v>
      </c>
      <c r="AH2490">
        <v>-122.349143</v>
      </c>
      <c r="AI2490" t="s">
        <v>66</v>
      </c>
      <c r="AJ2490">
        <v>98103</v>
      </c>
      <c r="AM2490" t="s">
        <v>1722</v>
      </c>
      <c r="BC2490" s="22">
        <v>39521.59002314815</v>
      </c>
      <c r="BI2490" s="22">
        <v>39549.294907407406</v>
      </c>
      <c r="BL2490">
        <v>6500</v>
      </c>
      <c r="BM2490">
        <v>1560290</v>
      </c>
      <c r="BN2490" t="s">
        <v>1678</v>
      </c>
      <c r="BO2490" s="17">
        <f t="shared" ca="1" si="38"/>
        <v>27.719382754628896</v>
      </c>
      <c r="BP2490" t="b">
        <v>0</v>
      </c>
      <c r="BQ2490">
        <v>1</v>
      </c>
      <c r="BR2490" t="s">
        <v>1686</v>
      </c>
      <c r="BS2490" t="s">
        <v>2722</v>
      </c>
      <c r="BT2490" t="b">
        <v>0</v>
      </c>
      <c r="BU2490" t="s">
        <v>1712</v>
      </c>
      <c r="BV2490" t="s">
        <v>1668</v>
      </c>
      <c r="BW2490">
        <v>727</v>
      </c>
      <c r="BY2490">
        <v>12428498</v>
      </c>
      <c r="BZ2490" t="s">
        <v>2723</v>
      </c>
      <c r="CA2490">
        <v>1</v>
      </c>
      <c r="CB2490" t="b">
        <v>1</v>
      </c>
      <c r="CC2490">
        <v>0</v>
      </c>
      <c r="CD2490" t="b">
        <v>0</v>
      </c>
      <c r="CE2490" t="b">
        <v>0</v>
      </c>
      <c r="CF2490" t="b">
        <v>0</v>
      </c>
      <c r="CG2490">
        <v>15632246</v>
      </c>
      <c r="CH2490" t="s">
        <v>1681</v>
      </c>
      <c r="CI2490" s="10">
        <v>325000</v>
      </c>
    </row>
    <row r="2491" spans="1:90">
      <c r="A2491">
        <v>28044786</v>
      </c>
      <c r="B2491" s="2" t="str">
        <f>HYPERLINK("http://www.redfin.com/stingray/do/printable-listing?listing-id=1560630","Active")</f>
        <v>Active</v>
      </c>
      <c r="D2491" t="s">
        <v>3089</v>
      </c>
      <c r="E2491" t="s">
        <v>3692</v>
      </c>
      <c r="F2491">
        <v>1895000</v>
      </c>
      <c r="G2491">
        <v>1984</v>
      </c>
      <c r="H2491">
        <v>4990</v>
      </c>
      <c r="I2491">
        <v>6398</v>
      </c>
      <c r="J2491">
        <v>6</v>
      </c>
      <c r="K2491">
        <v>4</v>
      </c>
      <c r="M2491" s="2" t="str">
        <f>HYPERLINK("http://maps.live.com/default.aspx?v=2&amp;lvl=15&amp;sp=Point.47.655479_-122.275027_3801 49th Ave NE&amp;cp=47.655479~-122.275027","Map")</f>
        <v>Map</v>
      </c>
      <c r="N2491" s="2" t="str">
        <f>HYPERLINK("http://i-0.rfimg.us/photo/1/bigphoto/786/28044786_1.jpg","Photo")</f>
        <v>Photo</v>
      </c>
      <c r="AG2491">
        <v>47.655479</v>
      </c>
      <c r="AH2491">
        <v>-122.27502699999999</v>
      </c>
      <c r="AI2491" t="s">
        <v>66</v>
      </c>
      <c r="AJ2491">
        <v>98105</v>
      </c>
      <c r="AN2491">
        <v>700000</v>
      </c>
      <c r="BC2491" s="22">
        <v>39521.652395833335</v>
      </c>
      <c r="BI2491" s="22">
        <v>39549.294907407406</v>
      </c>
      <c r="BL2491">
        <v>37900</v>
      </c>
      <c r="BM2491">
        <v>1560630</v>
      </c>
      <c r="BN2491" t="s">
        <v>1710</v>
      </c>
      <c r="BO2491" s="17">
        <f t="shared" ca="1" si="38"/>
        <v>27.657010069444368</v>
      </c>
      <c r="BP2491" t="b">
        <v>0</v>
      </c>
      <c r="BQ2491">
        <v>1</v>
      </c>
      <c r="BR2491" t="s">
        <v>1667</v>
      </c>
      <c r="BS2491" t="s">
        <v>2446</v>
      </c>
      <c r="BT2491" t="b">
        <v>0</v>
      </c>
      <c r="BV2491" t="s">
        <v>1668</v>
      </c>
      <c r="BW2491">
        <v>3801</v>
      </c>
      <c r="BX2491" t="s">
        <v>1738</v>
      </c>
      <c r="BY2491">
        <v>122813</v>
      </c>
      <c r="BZ2491" t="s">
        <v>1709</v>
      </c>
      <c r="CA2491">
        <v>1</v>
      </c>
      <c r="CB2491" t="b">
        <v>1</v>
      </c>
      <c r="CC2491">
        <v>0</v>
      </c>
      <c r="CD2491" t="b">
        <v>0</v>
      </c>
      <c r="CE2491" t="b">
        <v>0</v>
      </c>
      <c r="CF2491" t="b">
        <v>0</v>
      </c>
      <c r="CG2491">
        <v>2556793</v>
      </c>
      <c r="CH2491" t="s">
        <v>1681</v>
      </c>
      <c r="CI2491" s="10">
        <v>1895000</v>
      </c>
      <c r="CJ2491" s="7">
        <v>35375</v>
      </c>
    </row>
    <row r="2492" spans="1:90">
      <c r="A2492">
        <v>28044816</v>
      </c>
      <c r="B2492" s="2" t="str">
        <f>HYPERLINK("http://www.redfin.com/stingray/do/printable-listing?listing-id=1559249","Active")</f>
        <v>Active</v>
      </c>
      <c r="D2492" t="s">
        <v>3249</v>
      </c>
      <c r="E2492" t="s">
        <v>3570</v>
      </c>
      <c r="F2492">
        <v>479000</v>
      </c>
      <c r="G2492">
        <v>2000</v>
      </c>
      <c r="H2492">
        <v>1440</v>
      </c>
      <c r="I2492">
        <v>0</v>
      </c>
      <c r="J2492">
        <v>3</v>
      </c>
      <c r="K2492">
        <v>3.5</v>
      </c>
      <c r="M2492" s="2" t="str">
        <f>HYPERLINK("http://maps.live.com/default.aspx?v=2&amp;lvl=15&amp;sp=Point.47.651197_-122.366769_657 W Emerson St.&amp;cp=47.651197~-122.366769","Map")</f>
        <v>Map</v>
      </c>
      <c r="N2492" s="2" t="str">
        <f>HYPERLINK("http://i-0.rfimg.us/photo/1/bigphoto/816/28044816_0.jpg","Photo")</f>
        <v>Photo</v>
      </c>
      <c r="AG2492">
        <v>47.651197000000003</v>
      </c>
      <c r="AH2492">
        <v>-122.36676900000001</v>
      </c>
      <c r="AI2492" t="s">
        <v>66</v>
      </c>
      <c r="AJ2492">
        <v>98119</v>
      </c>
      <c r="BC2492" s="22">
        <v>39521.411724537036</v>
      </c>
      <c r="BI2492" s="22">
        <v>39549.294907407406</v>
      </c>
      <c r="BL2492">
        <v>9580</v>
      </c>
      <c r="BM2492">
        <v>1559249</v>
      </c>
      <c r="BN2492" t="s">
        <v>1680</v>
      </c>
      <c r="BO2492" s="17">
        <f t="shared" ca="1" si="38"/>
        <v>27.897681365742756</v>
      </c>
      <c r="BP2492" t="b">
        <v>0</v>
      </c>
      <c r="BQ2492">
        <v>1</v>
      </c>
      <c r="BS2492" t="s">
        <v>3571</v>
      </c>
      <c r="BT2492" t="b">
        <v>0</v>
      </c>
      <c r="BU2492" t="s">
        <v>2423</v>
      </c>
      <c r="BV2492" t="s">
        <v>1668</v>
      </c>
      <c r="BW2492">
        <v>657</v>
      </c>
      <c r="BY2492">
        <v>11901949</v>
      </c>
      <c r="BZ2492" t="s">
        <v>1713</v>
      </c>
      <c r="CA2492">
        <v>1</v>
      </c>
      <c r="CB2492" t="b">
        <v>1</v>
      </c>
      <c r="CC2492">
        <v>0</v>
      </c>
      <c r="CD2492" t="b">
        <v>0</v>
      </c>
      <c r="CE2492" t="b">
        <v>0</v>
      </c>
      <c r="CF2492" t="b">
        <v>0</v>
      </c>
      <c r="CG2492">
        <v>15156174</v>
      </c>
      <c r="CH2492" t="s">
        <v>1681</v>
      </c>
      <c r="CI2492" s="10">
        <v>479000</v>
      </c>
      <c r="CL2492" s="19" t="s">
        <v>6570</v>
      </c>
    </row>
    <row r="2493" spans="1:90">
      <c r="A2493">
        <v>28044820</v>
      </c>
      <c r="B2493" s="2" t="str">
        <f>HYPERLINK("http://www.redfin.com/stingray/do/printable-listing?listing-id=1563635","Active")</f>
        <v>Active</v>
      </c>
      <c r="D2493" t="s">
        <v>192</v>
      </c>
      <c r="E2493" t="s">
        <v>2189</v>
      </c>
      <c r="F2493">
        <v>474950</v>
      </c>
      <c r="G2493">
        <v>1941</v>
      </c>
      <c r="H2493">
        <v>2260</v>
      </c>
      <c r="I2493">
        <v>4590</v>
      </c>
      <c r="J2493">
        <v>3</v>
      </c>
      <c r="K2493">
        <v>1.5</v>
      </c>
      <c r="M2493" s="2" t="str">
        <f>HYPERLINK("http://maps.live.com/default.aspx?v=2&amp;lvl=15&amp;sp=Point.47.686979_-122.318728_834 NE 80th St&amp;cp=47.686979~-122.318728","Map")</f>
        <v>Map</v>
      </c>
      <c r="N2493" s="2" t="str">
        <f>HYPERLINK("http://i-0.rfimg.us/photo/1/bigphoto/820/28044820_1.jpg","Photo")</f>
        <v>Photo</v>
      </c>
      <c r="AG2493">
        <v>47.686979000000001</v>
      </c>
      <c r="AH2493">
        <v>-122.31872799999999</v>
      </c>
      <c r="AI2493" t="s">
        <v>66</v>
      </c>
      <c r="AJ2493">
        <v>98115</v>
      </c>
      <c r="AN2493">
        <v>360000</v>
      </c>
      <c r="BC2493" s="22">
        <v>39522.90053240741</v>
      </c>
      <c r="BI2493" s="22">
        <v>39549.294907407406</v>
      </c>
      <c r="BL2493">
        <v>9499</v>
      </c>
      <c r="BM2493">
        <v>1563635</v>
      </c>
      <c r="BN2493" t="s">
        <v>1680</v>
      </c>
      <c r="BO2493" s="17">
        <f t="shared" ca="1" si="38"/>
        <v>26.408873495369335</v>
      </c>
      <c r="BP2493" t="b">
        <v>0</v>
      </c>
      <c r="BQ2493">
        <v>1</v>
      </c>
      <c r="BR2493" t="s">
        <v>1686</v>
      </c>
      <c r="BS2493" t="s">
        <v>1711</v>
      </c>
      <c r="BT2493" t="b">
        <v>0</v>
      </c>
      <c r="BU2493" t="s">
        <v>1738</v>
      </c>
      <c r="BV2493" t="s">
        <v>1668</v>
      </c>
      <c r="BW2493">
        <v>834</v>
      </c>
      <c r="BY2493">
        <v>108334</v>
      </c>
      <c r="BZ2493" t="s">
        <v>3113</v>
      </c>
      <c r="CA2493">
        <v>1</v>
      </c>
      <c r="CB2493" t="b">
        <v>1</v>
      </c>
      <c r="CC2493">
        <v>0</v>
      </c>
      <c r="CD2493" t="b">
        <v>0</v>
      </c>
      <c r="CE2493" t="b">
        <v>0</v>
      </c>
      <c r="CF2493" t="b">
        <v>0</v>
      </c>
      <c r="CG2493">
        <v>2522788</v>
      </c>
      <c r="CH2493" t="s">
        <v>1681</v>
      </c>
      <c r="CI2493" s="10">
        <v>474950</v>
      </c>
      <c r="CJ2493" s="7">
        <v>38068</v>
      </c>
    </row>
    <row r="2494" spans="1:90">
      <c r="A2494">
        <v>28044879</v>
      </c>
      <c r="B2494" s="15" t="str">
        <f>HYPERLINK("http://www.redfin.com/stingray/do/printable-listing?listing-id=1560300","Subject To Inspection")</f>
        <v>Subject To Inspection</v>
      </c>
      <c r="D2494" t="s">
        <v>919</v>
      </c>
      <c r="E2494" t="s">
        <v>2156</v>
      </c>
      <c r="F2494">
        <v>379888</v>
      </c>
      <c r="G2494">
        <v>1948</v>
      </c>
      <c r="H2494">
        <v>2200</v>
      </c>
      <c r="I2494">
        <v>7357</v>
      </c>
      <c r="J2494">
        <v>3</v>
      </c>
      <c r="K2494">
        <v>1.75</v>
      </c>
      <c r="M2494" s="2" t="str">
        <f>HYPERLINK("http://maps.live.com/default.aspx?v=2&amp;lvl=15&amp;sp=Point.47.703466_-122.337245_1704 N 103rd St&amp;cp=47.703466~-122.337245","Map")</f>
        <v>Map</v>
      </c>
      <c r="N2494" s="2" t="str">
        <f>HYPERLINK("http://i-0.rfimg.us/photo/1/bigphoto/879/28044879_2.jpg","Photo")</f>
        <v>Photo</v>
      </c>
      <c r="AG2494">
        <v>47.703465999999999</v>
      </c>
      <c r="AH2494">
        <v>-122.337245</v>
      </c>
      <c r="AI2494" t="s">
        <v>66</v>
      </c>
      <c r="AJ2494">
        <v>98133</v>
      </c>
      <c r="BC2494" s="22">
        <v>39521.590219907404</v>
      </c>
      <c r="BI2494" s="7">
        <v>39539</v>
      </c>
      <c r="BL2494">
        <v>7598</v>
      </c>
      <c r="BM2494">
        <v>1560300</v>
      </c>
      <c r="BN2494" t="s">
        <v>1725</v>
      </c>
      <c r="BO2494" s="17">
        <f t="shared" ca="1" si="38"/>
        <v>27.719185995374573</v>
      </c>
      <c r="BP2494" t="b">
        <v>0</v>
      </c>
      <c r="BQ2494">
        <v>1</v>
      </c>
      <c r="BR2494" t="s">
        <v>1686</v>
      </c>
      <c r="BS2494" t="s">
        <v>2691</v>
      </c>
      <c r="BT2494" t="b">
        <v>0</v>
      </c>
      <c r="BU2494" t="s">
        <v>1712</v>
      </c>
      <c r="BV2494" t="s">
        <v>1668</v>
      </c>
      <c r="BW2494">
        <v>1704</v>
      </c>
      <c r="BY2494">
        <v>104981</v>
      </c>
      <c r="BZ2494" t="s">
        <v>2692</v>
      </c>
      <c r="CA2494">
        <v>1</v>
      </c>
      <c r="CB2494" t="b">
        <v>1</v>
      </c>
      <c r="CC2494">
        <v>0</v>
      </c>
      <c r="CD2494" t="b">
        <v>0</v>
      </c>
      <c r="CE2494" t="b">
        <v>0</v>
      </c>
      <c r="CF2494" t="b">
        <v>0</v>
      </c>
      <c r="CG2494">
        <v>2473982</v>
      </c>
      <c r="CH2494" t="s">
        <v>1681</v>
      </c>
      <c r="CI2494" s="10">
        <v>379888</v>
      </c>
    </row>
    <row r="2495" spans="1:90">
      <c r="A2495">
        <v>28044882</v>
      </c>
      <c r="B2495" s="2" t="str">
        <f>HYPERLINK("http://www.redfin.com/stingray/do/printable-listing?listing-id=1574447","Active")</f>
        <v>Active</v>
      </c>
      <c r="D2495" t="s">
        <v>3249</v>
      </c>
      <c r="E2495" t="s">
        <v>3419</v>
      </c>
      <c r="F2495">
        <v>549999</v>
      </c>
      <c r="G2495">
        <v>2006</v>
      </c>
      <c r="H2495">
        <v>1795</v>
      </c>
      <c r="I2495">
        <v>1658</v>
      </c>
      <c r="J2495">
        <v>3</v>
      </c>
      <c r="K2495">
        <v>3.25</v>
      </c>
      <c r="M2495" s="2" t="str">
        <f>HYPERLINK("http://maps.live.com/default.aspx?v=2&amp;lvl=15&amp;sp=Point.47.650876_-122.374695_3422 14th Ave W nB&amp;cp=47.650876~-122.374695","Map")</f>
        <v>Map</v>
      </c>
      <c r="N2495" s="2" t="str">
        <f>HYPERLINK("http://i-0.rfimg.us/photo/1/bigphoto/882/28044882_0.jpg","Photo")</f>
        <v>Photo</v>
      </c>
      <c r="AG2495">
        <v>47.650875999999997</v>
      </c>
      <c r="AH2495">
        <v>-122.374695</v>
      </c>
      <c r="AI2495" t="s">
        <v>66</v>
      </c>
      <c r="AJ2495">
        <v>98119</v>
      </c>
      <c r="AM2495" t="s">
        <v>1699</v>
      </c>
      <c r="BC2495" s="22">
        <v>39527.369004629632</v>
      </c>
      <c r="BI2495" s="22">
        <v>39549.294907407406</v>
      </c>
      <c r="BL2495">
        <v>11000</v>
      </c>
      <c r="BM2495">
        <v>1574447</v>
      </c>
      <c r="BN2495" t="s">
        <v>1673</v>
      </c>
      <c r="BO2495" s="17">
        <f t="shared" ca="1" si="38"/>
        <v>21.940401273146563</v>
      </c>
      <c r="BP2495" t="b">
        <v>0</v>
      </c>
      <c r="BQ2495">
        <v>1</v>
      </c>
      <c r="BR2495" t="s">
        <v>1667</v>
      </c>
      <c r="BS2495" t="s">
        <v>1900</v>
      </c>
      <c r="BT2495" t="b">
        <v>0</v>
      </c>
      <c r="BV2495" t="s">
        <v>1668</v>
      </c>
      <c r="BW2495">
        <v>3422</v>
      </c>
      <c r="BX2495" t="s">
        <v>2423</v>
      </c>
      <c r="BY2495">
        <v>12175129</v>
      </c>
      <c r="BZ2495" t="s">
        <v>3420</v>
      </c>
      <c r="CA2495">
        <v>1</v>
      </c>
      <c r="CB2495" t="b">
        <v>1</v>
      </c>
      <c r="CC2495">
        <v>0</v>
      </c>
      <c r="CD2495" t="b">
        <v>0</v>
      </c>
      <c r="CE2495" t="b">
        <v>0</v>
      </c>
      <c r="CF2495" t="b">
        <v>0</v>
      </c>
      <c r="CG2495">
        <v>15405736</v>
      </c>
      <c r="CH2495" t="s">
        <v>1681</v>
      </c>
      <c r="CI2495" s="10">
        <v>549999</v>
      </c>
    </row>
    <row r="2496" spans="1:90">
      <c r="A2496">
        <v>28044934</v>
      </c>
      <c r="B2496" s="2" t="str">
        <f>HYPERLINK("http://www.redfin.com/stingray/do/printable-listing?listing-id=1559640","Active")</f>
        <v>Active</v>
      </c>
      <c r="D2496" t="s">
        <v>3249</v>
      </c>
      <c r="E2496" t="s">
        <v>3441</v>
      </c>
      <c r="F2496" s="19">
        <v>499900</v>
      </c>
      <c r="G2496">
        <v>2007</v>
      </c>
      <c r="H2496">
        <v>1616</v>
      </c>
      <c r="I2496">
        <v>0</v>
      </c>
      <c r="J2496">
        <v>3</v>
      </c>
      <c r="K2496">
        <v>3.25</v>
      </c>
      <c r="M2496" s="2" t="str">
        <f>HYPERLINK("http://maps.live.com/default.aspx?v=2&amp;lvl=15&amp;sp=Point.47.64248_-122.37388_2543 13th Ave W nA&amp;cp=47.64248~-122.37388","Map")</f>
        <v>Map</v>
      </c>
      <c r="N2496" s="2" t="str">
        <f>HYPERLINK("http://i-0.rfimg.us/photo/1/bigphoto/934/28044934_0.jpg","Photo")</f>
        <v>Photo</v>
      </c>
      <c r="AG2496">
        <v>47.642479999999999</v>
      </c>
      <c r="AH2496">
        <v>-122.37388</v>
      </c>
      <c r="AI2496" t="s">
        <v>66</v>
      </c>
      <c r="AJ2496">
        <v>98119</v>
      </c>
      <c r="AM2496" t="s">
        <v>1722</v>
      </c>
      <c r="BC2496" s="22">
        <v>39521.48641203704</v>
      </c>
      <c r="BI2496" s="22">
        <v>39549.294907407406</v>
      </c>
      <c r="BL2496">
        <v>10398</v>
      </c>
      <c r="BM2496">
        <v>1559640</v>
      </c>
      <c r="BN2496" t="s">
        <v>1766</v>
      </c>
      <c r="BO2496" s="17">
        <f t="shared" ca="1" si="38"/>
        <v>27.822993865738681</v>
      </c>
      <c r="BP2496" t="b">
        <v>0</v>
      </c>
      <c r="BQ2496">
        <v>1</v>
      </c>
      <c r="BR2496" t="s">
        <v>1667</v>
      </c>
      <c r="BS2496" t="s">
        <v>1809</v>
      </c>
      <c r="BT2496" t="b">
        <v>0</v>
      </c>
      <c r="BV2496" t="s">
        <v>1668</v>
      </c>
      <c r="BW2496">
        <v>2543</v>
      </c>
      <c r="BX2496" t="s">
        <v>2423</v>
      </c>
      <c r="BY2496">
        <v>12314572</v>
      </c>
      <c r="BZ2496" t="s">
        <v>1676</v>
      </c>
      <c r="CA2496">
        <v>1</v>
      </c>
      <c r="CB2496" t="b">
        <v>1</v>
      </c>
      <c r="CC2496">
        <v>0</v>
      </c>
      <c r="CD2496" t="b">
        <v>0</v>
      </c>
      <c r="CE2496" t="b">
        <v>0</v>
      </c>
      <c r="CF2496" t="b">
        <v>0</v>
      </c>
      <c r="CG2496">
        <v>15521124</v>
      </c>
      <c r="CH2496" t="s">
        <v>1681</v>
      </c>
      <c r="CI2496" s="10">
        <v>519900</v>
      </c>
    </row>
    <row r="2497" spans="1:88">
      <c r="A2497">
        <v>28044940</v>
      </c>
      <c r="B2497" s="2" t="str">
        <f>HYPERLINK("http://www.redfin.com/stingray/do/printable-listing?listing-id=1559604","Active")</f>
        <v>Active</v>
      </c>
      <c r="D2497" t="s">
        <v>3885</v>
      </c>
      <c r="E2497" t="s">
        <v>5744</v>
      </c>
      <c r="F2497">
        <v>746800</v>
      </c>
      <c r="G2497">
        <v>2007</v>
      </c>
      <c r="H2497">
        <v>3201</v>
      </c>
      <c r="I2497">
        <v>0</v>
      </c>
      <c r="J2497">
        <v>4</v>
      </c>
      <c r="K2497">
        <v>4.75</v>
      </c>
      <c r="M2497" s="2" t="str">
        <f>HYPERLINK("http://maps.live.com/default.aspx?v=2&amp;lvl=15&amp;sp=Point.47.535_-122.1558_8809 137 Ave SE&amp;cp=47.535~-122.1558","Map")</f>
        <v>Map</v>
      </c>
      <c r="N2497" s="2" t="str">
        <f>HYPERLINK("http://i-0.rfimg.us/photo/1/bigphoto/940/28044940_0.jpg","Photo")</f>
        <v>Photo</v>
      </c>
      <c r="AG2497">
        <v>47.534999999999997</v>
      </c>
      <c r="AH2497">
        <v>-122.1558</v>
      </c>
      <c r="AI2497" t="s">
        <v>3885</v>
      </c>
      <c r="AJ2497">
        <v>98059</v>
      </c>
      <c r="BC2497" s="22">
        <v>39521.474317129629</v>
      </c>
      <c r="BI2497" s="22">
        <v>39549.294907407406</v>
      </c>
      <c r="BL2497">
        <v>14936</v>
      </c>
      <c r="BM2497">
        <v>1559604</v>
      </c>
      <c r="BN2497" t="s">
        <v>5743</v>
      </c>
      <c r="BO2497" s="17">
        <f t="shared" ca="1" si="38"/>
        <v>27.835088773150346</v>
      </c>
      <c r="BP2497" t="b">
        <v>0</v>
      </c>
      <c r="BQ2497">
        <v>1</v>
      </c>
      <c r="BR2497" t="s">
        <v>1667</v>
      </c>
      <c r="BS2497">
        <v>137</v>
      </c>
      <c r="BT2497" t="b">
        <v>0</v>
      </c>
      <c r="BV2497" t="s">
        <v>1668</v>
      </c>
      <c r="BW2497">
        <v>8809</v>
      </c>
      <c r="BX2497" t="s">
        <v>3856</v>
      </c>
      <c r="BY2497">
        <v>11929919</v>
      </c>
      <c r="BZ2497" t="s">
        <v>1676</v>
      </c>
      <c r="CA2497">
        <v>1</v>
      </c>
      <c r="CB2497" t="b">
        <v>1</v>
      </c>
      <c r="CC2497">
        <v>0</v>
      </c>
      <c r="CD2497" t="b">
        <v>0</v>
      </c>
      <c r="CE2497" t="b">
        <v>0</v>
      </c>
      <c r="CF2497" t="b">
        <v>0</v>
      </c>
      <c r="CG2497">
        <v>15184145</v>
      </c>
      <c r="CH2497" t="s">
        <v>1681</v>
      </c>
      <c r="CI2497" s="10">
        <v>746800</v>
      </c>
    </row>
    <row r="2498" spans="1:88">
      <c r="A2498">
        <v>28044958</v>
      </c>
      <c r="B2498" s="2" t="str">
        <f>HYPERLINK("http://www.redfin.com/stingray/do/printable-listing?listing-id=1559641","Active")</f>
        <v>Active</v>
      </c>
      <c r="D2498" t="s">
        <v>4974</v>
      </c>
      <c r="E2498" t="s">
        <v>5038</v>
      </c>
      <c r="F2498">
        <v>985000</v>
      </c>
      <c r="G2498">
        <v>1952</v>
      </c>
      <c r="H2498">
        <v>2010</v>
      </c>
      <c r="I2498">
        <v>10350</v>
      </c>
      <c r="J2498">
        <v>4</v>
      </c>
      <c r="K2498">
        <v>2</v>
      </c>
      <c r="M2498" s="2" t="str">
        <f>HYPERLINK("http://maps.live.com/default.aspx?v=2&amp;lvl=15&amp;sp=Point.47.63214_-122.199277_10536 NE 24th St&amp;cp=47.63214~-122.199277","Map")</f>
        <v>Map</v>
      </c>
      <c r="N2498" s="2" t="str">
        <f>HYPERLINK("http://i-0.rfimg.us/photo/1/bigphoto/958/28044958_5.jpg","Photo")</f>
        <v>Photo</v>
      </c>
      <c r="AG2498">
        <v>47.63214</v>
      </c>
      <c r="AH2498">
        <v>-122.199277</v>
      </c>
      <c r="AI2498" t="s">
        <v>369</v>
      </c>
      <c r="AJ2498">
        <v>98004</v>
      </c>
      <c r="AN2498">
        <v>850000</v>
      </c>
      <c r="BC2498" s="22">
        <v>39521.48641203704</v>
      </c>
      <c r="BI2498" s="22">
        <v>39549.294907407406</v>
      </c>
      <c r="BL2498">
        <v>19700</v>
      </c>
      <c r="BM2498">
        <v>1559641</v>
      </c>
      <c r="BN2498" t="s">
        <v>1737</v>
      </c>
      <c r="BO2498" s="17">
        <f t="shared" ref="BO2498:BO2561" ca="1" si="39">NOW()-BC2498</f>
        <v>27.822993865738681</v>
      </c>
      <c r="BP2498" t="b">
        <v>0</v>
      </c>
      <c r="BQ2498">
        <v>1</v>
      </c>
      <c r="BR2498" t="s">
        <v>1686</v>
      </c>
      <c r="BS2498" t="s">
        <v>1740</v>
      </c>
      <c r="BT2498" t="b">
        <v>0</v>
      </c>
      <c r="BU2498" t="s">
        <v>1738</v>
      </c>
      <c r="BV2498" t="s">
        <v>1668</v>
      </c>
      <c r="BW2498">
        <v>10536</v>
      </c>
      <c r="BY2498">
        <v>506131</v>
      </c>
      <c r="BZ2498" t="s">
        <v>5039</v>
      </c>
      <c r="CA2498">
        <v>1</v>
      </c>
      <c r="CB2498" t="b">
        <v>1</v>
      </c>
      <c r="CC2498">
        <v>0</v>
      </c>
      <c r="CD2498" t="b">
        <v>0</v>
      </c>
      <c r="CE2498" t="b">
        <v>0</v>
      </c>
      <c r="CF2498" t="b">
        <v>0</v>
      </c>
      <c r="CG2498">
        <v>2451345</v>
      </c>
      <c r="CH2498" t="s">
        <v>1681</v>
      </c>
      <c r="CI2498" s="10">
        <v>985000</v>
      </c>
      <c r="CJ2498" s="7">
        <v>39090</v>
      </c>
    </row>
    <row r="2499" spans="1:88">
      <c r="A2499">
        <v>28044965</v>
      </c>
      <c r="B2499" s="2" t="str">
        <f>HYPERLINK("http://www.redfin.com/stingray/do/printable-listing?listing-id=1559674","Active")</f>
        <v>Active</v>
      </c>
      <c r="D2499" t="s">
        <v>3071</v>
      </c>
      <c r="E2499" t="s">
        <v>4466</v>
      </c>
      <c r="F2499">
        <v>427000</v>
      </c>
      <c r="G2499">
        <v>1966</v>
      </c>
      <c r="H2499">
        <v>2020</v>
      </c>
      <c r="I2499">
        <v>10214</v>
      </c>
      <c r="J2499">
        <v>4</v>
      </c>
      <c r="K2499">
        <v>2</v>
      </c>
      <c r="M2499" s="2" t="str">
        <f>HYPERLINK("http://maps.live.com/default.aspx?v=2&amp;lvl=15&amp;sp=Point.47.723486_-122.227165_8523 NE 137th Pl&amp;cp=47.723486~-122.227165","Map")</f>
        <v>Map</v>
      </c>
      <c r="N2499" s="2" t="str">
        <f>HYPERLINK("http://i-0.rfimg.us/photo/1/bigphoto/965/28044965_1.jpg","Photo")</f>
        <v>Photo</v>
      </c>
      <c r="AG2499">
        <v>47.723486000000001</v>
      </c>
      <c r="AH2499">
        <v>-122.227165</v>
      </c>
      <c r="AI2499" t="s">
        <v>1058</v>
      </c>
      <c r="AJ2499">
        <v>98034</v>
      </c>
      <c r="AN2499">
        <v>155000</v>
      </c>
      <c r="BC2499" s="22">
        <v>39521.496724537035</v>
      </c>
      <c r="BI2499" s="22">
        <v>39549.294907407406</v>
      </c>
      <c r="BL2499">
        <v>8540</v>
      </c>
      <c r="BM2499">
        <v>1559674</v>
      </c>
      <c r="BN2499" t="s">
        <v>1688</v>
      </c>
      <c r="BO2499" s="17">
        <f t="shared" ca="1" si="39"/>
        <v>27.812681365743629</v>
      </c>
      <c r="BP2499" t="b">
        <v>0</v>
      </c>
      <c r="BQ2499">
        <v>1</v>
      </c>
      <c r="BR2499" t="s">
        <v>1842</v>
      </c>
      <c r="BS2499" t="s">
        <v>3855</v>
      </c>
      <c r="BT2499" t="b">
        <v>0</v>
      </c>
      <c r="BU2499" t="s">
        <v>1738</v>
      </c>
      <c r="BV2499" t="s">
        <v>1668</v>
      </c>
      <c r="BW2499">
        <v>8523</v>
      </c>
      <c r="BY2499">
        <v>279807</v>
      </c>
      <c r="BZ2499" t="s">
        <v>4349</v>
      </c>
      <c r="CA2499">
        <v>1</v>
      </c>
      <c r="CB2499" t="b">
        <v>1</v>
      </c>
      <c r="CC2499">
        <v>0</v>
      </c>
      <c r="CD2499" t="b">
        <v>0</v>
      </c>
      <c r="CE2499" t="b">
        <v>0</v>
      </c>
      <c r="CF2499" t="b">
        <v>0</v>
      </c>
      <c r="CG2499">
        <v>2600935</v>
      </c>
      <c r="CH2499" t="s">
        <v>1681</v>
      </c>
      <c r="CI2499" s="10">
        <v>427000</v>
      </c>
      <c r="CJ2499" s="7">
        <v>35608</v>
      </c>
    </row>
    <row r="2500" spans="1:88">
      <c r="A2500">
        <v>28044975</v>
      </c>
      <c r="B2500" s="2" t="str">
        <f>HYPERLINK("http://www.redfin.com/stingray/do/printable-listing?listing-id=1562555","Subject To Inspection")</f>
        <v>Subject To Inspection</v>
      </c>
      <c r="D2500" t="s">
        <v>3089</v>
      </c>
      <c r="E2500" t="s">
        <v>3195</v>
      </c>
      <c r="F2500">
        <v>1675000</v>
      </c>
      <c r="G2500">
        <v>2006</v>
      </c>
      <c r="H2500">
        <v>3640</v>
      </c>
      <c r="I2500">
        <v>5500</v>
      </c>
      <c r="J2500">
        <v>4</v>
      </c>
      <c r="K2500">
        <v>3.25</v>
      </c>
      <c r="M2500" s="2" t="str">
        <f>HYPERLINK("http://maps.live.com/default.aspx?v=2&amp;lvl=15&amp;sp=Point.47.662054_-122.272787_4525 51st Ave NE&amp;cp=47.662054~-122.272787","Map")</f>
        <v>Map</v>
      </c>
      <c r="N2500" s="2" t="str">
        <f>HYPERLINK("http://i-0.rfimg.us/photo/1/bigphoto/975/28044975_3.jpg","Photo")</f>
        <v>Photo</v>
      </c>
      <c r="AG2500">
        <v>47.662053999999998</v>
      </c>
      <c r="AH2500">
        <v>-122.27278699999999</v>
      </c>
      <c r="AI2500" t="s">
        <v>66</v>
      </c>
      <c r="AJ2500">
        <v>98105</v>
      </c>
      <c r="AN2500">
        <v>1550000</v>
      </c>
      <c r="BC2500" s="22">
        <v>39522.31690972222</v>
      </c>
      <c r="BI2500" s="7">
        <v>39533</v>
      </c>
      <c r="BL2500">
        <v>33500</v>
      </c>
      <c r="BM2500">
        <v>1562555</v>
      </c>
      <c r="BN2500" t="s">
        <v>1821</v>
      </c>
      <c r="BO2500" s="17">
        <f t="shared" ca="1" si="39"/>
        <v>26.992496180559101</v>
      </c>
      <c r="BP2500" t="b">
        <v>0</v>
      </c>
      <c r="BQ2500">
        <v>2</v>
      </c>
      <c r="BR2500" t="s">
        <v>1667</v>
      </c>
      <c r="BS2500" t="s">
        <v>2469</v>
      </c>
      <c r="BT2500" t="b">
        <v>0</v>
      </c>
      <c r="BV2500" t="s">
        <v>1668</v>
      </c>
      <c r="BW2500">
        <v>4525</v>
      </c>
      <c r="BX2500" t="s">
        <v>1738</v>
      </c>
      <c r="BY2500">
        <v>122256</v>
      </c>
      <c r="BZ2500" t="s">
        <v>3196</v>
      </c>
      <c r="CA2500">
        <v>1</v>
      </c>
      <c r="CB2500" t="b">
        <v>1</v>
      </c>
      <c r="CC2500">
        <v>0</v>
      </c>
      <c r="CD2500" t="b">
        <v>0</v>
      </c>
      <c r="CE2500" t="b">
        <v>0</v>
      </c>
      <c r="CF2500" t="b">
        <v>0</v>
      </c>
      <c r="CG2500">
        <v>2930831</v>
      </c>
      <c r="CH2500" t="s">
        <v>1681</v>
      </c>
      <c r="CI2500" s="10">
        <v>1675000</v>
      </c>
      <c r="CJ2500" s="7">
        <v>39290</v>
      </c>
    </row>
    <row r="2501" spans="1:88">
      <c r="A2501">
        <v>28044981</v>
      </c>
      <c r="B2501" s="2" t="str">
        <f>HYPERLINK("http://www.redfin.com/stingray/do/printable-listing?listing-id=1564161","Active")</f>
        <v>Active</v>
      </c>
      <c r="D2501" t="s">
        <v>109</v>
      </c>
      <c r="E2501" t="s">
        <v>2464</v>
      </c>
      <c r="F2501">
        <v>650000</v>
      </c>
      <c r="G2501">
        <v>1920</v>
      </c>
      <c r="H2501">
        <v>1820</v>
      </c>
      <c r="I2501">
        <v>3837</v>
      </c>
      <c r="J2501">
        <v>3</v>
      </c>
      <c r="K2501">
        <v>1.75</v>
      </c>
      <c r="M2501" s="2" t="str">
        <f>HYPERLINK("http://maps.live.com/default.aspx?v=2&amp;lvl=15&amp;sp=Point.47.662809_-122.325402_4549 Latona Ave NE&amp;cp=47.662809~-122.325402","Map")</f>
        <v>Map</v>
      </c>
      <c r="N2501" s="2" t="str">
        <f>HYPERLINK("http://i-0.rfimg.us/photo/1/bigphoto/981/28044981_3.jpg","Photo")</f>
        <v>Photo</v>
      </c>
      <c r="AG2501">
        <v>47.662809000000003</v>
      </c>
      <c r="AH2501">
        <v>-122.325402</v>
      </c>
      <c r="AI2501" t="s">
        <v>66</v>
      </c>
      <c r="AJ2501">
        <v>98105</v>
      </c>
      <c r="AN2501">
        <v>195000</v>
      </c>
      <c r="BC2501" s="22">
        <v>39523.452361111114</v>
      </c>
      <c r="BI2501" s="22">
        <v>39549.294907407406</v>
      </c>
      <c r="BL2501">
        <v>13000</v>
      </c>
      <c r="BM2501">
        <v>1564161</v>
      </c>
      <c r="BN2501" t="s">
        <v>1674</v>
      </c>
      <c r="BO2501" s="17">
        <f t="shared" ca="1" si="39"/>
        <v>25.857044907403179</v>
      </c>
      <c r="BP2501" t="b">
        <v>0</v>
      </c>
      <c r="BQ2501">
        <v>1</v>
      </c>
      <c r="BR2501" t="s">
        <v>1667</v>
      </c>
      <c r="BS2501" t="s">
        <v>2395</v>
      </c>
      <c r="BT2501" t="b">
        <v>0</v>
      </c>
      <c r="BV2501" t="s">
        <v>1668</v>
      </c>
      <c r="BW2501">
        <v>4549</v>
      </c>
      <c r="BX2501" t="s">
        <v>1738</v>
      </c>
      <c r="BY2501">
        <v>117689</v>
      </c>
      <c r="BZ2501" t="s">
        <v>2465</v>
      </c>
      <c r="CA2501">
        <v>1</v>
      </c>
      <c r="CB2501" t="b">
        <v>1</v>
      </c>
      <c r="CC2501">
        <v>0</v>
      </c>
      <c r="CD2501" t="b">
        <v>0</v>
      </c>
      <c r="CE2501" t="b">
        <v>0</v>
      </c>
      <c r="CF2501" t="b">
        <v>0</v>
      </c>
      <c r="CG2501">
        <v>2394482</v>
      </c>
      <c r="CH2501" t="s">
        <v>1681</v>
      </c>
      <c r="CI2501" s="10">
        <v>650000</v>
      </c>
      <c r="CJ2501" s="7">
        <v>35219</v>
      </c>
    </row>
    <row r="2502" spans="1:88">
      <c r="A2502">
        <v>28044986</v>
      </c>
      <c r="B2502" s="2" t="str">
        <f>HYPERLINK("http://www.redfin.com/stingray/do/printable-listing?listing-id=1559746","Active")</f>
        <v>Active</v>
      </c>
      <c r="D2502" t="s">
        <v>2552</v>
      </c>
      <c r="E2502" t="s">
        <v>3411</v>
      </c>
      <c r="F2502">
        <v>575000</v>
      </c>
      <c r="G2502">
        <v>1944</v>
      </c>
      <c r="H2502">
        <v>1760</v>
      </c>
      <c r="I2502">
        <v>2343</v>
      </c>
      <c r="J2502">
        <v>4</v>
      </c>
      <c r="K2502">
        <v>2</v>
      </c>
      <c r="M2502" s="2" t="str">
        <f>HYPERLINK("http://maps.live.com/default.aspx?v=2&amp;lvl=15&amp;sp=Point.47.651969_-122.400365_3450 34th Ave W&amp;cp=47.651969~-122.400365","Map")</f>
        <v>Map</v>
      </c>
      <c r="N2502" s="2" t="str">
        <f>HYPERLINK("http://i-0.rfimg.us/photo/1/bigphoto/986/28044986_0.jpg","Photo")</f>
        <v>Photo</v>
      </c>
      <c r="AG2502">
        <v>47.651969000000001</v>
      </c>
      <c r="AH2502">
        <v>-122.40036499999999</v>
      </c>
      <c r="AI2502" t="s">
        <v>66</v>
      </c>
      <c r="AJ2502">
        <v>98199</v>
      </c>
      <c r="AN2502">
        <v>362300</v>
      </c>
      <c r="BC2502" s="22">
        <v>39521.507939814815</v>
      </c>
      <c r="BI2502" s="22">
        <v>39549.294907407406</v>
      </c>
      <c r="BL2502">
        <v>11500</v>
      </c>
      <c r="BM2502">
        <v>1559746</v>
      </c>
      <c r="BN2502" t="s">
        <v>1678</v>
      </c>
      <c r="BO2502" s="17">
        <f t="shared" ca="1" si="39"/>
        <v>27.80146608796349</v>
      </c>
      <c r="BP2502" t="b">
        <v>0</v>
      </c>
      <c r="BQ2502">
        <v>1</v>
      </c>
      <c r="BR2502" t="s">
        <v>1667</v>
      </c>
      <c r="BS2502" t="s">
        <v>2912</v>
      </c>
      <c r="BT2502" t="b">
        <v>0</v>
      </c>
      <c r="BV2502" t="s">
        <v>1668</v>
      </c>
      <c r="BW2502">
        <v>3450</v>
      </c>
      <c r="BX2502" t="s">
        <v>2423</v>
      </c>
      <c r="BY2502">
        <v>128988</v>
      </c>
      <c r="BZ2502" t="s">
        <v>1670</v>
      </c>
      <c r="CA2502">
        <v>1</v>
      </c>
      <c r="CB2502" t="b">
        <v>1</v>
      </c>
      <c r="CC2502">
        <v>0</v>
      </c>
      <c r="CD2502" t="b">
        <v>0</v>
      </c>
      <c r="CE2502" t="b">
        <v>0</v>
      </c>
      <c r="CF2502" t="b">
        <v>0</v>
      </c>
      <c r="CG2502">
        <v>2561260</v>
      </c>
      <c r="CH2502" t="s">
        <v>1681</v>
      </c>
      <c r="CI2502" s="10">
        <v>575000</v>
      </c>
      <c r="CJ2502" s="7">
        <v>38342</v>
      </c>
    </row>
    <row r="2503" spans="1:88">
      <c r="A2503">
        <v>28045007</v>
      </c>
      <c r="B2503" s="2" t="str">
        <f>HYPERLINK("http://www.redfin.com/stingray/do/printable-listing?listing-id=1559740","Active")</f>
        <v>Active</v>
      </c>
      <c r="D2503" t="s">
        <v>4359</v>
      </c>
      <c r="E2503" t="s">
        <v>4361</v>
      </c>
      <c r="F2503" s="19">
        <v>375000</v>
      </c>
      <c r="G2503">
        <v>1959</v>
      </c>
      <c r="H2503">
        <v>960</v>
      </c>
      <c r="I2503">
        <v>19166</v>
      </c>
      <c r="J2503">
        <v>3</v>
      </c>
      <c r="K2503">
        <v>1</v>
      </c>
      <c r="M2503" s="2" t="str">
        <f>HYPERLINK("http://maps.live.com/default.aspx?v=2&amp;lvl=15&amp;sp=Point.47.697988_-122.164081_10838 132nd Ave NE&amp;cp=47.697988~-122.164081","Map")</f>
        <v>Map</v>
      </c>
      <c r="N2503" s="2" t="str">
        <f>HYPERLINK("http://i-0.rfimg.us/photo/1/bigphoto/007/28045007_1.jpg","Photo")</f>
        <v>Photo</v>
      </c>
      <c r="AG2503">
        <v>47.697988000000002</v>
      </c>
      <c r="AH2503">
        <v>-122.164081</v>
      </c>
      <c r="AI2503" t="s">
        <v>4363</v>
      </c>
      <c r="AJ2503">
        <v>98052</v>
      </c>
      <c r="BC2503" s="22">
        <v>39521.507881944446</v>
      </c>
      <c r="BI2503" s="22">
        <v>39549.294907407406</v>
      </c>
      <c r="BL2503">
        <v>7789</v>
      </c>
      <c r="BM2503">
        <v>1559740</v>
      </c>
      <c r="BN2503" t="s">
        <v>3362</v>
      </c>
      <c r="BO2503" s="17">
        <f t="shared" ca="1" si="39"/>
        <v>27.801523958332837</v>
      </c>
      <c r="BP2503" t="b">
        <v>0</v>
      </c>
      <c r="BQ2503">
        <v>1</v>
      </c>
      <c r="BR2503" t="s">
        <v>1667</v>
      </c>
      <c r="BS2503" t="s">
        <v>4362</v>
      </c>
      <c r="BT2503" t="b">
        <v>0</v>
      </c>
      <c r="BV2503" t="s">
        <v>1668</v>
      </c>
      <c r="BW2503">
        <v>10838</v>
      </c>
      <c r="BX2503" t="s">
        <v>1738</v>
      </c>
      <c r="BY2503">
        <v>511795</v>
      </c>
      <c r="BZ2503" t="s">
        <v>2429</v>
      </c>
      <c r="CA2503">
        <v>1</v>
      </c>
      <c r="CB2503" t="b">
        <v>1</v>
      </c>
      <c r="CC2503">
        <v>0</v>
      </c>
      <c r="CD2503" t="b">
        <v>0</v>
      </c>
      <c r="CE2503" t="b">
        <v>0</v>
      </c>
      <c r="CF2503" t="b">
        <v>0</v>
      </c>
      <c r="CG2503">
        <v>2676789</v>
      </c>
      <c r="CH2503" t="s">
        <v>1681</v>
      </c>
      <c r="CI2503" s="10">
        <v>389450</v>
      </c>
    </row>
    <row r="2504" spans="1:88">
      <c r="A2504">
        <v>28045022</v>
      </c>
      <c r="B2504" s="2" t="str">
        <f>HYPERLINK("http://www.redfin.com/stingray/do/printable-listing?listing-id=1559809","Active")</f>
        <v>Active</v>
      </c>
      <c r="D2504" t="s">
        <v>60</v>
      </c>
      <c r="E2504" t="s">
        <v>2140</v>
      </c>
      <c r="F2504">
        <v>430000</v>
      </c>
      <c r="G2504">
        <v>1908</v>
      </c>
      <c r="H2504">
        <v>2160</v>
      </c>
      <c r="I2504">
        <v>3720</v>
      </c>
      <c r="J2504">
        <v>2</v>
      </c>
      <c r="K2504">
        <v>0.75</v>
      </c>
      <c r="M2504" s="2" t="str">
        <f>HYPERLINK("http://maps.live.com/default.aspx?v=2&amp;lvl=15&amp;sp=Point.47.676624_-122.348439_737 N 66 St&amp;cp=47.676624~-122.348439","Map")</f>
        <v>Map</v>
      </c>
      <c r="N2504" s="2" t="str">
        <f>HYPERLINK("http://i-0.rfimg.us/photo/1/bigphoto/022/28045022_1.jpg","Photo")</f>
        <v>Photo</v>
      </c>
      <c r="AG2504">
        <v>47.676623999999997</v>
      </c>
      <c r="AH2504">
        <v>-122.348439</v>
      </c>
      <c r="AI2504" t="s">
        <v>66</v>
      </c>
      <c r="AJ2504">
        <v>98103</v>
      </c>
      <c r="AN2504">
        <v>210000</v>
      </c>
      <c r="BC2504" s="22">
        <v>39521.520590277774</v>
      </c>
      <c r="BI2504" s="22">
        <v>39549.294907407406</v>
      </c>
      <c r="BL2504">
        <v>8600</v>
      </c>
      <c r="BM2504">
        <v>1559809</v>
      </c>
      <c r="BN2504" t="s">
        <v>1768</v>
      </c>
      <c r="BO2504" s="17">
        <f t="shared" ca="1" si="39"/>
        <v>27.788815740743303</v>
      </c>
      <c r="BP2504" t="b">
        <v>0</v>
      </c>
      <c r="BQ2504">
        <v>1</v>
      </c>
      <c r="BR2504" t="s">
        <v>1686</v>
      </c>
      <c r="BS2504">
        <v>66</v>
      </c>
      <c r="BT2504" t="b">
        <v>0</v>
      </c>
      <c r="BU2504" t="s">
        <v>1712</v>
      </c>
      <c r="BV2504" t="s">
        <v>1668</v>
      </c>
      <c r="BW2504">
        <v>737</v>
      </c>
      <c r="BY2504">
        <v>301011</v>
      </c>
      <c r="BZ2504" t="s">
        <v>2429</v>
      </c>
      <c r="CA2504">
        <v>1</v>
      </c>
      <c r="CB2504" t="b">
        <v>1</v>
      </c>
      <c r="CC2504">
        <v>0</v>
      </c>
      <c r="CD2504" t="b">
        <v>0</v>
      </c>
      <c r="CE2504" t="b">
        <v>0</v>
      </c>
      <c r="CF2504" t="b">
        <v>0</v>
      </c>
      <c r="CG2504">
        <v>2491232</v>
      </c>
      <c r="CH2504" t="s">
        <v>1681</v>
      </c>
      <c r="CI2504" s="10">
        <v>430000</v>
      </c>
      <c r="CJ2504" s="7">
        <v>36556</v>
      </c>
    </row>
    <row r="2505" spans="1:88">
      <c r="A2505">
        <v>28045036</v>
      </c>
      <c r="B2505" s="15" t="str">
        <f>HYPERLINK("http://www.redfin.com/stingray/do/printable-listing?listing-id=1566625","Subject To Inspection")</f>
        <v>Subject To Inspection</v>
      </c>
      <c r="D2505" t="s">
        <v>5300</v>
      </c>
      <c r="E2505" t="s">
        <v>5298</v>
      </c>
      <c r="F2505">
        <v>600000</v>
      </c>
      <c r="G2505">
        <v>1968</v>
      </c>
      <c r="H2505">
        <v>2910</v>
      </c>
      <c r="I2505">
        <v>8970</v>
      </c>
      <c r="J2505">
        <v>5</v>
      </c>
      <c r="K2505">
        <v>2.75</v>
      </c>
      <c r="M2505" s="2" t="str">
        <f>HYPERLINK("http://maps.live.com/default.aspx?v=2&amp;lvl=15&amp;sp=Point.47.619284_-122.101894_1010 178th Pl NE&amp;cp=47.619284~-122.101894","Map")</f>
        <v>Map</v>
      </c>
      <c r="N2505" s="2" t="str">
        <f>HYPERLINK("http://i-0.rfimg.us/photo/1/bigphoto/036/28045036_0.jpg","Photo")</f>
        <v>Photo</v>
      </c>
      <c r="AG2505">
        <v>47.619284</v>
      </c>
      <c r="AH2505">
        <v>-122.101894</v>
      </c>
      <c r="AI2505" t="s">
        <v>369</v>
      </c>
      <c r="AJ2505">
        <v>98008</v>
      </c>
      <c r="BC2505" s="22">
        <v>39524.66909722222</v>
      </c>
      <c r="BI2505" s="7">
        <v>39535</v>
      </c>
      <c r="BL2505">
        <v>12000</v>
      </c>
      <c r="BM2505">
        <v>1566625</v>
      </c>
      <c r="BN2505" t="s">
        <v>1768</v>
      </c>
      <c r="BO2505" s="17">
        <f t="shared" ca="1" si="39"/>
        <v>24.640308680558519</v>
      </c>
      <c r="BP2505" t="b">
        <v>0</v>
      </c>
      <c r="BQ2505">
        <v>1</v>
      </c>
      <c r="BR2505" t="s">
        <v>1842</v>
      </c>
      <c r="BS2505" t="s">
        <v>5299</v>
      </c>
      <c r="BT2505" t="b">
        <v>0</v>
      </c>
      <c r="BV2505" t="s">
        <v>1668</v>
      </c>
      <c r="BW2505">
        <v>1010</v>
      </c>
      <c r="BX2505" t="s">
        <v>1738</v>
      </c>
      <c r="BY2505">
        <v>503828</v>
      </c>
      <c r="BZ2505" t="s">
        <v>1672</v>
      </c>
      <c r="CA2505">
        <v>1</v>
      </c>
      <c r="CB2505" t="b">
        <v>1</v>
      </c>
      <c r="CC2505">
        <v>0</v>
      </c>
      <c r="CD2505" t="b">
        <v>0</v>
      </c>
      <c r="CE2505" t="b">
        <v>0</v>
      </c>
      <c r="CF2505" t="b">
        <v>0</v>
      </c>
      <c r="CG2505">
        <v>2592214</v>
      </c>
      <c r="CH2505" t="s">
        <v>1681</v>
      </c>
      <c r="CI2505" s="10">
        <v>600000</v>
      </c>
    </row>
    <row r="2506" spans="1:88">
      <c r="A2506">
        <v>28045053</v>
      </c>
      <c r="B2506" s="2" t="str">
        <f>HYPERLINK("http://www.redfin.com/stingray/do/printable-listing?listing-id=1560145","Active")</f>
        <v>Active</v>
      </c>
      <c r="D2506" t="s">
        <v>109</v>
      </c>
      <c r="E2506" t="s">
        <v>2397</v>
      </c>
      <c r="F2506">
        <v>799000</v>
      </c>
      <c r="G2506">
        <v>1920</v>
      </c>
      <c r="H2506">
        <v>2750</v>
      </c>
      <c r="I2506">
        <v>0</v>
      </c>
      <c r="J2506">
        <v>5</v>
      </c>
      <c r="K2506">
        <v>2.5</v>
      </c>
      <c r="M2506" s="2" t="str">
        <f>HYPERLINK("http://maps.live.com/default.aspx?v=2&amp;lvl=15&amp;sp=Point.47.664565_-122.328784_4668 Eastern Ave N&amp;cp=47.664565~-122.328784","Map")</f>
        <v>Map</v>
      </c>
      <c r="N2506" s="2" t="str">
        <f>HYPERLINK("http://i-0.rfimg.us/photo/1/bigphoto/053/28045053_0.jpg","Photo")</f>
        <v>Photo</v>
      </c>
      <c r="AG2506">
        <v>47.664565000000003</v>
      </c>
      <c r="AH2506">
        <v>-122.328784</v>
      </c>
      <c r="AI2506" t="s">
        <v>66</v>
      </c>
      <c r="AJ2506">
        <v>98103</v>
      </c>
      <c r="AN2506">
        <v>630000</v>
      </c>
      <c r="BC2506" s="22">
        <v>39521.563969907409</v>
      </c>
      <c r="BI2506" s="22">
        <v>39549.294907407406</v>
      </c>
      <c r="BL2506">
        <v>15980</v>
      </c>
      <c r="BM2506">
        <v>1560145</v>
      </c>
      <c r="BN2506" t="s">
        <v>1674</v>
      </c>
      <c r="BO2506" s="17">
        <f t="shared" ca="1" si="39"/>
        <v>27.745436111108575</v>
      </c>
      <c r="BP2506" t="b">
        <v>0</v>
      </c>
      <c r="BQ2506">
        <v>1</v>
      </c>
      <c r="BR2506" t="s">
        <v>1667</v>
      </c>
      <c r="BS2506" t="s">
        <v>2398</v>
      </c>
      <c r="BT2506" t="b">
        <v>0</v>
      </c>
      <c r="BV2506" t="s">
        <v>1668</v>
      </c>
      <c r="BW2506">
        <v>4668</v>
      </c>
      <c r="BX2506" t="s">
        <v>1712</v>
      </c>
      <c r="BY2506">
        <v>117691</v>
      </c>
      <c r="BZ2506" t="s">
        <v>1672</v>
      </c>
      <c r="CA2506">
        <v>1</v>
      </c>
      <c r="CB2506" t="b">
        <v>1</v>
      </c>
      <c r="CC2506">
        <v>0</v>
      </c>
      <c r="CD2506" t="b">
        <v>0</v>
      </c>
      <c r="CE2506" t="b">
        <v>0</v>
      </c>
      <c r="CF2506" t="b">
        <v>0</v>
      </c>
      <c r="CG2506">
        <v>2805864</v>
      </c>
      <c r="CH2506" t="s">
        <v>1681</v>
      </c>
      <c r="CI2506" s="10">
        <v>799000</v>
      </c>
      <c r="CJ2506" s="7">
        <v>38671</v>
      </c>
    </row>
    <row r="2507" spans="1:88">
      <c r="A2507">
        <v>28045059</v>
      </c>
      <c r="B2507" s="15" t="str">
        <f>HYPERLINK("http://www.redfin.com/stingray/do/printable-listing?listing-id=1566099","Subject To Inspection")</f>
        <v>Subject To Inspection</v>
      </c>
      <c r="D2507" t="s">
        <v>60</v>
      </c>
      <c r="E2507" t="s">
        <v>2404</v>
      </c>
      <c r="F2507">
        <v>1175000</v>
      </c>
      <c r="G2507">
        <v>1905</v>
      </c>
      <c r="H2507">
        <v>3260</v>
      </c>
      <c r="I2507">
        <v>6100</v>
      </c>
      <c r="J2507">
        <v>4</v>
      </c>
      <c r="K2507">
        <v>3</v>
      </c>
      <c r="M2507" s="2" t="str">
        <f>HYPERLINK("http://maps.live.com/default.aspx?v=2&amp;lvl=15&amp;sp=Point.47.674985_-122.331835_2139 N 64th St&amp;cp=47.674985~-122.331835","Map")</f>
        <v>Map</v>
      </c>
      <c r="N2507" s="2" t="str">
        <f>HYPERLINK("http://i-0.rfimg.us/photo/1/bigphoto/059/28045059_0.jpg","Photo")</f>
        <v>Photo</v>
      </c>
      <c r="AG2507">
        <v>47.674985</v>
      </c>
      <c r="AH2507">
        <v>-122.331835</v>
      </c>
      <c r="AI2507" t="s">
        <v>66</v>
      </c>
      <c r="AJ2507">
        <v>98103</v>
      </c>
      <c r="AN2507">
        <v>800000</v>
      </c>
      <c r="BC2507" s="22">
        <v>39524.560115740744</v>
      </c>
      <c r="BI2507" s="7">
        <v>39542</v>
      </c>
      <c r="BL2507">
        <v>23500</v>
      </c>
      <c r="BM2507">
        <v>1566099</v>
      </c>
      <c r="BN2507" t="s">
        <v>1829</v>
      </c>
      <c r="BO2507" s="17">
        <f t="shared" ca="1" si="39"/>
        <v>24.74929027777398</v>
      </c>
      <c r="BP2507" t="b">
        <v>0</v>
      </c>
      <c r="BQ2507">
        <v>1</v>
      </c>
      <c r="BR2507" t="s">
        <v>1686</v>
      </c>
      <c r="BS2507" t="s">
        <v>2405</v>
      </c>
      <c r="BT2507" t="b">
        <v>0</v>
      </c>
      <c r="BU2507" t="s">
        <v>1712</v>
      </c>
      <c r="BV2507" t="s">
        <v>1668</v>
      </c>
      <c r="BW2507">
        <v>2139</v>
      </c>
      <c r="BY2507">
        <v>303901</v>
      </c>
      <c r="BZ2507" t="s">
        <v>1672</v>
      </c>
      <c r="CA2507">
        <v>1</v>
      </c>
      <c r="CB2507" t="b">
        <v>1</v>
      </c>
      <c r="CC2507">
        <v>0</v>
      </c>
      <c r="CD2507" t="b">
        <v>0</v>
      </c>
      <c r="CE2507" t="b">
        <v>0</v>
      </c>
      <c r="CF2507" t="b">
        <v>0</v>
      </c>
      <c r="CG2507">
        <v>2566077</v>
      </c>
      <c r="CH2507" t="s">
        <v>1681</v>
      </c>
      <c r="CI2507" s="10">
        <v>1175000</v>
      </c>
      <c r="CJ2507" s="7">
        <v>37050</v>
      </c>
    </row>
    <row r="2508" spans="1:88">
      <c r="A2508">
        <v>28045099</v>
      </c>
      <c r="B2508" s="2" t="str">
        <f>HYPERLINK("http://www.redfin.com/stingray/do/printable-listing?listing-id=1578932","Active")</f>
        <v>Active</v>
      </c>
      <c r="D2508" t="s">
        <v>4777</v>
      </c>
      <c r="E2508" t="s">
        <v>4952</v>
      </c>
      <c r="F2508">
        <v>1170000</v>
      </c>
      <c r="G2508">
        <v>2008</v>
      </c>
      <c r="H2508">
        <v>3388</v>
      </c>
      <c r="I2508">
        <v>9000</v>
      </c>
      <c r="J2508">
        <v>4</v>
      </c>
      <c r="K2508">
        <v>3.5</v>
      </c>
      <c r="M2508" s="2" t="str">
        <f>HYPERLINK("http://maps.live.com/default.aspx?v=2&amp;lvl=15&amp;sp=Point.47.65134_-122.195531_4540 108th Ave NE&amp;cp=47.65134~-122.195531","Map")</f>
        <v>Map</v>
      </c>
      <c r="N2508" s="2" t="str">
        <f>HYPERLINK("http://i-0.rfimg.us/photo/1/bigphoto/099/28045099_0.jpg","Photo")</f>
        <v>Photo</v>
      </c>
      <c r="AG2508">
        <v>47.651339999999998</v>
      </c>
      <c r="AH2508">
        <v>-122.195531</v>
      </c>
      <c r="AI2508" t="s">
        <v>1058</v>
      </c>
      <c r="AJ2508">
        <v>98033</v>
      </c>
      <c r="AM2508" t="s">
        <v>6004</v>
      </c>
      <c r="AN2508">
        <v>2020000</v>
      </c>
      <c r="BC2508" s="22">
        <v>39528.672372685185</v>
      </c>
      <c r="BI2508" s="22">
        <v>39549.294907407406</v>
      </c>
      <c r="BL2508">
        <v>23400</v>
      </c>
      <c r="BM2508">
        <v>1578932</v>
      </c>
      <c r="BN2508" t="s">
        <v>1735</v>
      </c>
      <c r="BO2508" s="17">
        <f t="shared" ca="1" si="39"/>
        <v>20.637033217593853</v>
      </c>
      <c r="BP2508" t="b">
        <v>0</v>
      </c>
      <c r="BQ2508">
        <v>1</v>
      </c>
      <c r="BR2508" t="s">
        <v>1667</v>
      </c>
      <c r="BS2508" t="s">
        <v>4355</v>
      </c>
      <c r="BT2508" t="b">
        <v>0</v>
      </c>
      <c r="BV2508" t="s">
        <v>1668</v>
      </c>
      <c r="BW2508">
        <v>4540</v>
      </c>
      <c r="BX2508" t="s">
        <v>1738</v>
      </c>
      <c r="BY2508">
        <v>460289</v>
      </c>
      <c r="BZ2508" s="21">
        <v>0</v>
      </c>
      <c r="CA2508">
        <v>1</v>
      </c>
      <c r="CB2508" t="b">
        <v>1</v>
      </c>
      <c r="CC2508">
        <v>0</v>
      </c>
      <c r="CD2508" t="b">
        <v>0</v>
      </c>
      <c r="CE2508" t="b">
        <v>1</v>
      </c>
      <c r="CF2508" t="b">
        <v>0</v>
      </c>
      <c r="CG2508">
        <v>2958461</v>
      </c>
      <c r="CH2508" t="s">
        <v>1681</v>
      </c>
      <c r="CI2508" s="10">
        <v>1170000</v>
      </c>
      <c r="CJ2508" s="7">
        <v>39258</v>
      </c>
    </row>
    <row r="2509" spans="1:88">
      <c r="A2509">
        <v>28045105</v>
      </c>
      <c r="B2509" s="2" t="str">
        <f>HYPERLINK("http://www.redfin.com/stingray/do/printable-listing?listing-id=1560237","Active")</f>
        <v>Active</v>
      </c>
      <c r="D2509" t="s">
        <v>5216</v>
      </c>
      <c r="E2509" t="s">
        <v>5215</v>
      </c>
      <c r="F2509">
        <v>779950</v>
      </c>
      <c r="G2509">
        <v>1960</v>
      </c>
      <c r="H2509">
        <v>0</v>
      </c>
      <c r="I2509">
        <v>0</v>
      </c>
      <c r="J2509">
        <v>6</v>
      </c>
      <c r="K2509">
        <v>3.25</v>
      </c>
      <c r="M2509" s="2" t="str">
        <f>HYPERLINK("http://maps.live.com/default.aspx?v=2&amp;lvl=15&amp;sp=Point.47.616085_-122.1146_16866 NE 6th St&amp;cp=47.616085~-122.1146","Map")</f>
        <v>Map</v>
      </c>
      <c r="N2509" s="2" t="str">
        <f>HYPERLINK("http://i-0.rfimg.us/photo/1/bigphoto/105/28045105_0.jpg","Photo")</f>
        <v>Photo</v>
      </c>
      <c r="AG2509">
        <v>47.616084999999998</v>
      </c>
      <c r="AH2509">
        <v>-122.1146</v>
      </c>
      <c r="AI2509" t="s">
        <v>369</v>
      </c>
      <c r="AJ2509">
        <v>98008</v>
      </c>
      <c r="BC2509" s="22">
        <v>39521.576527777775</v>
      </c>
      <c r="BI2509" s="22">
        <v>39549.294907407406</v>
      </c>
      <c r="BL2509">
        <v>15599</v>
      </c>
      <c r="BM2509">
        <v>1560237</v>
      </c>
      <c r="BN2509" t="s">
        <v>1673</v>
      </c>
      <c r="BO2509" s="17">
        <f t="shared" ca="1" si="39"/>
        <v>27.732878125003481</v>
      </c>
      <c r="BP2509" t="b">
        <v>0</v>
      </c>
      <c r="BQ2509">
        <v>1</v>
      </c>
      <c r="BR2509" t="s">
        <v>1686</v>
      </c>
      <c r="BS2509" t="s">
        <v>1739</v>
      </c>
      <c r="BT2509" t="b">
        <v>0</v>
      </c>
      <c r="BU2509" t="s">
        <v>1738</v>
      </c>
      <c r="BV2509" t="s">
        <v>1668</v>
      </c>
      <c r="BW2509">
        <v>16866</v>
      </c>
      <c r="BY2509">
        <v>501365</v>
      </c>
      <c r="BZ2509" t="s">
        <v>1672</v>
      </c>
      <c r="CA2509">
        <v>1</v>
      </c>
      <c r="CB2509" t="b">
        <v>1</v>
      </c>
      <c r="CC2509">
        <v>0</v>
      </c>
      <c r="CD2509" t="b">
        <v>0</v>
      </c>
      <c r="CE2509" t="b">
        <v>0</v>
      </c>
      <c r="CF2509" t="b">
        <v>0</v>
      </c>
      <c r="CG2509">
        <v>2589941</v>
      </c>
      <c r="CH2509" t="s">
        <v>1681</v>
      </c>
      <c r="CI2509" s="10">
        <v>779950</v>
      </c>
    </row>
    <row r="2510" spans="1:88">
      <c r="A2510">
        <v>28045186</v>
      </c>
      <c r="B2510" s="2" t="str">
        <f>HYPERLINK("http://www.redfin.com/stingray/do/printable-listing?listing-id=1562959","Active")</f>
        <v>Active</v>
      </c>
      <c r="D2510" t="s">
        <v>55</v>
      </c>
      <c r="E2510" t="s">
        <v>2682</v>
      </c>
      <c r="F2510">
        <v>319950</v>
      </c>
      <c r="G2510">
        <v>2008</v>
      </c>
      <c r="H2510">
        <v>1174</v>
      </c>
      <c r="I2510">
        <v>0</v>
      </c>
      <c r="J2510">
        <v>2</v>
      </c>
      <c r="K2510">
        <v>1.75</v>
      </c>
      <c r="M2510" s="2" t="str">
        <f>HYPERLINK("http://maps.live.com/default.aspx?v=2&amp;lvl=15&amp;sp=Point.47.707079_-122.355876_10701 Greenwood Ave N nA&amp;cp=47.707079~-122.355876","Map")</f>
        <v>Map</v>
      </c>
      <c r="N2510" s="2" t="str">
        <f>HYPERLINK("http://i-0.rfimg.us/photo/1/bigphoto/186/28045186_2.jpg","Photo")</f>
        <v>Photo</v>
      </c>
      <c r="AG2510">
        <v>47.707079</v>
      </c>
      <c r="AH2510">
        <v>-122.35587599999999</v>
      </c>
      <c r="AI2510" t="s">
        <v>66</v>
      </c>
      <c r="AJ2510">
        <v>98133</v>
      </c>
      <c r="AM2510" t="s">
        <v>1722</v>
      </c>
      <c r="BC2510" s="22">
        <v>39522.505914351852</v>
      </c>
      <c r="BI2510" s="22">
        <v>39549.294907407406</v>
      </c>
      <c r="BL2510">
        <v>6399</v>
      </c>
      <c r="BM2510">
        <v>1562959</v>
      </c>
      <c r="BN2510" t="s">
        <v>1685</v>
      </c>
      <c r="BO2510" s="17">
        <f t="shared" ca="1" si="39"/>
        <v>26.803491550926992</v>
      </c>
      <c r="BP2510" t="b">
        <v>0</v>
      </c>
      <c r="BQ2510">
        <v>1</v>
      </c>
      <c r="BR2510" t="s">
        <v>1667</v>
      </c>
      <c r="BS2510" t="s">
        <v>55</v>
      </c>
      <c r="BT2510" t="b">
        <v>0</v>
      </c>
      <c r="BV2510" t="s">
        <v>1668</v>
      </c>
      <c r="BW2510">
        <v>10701</v>
      </c>
      <c r="BX2510" t="s">
        <v>1712</v>
      </c>
      <c r="BY2510">
        <v>12429609</v>
      </c>
      <c r="BZ2510" t="s">
        <v>2683</v>
      </c>
      <c r="CA2510">
        <v>1</v>
      </c>
      <c r="CB2510" t="b">
        <v>1</v>
      </c>
      <c r="CC2510">
        <v>0</v>
      </c>
      <c r="CD2510" t="b">
        <v>0</v>
      </c>
      <c r="CE2510" t="b">
        <v>0</v>
      </c>
      <c r="CF2510" t="b">
        <v>0</v>
      </c>
      <c r="CG2510">
        <v>15633332</v>
      </c>
      <c r="CH2510" t="s">
        <v>1681</v>
      </c>
      <c r="CI2510" s="10">
        <v>319950</v>
      </c>
    </row>
    <row r="2511" spans="1:88">
      <c r="A2511">
        <v>28045195</v>
      </c>
      <c r="B2511" s="2" t="str">
        <f>HYPERLINK("http://www.redfin.com/stingray/do/printable-listing?listing-id=1562876","Active")</f>
        <v>Active</v>
      </c>
      <c r="D2511" t="s">
        <v>55</v>
      </c>
      <c r="E2511" t="s">
        <v>2684</v>
      </c>
      <c r="F2511">
        <v>339950</v>
      </c>
      <c r="G2511">
        <v>2008</v>
      </c>
      <c r="H2511">
        <v>1174</v>
      </c>
      <c r="I2511">
        <v>0</v>
      </c>
      <c r="J2511">
        <v>2</v>
      </c>
      <c r="K2511">
        <v>1.75</v>
      </c>
      <c r="M2511" s="2" t="str">
        <f>HYPERLINK("http://maps.live.com/default.aspx?v=2&amp;lvl=15&amp;sp=Point.47.707086_-122.355703_10703 Greenwood Ave N nD&amp;cp=47.707086~-122.355703","Map")</f>
        <v>Map</v>
      </c>
      <c r="N2511" s="2" t="str">
        <f>HYPERLINK("http://i-0.rfimg.us/photo/1/bigphoto/195/28045195_2.jpg","Photo")</f>
        <v>Photo</v>
      </c>
      <c r="AG2511">
        <v>47.707085999999997</v>
      </c>
      <c r="AH2511">
        <v>-122.35570300000001</v>
      </c>
      <c r="AI2511" t="s">
        <v>66</v>
      </c>
      <c r="AJ2511">
        <v>98133</v>
      </c>
      <c r="AM2511" t="s">
        <v>2685</v>
      </c>
      <c r="BC2511" s="22">
        <v>39522.46303240741</v>
      </c>
      <c r="BI2511" s="22">
        <v>39549.294907407406</v>
      </c>
      <c r="BL2511">
        <v>6799</v>
      </c>
      <c r="BM2511">
        <v>1562876</v>
      </c>
      <c r="BN2511" t="s">
        <v>1685</v>
      </c>
      <c r="BO2511" s="17">
        <f t="shared" ca="1" si="39"/>
        <v>26.846373495369335</v>
      </c>
      <c r="BP2511" t="b">
        <v>0</v>
      </c>
      <c r="BQ2511">
        <v>1</v>
      </c>
      <c r="BR2511" t="s">
        <v>1667</v>
      </c>
      <c r="BS2511" t="s">
        <v>55</v>
      </c>
      <c r="BT2511" t="b">
        <v>0</v>
      </c>
      <c r="BV2511" t="s">
        <v>1668</v>
      </c>
      <c r="BW2511">
        <v>10703</v>
      </c>
      <c r="BX2511" t="s">
        <v>1712</v>
      </c>
      <c r="BY2511">
        <v>12429600</v>
      </c>
      <c r="BZ2511" t="s">
        <v>2686</v>
      </c>
      <c r="CA2511">
        <v>1</v>
      </c>
      <c r="CB2511" t="b">
        <v>1</v>
      </c>
      <c r="CC2511">
        <v>0</v>
      </c>
      <c r="CD2511" t="b">
        <v>0</v>
      </c>
      <c r="CE2511" t="b">
        <v>0</v>
      </c>
      <c r="CF2511" t="b">
        <v>0</v>
      </c>
      <c r="CG2511">
        <v>15633348</v>
      </c>
      <c r="CH2511" t="s">
        <v>1681</v>
      </c>
      <c r="CI2511" s="10">
        <v>339950</v>
      </c>
    </row>
    <row r="2512" spans="1:88">
      <c r="A2512">
        <v>28045199</v>
      </c>
      <c r="B2512" s="2" t="str">
        <f>HYPERLINK("http://www.redfin.com/stingray/do/printable-listing?listing-id=1562688","Subject To Inspection")</f>
        <v>Subject To Inspection</v>
      </c>
      <c r="D2512" t="s">
        <v>55</v>
      </c>
      <c r="E2512" t="s">
        <v>2680</v>
      </c>
      <c r="F2512">
        <v>309950</v>
      </c>
      <c r="G2512">
        <v>2008</v>
      </c>
      <c r="H2512">
        <v>1174</v>
      </c>
      <c r="I2512">
        <v>0</v>
      </c>
      <c r="J2512">
        <v>2</v>
      </c>
      <c r="K2512">
        <v>1.75</v>
      </c>
      <c r="M2512" s="2" t="str">
        <f>HYPERLINK("http://maps.live.com/default.aspx?v=2&amp;lvl=15&amp;sp=Point.47.707079_-122.355876_10701 Greenwood Ave N nC&amp;cp=47.707079~-122.355876","Map")</f>
        <v>Map</v>
      </c>
      <c r="N2512" s="2" t="str">
        <f>HYPERLINK("http://i-0.rfimg.us/photo/1/bigphoto/199/28045199_9.jpg","Photo")</f>
        <v>Photo</v>
      </c>
      <c r="AG2512">
        <v>47.707079</v>
      </c>
      <c r="AH2512">
        <v>-122.35587599999999</v>
      </c>
      <c r="AI2512" t="s">
        <v>66</v>
      </c>
      <c r="AJ2512">
        <v>98133</v>
      </c>
      <c r="AM2512" t="s">
        <v>2341</v>
      </c>
      <c r="BC2512" s="22">
        <v>39522.368923611109</v>
      </c>
      <c r="BI2512" s="22">
        <v>39549.294907407406</v>
      </c>
      <c r="BL2512">
        <v>6199</v>
      </c>
      <c r="BM2512">
        <v>1562688</v>
      </c>
      <c r="BN2512" t="s">
        <v>1685</v>
      </c>
      <c r="BO2512" s="17">
        <f t="shared" ca="1" si="39"/>
        <v>26.940482291669468</v>
      </c>
      <c r="BP2512" t="b">
        <v>0</v>
      </c>
      <c r="BQ2512">
        <v>2</v>
      </c>
      <c r="BR2512" t="s">
        <v>1667</v>
      </c>
      <c r="BS2512" t="s">
        <v>55</v>
      </c>
      <c r="BT2512" t="b">
        <v>0</v>
      </c>
      <c r="BV2512" t="s">
        <v>1668</v>
      </c>
      <c r="BW2512">
        <v>10701</v>
      </c>
      <c r="BX2512" t="s">
        <v>1712</v>
      </c>
      <c r="BY2512">
        <v>12429584</v>
      </c>
      <c r="BZ2512" t="s">
        <v>2681</v>
      </c>
      <c r="CA2512">
        <v>1</v>
      </c>
      <c r="CB2512" t="b">
        <v>1</v>
      </c>
      <c r="CC2512">
        <v>0</v>
      </c>
      <c r="CD2512" t="b">
        <v>0</v>
      </c>
      <c r="CE2512" t="b">
        <v>0</v>
      </c>
      <c r="CF2512" t="b">
        <v>0</v>
      </c>
      <c r="CG2512">
        <v>15633357</v>
      </c>
      <c r="CH2512" t="s">
        <v>1681</v>
      </c>
      <c r="CI2512" s="10">
        <v>309950</v>
      </c>
    </row>
    <row r="2513" spans="1:88">
      <c r="A2513">
        <v>28045245</v>
      </c>
      <c r="B2513" s="2" t="str">
        <f>HYPERLINK("http://www.redfin.com/stingray/do/printable-listing?listing-id=1560502","Active")</f>
        <v>Active</v>
      </c>
      <c r="D2513" t="s">
        <v>3704</v>
      </c>
      <c r="E2513" t="s">
        <v>4109</v>
      </c>
      <c r="F2513" s="19">
        <v>699000</v>
      </c>
      <c r="G2513">
        <v>1904</v>
      </c>
      <c r="H2513">
        <v>2166</v>
      </c>
      <c r="I2513">
        <v>0</v>
      </c>
      <c r="J2513">
        <v>3</v>
      </c>
      <c r="K2513">
        <v>1.75</v>
      </c>
      <c r="M2513" s="2" t="str">
        <f>HYPERLINK("http://maps.live.com/default.aspx?v=2&amp;lvl=15&amp;sp=Point.47.622501_-122.309795_428 17th Ave E&amp;cp=47.622501~-122.309795","Map")</f>
        <v>Map</v>
      </c>
      <c r="N2513" s="2" t="str">
        <f>HYPERLINK("http://i-0.rfimg.us/photo/1/bigphoto/245/28045245_0.jpg","Photo")</f>
        <v>Photo</v>
      </c>
      <c r="AG2513">
        <v>47.622501</v>
      </c>
      <c r="AH2513">
        <v>-122.30979499999999</v>
      </c>
      <c r="AI2513" t="s">
        <v>66</v>
      </c>
      <c r="AJ2513">
        <v>98112</v>
      </c>
      <c r="BC2513" s="22">
        <v>39521.631840277776</v>
      </c>
      <c r="BI2513" s="22">
        <v>39549.294907407406</v>
      </c>
      <c r="BL2513">
        <v>14580</v>
      </c>
      <c r="BM2513">
        <v>1560502</v>
      </c>
      <c r="BN2513" t="s">
        <v>1715</v>
      </c>
      <c r="BO2513" s="17">
        <f t="shared" ca="1" si="39"/>
        <v>27.677565625002899</v>
      </c>
      <c r="BP2513" t="b">
        <v>0</v>
      </c>
      <c r="BQ2513">
        <v>1</v>
      </c>
      <c r="BR2513" t="s">
        <v>1667</v>
      </c>
      <c r="BS2513" t="s">
        <v>1683</v>
      </c>
      <c r="BT2513" t="b">
        <v>0</v>
      </c>
      <c r="BV2513" t="s">
        <v>1668</v>
      </c>
      <c r="BW2513">
        <v>428</v>
      </c>
      <c r="BX2513" t="s">
        <v>2436</v>
      </c>
      <c r="BY2513">
        <v>12428522</v>
      </c>
      <c r="BZ2513" t="s">
        <v>1713</v>
      </c>
      <c r="CA2513">
        <v>1</v>
      </c>
      <c r="CB2513" t="b">
        <v>1</v>
      </c>
      <c r="CC2513">
        <v>0</v>
      </c>
      <c r="CD2513" t="b">
        <v>0</v>
      </c>
      <c r="CE2513" t="b">
        <v>0</v>
      </c>
      <c r="CF2513" t="b">
        <v>0</v>
      </c>
      <c r="CG2513">
        <v>15632270</v>
      </c>
      <c r="CH2513" t="s">
        <v>1681</v>
      </c>
      <c r="CI2513" s="10">
        <v>729000</v>
      </c>
    </row>
    <row r="2514" spans="1:88">
      <c r="A2514">
        <v>28045246</v>
      </c>
      <c r="B2514" s="2" t="str">
        <f>HYPERLINK("http://www.redfin.com/stingray/do/printable-listing?listing-id=1572157","Active")</f>
        <v>Active</v>
      </c>
      <c r="D2514" t="s">
        <v>5014</v>
      </c>
      <c r="E2514" t="s">
        <v>5029</v>
      </c>
      <c r="F2514">
        <v>975000</v>
      </c>
      <c r="G2514">
        <v>1954</v>
      </c>
      <c r="H2514">
        <v>2030</v>
      </c>
      <c r="I2514">
        <v>8578</v>
      </c>
      <c r="J2514">
        <v>3</v>
      </c>
      <c r="K2514">
        <v>2</v>
      </c>
      <c r="M2514" s="2" t="str">
        <f>HYPERLINK("http://maps.live.com/default.aspx?v=2&amp;lvl=15&amp;sp=Point.47.626354_-122.209386_1722 98th Ave NE&amp;cp=47.626354~-122.209386","Map")</f>
        <v>Map</v>
      </c>
      <c r="N2514" s="2" t="str">
        <f>HYPERLINK("http://i-0.rfimg.us/photo/1/bigphoto/246/28045246_2.jpg","Photo")</f>
        <v>Photo</v>
      </c>
      <c r="AG2514">
        <v>47.626353999999999</v>
      </c>
      <c r="AH2514">
        <v>-122.20938599999999</v>
      </c>
      <c r="AI2514" t="s">
        <v>369</v>
      </c>
      <c r="AJ2514">
        <v>98004</v>
      </c>
      <c r="AN2514">
        <v>280000</v>
      </c>
      <c r="BC2514" s="22">
        <v>39526.536539351851</v>
      </c>
      <c r="BI2514" s="22">
        <v>39549.294907407406</v>
      </c>
      <c r="BL2514">
        <v>19500</v>
      </c>
      <c r="BM2514">
        <v>1572157</v>
      </c>
      <c r="BN2514" t="s">
        <v>5028</v>
      </c>
      <c r="BO2514" s="17">
        <f t="shared" ca="1" si="39"/>
        <v>22.772866550927574</v>
      </c>
      <c r="BP2514" t="b">
        <v>0</v>
      </c>
      <c r="BQ2514">
        <v>1</v>
      </c>
      <c r="BR2514" t="s">
        <v>1667</v>
      </c>
      <c r="BS2514" t="s">
        <v>3007</v>
      </c>
      <c r="BT2514" t="b">
        <v>0</v>
      </c>
      <c r="BV2514" t="s">
        <v>1668</v>
      </c>
      <c r="BW2514">
        <v>1722</v>
      </c>
      <c r="BX2514" t="s">
        <v>1738</v>
      </c>
      <c r="BY2514">
        <v>506585</v>
      </c>
      <c r="BZ2514" t="s">
        <v>2340</v>
      </c>
      <c r="CA2514">
        <v>1</v>
      </c>
      <c r="CB2514" t="b">
        <v>1</v>
      </c>
      <c r="CC2514">
        <v>0</v>
      </c>
      <c r="CD2514" t="b">
        <v>0</v>
      </c>
      <c r="CE2514" t="b">
        <v>0</v>
      </c>
      <c r="CF2514" t="b">
        <v>0</v>
      </c>
      <c r="CG2514">
        <v>2350677</v>
      </c>
      <c r="CH2514" t="s">
        <v>1681</v>
      </c>
      <c r="CI2514" s="10">
        <v>975000</v>
      </c>
      <c r="CJ2514" s="7">
        <v>36431</v>
      </c>
    </row>
    <row r="2515" spans="1:88">
      <c r="A2515">
        <v>28045265</v>
      </c>
      <c r="B2515" s="2" t="str">
        <f>HYPERLINK("http://www.redfin.com/stingray/do/printable-listing?listing-id=1560595","Active")</f>
        <v>Active</v>
      </c>
      <c r="D2515" t="s">
        <v>4611</v>
      </c>
      <c r="E2515" t="s">
        <v>4609</v>
      </c>
      <c r="F2515">
        <v>724950</v>
      </c>
      <c r="G2515">
        <v>2008</v>
      </c>
      <c r="H2515">
        <v>2489</v>
      </c>
      <c r="I2515">
        <v>0</v>
      </c>
      <c r="J2515">
        <v>3</v>
      </c>
      <c r="K2515">
        <v>2.5</v>
      </c>
      <c r="M2515" s="2" t="str">
        <f>HYPERLINK("http://maps.live.com/default.aspx?v=2&amp;lvl=15&amp;sp=adr.7264 147th Ct NE (Unable to map),98052","Map")</f>
        <v>Map</v>
      </c>
      <c r="N2515" s="2" t="str">
        <f>HYPERLINK("http://i-0.rfimg.us/photo/1/bigphoto/265/28045265_0.jpg","Photo")</f>
        <v>Photo</v>
      </c>
      <c r="AI2515" t="s">
        <v>4363</v>
      </c>
      <c r="AJ2515">
        <v>98052</v>
      </c>
      <c r="BC2515" s="22">
        <v>39521.641539351855</v>
      </c>
      <c r="BI2515" s="22">
        <v>39549.294907407406</v>
      </c>
      <c r="BL2515">
        <v>14499</v>
      </c>
      <c r="BM2515">
        <v>1560595</v>
      </c>
      <c r="BN2515" t="s">
        <v>1688</v>
      </c>
      <c r="BO2515" s="17">
        <f t="shared" ca="1" si="39"/>
        <v>27.667866550924373</v>
      </c>
      <c r="BP2515" t="b">
        <v>0</v>
      </c>
      <c r="BQ2515">
        <v>1</v>
      </c>
      <c r="BR2515" t="s">
        <v>3768</v>
      </c>
      <c r="BS2515" t="s">
        <v>4610</v>
      </c>
      <c r="BT2515" t="b">
        <v>0</v>
      </c>
      <c r="BV2515" t="s">
        <v>1668</v>
      </c>
      <c r="BW2515">
        <v>7264</v>
      </c>
      <c r="BX2515" t="s">
        <v>1738</v>
      </c>
      <c r="BY2515">
        <v>0</v>
      </c>
      <c r="BZ2515" t="s">
        <v>1762</v>
      </c>
      <c r="CA2515">
        <v>1</v>
      </c>
      <c r="CB2515" t="b">
        <v>1</v>
      </c>
      <c r="CC2515">
        <v>0</v>
      </c>
      <c r="CD2515" t="b">
        <v>0</v>
      </c>
      <c r="CE2515" t="b">
        <v>0</v>
      </c>
      <c r="CF2515" t="b">
        <v>0</v>
      </c>
      <c r="CG2515" t="s">
        <v>1870</v>
      </c>
      <c r="CH2515" t="s">
        <v>1681</v>
      </c>
      <c r="CI2515" s="10">
        <v>724950</v>
      </c>
    </row>
    <row r="2516" spans="1:88">
      <c r="A2516">
        <v>28045287</v>
      </c>
      <c r="B2516" s="2" t="str">
        <f>HYPERLINK("http://www.redfin.com/stingray/do/printable-listing?listing-id=1560591","Active")</f>
        <v>Active</v>
      </c>
      <c r="D2516" t="s">
        <v>5195</v>
      </c>
      <c r="E2516" t="s">
        <v>5258</v>
      </c>
      <c r="F2516">
        <v>519000</v>
      </c>
      <c r="G2516">
        <v>1962</v>
      </c>
      <c r="H2516">
        <v>1950</v>
      </c>
      <c r="I2516">
        <v>7575</v>
      </c>
      <c r="J2516">
        <v>5</v>
      </c>
      <c r="K2516">
        <v>2</v>
      </c>
      <c r="M2516" s="2" t="str">
        <f>HYPERLINK("http://maps.live.com/default.aspx?v=2&amp;lvl=15&amp;sp=Point.47.587857_-122.118168_2520 166th Ave SE&amp;cp=47.587857~-122.118168","Map")</f>
        <v>Map</v>
      </c>
      <c r="N2516" s="2" t="str">
        <f>HYPERLINK("http://i-0.rfimg.us/photo/1/bigphoto/287/28045287_0.jpg","Photo")</f>
        <v>Photo</v>
      </c>
      <c r="AG2516">
        <v>47.587857</v>
      </c>
      <c r="AH2516">
        <v>-122.118168</v>
      </c>
      <c r="AI2516" t="s">
        <v>369</v>
      </c>
      <c r="AJ2516">
        <v>98008</v>
      </c>
      <c r="AN2516">
        <v>233500</v>
      </c>
      <c r="BC2516" s="22">
        <v>39521.641516203701</v>
      </c>
      <c r="BI2516" s="22">
        <v>39549.294907407406</v>
      </c>
      <c r="BL2516">
        <v>10380</v>
      </c>
      <c r="BM2516">
        <v>1560591</v>
      </c>
      <c r="BN2516" t="s">
        <v>1868</v>
      </c>
      <c r="BO2516" s="17">
        <f t="shared" ca="1" si="39"/>
        <v>27.667889699077932</v>
      </c>
      <c r="BP2516" t="b">
        <v>0</v>
      </c>
      <c r="BQ2516">
        <v>1</v>
      </c>
      <c r="BR2516" t="s">
        <v>1667</v>
      </c>
      <c r="BS2516" t="s">
        <v>5194</v>
      </c>
      <c r="BT2516" t="b">
        <v>0</v>
      </c>
      <c r="BV2516" t="s">
        <v>1668</v>
      </c>
      <c r="BW2516">
        <v>2520</v>
      </c>
      <c r="BX2516" t="s">
        <v>3856</v>
      </c>
      <c r="BY2516">
        <v>428314</v>
      </c>
      <c r="BZ2516" t="s">
        <v>1743</v>
      </c>
      <c r="CA2516">
        <v>1</v>
      </c>
      <c r="CB2516" t="b">
        <v>1</v>
      </c>
      <c r="CC2516">
        <v>0</v>
      </c>
      <c r="CD2516" t="b">
        <v>0</v>
      </c>
      <c r="CE2516" t="b">
        <v>0</v>
      </c>
      <c r="CF2516" t="b">
        <v>0</v>
      </c>
      <c r="CG2516">
        <v>2851263</v>
      </c>
      <c r="CH2516" t="s">
        <v>1681</v>
      </c>
      <c r="CI2516" s="10">
        <v>519000</v>
      </c>
      <c r="CJ2516" s="7">
        <v>36433</v>
      </c>
    </row>
    <row r="2517" spans="1:88">
      <c r="A2517">
        <v>28045288</v>
      </c>
      <c r="B2517" s="2" t="str">
        <f>HYPERLINK("http://www.redfin.com/stingray/do/printable-listing?listing-id=1560592","Active")</f>
        <v>Active</v>
      </c>
      <c r="D2517" t="s">
        <v>6041</v>
      </c>
      <c r="E2517" t="s">
        <v>6067</v>
      </c>
      <c r="F2517" s="19">
        <v>475000</v>
      </c>
      <c r="G2517">
        <v>1996</v>
      </c>
      <c r="H2517">
        <v>2560</v>
      </c>
      <c r="I2517">
        <v>8507</v>
      </c>
      <c r="J2517">
        <v>4</v>
      </c>
      <c r="K2517">
        <v>2.75</v>
      </c>
      <c r="M2517" s="2" t="str">
        <f>HYPERLINK("http://maps.live.com/default.aspx?v=2&amp;lvl=15&amp;sp=Point.47.509108_-122.166669_1923 Shelton Ct NE&amp;cp=47.509108~-122.166669","Map")</f>
        <v>Map</v>
      </c>
      <c r="N2517" s="2" t="str">
        <f>HYPERLINK("http://i-0.rfimg.us/photo/1/bigphoto/288/28045288_0.jpg","Photo")</f>
        <v>Photo</v>
      </c>
      <c r="AG2517">
        <v>47.509107999999998</v>
      </c>
      <c r="AH2517">
        <v>-122.166669</v>
      </c>
      <c r="AI2517" t="s">
        <v>1077</v>
      </c>
      <c r="AJ2517">
        <v>98056</v>
      </c>
      <c r="AN2517">
        <v>229950</v>
      </c>
      <c r="BC2517" s="22">
        <v>39521.641516203701</v>
      </c>
      <c r="BI2517" s="22">
        <v>39549.294907407406</v>
      </c>
      <c r="BL2517">
        <v>10199</v>
      </c>
      <c r="BM2517">
        <v>1560592</v>
      </c>
      <c r="BN2517" t="s">
        <v>3236</v>
      </c>
      <c r="BO2517" s="17">
        <f t="shared" ca="1" si="39"/>
        <v>27.667889699077932</v>
      </c>
      <c r="BP2517" t="b">
        <v>0</v>
      </c>
      <c r="BQ2517">
        <v>1</v>
      </c>
      <c r="BR2517" t="s">
        <v>3768</v>
      </c>
      <c r="BS2517" t="s">
        <v>6068</v>
      </c>
      <c r="BT2517" t="b">
        <v>0</v>
      </c>
      <c r="BV2517" t="s">
        <v>1668</v>
      </c>
      <c r="BW2517">
        <v>1923</v>
      </c>
      <c r="BX2517" t="s">
        <v>1738</v>
      </c>
      <c r="BY2517">
        <v>412791</v>
      </c>
      <c r="BZ2517" t="s">
        <v>6069</v>
      </c>
      <c r="CA2517">
        <v>1</v>
      </c>
      <c r="CB2517" t="b">
        <v>1</v>
      </c>
      <c r="CC2517">
        <v>0</v>
      </c>
      <c r="CD2517" t="b">
        <v>0</v>
      </c>
      <c r="CE2517" t="b">
        <v>0</v>
      </c>
      <c r="CF2517" t="b">
        <v>0</v>
      </c>
      <c r="CG2517">
        <v>2661968</v>
      </c>
      <c r="CH2517" t="s">
        <v>1681</v>
      </c>
      <c r="CI2517" s="10">
        <v>509950</v>
      </c>
      <c r="CJ2517" s="7">
        <v>35243</v>
      </c>
    </row>
    <row r="2518" spans="1:88">
      <c r="A2518">
        <v>28045317</v>
      </c>
      <c r="B2518" s="15" t="str">
        <f>HYPERLINK("http://www.redfin.com/stingray/do/printable-listing?listing-id=1560635","Subject To Inspection")</f>
        <v>Subject To Inspection</v>
      </c>
      <c r="D2518" t="s">
        <v>63</v>
      </c>
      <c r="E2518" t="s">
        <v>1707</v>
      </c>
      <c r="F2518" s="19">
        <v>399000</v>
      </c>
      <c r="G2518">
        <v>2008</v>
      </c>
      <c r="H2518">
        <v>1250</v>
      </c>
      <c r="I2518">
        <v>0</v>
      </c>
      <c r="J2518">
        <v>3</v>
      </c>
      <c r="K2518">
        <v>2.5</v>
      </c>
      <c r="M2518" s="2" t="str">
        <f>HYPERLINK("http://maps.live.com/default.aspx?v=2&amp;lvl=15&amp;sp=Point.47.676137_-122.378413_1608 NW 65th St&amp;cp=47.676137~-122.378413","Map")</f>
        <v>Map</v>
      </c>
      <c r="N2518" s="2" t="str">
        <f>HYPERLINK("http://i-0.rfimg.us/photo/1/bigphoto/317/28045317_0.jpg","Photo")</f>
        <v>Photo</v>
      </c>
      <c r="AG2518">
        <v>47.676136999999997</v>
      </c>
      <c r="AH2518">
        <v>-122.37841299999999</v>
      </c>
      <c r="AI2518" t="s">
        <v>66</v>
      </c>
      <c r="AJ2518">
        <v>98107</v>
      </c>
      <c r="BC2518" s="22">
        <v>39521.652453703704</v>
      </c>
      <c r="BI2518" s="7">
        <v>39541</v>
      </c>
      <c r="BL2518">
        <v>7599</v>
      </c>
      <c r="BM2518">
        <v>1560635</v>
      </c>
      <c r="BN2518" t="s">
        <v>1693</v>
      </c>
      <c r="BO2518" s="17">
        <f t="shared" ca="1" si="39"/>
        <v>27.656952199075022</v>
      </c>
      <c r="BP2518" t="b">
        <v>0</v>
      </c>
      <c r="BQ2518">
        <v>1</v>
      </c>
      <c r="BR2518" t="s">
        <v>1686</v>
      </c>
      <c r="BS2518" t="s">
        <v>1708</v>
      </c>
      <c r="BT2518" t="b">
        <v>0</v>
      </c>
      <c r="BU2518" t="s">
        <v>1669</v>
      </c>
      <c r="BV2518" t="s">
        <v>1668</v>
      </c>
      <c r="BW2518">
        <v>1608</v>
      </c>
      <c r="BY2518">
        <v>12428539</v>
      </c>
      <c r="BZ2518" t="s">
        <v>1696</v>
      </c>
      <c r="CA2518">
        <v>1</v>
      </c>
      <c r="CB2518" t="b">
        <v>1</v>
      </c>
      <c r="CC2518">
        <v>0</v>
      </c>
      <c r="CD2518" t="b">
        <v>0</v>
      </c>
      <c r="CE2518" t="b">
        <v>0</v>
      </c>
      <c r="CF2518" t="b">
        <v>0</v>
      </c>
      <c r="CG2518">
        <v>15632287</v>
      </c>
      <c r="CH2518" t="s">
        <v>1681</v>
      </c>
      <c r="CI2518" s="10">
        <v>379950</v>
      </c>
    </row>
    <row r="2519" spans="1:88">
      <c r="A2519">
        <v>28045320</v>
      </c>
      <c r="B2519" s="2" t="str">
        <f>HYPERLINK("http://www.redfin.com/stingray/do/printable-listing?listing-id=1566556","Active")</f>
        <v>Active</v>
      </c>
      <c r="D2519" t="s">
        <v>5121</v>
      </c>
      <c r="E2519" t="s">
        <v>5168</v>
      </c>
      <c r="F2519">
        <v>730000</v>
      </c>
      <c r="G2519">
        <v>1957</v>
      </c>
      <c r="H2519">
        <v>2200</v>
      </c>
      <c r="I2519">
        <v>7208</v>
      </c>
      <c r="J2519">
        <v>4</v>
      </c>
      <c r="K2519">
        <v>1.75</v>
      </c>
      <c r="M2519" s="2" t="str">
        <f>HYPERLINK("http://maps.live.com/default.aspx?v=2&amp;lvl=15&amp;sp=Point.47.593756_-122.200329_10417 SE 19th&amp;cp=47.593756~-122.200329","Map")</f>
        <v>Map</v>
      </c>
      <c r="N2519" s="2" t="str">
        <f>HYPERLINK("http://i-0.rfimg.us/photo/1/bigphoto/320/28045320_1.jpg","Photo")</f>
        <v>Photo</v>
      </c>
      <c r="AG2519">
        <v>47.593755999999999</v>
      </c>
      <c r="AH2519">
        <v>-122.200329</v>
      </c>
      <c r="AI2519" t="s">
        <v>369</v>
      </c>
      <c r="AJ2519">
        <v>98004</v>
      </c>
      <c r="AN2519">
        <v>217000</v>
      </c>
      <c r="BC2519" s="22">
        <v>39524.651898148149</v>
      </c>
      <c r="BI2519" s="22">
        <v>39549.294907407406</v>
      </c>
      <c r="BL2519">
        <v>14600</v>
      </c>
      <c r="BM2519">
        <v>1566556</v>
      </c>
      <c r="BN2519" t="s">
        <v>1674</v>
      </c>
      <c r="BO2519" s="17">
        <f t="shared" ca="1" si="39"/>
        <v>24.657507754629478</v>
      </c>
      <c r="BP2519" t="b">
        <v>0</v>
      </c>
      <c r="BQ2519">
        <v>1</v>
      </c>
      <c r="BS2519" t="s">
        <v>1906</v>
      </c>
      <c r="BT2519" t="b">
        <v>0</v>
      </c>
      <c r="BU2519" t="s">
        <v>3856</v>
      </c>
      <c r="BV2519" t="s">
        <v>1668</v>
      </c>
      <c r="BW2519">
        <v>10417</v>
      </c>
      <c r="BY2519">
        <v>511053</v>
      </c>
      <c r="BZ2519" t="s">
        <v>1935</v>
      </c>
      <c r="CA2519">
        <v>1</v>
      </c>
      <c r="CB2519" t="b">
        <v>1</v>
      </c>
      <c r="CC2519">
        <v>0</v>
      </c>
      <c r="CD2519" t="b">
        <v>0</v>
      </c>
      <c r="CE2519" t="b">
        <v>0</v>
      </c>
      <c r="CF2519" t="b">
        <v>0</v>
      </c>
      <c r="CG2519">
        <v>2873067</v>
      </c>
      <c r="CH2519" t="s">
        <v>1681</v>
      </c>
      <c r="CI2519" s="10">
        <v>730000</v>
      </c>
      <c r="CJ2519" s="7">
        <v>34788</v>
      </c>
    </row>
    <row r="2520" spans="1:88">
      <c r="A2520">
        <v>28045322</v>
      </c>
      <c r="B2520" s="15" t="str">
        <f>HYPERLINK("http://www.redfin.com/stingray/do/printable-listing?listing-id=1560636","Subject To Inspection")</f>
        <v>Subject To Inspection</v>
      </c>
      <c r="D2520" t="s">
        <v>63</v>
      </c>
      <c r="E2520" t="s">
        <v>1707</v>
      </c>
      <c r="F2520">
        <v>369950</v>
      </c>
      <c r="G2520">
        <v>2008</v>
      </c>
      <c r="H2520">
        <v>1250</v>
      </c>
      <c r="I2520">
        <v>0</v>
      </c>
      <c r="J2520">
        <v>3</v>
      </c>
      <c r="K2520">
        <v>2.5</v>
      </c>
      <c r="M2520" s="2" t="str">
        <f>HYPERLINK("http://maps.live.com/default.aspx?v=2&amp;lvl=15&amp;sp=Point.47.676137_-122.378413_1608 NW 65th St&amp;cp=47.676137~-122.378413","Map")</f>
        <v>Map</v>
      </c>
      <c r="N2520" s="2" t="str">
        <f>HYPERLINK("http://i-0.rfimg.us/photo/1/bigphoto/322/28045322_0.jpg","Photo")</f>
        <v>Photo</v>
      </c>
      <c r="AG2520">
        <v>47.676136999999997</v>
      </c>
      <c r="AH2520">
        <v>-122.37841299999999</v>
      </c>
      <c r="AI2520" t="s">
        <v>66</v>
      </c>
      <c r="AJ2520">
        <v>98107</v>
      </c>
      <c r="BC2520" s="22">
        <v>39521.652453703704</v>
      </c>
      <c r="BI2520" s="7">
        <v>39534</v>
      </c>
      <c r="BL2520">
        <v>7399</v>
      </c>
      <c r="BM2520">
        <v>1560636</v>
      </c>
      <c r="BN2520" t="s">
        <v>1693</v>
      </c>
      <c r="BO2520" s="17">
        <f t="shared" ca="1" si="39"/>
        <v>27.65695231481368</v>
      </c>
      <c r="BP2520" t="b">
        <v>0</v>
      </c>
      <c r="BQ2520">
        <v>1</v>
      </c>
      <c r="BR2520" t="s">
        <v>1686</v>
      </c>
      <c r="BS2520" t="s">
        <v>1708</v>
      </c>
      <c r="BT2520" t="b">
        <v>0</v>
      </c>
      <c r="BU2520" t="s">
        <v>1669</v>
      </c>
      <c r="BV2520" t="s">
        <v>1668</v>
      </c>
      <c r="BW2520">
        <v>1608</v>
      </c>
      <c r="BY2520">
        <v>12428539</v>
      </c>
      <c r="BZ2520" t="s">
        <v>1696</v>
      </c>
      <c r="CA2520">
        <v>1</v>
      </c>
      <c r="CB2520" t="b">
        <v>1</v>
      </c>
      <c r="CC2520">
        <v>0</v>
      </c>
      <c r="CD2520" t="b">
        <v>0</v>
      </c>
      <c r="CE2520" t="b">
        <v>1</v>
      </c>
      <c r="CF2520" t="b">
        <v>0</v>
      </c>
      <c r="CG2520">
        <v>15632287</v>
      </c>
      <c r="CH2520" t="s">
        <v>1681</v>
      </c>
      <c r="CI2520" s="10">
        <v>369950</v>
      </c>
    </row>
    <row r="2521" spans="1:88">
      <c r="A2521">
        <v>28045333</v>
      </c>
      <c r="B2521" s="2" t="str">
        <f>HYPERLINK("http://www.redfin.com/stingray/do/printable-listing?listing-id=1563026","Active")</f>
        <v>Active</v>
      </c>
      <c r="D2521" t="s">
        <v>3071</v>
      </c>
      <c r="E2521" t="s">
        <v>4468</v>
      </c>
      <c r="F2521" s="19">
        <v>639750</v>
      </c>
      <c r="G2521">
        <v>1991</v>
      </c>
      <c r="H2521">
        <v>2490</v>
      </c>
      <c r="I2521">
        <v>7440</v>
      </c>
      <c r="J2521">
        <v>4</v>
      </c>
      <c r="K2521">
        <v>2.75</v>
      </c>
      <c r="M2521" s="2" t="str">
        <f>HYPERLINK("http://maps.live.com/default.aspx?v=2&amp;lvl=15&amp;sp=Point.47.715718_-122.227206_8527 NE 129th Pl&amp;cp=47.715718~-122.227206","Map")</f>
        <v>Map</v>
      </c>
      <c r="N2521" s="2" t="str">
        <f>HYPERLINK("http://i-0.rfimg.us/photo/1/bigphoto/333/28045333_2.jpg","Photo")</f>
        <v>Photo</v>
      </c>
      <c r="AG2521">
        <v>47.715718000000003</v>
      </c>
      <c r="AH2521">
        <v>-122.227206</v>
      </c>
      <c r="AI2521" t="s">
        <v>1058</v>
      </c>
      <c r="AJ2521">
        <v>98034</v>
      </c>
      <c r="AN2521">
        <v>280000</v>
      </c>
      <c r="BC2521" s="22">
        <v>39522.526041666664</v>
      </c>
      <c r="BI2521" s="22">
        <v>39549.294907407406</v>
      </c>
      <c r="BL2521">
        <v>13195</v>
      </c>
      <c r="BM2521">
        <v>1563026</v>
      </c>
      <c r="BN2521" t="s">
        <v>4467</v>
      </c>
      <c r="BO2521" s="17">
        <f t="shared" ca="1" si="39"/>
        <v>26.783364236114721</v>
      </c>
      <c r="BP2521" t="b">
        <v>0</v>
      </c>
      <c r="BQ2521">
        <v>1</v>
      </c>
      <c r="BR2521" t="s">
        <v>1842</v>
      </c>
      <c r="BS2521" t="s">
        <v>2980</v>
      </c>
      <c r="BT2521" t="b">
        <v>0</v>
      </c>
      <c r="BU2521" t="s">
        <v>1738</v>
      </c>
      <c r="BV2521" t="s">
        <v>1668</v>
      </c>
      <c r="BW2521">
        <v>8527</v>
      </c>
      <c r="BY2521">
        <v>277168</v>
      </c>
      <c r="BZ2521" t="s">
        <v>2577</v>
      </c>
      <c r="CA2521">
        <v>1</v>
      </c>
      <c r="CB2521" t="b">
        <v>1</v>
      </c>
      <c r="CC2521">
        <v>0</v>
      </c>
      <c r="CD2521" t="b">
        <v>0</v>
      </c>
      <c r="CE2521" t="b">
        <v>0</v>
      </c>
      <c r="CF2521" t="b">
        <v>0</v>
      </c>
      <c r="CG2521">
        <v>2532714</v>
      </c>
      <c r="CH2521" t="s">
        <v>1681</v>
      </c>
      <c r="CI2521" s="10">
        <v>659750</v>
      </c>
      <c r="CJ2521" s="7">
        <v>36719</v>
      </c>
    </row>
    <row r="2522" spans="1:88">
      <c r="A2522">
        <v>28045367</v>
      </c>
      <c r="B2522" s="2" t="str">
        <f>HYPERLINK("http://www.redfin.com/stingray/do/printable-listing?listing-id=1560833","Active")</f>
        <v>Active</v>
      </c>
      <c r="D2522" t="s">
        <v>226</v>
      </c>
      <c r="E2522" t="s">
        <v>3189</v>
      </c>
      <c r="F2522">
        <v>467500</v>
      </c>
      <c r="G2522">
        <v>2006</v>
      </c>
      <c r="H2522">
        <v>1250</v>
      </c>
      <c r="I2522">
        <v>0</v>
      </c>
      <c r="J2522">
        <v>3</v>
      </c>
      <c r="K2522">
        <v>2.5</v>
      </c>
      <c r="M2522" s="2" t="str">
        <f>HYPERLINK("http://maps.live.com/default.aspx?v=2&amp;lvl=15&amp;sp=Point.47.662335_-122.319803_4517 8th Ave NE nB&amp;cp=47.662335~-122.319803","Map")</f>
        <v>Map</v>
      </c>
      <c r="N2522" s="2" t="str">
        <f>HYPERLINK("http://i-0.rfimg.us/photo/1/bigphoto/367/28045367_2.jpg","Photo")</f>
        <v>Photo</v>
      </c>
      <c r="AG2522">
        <v>47.662334999999999</v>
      </c>
      <c r="AH2522">
        <v>-122.31980299999999</v>
      </c>
      <c r="AI2522" t="s">
        <v>66</v>
      </c>
      <c r="AJ2522">
        <v>98105</v>
      </c>
      <c r="AM2522" t="s">
        <v>1699</v>
      </c>
      <c r="AN2522">
        <v>443500</v>
      </c>
      <c r="BC2522" s="22">
        <v>39521.673773148148</v>
      </c>
      <c r="BI2522" s="7">
        <v>39534</v>
      </c>
      <c r="BL2522">
        <v>9350</v>
      </c>
      <c r="BM2522">
        <v>1560833</v>
      </c>
      <c r="BN2522" t="s">
        <v>1693</v>
      </c>
      <c r="BO2522" s="17">
        <f t="shared" ca="1" si="39"/>
        <v>27.635632754630933</v>
      </c>
      <c r="BP2522" t="b">
        <v>0</v>
      </c>
      <c r="BQ2522">
        <v>1</v>
      </c>
      <c r="BR2522" t="s">
        <v>1667</v>
      </c>
      <c r="BS2522" t="s">
        <v>1723</v>
      </c>
      <c r="BT2522" t="b">
        <v>0</v>
      </c>
      <c r="BV2522" t="s">
        <v>1668</v>
      </c>
      <c r="BW2522">
        <v>4517</v>
      </c>
      <c r="BX2522" t="s">
        <v>1738</v>
      </c>
      <c r="BY2522">
        <v>8189738</v>
      </c>
      <c r="BZ2522" t="s">
        <v>3190</v>
      </c>
      <c r="CA2522">
        <v>1</v>
      </c>
      <c r="CB2522" t="b">
        <v>1</v>
      </c>
      <c r="CC2522">
        <v>0</v>
      </c>
      <c r="CD2522" t="b">
        <v>0</v>
      </c>
      <c r="CE2522" t="b">
        <v>0</v>
      </c>
      <c r="CF2522" t="b">
        <v>0</v>
      </c>
      <c r="CG2522">
        <v>3027948</v>
      </c>
      <c r="CH2522" t="s">
        <v>1681</v>
      </c>
      <c r="CI2522" s="10">
        <v>467500</v>
      </c>
      <c r="CJ2522" s="7">
        <v>38995</v>
      </c>
    </row>
    <row r="2523" spans="1:88">
      <c r="A2523">
        <v>28045380</v>
      </c>
      <c r="B2523" s="2" t="str">
        <f>HYPERLINK("http://www.redfin.com/stingray/do/printable-listing?listing-id=1572453","Active")</f>
        <v>Active</v>
      </c>
      <c r="D2523" t="s">
        <v>3704</v>
      </c>
      <c r="E2523" t="s">
        <v>4099</v>
      </c>
      <c r="F2523">
        <v>499950</v>
      </c>
      <c r="G2523">
        <v>2005</v>
      </c>
      <c r="H2523">
        <v>1500</v>
      </c>
      <c r="I2523">
        <v>1345</v>
      </c>
      <c r="J2523">
        <v>3</v>
      </c>
      <c r="K2523">
        <v>2.5</v>
      </c>
      <c r="M2523" s="2" t="str">
        <f>HYPERLINK("http://maps.live.com/default.aspx?v=2&amp;lvl=15&amp;sp=Point.47.619283_-122.305108_125 21st Ave E&amp;cp=47.619283~-122.305108","Map")</f>
        <v>Map</v>
      </c>
      <c r="N2523" s="2" t="str">
        <f>HYPERLINK("http://i-0.rfimg.us/photo/1/bigphoto/380/28045380_0.jpg","Photo")</f>
        <v>Photo</v>
      </c>
      <c r="AG2523">
        <v>47.619283000000003</v>
      </c>
      <c r="AH2523">
        <v>-122.305108</v>
      </c>
      <c r="AI2523" t="s">
        <v>66</v>
      </c>
      <c r="AJ2523">
        <v>98112</v>
      </c>
      <c r="BC2523" s="22">
        <v>39526.589537037034</v>
      </c>
      <c r="BI2523" s="22">
        <v>39549.294907407406</v>
      </c>
      <c r="BL2523">
        <v>9999</v>
      </c>
      <c r="BM2523">
        <v>1572453</v>
      </c>
      <c r="BN2523" t="s">
        <v>1746</v>
      </c>
      <c r="BO2523" s="17">
        <f t="shared" ca="1" si="39"/>
        <v>22.719868865744502</v>
      </c>
      <c r="BP2523" t="b">
        <v>0</v>
      </c>
      <c r="BQ2523">
        <v>1</v>
      </c>
      <c r="BR2523" t="s">
        <v>1667</v>
      </c>
      <c r="BS2523" t="s">
        <v>1903</v>
      </c>
      <c r="BT2523" t="b">
        <v>0</v>
      </c>
      <c r="BV2523" t="s">
        <v>1668</v>
      </c>
      <c r="BW2523">
        <v>125</v>
      </c>
      <c r="BX2523" t="s">
        <v>2436</v>
      </c>
      <c r="BY2523">
        <v>12432813</v>
      </c>
      <c r="BZ2523" t="s">
        <v>1747</v>
      </c>
      <c r="CA2523">
        <v>1</v>
      </c>
      <c r="CB2523" t="b">
        <v>1</v>
      </c>
      <c r="CC2523">
        <v>0</v>
      </c>
      <c r="CD2523" t="b">
        <v>0</v>
      </c>
      <c r="CE2523" t="b">
        <v>0</v>
      </c>
      <c r="CF2523" t="b">
        <v>0</v>
      </c>
      <c r="CG2523">
        <v>15636561</v>
      </c>
      <c r="CH2523" t="s">
        <v>1681</v>
      </c>
      <c r="CI2523" s="10">
        <v>499950</v>
      </c>
    </row>
    <row r="2524" spans="1:88">
      <c r="A2524">
        <v>28045382</v>
      </c>
      <c r="B2524" s="2" t="str">
        <f>HYPERLINK("http://www.redfin.com/stingray/do/printable-listing?listing-id=1561125","Active")</f>
        <v>Active</v>
      </c>
      <c r="D2524" t="s">
        <v>1129</v>
      </c>
      <c r="E2524" t="s">
        <v>2824</v>
      </c>
      <c r="F2524">
        <v>1700000</v>
      </c>
      <c r="G2524">
        <v>1929</v>
      </c>
      <c r="H2524">
        <v>0</v>
      </c>
      <c r="I2524">
        <v>10287</v>
      </c>
      <c r="J2524">
        <v>5</v>
      </c>
      <c r="K2524">
        <v>4.5</v>
      </c>
      <c r="M2524" s="2" t="str">
        <f>HYPERLINK("http://maps.live.com/default.aspx?v=2&amp;lvl=15&amp;sp=Point.47.692889_-122.269644_8724 Sand Point Way NE&amp;cp=47.692889~-122.269644","Map")</f>
        <v>Map</v>
      </c>
      <c r="N2524" s="2" t="str">
        <f>HYPERLINK("http://i-0.rfimg.us/photo/1/bigphoto/382/28045382_0.jpg","Photo")</f>
        <v>Photo</v>
      </c>
      <c r="AG2524">
        <v>47.692889000000001</v>
      </c>
      <c r="AH2524">
        <v>-122.269644</v>
      </c>
      <c r="AI2524" t="s">
        <v>66</v>
      </c>
      <c r="AJ2524">
        <v>98115</v>
      </c>
      <c r="BC2524" s="22">
        <v>39521.695937500001</v>
      </c>
      <c r="BI2524" s="22">
        <v>39549.294907407406</v>
      </c>
      <c r="BL2524">
        <v>34000</v>
      </c>
      <c r="BM2524">
        <v>1561125</v>
      </c>
      <c r="BN2524" t="s">
        <v>1710</v>
      </c>
      <c r="BO2524" s="17">
        <f t="shared" ca="1" si="39"/>
        <v>27.613468402778381</v>
      </c>
      <c r="BP2524" t="b">
        <v>0</v>
      </c>
      <c r="BQ2524">
        <v>1</v>
      </c>
      <c r="BR2524" t="s">
        <v>2463</v>
      </c>
      <c r="BS2524" t="s">
        <v>1129</v>
      </c>
      <c r="BT2524" t="b">
        <v>0</v>
      </c>
      <c r="BV2524" t="s">
        <v>1668</v>
      </c>
      <c r="BW2524">
        <v>8724</v>
      </c>
      <c r="BX2524" t="s">
        <v>1738</v>
      </c>
      <c r="BY2524">
        <v>319380</v>
      </c>
      <c r="BZ2524" t="s">
        <v>2825</v>
      </c>
      <c r="CA2524">
        <v>1</v>
      </c>
      <c r="CB2524" t="b">
        <v>1</v>
      </c>
      <c r="CC2524">
        <v>0</v>
      </c>
      <c r="CD2524" t="b">
        <v>0</v>
      </c>
      <c r="CE2524" t="b">
        <v>0</v>
      </c>
      <c r="CF2524" t="b">
        <v>0</v>
      </c>
      <c r="CG2524">
        <v>2546812</v>
      </c>
      <c r="CH2524" t="s">
        <v>1681</v>
      </c>
      <c r="CI2524" s="10">
        <v>1700000</v>
      </c>
    </row>
    <row r="2525" spans="1:88">
      <c r="A2525">
        <v>28045390</v>
      </c>
      <c r="B2525" s="15" t="str">
        <f>HYPERLINK("http://www.redfin.com/stingray/do/printable-listing?listing-id=1561153","Subject To Inspection")</f>
        <v>Subject To Inspection</v>
      </c>
      <c r="D2525" t="s">
        <v>109</v>
      </c>
      <c r="E2525" t="s">
        <v>2472</v>
      </c>
      <c r="F2525">
        <v>509950</v>
      </c>
      <c r="G2525">
        <v>2008</v>
      </c>
      <c r="H2525">
        <v>1367</v>
      </c>
      <c r="I2525">
        <v>0</v>
      </c>
      <c r="J2525">
        <v>3</v>
      </c>
      <c r="K2525">
        <v>2.5</v>
      </c>
      <c r="M2525" s="2" t="str">
        <f>HYPERLINK("http://maps.live.com/default.aspx?v=2&amp;lvl=15&amp;sp=Point.47.662374_-122.334334_1916 N 46th St nB&amp;cp=47.662374~-122.334334","Map")</f>
        <v>Map</v>
      </c>
      <c r="N2525" s="2" t="str">
        <f>HYPERLINK("http://i-0.rfimg.us/photo/1/bigphoto/390/28045390_2.jpg","Photo")</f>
        <v>Photo</v>
      </c>
      <c r="AG2525">
        <v>47.662374</v>
      </c>
      <c r="AH2525">
        <v>-122.334334</v>
      </c>
      <c r="AI2525" t="s">
        <v>66</v>
      </c>
      <c r="AJ2525">
        <v>98103</v>
      </c>
      <c r="AM2525" t="s">
        <v>1699</v>
      </c>
      <c r="BC2525" s="22">
        <v>39521.706261574072</v>
      </c>
      <c r="BI2525" s="22">
        <v>39547.913935185185</v>
      </c>
      <c r="BL2525">
        <v>10199</v>
      </c>
      <c r="BM2525">
        <v>1561153</v>
      </c>
      <c r="BN2525" t="s">
        <v>1693</v>
      </c>
      <c r="BO2525" s="17">
        <f t="shared" ca="1" si="39"/>
        <v>27.603144444445206</v>
      </c>
      <c r="BP2525" t="b">
        <v>0</v>
      </c>
      <c r="BQ2525">
        <v>1</v>
      </c>
      <c r="BR2525" t="s">
        <v>1686</v>
      </c>
      <c r="BS2525" t="s">
        <v>2471</v>
      </c>
      <c r="BT2525" t="b">
        <v>0</v>
      </c>
      <c r="BU2525" t="s">
        <v>1712</v>
      </c>
      <c r="BV2525" t="s">
        <v>1668</v>
      </c>
      <c r="BW2525">
        <v>1916</v>
      </c>
      <c r="BY2525">
        <v>12428699</v>
      </c>
      <c r="BZ2525" t="s">
        <v>2473</v>
      </c>
      <c r="CA2525">
        <v>1</v>
      </c>
      <c r="CB2525" t="b">
        <v>1</v>
      </c>
      <c r="CC2525">
        <v>0</v>
      </c>
      <c r="CD2525" t="b">
        <v>0</v>
      </c>
      <c r="CE2525" t="b">
        <v>0</v>
      </c>
      <c r="CF2525" t="b">
        <v>0</v>
      </c>
      <c r="CG2525">
        <v>15632447</v>
      </c>
      <c r="CH2525" t="s">
        <v>1681</v>
      </c>
      <c r="CI2525" s="10">
        <v>509950</v>
      </c>
    </row>
    <row r="2526" spans="1:88">
      <c r="A2526">
        <v>28045403</v>
      </c>
      <c r="B2526" s="15" t="str">
        <f>HYPERLINK("http://www.redfin.com/stingray/do/printable-listing?listing-id=1561202","Subject To Inspection")</f>
        <v>Subject To Inspection</v>
      </c>
      <c r="D2526" t="s">
        <v>109</v>
      </c>
      <c r="E2526" t="s">
        <v>2470</v>
      </c>
      <c r="F2526">
        <v>499950</v>
      </c>
      <c r="G2526">
        <v>2008</v>
      </c>
      <c r="H2526">
        <v>1367</v>
      </c>
      <c r="I2526">
        <v>0</v>
      </c>
      <c r="J2526">
        <v>3</v>
      </c>
      <c r="K2526">
        <v>2.5</v>
      </c>
      <c r="M2526" s="2" t="str">
        <f>HYPERLINK("http://maps.live.com/default.aspx?v=2&amp;lvl=15&amp;sp=Point.47.662237_-122.334793_1918 N 46th St nB&amp;cp=47.662237~-122.334793","Map")</f>
        <v>Map</v>
      </c>
      <c r="N2526" s="2" t="str">
        <f>HYPERLINK("http://i-0.rfimg.us/photo/1/bigphoto/403/28045403_2.jpg","Photo")</f>
        <v>Photo</v>
      </c>
      <c r="AG2526">
        <v>47.662236999999998</v>
      </c>
      <c r="AH2526">
        <v>-122.334793</v>
      </c>
      <c r="AI2526" t="s">
        <v>66</v>
      </c>
      <c r="AJ2526">
        <v>98103</v>
      </c>
      <c r="AM2526" t="s">
        <v>1699</v>
      </c>
      <c r="BC2526" s="22">
        <v>39521.716724537036</v>
      </c>
      <c r="BI2526" s="22">
        <v>39547.913935185185</v>
      </c>
      <c r="BL2526">
        <v>9999</v>
      </c>
      <c r="BM2526">
        <v>1561202</v>
      </c>
      <c r="BN2526" t="s">
        <v>1693</v>
      </c>
      <c r="BO2526" s="17">
        <f t="shared" ca="1" si="39"/>
        <v>27.592681481481122</v>
      </c>
      <c r="BP2526" t="b">
        <v>0</v>
      </c>
      <c r="BQ2526">
        <v>1</v>
      </c>
      <c r="BR2526" t="s">
        <v>1686</v>
      </c>
      <c r="BS2526" t="s">
        <v>2471</v>
      </c>
      <c r="BT2526" t="b">
        <v>0</v>
      </c>
      <c r="BU2526" t="s">
        <v>1712</v>
      </c>
      <c r="BV2526" t="s">
        <v>1668</v>
      </c>
      <c r="BW2526">
        <v>1918</v>
      </c>
      <c r="BY2526">
        <v>12428703</v>
      </c>
      <c r="BZ2526" t="s">
        <v>1730</v>
      </c>
      <c r="CA2526">
        <v>1</v>
      </c>
      <c r="CB2526" t="b">
        <v>1</v>
      </c>
      <c r="CC2526">
        <v>0</v>
      </c>
      <c r="CD2526" t="b">
        <v>0</v>
      </c>
      <c r="CE2526" t="b">
        <v>0</v>
      </c>
      <c r="CF2526" t="b">
        <v>0</v>
      </c>
      <c r="CG2526">
        <v>15632451</v>
      </c>
      <c r="CH2526" t="s">
        <v>1681</v>
      </c>
      <c r="CI2526" s="10">
        <v>499950</v>
      </c>
    </row>
    <row r="2527" spans="1:88">
      <c r="A2527">
        <v>28045421</v>
      </c>
      <c r="B2527" s="2" t="str">
        <f>HYPERLINK("http://www.redfin.com/stingray/do/printable-listing?listing-id=1561309","Active")</f>
        <v>Active</v>
      </c>
      <c r="D2527" t="s">
        <v>55</v>
      </c>
      <c r="E2527" t="s">
        <v>2155</v>
      </c>
      <c r="F2527">
        <v>469950</v>
      </c>
      <c r="G2527">
        <v>1928</v>
      </c>
      <c r="H2527">
        <v>0</v>
      </c>
      <c r="I2527">
        <v>7156</v>
      </c>
      <c r="J2527">
        <v>3</v>
      </c>
      <c r="K2527">
        <v>3</v>
      </c>
      <c r="M2527" s="2" t="str">
        <f>HYPERLINK("http://maps.live.com/default.aspx?v=2&amp;lvl=15&amp;sp=Point.47.699981_-122.347003_9708 Linden Ave N&amp;cp=47.699981~-122.347003","Map")</f>
        <v>Map</v>
      </c>
      <c r="N2527" s="2" t="str">
        <f>HYPERLINK("http://i-0.rfimg.us/photo/1/bigphoto/421/28045421_0.jpg","Photo")</f>
        <v>Photo</v>
      </c>
      <c r="AG2527">
        <v>47.699981000000001</v>
      </c>
      <c r="AH2527">
        <v>-122.347003</v>
      </c>
      <c r="AI2527" t="s">
        <v>66</v>
      </c>
      <c r="AJ2527">
        <v>98103</v>
      </c>
      <c r="AN2527">
        <v>199950</v>
      </c>
      <c r="BC2527" s="22">
        <v>39521.765439814815</v>
      </c>
      <c r="BI2527" s="22">
        <v>39549.294907407406</v>
      </c>
      <c r="BL2527">
        <v>9399</v>
      </c>
      <c r="BM2527">
        <v>1561309</v>
      </c>
      <c r="BN2527" t="s">
        <v>1678</v>
      </c>
      <c r="BO2527" s="17">
        <f t="shared" ca="1" si="39"/>
        <v>27.543966087963781</v>
      </c>
      <c r="BP2527" t="b">
        <v>0</v>
      </c>
      <c r="BQ2527">
        <v>1</v>
      </c>
      <c r="BR2527" t="s">
        <v>1667</v>
      </c>
      <c r="BS2527" t="s">
        <v>2439</v>
      </c>
      <c r="BT2527" t="b">
        <v>0</v>
      </c>
      <c r="BV2527" t="s">
        <v>1668</v>
      </c>
      <c r="BW2527">
        <v>9708</v>
      </c>
      <c r="BX2527" t="s">
        <v>1712</v>
      </c>
      <c r="BY2527">
        <v>98877</v>
      </c>
      <c r="BZ2527" t="s">
        <v>1713</v>
      </c>
      <c r="CA2527">
        <v>1</v>
      </c>
      <c r="CB2527" t="b">
        <v>1</v>
      </c>
      <c r="CC2527">
        <v>0</v>
      </c>
      <c r="CD2527" t="b">
        <v>0</v>
      </c>
      <c r="CE2527" t="b">
        <v>0</v>
      </c>
      <c r="CF2527" t="b">
        <v>0</v>
      </c>
      <c r="CG2527">
        <v>2821743</v>
      </c>
      <c r="CH2527" t="s">
        <v>1681</v>
      </c>
      <c r="CI2527" s="10">
        <v>469950</v>
      </c>
      <c r="CJ2527" s="7">
        <v>36476</v>
      </c>
    </row>
    <row r="2528" spans="1:88">
      <c r="A2528">
        <v>28045429</v>
      </c>
      <c r="B2528" s="2" t="str">
        <f>HYPERLINK("http://www.redfin.com/stingray/do/printable-listing?listing-id=1566316","Active")</f>
        <v>Active</v>
      </c>
      <c r="D2528" t="s">
        <v>3066</v>
      </c>
      <c r="E2528" t="s">
        <v>4740</v>
      </c>
      <c r="F2528">
        <v>505000</v>
      </c>
      <c r="G2528">
        <v>1967</v>
      </c>
      <c r="H2528">
        <v>1490</v>
      </c>
      <c r="I2528">
        <v>9000</v>
      </c>
      <c r="J2528">
        <v>4</v>
      </c>
      <c r="K2528">
        <v>1.75</v>
      </c>
      <c r="M2528" s="2" t="str">
        <f>HYPERLINK("http://maps.live.com/default.aspx?v=2&amp;lvl=15&amp;sp=Point.47.682862_-122.177079_12228 NE 90th St&amp;cp=47.682862~-122.177079","Map")</f>
        <v>Map</v>
      </c>
      <c r="N2528" s="2" t="str">
        <f>HYPERLINK("http://i-0.rfimg.us/photo/1/bigphoto/429/28045429_2.jpg","Photo")</f>
        <v>Photo</v>
      </c>
      <c r="AG2528">
        <v>47.682862</v>
      </c>
      <c r="AH2528">
        <v>-122.17707900000001</v>
      </c>
      <c r="AI2528" t="s">
        <v>1058</v>
      </c>
      <c r="AJ2528">
        <v>98033</v>
      </c>
      <c r="AN2528">
        <v>215000</v>
      </c>
      <c r="BC2528" s="22">
        <v>39524.599687499998</v>
      </c>
      <c r="BI2528" s="22">
        <v>39549.294907407406</v>
      </c>
      <c r="BL2528">
        <v>10100</v>
      </c>
      <c r="BM2528">
        <v>1566316</v>
      </c>
      <c r="BN2528" t="s">
        <v>1737</v>
      </c>
      <c r="BO2528" s="17">
        <f t="shared" ca="1" si="39"/>
        <v>24.709718402780709</v>
      </c>
      <c r="BP2528" t="b">
        <v>0</v>
      </c>
      <c r="BQ2528">
        <v>1</v>
      </c>
      <c r="BR2528" t="s">
        <v>1686</v>
      </c>
      <c r="BS2528" t="s">
        <v>1761</v>
      </c>
      <c r="BT2528" t="b">
        <v>0</v>
      </c>
      <c r="BU2528" t="s">
        <v>1738</v>
      </c>
      <c r="BV2528" t="s">
        <v>1668</v>
      </c>
      <c r="BW2528">
        <v>12228</v>
      </c>
      <c r="BY2528">
        <v>513407</v>
      </c>
      <c r="BZ2528" t="s">
        <v>4343</v>
      </c>
      <c r="CA2528">
        <v>1</v>
      </c>
      <c r="CB2528" t="b">
        <v>1</v>
      </c>
      <c r="CC2528">
        <v>0</v>
      </c>
      <c r="CD2528" t="b">
        <v>0</v>
      </c>
      <c r="CE2528" t="b">
        <v>0</v>
      </c>
      <c r="CF2528" t="b">
        <v>0</v>
      </c>
      <c r="CG2528">
        <v>2354187</v>
      </c>
      <c r="CH2528" t="s">
        <v>1681</v>
      </c>
      <c r="CI2528" s="10">
        <v>505000</v>
      </c>
      <c r="CJ2528" s="7">
        <v>37679</v>
      </c>
    </row>
    <row r="2529" spans="1:90">
      <c r="A2529">
        <v>28045448</v>
      </c>
      <c r="B2529" s="2" t="str">
        <f>HYPERLINK("http://www.redfin.com/stingray/do/printable-listing?listing-id=1561466","Active")</f>
        <v>Active</v>
      </c>
      <c r="D2529" t="s">
        <v>192</v>
      </c>
      <c r="E2529" t="s">
        <v>2863</v>
      </c>
      <c r="F2529">
        <v>549000</v>
      </c>
      <c r="G2529">
        <v>1941</v>
      </c>
      <c r="H2529">
        <v>1900</v>
      </c>
      <c r="I2529">
        <v>6380</v>
      </c>
      <c r="J2529">
        <v>3</v>
      </c>
      <c r="K2529">
        <v>1.75</v>
      </c>
      <c r="M2529" s="2" t="str">
        <f>HYPERLINK("http://maps.live.com/default.aspx?v=2&amp;lvl=15&amp;sp=Point.47.693299_-122.308702_1716 NE 89th St&amp;cp=47.693299~-122.308702","Map")</f>
        <v>Map</v>
      </c>
      <c r="N2529" s="2" t="str">
        <f>HYPERLINK("http://i-0.rfimg.us/photo/1/bigphoto/448/28045448_0.jpg","Photo")</f>
        <v>Photo</v>
      </c>
      <c r="AG2529">
        <v>47.693299000000003</v>
      </c>
      <c r="AH2529">
        <v>-122.308702</v>
      </c>
      <c r="AI2529" t="s">
        <v>66</v>
      </c>
      <c r="AJ2529">
        <v>98115</v>
      </c>
      <c r="AN2529">
        <v>318000</v>
      </c>
      <c r="BC2529" s="22">
        <v>39521.810185185182</v>
      </c>
      <c r="BI2529" s="22">
        <v>39549.294907407406</v>
      </c>
      <c r="BL2529">
        <v>10980</v>
      </c>
      <c r="BM2529">
        <v>1561466</v>
      </c>
      <c r="BN2529" t="s">
        <v>1725</v>
      </c>
      <c r="BO2529" s="17">
        <f t="shared" ca="1" si="39"/>
        <v>27.499220717596472</v>
      </c>
      <c r="BP2529" t="b">
        <v>0</v>
      </c>
      <c r="BQ2529">
        <v>1</v>
      </c>
      <c r="BR2529" t="s">
        <v>1686</v>
      </c>
      <c r="BS2529" t="s">
        <v>2741</v>
      </c>
      <c r="BT2529" t="b">
        <v>0</v>
      </c>
      <c r="BU2529" t="s">
        <v>1738</v>
      </c>
      <c r="BV2529" t="s">
        <v>1668</v>
      </c>
      <c r="BW2529">
        <v>1716</v>
      </c>
      <c r="BY2529">
        <v>108014</v>
      </c>
      <c r="BZ2529" t="s">
        <v>1745</v>
      </c>
      <c r="CA2529">
        <v>1</v>
      </c>
      <c r="CB2529" t="b">
        <v>1</v>
      </c>
      <c r="CC2529">
        <v>0</v>
      </c>
      <c r="CD2529" t="b">
        <v>0</v>
      </c>
      <c r="CE2529" t="b">
        <v>0</v>
      </c>
      <c r="CF2529" t="b">
        <v>0</v>
      </c>
      <c r="CG2529">
        <v>2723276</v>
      </c>
      <c r="CH2529" t="s">
        <v>1681</v>
      </c>
      <c r="CI2529" s="10">
        <v>549000</v>
      </c>
      <c r="CJ2529" s="7">
        <v>37596</v>
      </c>
    </row>
    <row r="2530" spans="1:90">
      <c r="A2530">
        <v>28045453</v>
      </c>
      <c r="B2530" s="2" t="str">
        <f>HYPERLINK("http://www.redfin.com/stingray/do/printable-listing?listing-id=1561488","Active")</f>
        <v>Active</v>
      </c>
      <c r="D2530" t="s">
        <v>194</v>
      </c>
      <c r="E2530" t="s">
        <v>2826</v>
      </c>
      <c r="F2530" s="19">
        <v>518750</v>
      </c>
      <c r="G2530">
        <v>1927</v>
      </c>
      <c r="H2530">
        <v>1720</v>
      </c>
      <c r="I2530">
        <v>6120</v>
      </c>
      <c r="J2530">
        <v>4</v>
      </c>
      <c r="K2530">
        <v>2</v>
      </c>
      <c r="M2530" s="2" t="str">
        <f>HYPERLINK("http://maps.live.com/default.aspx?v=2&amp;lvl=15&amp;sp=Point.47.692664_-122.290286_8810 35 Ave NE&amp;cp=47.692664~-122.290286","Map")</f>
        <v>Map</v>
      </c>
      <c r="N2530" s="2" t="str">
        <f>HYPERLINK("http://i-0.rfimg.us/photo/1/bigphoto/453/28045453_4.jpg","Photo")</f>
        <v>Photo</v>
      </c>
      <c r="AG2530">
        <v>47.692664000000001</v>
      </c>
      <c r="AH2530">
        <v>-122.29028599999999</v>
      </c>
      <c r="AI2530" t="s">
        <v>66</v>
      </c>
      <c r="AJ2530">
        <v>98115</v>
      </c>
      <c r="AN2530">
        <v>302766</v>
      </c>
      <c r="BC2530" s="22">
        <v>39521.819537037038</v>
      </c>
      <c r="BI2530" s="22">
        <v>39549.294907407406</v>
      </c>
      <c r="BL2530">
        <v>10495</v>
      </c>
      <c r="BM2530">
        <v>1561488</v>
      </c>
      <c r="BN2530" t="s">
        <v>1673</v>
      </c>
      <c r="BO2530" s="17">
        <f t="shared" ca="1" si="39"/>
        <v>27.4898688657413</v>
      </c>
      <c r="BP2530" t="b">
        <v>0</v>
      </c>
      <c r="BQ2530">
        <v>1</v>
      </c>
      <c r="BR2530" t="s">
        <v>1667</v>
      </c>
      <c r="BS2530">
        <v>35</v>
      </c>
      <c r="BT2530" t="b">
        <v>0</v>
      </c>
      <c r="BV2530" t="s">
        <v>1668</v>
      </c>
      <c r="BW2530">
        <v>8810</v>
      </c>
      <c r="BX2530" t="s">
        <v>1738</v>
      </c>
      <c r="BY2530">
        <v>315725</v>
      </c>
      <c r="BZ2530" t="s">
        <v>2827</v>
      </c>
      <c r="CA2530">
        <v>1</v>
      </c>
      <c r="CB2530" t="b">
        <v>1</v>
      </c>
      <c r="CC2530">
        <v>0</v>
      </c>
      <c r="CD2530" t="b">
        <v>0</v>
      </c>
      <c r="CE2530" t="b">
        <v>0</v>
      </c>
      <c r="CF2530" t="b">
        <v>0</v>
      </c>
      <c r="CG2530">
        <v>2486956</v>
      </c>
      <c r="CH2530" t="s">
        <v>1681</v>
      </c>
      <c r="CI2530" s="10">
        <v>524750</v>
      </c>
      <c r="CJ2530" s="7">
        <v>39289</v>
      </c>
    </row>
    <row r="2531" spans="1:90">
      <c r="A2531">
        <v>28045456</v>
      </c>
      <c r="B2531" s="2" t="str">
        <f>HYPERLINK("http://www.redfin.com/stingray/do/printable-listing?listing-id=1561507","Active")</f>
        <v>Active</v>
      </c>
      <c r="D2531" t="s">
        <v>5014</v>
      </c>
      <c r="E2531" t="s">
        <v>5037</v>
      </c>
      <c r="F2531">
        <v>799000</v>
      </c>
      <c r="G2531">
        <v>1953</v>
      </c>
      <c r="H2531">
        <v>1320</v>
      </c>
      <c r="I2531">
        <v>8100</v>
      </c>
      <c r="J2531">
        <v>3</v>
      </c>
      <c r="K2531">
        <v>1.75</v>
      </c>
      <c r="M2531" s="2" t="str">
        <f>HYPERLINK("http://maps.live.com/default.aspx?v=2&amp;lvl=15&amp;sp=Point.47.634967_-122.207532_9850 NE 27th St&amp;cp=47.634967~-122.207532","Map")</f>
        <v>Map</v>
      </c>
      <c r="N2531" s="2" t="str">
        <f>HYPERLINK("http://i-0.rfimg.us/photo/1/bigphoto/456/28045456_0.jpg","Photo")</f>
        <v>Photo</v>
      </c>
      <c r="AG2531">
        <v>47.634967000000003</v>
      </c>
      <c r="AH2531">
        <v>-122.207532</v>
      </c>
      <c r="AI2531" t="s">
        <v>369</v>
      </c>
      <c r="AJ2531">
        <v>98004</v>
      </c>
      <c r="BC2531" s="22">
        <v>39521.828750000001</v>
      </c>
      <c r="BI2531" s="22">
        <v>39549.294907407406</v>
      </c>
      <c r="BL2531">
        <v>15980</v>
      </c>
      <c r="BM2531">
        <v>1561507</v>
      </c>
      <c r="BN2531" t="s">
        <v>5036</v>
      </c>
      <c r="BO2531" s="17">
        <f t="shared" ca="1" si="39"/>
        <v>27.480655902778381</v>
      </c>
      <c r="BP2531" t="b">
        <v>0</v>
      </c>
      <c r="BQ2531">
        <v>1</v>
      </c>
      <c r="BR2531" t="s">
        <v>1686</v>
      </c>
      <c r="BS2531" t="s">
        <v>1751</v>
      </c>
      <c r="BT2531" t="b">
        <v>0</v>
      </c>
      <c r="BU2531" t="s">
        <v>1738</v>
      </c>
      <c r="BV2531" t="s">
        <v>1668</v>
      </c>
      <c r="BW2531">
        <v>9850</v>
      </c>
      <c r="BY2531">
        <v>505716</v>
      </c>
      <c r="BZ2531" t="s">
        <v>1801</v>
      </c>
      <c r="CA2531">
        <v>1</v>
      </c>
      <c r="CB2531" t="b">
        <v>1</v>
      </c>
      <c r="CC2531">
        <v>0</v>
      </c>
      <c r="CD2531" t="b">
        <v>0</v>
      </c>
      <c r="CE2531" t="b">
        <v>0</v>
      </c>
      <c r="CF2531" t="b">
        <v>0</v>
      </c>
      <c r="CG2531">
        <v>2948603</v>
      </c>
      <c r="CH2531" t="s">
        <v>1681</v>
      </c>
      <c r="CI2531" s="10">
        <v>799000</v>
      </c>
    </row>
    <row r="2532" spans="1:90">
      <c r="A2532">
        <v>28045457</v>
      </c>
      <c r="B2532" s="2" t="str">
        <f>HYPERLINK("http://www.redfin.com/stingray/do/printable-listing?listing-id=1569496","Active")</f>
        <v>Active</v>
      </c>
      <c r="D2532" t="s">
        <v>100</v>
      </c>
      <c r="E2532" t="s">
        <v>3344</v>
      </c>
      <c r="F2532">
        <v>559000</v>
      </c>
      <c r="G2532">
        <v>1999</v>
      </c>
      <c r="H2532">
        <v>2100</v>
      </c>
      <c r="I2532">
        <v>1343</v>
      </c>
      <c r="J2532">
        <v>3</v>
      </c>
      <c r="K2532">
        <v>3.25</v>
      </c>
      <c r="M2532" s="2" t="str">
        <f>HYPERLINK("http://maps.live.com/default.aspx?v=2&amp;lvl=15&amp;sp=Point.47.659172_-122.349139_721 N 43rd St&amp;cp=47.659172~-122.349139","Map")</f>
        <v>Map</v>
      </c>
      <c r="N2532" s="2" t="str">
        <f>HYPERLINK("http://i-0.rfimg.us/photo/1/bigphoto/457/28045457_1.jpg","Photo")</f>
        <v>Photo</v>
      </c>
      <c r="AG2532">
        <v>47.659171999999998</v>
      </c>
      <c r="AH2532">
        <v>-122.34913899999999</v>
      </c>
      <c r="AI2532" t="s">
        <v>66</v>
      </c>
      <c r="AJ2532">
        <v>98103</v>
      </c>
      <c r="AN2532">
        <v>432000</v>
      </c>
      <c r="BC2532" s="22">
        <v>39525.595023148147</v>
      </c>
      <c r="BI2532" s="22">
        <v>39549.294907407406</v>
      </c>
      <c r="BL2532">
        <v>11180</v>
      </c>
      <c r="BM2532">
        <v>1569496</v>
      </c>
      <c r="BN2532" t="s">
        <v>1746</v>
      </c>
      <c r="BO2532" s="17">
        <f t="shared" ca="1" si="39"/>
        <v>23.714382754631515</v>
      </c>
      <c r="BP2532" t="b">
        <v>0</v>
      </c>
      <c r="BQ2532">
        <v>1</v>
      </c>
      <c r="BR2532" t="s">
        <v>1686</v>
      </c>
      <c r="BS2532" t="s">
        <v>3134</v>
      </c>
      <c r="BT2532" t="b">
        <v>0</v>
      </c>
      <c r="BU2532" t="s">
        <v>1712</v>
      </c>
      <c r="BV2532" t="s">
        <v>1668</v>
      </c>
      <c r="BW2532">
        <v>721</v>
      </c>
      <c r="BY2532">
        <v>303535</v>
      </c>
      <c r="BZ2532" t="s">
        <v>2152</v>
      </c>
      <c r="CA2532">
        <v>1</v>
      </c>
      <c r="CB2532" t="b">
        <v>1</v>
      </c>
      <c r="CC2532">
        <v>0</v>
      </c>
      <c r="CD2532" t="b">
        <v>0</v>
      </c>
      <c r="CE2532" t="b">
        <v>0</v>
      </c>
      <c r="CF2532" t="b">
        <v>0</v>
      </c>
      <c r="CG2532">
        <v>2528198</v>
      </c>
      <c r="CH2532" t="s">
        <v>1681</v>
      </c>
      <c r="CI2532" s="10">
        <v>559000</v>
      </c>
      <c r="CJ2532" s="7">
        <v>38401</v>
      </c>
    </row>
    <row r="2533" spans="1:90">
      <c r="A2533">
        <v>28045463</v>
      </c>
      <c r="B2533" s="2" t="str">
        <f>HYPERLINK("http://www.redfin.com/stingray/do/printable-listing?listing-id=1562553","Subject To Inspection")</f>
        <v>Subject To Inspection</v>
      </c>
      <c r="D2533" t="s">
        <v>1023</v>
      </c>
      <c r="E2533" t="s">
        <v>2499</v>
      </c>
      <c r="F2533">
        <v>659800</v>
      </c>
      <c r="G2533">
        <v>1913</v>
      </c>
      <c r="H2533">
        <v>2310</v>
      </c>
      <c r="I2533">
        <v>4850</v>
      </c>
      <c r="J2533">
        <v>4</v>
      </c>
      <c r="K2533">
        <v>2.5</v>
      </c>
      <c r="M2533" s="2" t="str">
        <f>HYPERLINK("http://maps.live.com/default.aspx?v=2&amp;lvl=15&amp;sp=Point.47.670411_-122.39501_2846 NW 57th St&amp;cp=47.670411~-122.39501","Map")</f>
        <v>Map</v>
      </c>
      <c r="N2533" s="2" t="str">
        <f>HYPERLINK("http://i-0.rfimg.us/photo/1/bigphoto/463/28045463_1.jpg","Photo")</f>
        <v>Photo</v>
      </c>
      <c r="AG2533">
        <v>47.670411000000001</v>
      </c>
      <c r="AH2533">
        <v>-122.39501</v>
      </c>
      <c r="AI2533" t="s">
        <v>66</v>
      </c>
      <c r="AJ2533">
        <v>98107</v>
      </c>
      <c r="AN2533">
        <v>295000</v>
      </c>
      <c r="BC2533" s="22">
        <v>39522.316886574074</v>
      </c>
      <c r="BI2533" s="7">
        <v>39540</v>
      </c>
      <c r="BL2533">
        <v>13196</v>
      </c>
      <c r="BM2533">
        <v>1562553</v>
      </c>
      <c r="BN2533" t="s">
        <v>1674</v>
      </c>
      <c r="BO2533" s="17">
        <f t="shared" ca="1" si="39"/>
        <v>26.992519444444042</v>
      </c>
      <c r="BP2533" t="b">
        <v>0</v>
      </c>
      <c r="BQ2533">
        <v>2</v>
      </c>
      <c r="BR2533" t="s">
        <v>1686</v>
      </c>
      <c r="BS2533" t="s">
        <v>1687</v>
      </c>
      <c r="BT2533" t="b">
        <v>0</v>
      </c>
      <c r="BU2533" t="s">
        <v>1669</v>
      </c>
      <c r="BV2533" t="s">
        <v>1668</v>
      </c>
      <c r="BW2533">
        <v>2846</v>
      </c>
      <c r="BY2533">
        <v>162358</v>
      </c>
      <c r="BZ2533" t="s">
        <v>2500</v>
      </c>
      <c r="CA2533">
        <v>1</v>
      </c>
      <c r="CB2533" t="b">
        <v>1</v>
      </c>
      <c r="CC2533">
        <v>0</v>
      </c>
      <c r="CD2533" t="b">
        <v>0</v>
      </c>
      <c r="CE2533" t="b">
        <v>0</v>
      </c>
      <c r="CF2533" t="b">
        <v>0</v>
      </c>
      <c r="CG2533">
        <v>2714005</v>
      </c>
      <c r="CH2533" t="s">
        <v>1681</v>
      </c>
      <c r="CI2533" s="10">
        <v>659800</v>
      </c>
      <c r="CJ2533" s="7">
        <v>36797</v>
      </c>
    </row>
    <row r="2534" spans="1:90">
      <c r="A2534">
        <v>28045464</v>
      </c>
      <c r="B2534" s="2" t="str">
        <f>HYPERLINK("http://www.redfin.com/stingray/do/printable-listing?listing-id=1566048","Active")</f>
        <v>Active</v>
      </c>
      <c r="D2534" t="s">
        <v>5119</v>
      </c>
      <c r="E2534" t="s">
        <v>5123</v>
      </c>
      <c r="F2534">
        <v>669000</v>
      </c>
      <c r="G2534">
        <v>1965</v>
      </c>
      <c r="H2534">
        <v>3100</v>
      </c>
      <c r="I2534">
        <v>11249</v>
      </c>
      <c r="J2534">
        <v>4</v>
      </c>
      <c r="K2534">
        <v>2.5</v>
      </c>
      <c r="M2534" s="2" t="str">
        <f>HYPERLINK("http://maps.live.com/default.aspx?v=2&amp;lvl=15&amp;sp=Point.47.600113_-122.177015_12227 SE 12th St&amp;cp=47.600113~-122.177015","Map")</f>
        <v>Map</v>
      </c>
      <c r="N2534" s="2" t="str">
        <f>HYPERLINK("http://i-0.rfimg.us/photo/1/bigphoto/464/28045464_1.jpg","Photo")</f>
        <v>Photo</v>
      </c>
      <c r="AG2534">
        <v>47.600113</v>
      </c>
      <c r="AH2534">
        <v>-122.177015</v>
      </c>
      <c r="AI2534" t="s">
        <v>369</v>
      </c>
      <c r="AJ2534">
        <v>98005</v>
      </c>
      <c r="BC2534" s="22">
        <v>39524.544224537036</v>
      </c>
      <c r="BI2534" s="22">
        <v>39549.294907407406</v>
      </c>
      <c r="BL2534">
        <v>13380</v>
      </c>
      <c r="BM2534">
        <v>1566048</v>
      </c>
      <c r="BN2534" t="s">
        <v>1746</v>
      </c>
      <c r="BO2534" s="17">
        <f t="shared" ca="1" si="39"/>
        <v>24.765181365743047</v>
      </c>
      <c r="BP2534" t="b">
        <v>0</v>
      </c>
      <c r="BQ2534">
        <v>1</v>
      </c>
      <c r="BR2534" t="s">
        <v>1686</v>
      </c>
      <c r="BS2534" t="s">
        <v>1803</v>
      </c>
      <c r="BT2534" t="b">
        <v>0</v>
      </c>
      <c r="BU2534" t="s">
        <v>3856</v>
      </c>
      <c r="BV2534" t="s">
        <v>1668</v>
      </c>
      <c r="BW2534">
        <v>12227</v>
      </c>
      <c r="BY2534">
        <v>507243</v>
      </c>
      <c r="BZ2534" t="s">
        <v>2343</v>
      </c>
      <c r="CA2534">
        <v>1</v>
      </c>
      <c r="CB2534" t="b">
        <v>1</v>
      </c>
      <c r="CC2534">
        <v>0</v>
      </c>
      <c r="CD2534" t="b">
        <v>0</v>
      </c>
      <c r="CE2534" t="b">
        <v>0</v>
      </c>
      <c r="CF2534" t="b">
        <v>0</v>
      </c>
      <c r="CG2534">
        <v>2368010</v>
      </c>
      <c r="CH2534" t="s">
        <v>1681</v>
      </c>
      <c r="CI2534" s="10">
        <v>669000</v>
      </c>
    </row>
    <row r="2535" spans="1:90">
      <c r="A2535">
        <v>28045466</v>
      </c>
      <c r="B2535" s="2" t="str">
        <f>HYPERLINK("http://www.redfin.com/stingray/do/printable-listing?listing-id=1561667","Active")</f>
        <v>Active</v>
      </c>
      <c r="D2535" t="s">
        <v>3704</v>
      </c>
      <c r="E2535" t="s">
        <v>4114</v>
      </c>
      <c r="F2535" s="19">
        <v>1195000</v>
      </c>
      <c r="G2535">
        <v>1906</v>
      </c>
      <c r="H2535">
        <v>2690</v>
      </c>
      <c r="I2535">
        <v>4320</v>
      </c>
      <c r="J2535">
        <v>5</v>
      </c>
      <c r="K2535">
        <v>3.5</v>
      </c>
      <c r="M2535" s="2" t="str">
        <f>HYPERLINK("http://maps.live.com/default.aspx?v=2&amp;lvl=15&amp;sp=Point.47.627207_-122.306905_910 19th Ave E&amp;cp=47.627207~-122.306905","Map")</f>
        <v>Map</v>
      </c>
      <c r="N2535" s="2" t="str">
        <f>HYPERLINK("http://i-0.rfimg.us/photo/1/bigphoto/466/28045466_1.jpg","Photo")</f>
        <v>Photo</v>
      </c>
      <c r="AG2535">
        <v>47.627206999999999</v>
      </c>
      <c r="AH2535">
        <v>-122.306905</v>
      </c>
      <c r="AI2535" t="s">
        <v>66</v>
      </c>
      <c r="AJ2535">
        <v>98112</v>
      </c>
      <c r="AN2535">
        <v>567000</v>
      </c>
      <c r="BC2535" s="22">
        <v>39521.890763888892</v>
      </c>
      <c r="BI2535" s="22">
        <v>39549.294907407406</v>
      </c>
      <c r="BL2535">
        <v>25900</v>
      </c>
      <c r="BM2535">
        <v>1561667</v>
      </c>
      <c r="BN2535" t="s">
        <v>1674</v>
      </c>
      <c r="BO2535" s="17">
        <f t="shared" ca="1" si="39"/>
        <v>27.418642013886711</v>
      </c>
      <c r="BP2535" t="b">
        <v>0</v>
      </c>
      <c r="BQ2535">
        <v>1</v>
      </c>
      <c r="BR2535" t="s">
        <v>1667</v>
      </c>
      <c r="BS2535" t="s">
        <v>1906</v>
      </c>
      <c r="BT2535" t="b">
        <v>0</v>
      </c>
      <c r="BV2535" t="s">
        <v>1668</v>
      </c>
      <c r="BW2535">
        <v>910</v>
      </c>
      <c r="BX2535" t="s">
        <v>2436</v>
      </c>
      <c r="BY2535">
        <v>136345</v>
      </c>
      <c r="BZ2535" t="s">
        <v>2750</v>
      </c>
      <c r="CA2535">
        <v>1</v>
      </c>
      <c r="CB2535" t="b">
        <v>1</v>
      </c>
      <c r="CC2535">
        <v>0</v>
      </c>
      <c r="CD2535" t="b">
        <v>0</v>
      </c>
      <c r="CE2535" t="b">
        <v>0</v>
      </c>
      <c r="CF2535" t="b">
        <v>0</v>
      </c>
      <c r="CG2535">
        <v>2926764</v>
      </c>
      <c r="CH2535" t="s">
        <v>1681</v>
      </c>
      <c r="CI2535" s="10">
        <v>1295000</v>
      </c>
      <c r="CJ2535" s="7">
        <v>38040</v>
      </c>
    </row>
    <row r="2536" spans="1:90">
      <c r="A2536">
        <v>28045474</v>
      </c>
      <c r="B2536" s="2" t="str">
        <f>HYPERLINK("http://www.redfin.com/stingray/do/printable-listing?listing-id=1566768","Active")</f>
        <v>Active</v>
      </c>
      <c r="D2536" t="s">
        <v>4974</v>
      </c>
      <c r="E2536" t="s">
        <v>5043</v>
      </c>
      <c r="F2536">
        <v>875000</v>
      </c>
      <c r="G2536">
        <v>1954</v>
      </c>
      <c r="H2536">
        <v>1400</v>
      </c>
      <c r="I2536">
        <v>8400</v>
      </c>
      <c r="J2536">
        <v>3</v>
      </c>
      <c r="K2536">
        <v>1.5</v>
      </c>
      <c r="M2536" s="2" t="str">
        <f>HYPERLINK("http://maps.live.com/default.aspx?v=2&amp;lvl=15&amp;sp=Point.47.63539_-122.1985_10626 NE 28th St&amp;cp=47.63539~-122.1985","Map")</f>
        <v>Map</v>
      </c>
      <c r="N2536" s="2" t="str">
        <f>HYPERLINK("http://i-0.rfimg.us/photo/1/bigphoto/474/28045474_0.jpg","Photo")</f>
        <v>Photo</v>
      </c>
      <c r="AG2536">
        <v>47.635390000000001</v>
      </c>
      <c r="AH2536">
        <v>-122.1985</v>
      </c>
      <c r="AI2536" t="s">
        <v>369</v>
      </c>
      <c r="AJ2536">
        <v>98004</v>
      </c>
      <c r="AN2536">
        <v>675000</v>
      </c>
      <c r="BC2536" s="22">
        <v>39524.714444444442</v>
      </c>
      <c r="BI2536" s="22">
        <v>39549.294907407406</v>
      </c>
      <c r="BL2536">
        <v>17500</v>
      </c>
      <c r="BM2536">
        <v>1566768</v>
      </c>
      <c r="BN2536" t="s">
        <v>1768</v>
      </c>
      <c r="BO2536" s="17">
        <f t="shared" ca="1" si="39"/>
        <v>24.594961458336911</v>
      </c>
      <c r="BP2536" t="b">
        <v>0</v>
      </c>
      <c r="BQ2536">
        <v>1</v>
      </c>
      <c r="BR2536" t="s">
        <v>1686</v>
      </c>
      <c r="BS2536" t="s">
        <v>1760</v>
      </c>
      <c r="BT2536" t="b">
        <v>0</v>
      </c>
      <c r="BU2536" t="s">
        <v>1738</v>
      </c>
      <c r="BV2536" t="s">
        <v>1668</v>
      </c>
      <c r="BW2536">
        <v>10626</v>
      </c>
      <c r="BY2536">
        <v>506492</v>
      </c>
      <c r="BZ2536" t="s">
        <v>1762</v>
      </c>
      <c r="CA2536">
        <v>1</v>
      </c>
      <c r="CB2536" t="b">
        <v>1</v>
      </c>
      <c r="CC2536">
        <v>0</v>
      </c>
      <c r="CD2536" t="b">
        <v>0</v>
      </c>
      <c r="CE2536" t="b">
        <v>0</v>
      </c>
      <c r="CF2536" t="b">
        <v>0</v>
      </c>
      <c r="CG2536">
        <v>2601750</v>
      </c>
      <c r="CH2536" t="s">
        <v>1681</v>
      </c>
      <c r="CI2536" s="10">
        <v>875000</v>
      </c>
      <c r="CJ2536" s="7">
        <v>39416</v>
      </c>
    </row>
    <row r="2537" spans="1:90">
      <c r="A2537">
        <v>28045480</v>
      </c>
      <c r="B2537" s="2" t="str">
        <f>HYPERLINK("http://www.redfin.com/stingray/do/printable-listing?listing-id=1566134","Active")</f>
        <v>Active</v>
      </c>
      <c r="D2537" t="s">
        <v>4974</v>
      </c>
      <c r="E2537" t="s">
        <v>5044</v>
      </c>
      <c r="F2537">
        <v>850000</v>
      </c>
      <c r="G2537">
        <v>1952</v>
      </c>
      <c r="H2537">
        <v>1100</v>
      </c>
      <c r="I2537">
        <v>8724</v>
      </c>
      <c r="J2537">
        <v>2</v>
      </c>
      <c r="K2537">
        <v>1</v>
      </c>
      <c r="M2537" s="2" t="str">
        <f>HYPERLINK("http://maps.live.com/default.aspx?v=2&amp;lvl=15&amp;sp=Point.47.632441_-122.200274_10513 NE 25th St&amp;cp=47.632441~-122.200274","Map")</f>
        <v>Map</v>
      </c>
      <c r="N2537" s="2" t="str">
        <f>HYPERLINK("http://i-0.rfimg.us/photo/1/bigphoto/480/28045480_0.jpg","Photo")</f>
        <v>Photo</v>
      </c>
      <c r="AG2537">
        <v>47.632441</v>
      </c>
      <c r="AH2537">
        <v>-122.20027399999999</v>
      </c>
      <c r="AI2537" t="s">
        <v>369</v>
      </c>
      <c r="AJ2537">
        <v>98004</v>
      </c>
      <c r="AN2537">
        <v>700000</v>
      </c>
      <c r="BC2537" s="22">
        <v>39524.568703703706</v>
      </c>
      <c r="BI2537" s="22">
        <v>39549.294907407406</v>
      </c>
      <c r="BL2537">
        <v>17000</v>
      </c>
      <c r="BM2537">
        <v>1566134</v>
      </c>
      <c r="BN2537" t="s">
        <v>1768</v>
      </c>
      <c r="BO2537" s="17">
        <f t="shared" ca="1" si="39"/>
        <v>24.740702199072985</v>
      </c>
      <c r="BP2537" t="b">
        <v>0</v>
      </c>
      <c r="BQ2537">
        <v>1</v>
      </c>
      <c r="BR2537" t="s">
        <v>1686</v>
      </c>
      <c r="BS2537" t="s">
        <v>1819</v>
      </c>
      <c r="BT2537" t="b">
        <v>0</v>
      </c>
      <c r="BU2537" t="s">
        <v>1738</v>
      </c>
      <c r="BV2537" t="s">
        <v>1668</v>
      </c>
      <c r="BW2537">
        <v>10513</v>
      </c>
      <c r="BY2537">
        <v>506319</v>
      </c>
      <c r="BZ2537" t="s">
        <v>1713</v>
      </c>
      <c r="CA2537">
        <v>1</v>
      </c>
      <c r="CB2537" t="b">
        <v>1</v>
      </c>
      <c r="CC2537">
        <v>0</v>
      </c>
      <c r="CD2537" t="b">
        <v>0</v>
      </c>
      <c r="CE2537" t="b">
        <v>0</v>
      </c>
      <c r="CF2537" t="b">
        <v>0</v>
      </c>
      <c r="CG2537">
        <v>2782443</v>
      </c>
      <c r="CH2537" t="s">
        <v>1681</v>
      </c>
      <c r="CI2537" s="10">
        <v>850000</v>
      </c>
      <c r="CJ2537" s="7">
        <v>39261</v>
      </c>
    </row>
    <row r="2538" spans="1:90">
      <c r="A2538">
        <v>28045497</v>
      </c>
      <c r="B2538" s="15" t="str">
        <f>HYPERLINK("http://www.redfin.com/stingray/do/printable-listing?listing-id=1562248","Subject To Inspection")</f>
        <v>Subject To Inspection</v>
      </c>
      <c r="D2538" t="s">
        <v>63</v>
      </c>
      <c r="E2538" t="s">
        <v>744</v>
      </c>
      <c r="F2538">
        <v>419000</v>
      </c>
      <c r="G2538">
        <v>1999</v>
      </c>
      <c r="H2538">
        <v>1330</v>
      </c>
      <c r="I2538">
        <v>0</v>
      </c>
      <c r="J2538">
        <v>3</v>
      </c>
      <c r="K2538">
        <v>2.25</v>
      </c>
      <c r="M2538" s="2" t="str">
        <f>HYPERLINK("http://maps.live.com/default.aspx?v=2&amp;lvl=15&amp;sp=Point.47.671804_-122.390285_2600 NW 59th St&amp;cp=47.671804~-122.390285","Map")</f>
        <v>Map</v>
      </c>
      <c r="N2538" s="2" t="str">
        <f>HYPERLINK("http://i-0.rfimg.us/photo/1/bigphoto/497/28045497_0.jpg","Photo")</f>
        <v>Photo</v>
      </c>
      <c r="AG2538">
        <v>47.671804000000002</v>
      </c>
      <c r="AH2538">
        <v>-122.39028500000001</v>
      </c>
      <c r="AI2538" t="s">
        <v>66</v>
      </c>
      <c r="AJ2538">
        <v>98107</v>
      </c>
      <c r="BC2538" s="22">
        <v>39522.046469907407</v>
      </c>
      <c r="BI2538" s="22">
        <v>39549.294907407406</v>
      </c>
      <c r="BL2538">
        <v>8380</v>
      </c>
      <c r="BM2538">
        <v>1562248</v>
      </c>
      <c r="BN2538" t="s">
        <v>1766</v>
      </c>
      <c r="BO2538" s="17">
        <f t="shared" ca="1" si="39"/>
        <v>27.262936111110321</v>
      </c>
      <c r="BP2538" t="b">
        <v>0</v>
      </c>
      <c r="BQ2538">
        <v>1</v>
      </c>
      <c r="BR2538" t="s">
        <v>1686</v>
      </c>
      <c r="BS2538" t="s">
        <v>2492</v>
      </c>
      <c r="BT2538" t="b">
        <v>0</v>
      </c>
      <c r="BU2538" t="s">
        <v>1669</v>
      </c>
      <c r="BV2538" t="s">
        <v>1668</v>
      </c>
      <c r="BW2538">
        <v>2600</v>
      </c>
      <c r="BY2538">
        <v>12415435</v>
      </c>
      <c r="BZ2538" t="s">
        <v>1713</v>
      </c>
      <c r="CA2538">
        <v>1</v>
      </c>
      <c r="CB2538" t="b">
        <v>1</v>
      </c>
      <c r="CC2538">
        <v>0</v>
      </c>
      <c r="CD2538" t="b">
        <v>0</v>
      </c>
      <c r="CE2538" t="b">
        <v>0</v>
      </c>
      <c r="CF2538" t="b">
        <v>0</v>
      </c>
      <c r="CG2538">
        <v>15619183</v>
      </c>
      <c r="CH2538" t="s">
        <v>1681</v>
      </c>
      <c r="CI2538" s="10">
        <v>419000</v>
      </c>
    </row>
    <row r="2539" spans="1:90">
      <c r="A2539">
        <v>28045512</v>
      </c>
      <c r="B2539" s="2" t="str">
        <f>HYPERLINK("http://www.redfin.com/stingray/do/printable-listing?listing-id=1579300","Active")</f>
        <v>Active</v>
      </c>
      <c r="D2539" t="s">
        <v>5274</v>
      </c>
      <c r="E2539" t="s">
        <v>5271</v>
      </c>
      <c r="F2539">
        <v>999950</v>
      </c>
      <c r="G2539">
        <v>1979</v>
      </c>
      <c r="H2539">
        <v>3810</v>
      </c>
      <c r="I2539">
        <v>0</v>
      </c>
      <c r="J2539">
        <v>4</v>
      </c>
      <c r="K2539">
        <v>3</v>
      </c>
      <c r="M2539" s="2" t="str">
        <f>HYPERLINK("http://maps.live.com/default.aspx?v=2&amp;lvl=15&amp;sp=Point.47.591196_-122.085342_2106 190th Pl SE&amp;cp=47.591196~-122.085342","Map")</f>
        <v>Map</v>
      </c>
      <c r="N2539" s="2" t="str">
        <f>HYPERLINK("http://i-0.rfimg.us/photo/1/bigphoto/512/28045512_1.jpg","Photo")</f>
        <v>Photo</v>
      </c>
      <c r="AG2539">
        <v>47.591195999999997</v>
      </c>
      <c r="AH2539">
        <v>-122.085342</v>
      </c>
      <c r="AI2539" t="s">
        <v>5273</v>
      </c>
      <c r="AJ2539">
        <v>98075</v>
      </c>
      <c r="AN2539">
        <v>619500</v>
      </c>
      <c r="BC2539" s="22">
        <v>39528.890115740738</v>
      </c>
      <c r="BI2539" s="22">
        <v>39549.294907407406</v>
      </c>
      <c r="BL2539">
        <v>19999</v>
      </c>
      <c r="BM2539">
        <v>1579300</v>
      </c>
      <c r="BN2539" t="s">
        <v>1768</v>
      </c>
      <c r="BO2539" s="17">
        <f t="shared" ca="1" si="39"/>
        <v>20.419290162040852</v>
      </c>
      <c r="BP2539" t="b">
        <v>0</v>
      </c>
      <c r="BQ2539">
        <v>1</v>
      </c>
      <c r="BR2539" t="s">
        <v>1842</v>
      </c>
      <c r="BS2539" t="s">
        <v>5272</v>
      </c>
      <c r="BT2539" t="b">
        <v>0</v>
      </c>
      <c r="BV2539" t="s">
        <v>1668</v>
      </c>
      <c r="BW2539">
        <v>2106</v>
      </c>
      <c r="BX2539" t="s">
        <v>3856</v>
      </c>
      <c r="BY2539">
        <v>268079</v>
      </c>
      <c r="BZ2539" t="s">
        <v>1709</v>
      </c>
      <c r="CA2539">
        <v>1</v>
      </c>
      <c r="CB2539" t="b">
        <v>1</v>
      </c>
      <c r="CC2539">
        <v>0</v>
      </c>
      <c r="CD2539" t="b">
        <v>0</v>
      </c>
      <c r="CE2539" t="b">
        <v>1</v>
      </c>
      <c r="CF2539" t="b">
        <v>0</v>
      </c>
      <c r="CG2539">
        <v>2503590</v>
      </c>
      <c r="CH2539" t="s">
        <v>1681</v>
      </c>
      <c r="CI2539" s="10">
        <v>999950</v>
      </c>
      <c r="CJ2539" s="7">
        <v>38134</v>
      </c>
    </row>
    <row r="2540" spans="1:90">
      <c r="A2540">
        <v>28045514</v>
      </c>
      <c r="B2540" s="2" t="str">
        <f>HYPERLINK("http://www.redfin.com/stingray/do/printable-listing?listing-id=1562655","Active")</f>
        <v>Active</v>
      </c>
      <c r="D2540" t="s">
        <v>5191</v>
      </c>
      <c r="E2540" t="s">
        <v>5916</v>
      </c>
      <c r="F2540">
        <v>1198888</v>
      </c>
      <c r="G2540">
        <v>2006</v>
      </c>
      <c r="H2540">
        <v>3010</v>
      </c>
      <c r="I2540">
        <v>9428</v>
      </c>
      <c r="J2540">
        <v>4</v>
      </c>
      <c r="K2540">
        <v>2.75</v>
      </c>
      <c r="M2540" s="2" t="str">
        <f>HYPERLINK("http://maps.live.com/default.aspx?v=2&amp;lvl=15&amp;sp=Point.47.562782_-122.16338_4632 132nd Ave SE&amp;cp=47.562782~-122.16338","Map")</f>
        <v>Map</v>
      </c>
      <c r="N2540" s="2" t="str">
        <f>HYPERLINK("http://i-0.rfimg.us/photo/1/bigphoto/514/28045514_0.jpg","Photo")</f>
        <v>Photo</v>
      </c>
      <c r="AG2540">
        <v>47.562781999999999</v>
      </c>
      <c r="AH2540">
        <v>-122.16338</v>
      </c>
      <c r="AI2540" t="s">
        <v>369</v>
      </c>
      <c r="AJ2540">
        <v>98006</v>
      </c>
      <c r="AN2540">
        <v>101130</v>
      </c>
      <c r="BC2540" s="22">
        <v>39522.358877314815</v>
      </c>
      <c r="BI2540" s="22">
        <v>39549.294907407406</v>
      </c>
      <c r="BL2540">
        <v>23978</v>
      </c>
      <c r="BM2540">
        <v>1562655</v>
      </c>
      <c r="BN2540" t="s">
        <v>3236</v>
      </c>
      <c r="BO2540" s="17">
        <f t="shared" ca="1" si="39"/>
        <v>26.950528587964072</v>
      </c>
      <c r="BP2540" t="b">
        <v>0</v>
      </c>
      <c r="BQ2540">
        <v>1</v>
      </c>
      <c r="BR2540" t="s">
        <v>1667</v>
      </c>
      <c r="BS2540" t="s">
        <v>4362</v>
      </c>
      <c r="BT2540" t="b">
        <v>0</v>
      </c>
      <c r="BV2540" t="s">
        <v>1668</v>
      </c>
      <c r="BW2540">
        <v>4632</v>
      </c>
      <c r="BX2540" t="s">
        <v>3856</v>
      </c>
      <c r="BY2540">
        <v>239973</v>
      </c>
      <c r="BZ2540" t="s">
        <v>1672</v>
      </c>
      <c r="CA2540">
        <v>1</v>
      </c>
      <c r="CB2540" t="b">
        <v>1</v>
      </c>
      <c r="CC2540">
        <v>0</v>
      </c>
      <c r="CD2540" t="b">
        <v>0</v>
      </c>
      <c r="CE2540" t="b">
        <v>0</v>
      </c>
      <c r="CF2540" t="b">
        <v>0</v>
      </c>
      <c r="CG2540">
        <v>2414706</v>
      </c>
      <c r="CH2540" t="s">
        <v>1681</v>
      </c>
      <c r="CI2540" s="10">
        <v>1198888</v>
      </c>
      <c r="CJ2540" s="7">
        <v>37931</v>
      </c>
      <c r="CL2540" s="19" t="s">
        <v>6482</v>
      </c>
    </row>
    <row r="2541" spans="1:90">
      <c r="A2541">
        <v>28045516</v>
      </c>
      <c r="B2541" s="2" t="str">
        <f>HYPERLINK("http://www.redfin.com/stingray/do/printable-listing?listing-id=1562727","Subject To Inspection")</f>
        <v>Subject To Inspection</v>
      </c>
      <c r="D2541" t="s">
        <v>369</v>
      </c>
      <c r="E2541" t="s">
        <v>5675</v>
      </c>
      <c r="F2541">
        <v>1000000</v>
      </c>
      <c r="G2541">
        <v>1980</v>
      </c>
      <c r="H2541">
        <v>3240</v>
      </c>
      <c r="I2541">
        <v>15960</v>
      </c>
      <c r="J2541">
        <v>4</v>
      </c>
      <c r="K2541">
        <v>2.75</v>
      </c>
      <c r="M2541" s="2" t="str">
        <f>HYPERLINK("http://maps.live.com/default.aspx?v=2&amp;lvl=15&amp;sp=Point.47.555985_-122.156113_13801 SE 52nd Pl&amp;cp=47.555985~-122.156113","Map")</f>
        <v>Map</v>
      </c>
      <c r="N2541" s="2" t="str">
        <f>HYPERLINK("http://i-0.rfimg.us/photo/1/bigphoto/516/28045516_4.jpg","Photo")</f>
        <v>Photo</v>
      </c>
      <c r="AG2541">
        <v>47.555985</v>
      </c>
      <c r="AH2541">
        <v>-122.156113</v>
      </c>
      <c r="AI2541" t="s">
        <v>369</v>
      </c>
      <c r="AJ2541">
        <v>98006</v>
      </c>
      <c r="AN2541">
        <v>378000</v>
      </c>
      <c r="BC2541" s="22">
        <v>39522.391365740739</v>
      </c>
      <c r="BI2541" s="7">
        <v>39533</v>
      </c>
      <c r="BL2541">
        <v>20000</v>
      </c>
      <c r="BM2541">
        <v>1562727</v>
      </c>
      <c r="BN2541" t="s">
        <v>1688</v>
      </c>
      <c r="BO2541" s="17">
        <f t="shared" ca="1" si="39"/>
        <v>26.918040162039688</v>
      </c>
      <c r="BP2541" t="b">
        <v>0</v>
      </c>
      <c r="BQ2541">
        <v>2</v>
      </c>
      <c r="BR2541" t="s">
        <v>1842</v>
      </c>
      <c r="BS2541" t="s">
        <v>2455</v>
      </c>
      <c r="BT2541" t="b">
        <v>0</v>
      </c>
      <c r="BU2541" t="s">
        <v>3856</v>
      </c>
      <c r="BV2541" t="s">
        <v>1668</v>
      </c>
      <c r="BW2541">
        <v>13801</v>
      </c>
      <c r="BY2541">
        <v>238064</v>
      </c>
      <c r="BZ2541" t="s">
        <v>5676</v>
      </c>
      <c r="CA2541">
        <v>1</v>
      </c>
      <c r="CB2541" t="b">
        <v>1</v>
      </c>
      <c r="CC2541">
        <v>0</v>
      </c>
      <c r="CD2541" t="b">
        <v>0</v>
      </c>
      <c r="CE2541" t="b">
        <v>0</v>
      </c>
      <c r="CF2541" t="b">
        <v>0</v>
      </c>
      <c r="CG2541">
        <v>2499916</v>
      </c>
      <c r="CH2541" t="s">
        <v>1681</v>
      </c>
      <c r="CI2541" s="10">
        <v>1000000</v>
      </c>
      <c r="CJ2541" s="7">
        <v>33928</v>
      </c>
    </row>
    <row r="2542" spans="1:90">
      <c r="A2542">
        <v>28045567</v>
      </c>
      <c r="B2542" s="15" t="str">
        <f>HYPERLINK("http://www.redfin.com/stingray/do/printable-listing?listing-id=1566046","Subject To Inspection")</f>
        <v>Subject To Inspection</v>
      </c>
      <c r="D2542" t="s">
        <v>194</v>
      </c>
      <c r="E2542" t="s">
        <v>2873</v>
      </c>
      <c r="F2542">
        <v>579000</v>
      </c>
      <c r="G2542">
        <v>1956</v>
      </c>
      <c r="H2542">
        <v>2620</v>
      </c>
      <c r="I2542">
        <v>6783</v>
      </c>
      <c r="J2542">
        <v>5</v>
      </c>
      <c r="K2542">
        <v>2</v>
      </c>
      <c r="M2542" s="2" t="str">
        <f>HYPERLINK("http://maps.live.com/default.aspx?v=2&amp;lvl=15&amp;sp=Point.47.695408_-122.295033_3021 NE 92nd St&amp;cp=47.695408~-122.295033","Map")</f>
        <v>Map</v>
      </c>
      <c r="N2542" s="2" t="str">
        <f>HYPERLINK("http://i-0.rfimg.us/photo/1/bigphoto/567/28045567_3.jpg","Photo")</f>
        <v>Photo</v>
      </c>
      <c r="AG2542">
        <v>47.695408</v>
      </c>
      <c r="AH2542">
        <v>-122.295033</v>
      </c>
      <c r="AI2542" t="s">
        <v>66</v>
      </c>
      <c r="AJ2542">
        <v>98115</v>
      </c>
      <c r="AN2542">
        <v>232000</v>
      </c>
      <c r="BC2542" s="22">
        <v>39524.54415509259</v>
      </c>
      <c r="BI2542" s="22">
        <v>39545.917314814818</v>
      </c>
      <c r="BL2542">
        <v>11580</v>
      </c>
      <c r="BM2542">
        <v>1566046</v>
      </c>
      <c r="BN2542" t="s">
        <v>1829</v>
      </c>
      <c r="BO2542" s="17">
        <f t="shared" ca="1" si="39"/>
        <v>24.765250810189173</v>
      </c>
      <c r="BP2542" t="b">
        <v>0</v>
      </c>
      <c r="BQ2542">
        <v>1</v>
      </c>
      <c r="BR2542" t="s">
        <v>1686</v>
      </c>
      <c r="BS2542" t="s">
        <v>2726</v>
      </c>
      <c r="BT2542" t="b">
        <v>0</v>
      </c>
      <c r="BU2542" t="s">
        <v>1738</v>
      </c>
      <c r="BV2542" t="s">
        <v>1668</v>
      </c>
      <c r="BW2542">
        <v>3021</v>
      </c>
      <c r="BY2542">
        <v>318352</v>
      </c>
      <c r="BZ2542" t="s">
        <v>2874</v>
      </c>
      <c r="CA2542">
        <v>1</v>
      </c>
      <c r="CB2542" t="b">
        <v>1</v>
      </c>
      <c r="CC2542">
        <v>0</v>
      </c>
      <c r="CD2542" t="b">
        <v>0</v>
      </c>
      <c r="CE2542" t="b">
        <v>0</v>
      </c>
      <c r="CF2542" t="b">
        <v>0</v>
      </c>
      <c r="CG2542">
        <v>2857564</v>
      </c>
      <c r="CH2542" t="s">
        <v>1681</v>
      </c>
      <c r="CI2542" s="10">
        <v>579000</v>
      </c>
      <c r="CJ2542" s="7">
        <v>36397</v>
      </c>
    </row>
    <row r="2543" spans="1:90">
      <c r="A2543">
        <v>28045568</v>
      </c>
      <c r="B2543" s="15" t="str">
        <f>HYPERLINK("http://www.redfin.com/stingray/do/printable-listing?listing-id=1562960","Subject To Inspection")</f>
        <v>Subject To Inspection</v>
      </c>
      <c r="D2543" t="s">
        <v>88</v>
      </c>
      <c r="E2543" t="s">
        <v>2433</v>
      </c>
      <c r="F2543">
        <v>574950</v>
      </c>
      <c r="G2543">
        <v>1926</v>
      </c>
      <c r="H2543">
        <v>2200</v>
      </c>
      <c r="I2543">
        <v>3985</v>
      </c>
      <c r="J2543">
        <v>3</v>
      </c>
      <c r="K2543">
        <v>2.25</v>
      </c>
      <c r="M2543" s="2" t="str">
        <f>HYPERLINK("http://maps.live.com/default.aspx?v=2&amp;lvl=15&amp;sp=Point.47.674752_-122.360425_6214 3rd Ave NW&amp;cp=47.674752~-122.360425","Map")</f>
        <v>Map</v>
      </c>
      <c r="N2543" s="2" t="str">
        <f>HYPERLINK("http://i-0.rfimg.us/photo/1/bigphoto/568/28045568_2.jpg","Photo")</f>
        <v>Photo</v>
      </c>
      <c r="AG2543">
        <v>47.674751999999998</v>
      </c>
      <c r="AH2543">
        <v>-122.36042500000001</v>
      </c>
      <c r="AI2543" t="s">
        <v>66</v>
      </c>
      <c r="AJ2543">
        <v>98107</v>
      </c>
      <c r="AN2543">
        <v>404650</v>
      </c>
      <c r="BC2543" s="22">
        <v>39522.505914351852</v>
      </c>
      <c r="BI2543" s="22">
        <v>39549.294907407406</v>
      </c>
      <c r="BL2543">
        <v>11499</v>
      </c>
      <c r="BM2543">
        <v>1562960</v>
      </c>
      <c r="BN2543" t="s">
        <v>1737</v>
      </c>
      <c r="BO2543" s="17">
        <f t="shared" ca="1" si="39"/>
        <v>26.80349166666565</v>
      </c>
      <c r="BP2543" t="b">
        <v>0</v>
      </c>
      <c r="BQ2543">
        <v>1</v>
      </c>
      <c r="BR2543" t="s">
        <v>1667</v>
      </c>
      <c r="BS2543" t="s">
        <v>1796</v>
      </c>
      <c r="BT2543" t="b">
        <v>0</v>
      </c>
      <c r="BV2543" t="s">
        <v>1668</v>
      </c>
      <c r="BW2543">
        <v>6214</v>
      </c>
      <c r="BX2543" t="s">
        <v>1669</v>
      </c>
      <c r="BY2543">
        <v>299321</v>
      </c>
      <c r="BZ2543" t="s">
        <v>2434</v>
      </c>
      <c r="CA2543">
        <v>1</v>
      </c>
      <c r="CB2543" t="b">
        <v>1</v>
      </c>
      <c r="CC2543">
        <v>0</v>
      </c>
      <c r="CD2543" t="b">
        <v>0</v>
      </c>
      <c r="CE2543" t="b">
        <v>0</v>
      </c>
      <c r="CF2543" t="b">
        <v>0</v>
      </c>
      <c r="CG2543">
        <v>2663210</v>
      </c>
      <c r="CH2543" t="s">
        <v>1681</v>
      </c>
      <c r="CI2543" s="10">
        <v>574950</v>
      </c>
      <c r="CJ2543" s="7">
        <v>39372</v>
      </c>
    </row>
    <row r="2544" spans="1:90">
      <c r="A2544">
        <v>28045573</v>
      </c>
      <c r="B2544" s="15" t="str">
        <f>HYPERLINK("http://www.redfin.com/stingray/do/printable-listing?listing-id=1562914","Subject To Inspection")</f>
        <v>Subject To Inspection</v>
      </c>
      <c r="D2544" t="s">
        <v>3959</v>
      </c>
      <c r="E2544" t="s">
        <v>4014</v>
      </c>
      <c r="F2544">
        <v>519950</v>
      </c>
      <c r="G2544">
        <v>2008</v>
      </c>
      <c r="H2544">
        <v>1770</v>
      </c>
      <c r="I2544">
        <v>0</v>
      </c>
      <c r="J2544">
        <v>3</v>
      </c>
      <c r="K2544">
        <v>3.5</v>
      </c>
      <c r="M2544" s="2" t="str">
        <f>HYPERLINK("http://maps.live.com/default.aspx?v=2&amp;lvl=15&amp;sp=Point.47.612413_-122.299003_1131 26th Ave&amp;cp=47.612413~-122.299003","Map")</f>
        <v>Map</v>
      </c>
      <c r="N2544" s="2" t="str">
        <f>HYPERLINK("http://i-0.rfimg.us/photo/1/bigphoto/573/28045573_0.jpg","Photo")</f>
        <v>Photo</v>
      </c>
      <c r="AG2544">
        <v>47.612412999999997</v>
      </c>
      <c r="AH2544">
        <v>-122.299003</v>
      </c>
      <c r="AI2544" t="s">
        <v>66</v>
      </c>
      <c r="AJ2544">
        <v>98122</v>
      </c>
      <c r="BC2544" s="22">
        <v>39522.485081018516</v>
      </c>
      <c r="BI2544" s="22">
        <v>39549.294907407406</v>
      </c>
      <c r="BL2544">
        <v>10399</v>
      </c>
      <c r="BM2544">
        <v>1562914</v>
      </c>
      <c r="BN2544" t="s">
        <v>1725</v>
      </c>
      <c r="BO2544" s="17">
        <f t="shared" ca="1" si="39"/>
        <v>26.824324884262751</v>
      </c>
      <c r="BP2544" t="b">
        <v>0</v>
      </c>
      <c r="BQ2544">
        <v>1</v>
      </c>
      <c r="BR2544" t="s">
        <v>1667</v>
      </c>
      <c r="BS2544" t="s">
        <v>1769</v>
      </c>
      <c r="BT2544" t="b">
        <v>0</v>
      </c>
      <c r="BV2544" t="s">
        <v>1668</v>
      </c>
      <c r="BW2544">
        <v>1131</v>
      </c>
      <c r="BY2544">
        <v>12429607</v>
      </c>
      <c r="BZ2544" t="s">
        <v>1713</v>
      </c>
      <c r="CA2544">
        <v>1</v>
      </c>
      <c r="CB2544" t="b">
        <v>1</v>
      </c>
      <c r="CC2544">
        <v>0</v>
      </c>
      <c r="CD2544" t="b">
        <v>0</v>
      </c>
      <c r="CE2544" t="b">
        <v>0</v>
      </c>
      <c r="CF2544" t="b">
        <v>0</v>
      </c>
      <c r="CG2544">
        <v>15633355</v>
      </c>
      <c r="CH2544" t="s">
        <v>1681</v>
      </c>
      <c r="CI2544" s="10">
        <v>519950</v>
      </c>
    </row>
    <row r="2545" spans="1:89">
      <c r="A2545">
        <v>28045584</v>
      </c>
      <c r="B2545" s="2" t="str">
        <f>HYPERLINK("http://www.redfin.com/stingray/do/printable-listing?listing-id=1562945","Active")</f>
        <v>Active</v>
      </c>
      <c r="D2545" t="s">
        <v>919</v>
      </c>
      <c r="E2545" t="s">
        <v>2170</v>
      </c>
      <c r="F2545" s="19">
        <v>469950</v>
      </c>
      <c r="G2545">
        <v>2003</v>
      </c>
      <c r="H2545">
        <v>1520</v>
      </c>
      <c r="I2545">
        <v>5431</v>
      </c>
      <c r="J2545">
        <v>3</v>
      </c>
      <c r="K2545">
        <v>2.5</v>
      </c>
      <c r="M2545" s="2" t="str">
        <f>HYPERLINK("http://maps.live.com/default.aspx?v=2&amp;lvl=15&amp;sp=Point.47.701537_-122.337231_1710 N 100th St&amp;cp=47.701537~-122.337231","Map")</f>
        <v>Map</v>
      </c>
      <c r="N2545" s="2" t="str">
        <f>HYPERLINK("http://i-0.rfimg.us/photo/1/bigphoto/584/28045584_0.jpg","Photo")</f>
        <v>Photo</v>
      </c>
      <c r="AG2545">
        <v>47.701537000000002</v>
      </c>
      <c r="AH2545">
        <v>-122.337231</v>
      </c>
      <c r="AI2545" t="s">
        <v>66</v>
      </c>
      <c r="AJ2545">
        <v>98133</v>
      </c>
      <c r="BC2545" s="22">
        <v>39522.494641203702</v>
      </c>
      <c r="BI2545" s="22">
        <v>39549.294907407406</v>
      </c>
      <c r="BL2545">
        <v>9599</v>
      </c>
      <c r="BM2545">
        <v>1562945</v>
      </c>
      <c r="BN2545" t="s">
        <v>1783</v>
      </c>
      <c r="BO2545" s="17">
        <f t="shared" ca="1" si="39"/>
        <v>26.814764699076477</v>
      </c>
      <c r="BP2545" t="b">
        <v>0</v>
      </c>
      <c r="BQ2545">
        <v>1</v>
      </c>
      <c r="BR2545" t="s">
        <v>1686</v>
      </c>
      <c r="BS2545" t="s">
        <v>2806</v>
      </c>
      <c r="BT2545" t="b">
        <v>0</v>
      </c>
      <c r="BU2545" t="s">
        <v>1712</v>
      </c>
      <c r="BV2545" t="s">
        <v>1668</v>
      </c>
      <c r="BW2545">
        <v>1710</v>
      </c>
      <c r="BY2545">
        <v>104806</v>
      </c>
      <c r="BZ2545" s="21">
        <v>0</v>
      </c>
      <c r="CA2545">
        <v>1</v>
      </c>
      <c r="CB2545" t="b">
        <v>1</v>
      </c>
      <c r="CC2545">
        <v>0</v>
      </c>
      <c r="CD2545" t="b">
        <v>0</v>
      </c>
      <c r="CE2545" t="b">
        <v>0</v>
      </c>
      <c r="CF2545" t="b">
        <v>0</v>
      </c>
      <c r="CG2545">
        <v>2442496</v>
      </c>
      <c r="CH2545" t="s">
        <v>1681</v>
      </c>
      <c r="CI2545" s="10">
        <v>479950</v>
      </c>
    </row>
    <row r="2546" spans="1:89">
      <c r="A2546">
        <v>28045587</v>
      </c>
      <c r="B2546" s="15" t="str">
        <f>HYPERLINK("http://www.redfin.com/stingray/do/printable-listing?listing-id=1563513","Subject To Inspection")</f>
        <v>Subject To Inspection</v>
      </c>
      <c r="D2546" t="s">
        <v>3704</v>
      </c>
      <c r="E2546" t="s">
        <v>3707</v>
      </c>
      <c r="F2546">
        <v>799950</v>
      </c>
      <c r="G2546">
        <v>1924</v>
      </c>
      <c r="H2546">
        <v>2500</v>
      </c>
      <c r="I2546">
        <v>0</v>
      </c>
      <c r="J2546">
        <v>4</v>
      </c>
      <c r="K2546">
        <v>2.5</v>
      </c>
      <c r="M2546" s="2" t="str">
        <f>HYPERLINK("http://maps.live.com/default.aspx?v=2&amp;lvl=15&amp;sp=Point.47.633967_-122.304721_1623 21st Ave E&amp;cp=47.633967~-122.304721","Map")</f>
        <v>Map</v>
      </c>
      <c r="N2546" s="2" t="str">
        <f>HYPERLINK("http://i-0.rfimg.us/photo/1/bigphoto/587/28045587_2.jpg","Photo")</f>
        <v>Photo</v>
      </c>
      <c r="AG2546">
        <v>47.633966999999998</v>
      </c>
      <c r="AH2546">
        <v>-122.304721</v>
      </c>
      <c r="AI2546" t="s">
        <v>66</v>
      </c>
      <c r="AJ2546">
        <v>98112</v>
      </c>
      <c r="AN2546">
        <v>758000</v>
      </c>
      <c r="BC2546" s="22">
        <v>39522.723576388889</v>
      </c>
      <c r="BI2546" s="22">
        <v>39547.913935185185</v>
      </c>
      <c r="BL2546">
        <v>15999</v>
      </c>
      <c r="BM2546">
        <v>1563513</v>
      </c>
      <c r="BN2546" t="s">
        <v>1829</v>
      </c>
      <c r="BO2546" s="17">
        <f t="shared" ca="1" si="39"/>
        <v>26.585829513889621</v>
      </c>
      <c r="BP2546" t="b">
        <v>0</v>
      </c>
      <c r="BQ2546">
        <v>1</v>
      </c>
      <c r="BR2546" t="s">
        <v>1667</v>
      </c>
      <c r="BS2546" t="s">
        <v>1903</v>
      </c>
      <c r="BT2546" t="b">
        <v>0</v>
      </c>
      <c r="BV2546" t="s">
        <v>1668</v>
      </c>
      <c r="BW2546">
        <v>1623</v>
      </c>
      <c r="BX2546" t="s">
        <v>2436</v>
      </c>
      <c r="BY2546">
        <v>136599</v>
      </c>
      <c r="BZ2546" t="s">
        <v>2016</v>
      </c>
      <c r="CA2546">
        <v>1</v>
      </c>
      <c r="CB2546" t="b">
        <v>1</v>
      </c>
      <c r="CC2546">
        <v>0</v>
      </c>
      <c r="CD2546" t="b">
        <v>0</v>
      </c>
      <c r="CE2546" t="b">
        <v>0</v>
      </c>
      <c r="CF2546" t="b">
        <v>0</v>
      </c>
      <c r="CG2546">
        <v>2383132</v>
      </c>
      <c r="CH2546" t="s">
        <v>1681</v>
      </c>
      <c r="CI2546" s="10">
        <v>799950</v>
      </c>
      <c r="CJ2546" s="7">
        <v>38734</v>
      </c>
    </row>
    <row r="2547" spans="1:89">
      <c r="A2547">
        <v>28045589</v>
      </c>
      <c r="B2547" s="2" t="str">
        <f>HYPERLINK("http://www.redfin.com/stingray/do/printable-listing?listing-id=1562958","Active")</f>
        <v>Active</v>
      </c>
      <c r="D2547" t="s">
        <v>5565</v>
      </c>
      <c r="E2547" t="s">
        <v>5593</v>
      </c>
      <c r="F2547" s="19">
        <v>528850</v>
      </c>
      <c r="G2547">
        <v>1963</v>
      </c>
      <c r="H2547">
        <v>2250</v>
      </c>
      <c r="I2547">
        <v>10650</v>
      </c>
      <c r="J2547">
        <v>4</v>
      </c>
      <c r="K2547">
        <v>2.5</v>
      </c>
      <c r="M2547" s="2" t="str">
        <f>HYPERLINK("http://maps.live.com/default.aspx?v=2&amp;lvl=15&amp;sp=Point.47.549118_-122.177956_12110 SE 60th Pl&amp;cp=47.549118~-122.177956","Map")</f>
        <v>Map</v>
      </c>
      <c r="N2547" s="2" t="str">
        <f>HYPERLINK("http://i-0.rfimg.us/photo/1/bigphoto/589/28045589_0.jpg","Photo")</f>
        <v>Photo</v>
      </c>
      <c r="AG2547">
        <v>47.549118</v>
      </c>
      <c r="AH2547">
        <v>-122.17795599999999</v>
      </c>
      <c r="AI2547" t="s">
        <v>369</v>
      </c>
      <c r="AJ2547">
        <v>98006</v>
      </c>
      <c r="AN2547">
        <v>434950</v>
      </c>
      <c r="BC2547" s="22">
        <v>39522.505856481483</v>
      </c>
      <c r="BI2547" s="22">
        <v>39549.294907407406</v>
      </c>
      <c r="BL2547">
        <v>11157</v>
      </c>
      <c r="BM2547">
        <v>1562958</v>
      </c>
      <c r="BN2547" t="s">
        <v>3883</v>
      </c>
      <c r="BO2547" s="17">
        <f t="shared" ca="1" si="39"/>
        <v>26.803549421296339</v>
      </c>
      <c r="BP2547" t="b">
        <v>0</v>
      </c>
      <c r="BQ2547">
        <v>1</v>
      </c>
      <c r="BR2547" t="s">
        <v>1842</v>
      </c>
      <c r="BS2547" t="s">
        <v>2417</v>
      </c>
      <c r="BT2547" t="b">
        <v>0</v>
      </c>
      <c r="BU2547" t="s">
        <v>3856</v>
      </c>
      <c r="BV2547" t="s">
        <v>1668</v>
      </c>
      <c r="BW2547">
        <v>12110</v>
      </c>
      <c r="BY2547">
        <v>413061</v>
      </c>
      <c r="BZ2547" t="s">
        <v>1713</v>
      </c>
      <c r="CA2547">
        <v>1</v>
      </c>
      <c r="CB2547" t="b">
        <v>1</v>
      </c>
      <c r="CC2547">
        <v>0</v>
      </c>
      <c r="CD2547" t="b">
        <v>0</v>
      </c>
      <c r="CE2547" t="b">
        <v>0</v>
      </c>
      <c r="CF2547" t="b">
        <v>0</v>
      </c>
      <c r="CG2547">
        <v>2590647</v>
      </c>
      <c r="CH2547" t="s">
        <v>1681</v>
      </c>
      <c r="CI2547" s="10">
        <v>557850</v>
      </c>
      <c r="CJ2547" s="7">
        <v>38469</v>
      </c>
    </row>
    <row r="2548" spans="1:89">
      <c r="A2548">
        <v>28045663</v>
      </c>
      <c r="B2548" s="2" t="str">
        <f>HYPERLINK("http://www.redfin.com/stingray/do/printable-listing?listing-id=1569222","Active")</f>
        <v>Active</v>
      </c>
      <c r="D2548" t="s">
        <v>4710</v>
      </c>
      <c r="E2548" t="s">
        <v>5067</v>
      </c>
      <c r="F2548">
        <v>695000</v>
      </c>
      <c r="G2548">
        <v>2007</v>
      </c>
      <c r="H2548">
        <v>1575</v>
      </c>
      <c r="I2548">
        <v>0</v>
      </c>
      <c r="J2548">
        <v>2</v>
      </c>
      <c r="K2548">
        <v>1.75</v>
      </c>
      <c r="M2548" s="2" t="str">
        <f>HYPERLINK("http://maps.live.com/default.aspx?v=2&amp;lvl=15&amp;sp=Point.47.6215_-122.1952_10575 NE 12th Pl&amp;cp=47.6215~-122.1952","Map")</f>
        <v>Map</v>
      </c>
      <c r="N2548" s="2" t="str">
        <f>HYPERLINK("http://i-0.rfimg.us/photo/1/bigphoto/663/28045663_1.jpg","Photo")</f>
        <v>Photo</v>
      </c>
      <c r="AG2548">
        <v>47.621499999999997</v>
      </c>
      <c r="AH2548">
        <v>-122.1952</v>
      </c>
      <c r="AI2548" t="s">
        <v>369</v>
      </c>
      <c r="AJ2548">
        <v>98004</v>
      </c>
      <c r="AN2548">
        <v>695000</v>
      </c>
      <c r="BC2548" s="22">
        <v>39525.562002314815</v>
      </c>
      <c r="BI2548" s="22">
        <v>39549.294907407406</v>
      </c>
      <c r="BL2548">
        <v>13900</v>
      </c>
      <c r="BM2548">
        <v>1569222</v>
      </c>
      <c r="BN2548" t="s">
        <v>4138</v>
      </c>
      <c r="BO2548" s="17">
        <f t="shared" ca="1" si="39"/>
        <v>23.747403587964072</v>
      </c>
      <c r="BP2548" t="b">
        <v>0</v>
      </c>
      <c r="BQ2548">
        <v>1</v>
      </c>
      <c r="BR2548" t="s">
        <v>1842</v>
      </c>
      <c r="BS2548" t="s">
        <v>1803</v>
      </c>
      <c r="BT2548" t="b">
        <v>0</v>
      </c>
      <c r="BU2548" t="s">
        <v>1738</v>
      </c>
      <c r="BV2548" t="s">
        <v>1668</v>
      </c>
      <c r="BW2548">
        <v>10575</v>
      </c>
      <c r="BY2548">
        <v>12305165</v>
      </c>
      <c r="BZ2548" t="s">
        <v>1677</v>
      </c>
      <c r="CA2548">
        <v>1</v>
      </c>
      <c r="CB2548" t="b">
        <v>1</v>
      </c>
      <c r="CC2548">
        <v>0</v>
      </c>
      <c r="CD2548" t="b">
        <v>0</v>
      </c>
      <c r="CE2548" t="b">
        <v>0</v>
      </c>
      <c r="CF2548" t="b">
        <v>0</v>
      </c>
      <c r="CG2548">
        <v>15512096</v>
      </c>
      <c r="CH2548" t="s">
        <v>1681</v>
      </c>
      <c r="CI2548" s="10">
        <v>695000</v>
      </c>
      <c r="CJ2548" s="7">
        <v>39461</v>
      </c>
    </row>
    <row r="2549" spans="1:89">
      <c r="A2549">
        <v>28045664</v>
      </c>
      <c r="B2549" s="15" t="str">
        <f>HYPERLINK("http://www.redfin.com/stingray/do/printable-listing?listing-id=1564516","Subject To Inspection")</f>
        <v>Subject To Inspection</v>
      </c>
      <c r="D2549" t="s">
        <v>1115</v>
      </c>
      <c r="E2549" t="s">
        <v>3084</v>
      </c>
      <c r="F2549">
        <v>769000</v>
      </c>
      <c r="G2549">
        <v>1937</v>
      </c>
      <c r="H2549">
        <v>2700</v>
      </c>
      <c r="I2549">
        <v>8440</v>
      </c>
      <c r="J2549">
        <v>3</v>
      </c>
      <c r="K2549">
        <v>2</v>
      </c>
      <c r="M2549" s="2" t="str">
        <f>HYPERLINK("http://maps.live.com/default.aspx?v=2&amp;lvl=15&amp;sp=Point.47.679165_-122.266455_5701 NE 70th St&amp;cp=47.679165~-122.266455","Map")</f>
        <v>Map</v>
      </c>
      <c r="N2549" s="2" t="str">
        <f>HYPERLINK("http://i-0.rfimg.us/photo/1/bigphoto/664/28045664_1.jpg","Photo")</f>
        <v>Photo</v>
      </c>
      <c r="AG2549">
        <v>47.679164999999998</v>
      </c>
      <c r="AH2549">
        <v>-122.26645499999999</v>
      </c>
      <c r="AI2549" t="s">
        <v>66</v>
      </c>
      <c r="AJ2549">
        <v>98115</v>
      </c>
      <c r="BC2549" s="22">
        <v>39523.713356481479</v>
      </c>
      <c r="BI2549" s="7">
        <v>39535</v>
      </c>
      <c r="BL2549">
        <v>15380</v>
      </c>
      <c r="BM2549">
        <v>1564516</v>
      </c>
      <c r="BN2549" t="s">
        <v>1710</v>
      </c>
      <c r="BO2549" s="17">
        <f t="shared" ca="1" si="39"/>
        <v>25.59604942129954</v>
      </c>
      <c r="BP2549" t="b">
        <v>0</v>
      </c>
      <c r="BQ2549">
        <v>1</v>
      </c>
      <c r="BR2549" t="s">
        <v>1686</v>
      </c>
      <c r="BS2549" t="s">
        <v>1703</v>
      </c>
      <c r="BT2549" t="b">
        <v>0</v>
      </c>
      <c r="BU2549" t="s">
        <v>1738</v>
      </c>
      <c r="BV2549" t="s">
        <v>1668</v>
      </c>
      <c r="BW2549">
        <v>5701</v>
      </c>
      <c r="BY2549">
        <v>321962</v>
      </c>
      <c r="BZ2549" t="s">
        <v>1709</v>
      </c>
      <c r="CA2549">
        <v>1</v>
      </c>
      <c r="CB2549" t="b">
        <v>1</v>
      </c>
      <c r="CC2549">
        <v>0</v>
      </c>
      <c r="CD2549" t="b">
        <v>0</v>
      </c>
      <c r="CE2549" t="b">
        <v>0</v>
      </c>
      <c r="CF2549" t="b">
        <v>0</v>
      </c>
      <c r="CG2549">
        <v>2470905</v>
      </c>
      <c r="CH2549" t="s">
        <v>1681</v>
      </c>
      <c r="CI2549" s="10">
        <v>769000</v>
      </c>
    </row>
    <row r="2550" spans="1:89">
      <c r="A2550">
        <v>28045679</v>
      </c>
      <c r="B2550" s="2" t="str">
        <f>HYPERLINK("http://www.redfin.com/stingray/do/printable-listing?listing-id=1563531","Active")</f>
        <v>Active</v>
      </c>
      <c r="D2550" t="s">
        <v>6050</v>
      </c>
      <c r="E2550" t="s">
        <v>6049</v>
      </c>
      <c r="F2550">
        <v>589950</v>
      </c>
      <c r="G2550">
        <v>2004</v>
      </c>
      <c r="H2550">
        <v>3090</v>
      </c>
      <c r="I2550">
        <v>5800</v>
      </c>
      <c r="J2550">
        <v>4</v>
      </c>
      <c r="K2550">
        <v>3</v>
      </c>
      <c r="M2550" s="2" t="str">
        <f>HYPERLINK("http://maps.live.com/default.aspx?v=2&amp;lvl=15&amp;sp=Point.47.5152_-122.1956_2001 NE 26th Pl&amp;cp=47.5152~-122.1956","Map")</f>
        <v>Map</v>
      </c>
      <c r="N2550" s="2" t="str">
        <f>HYPERLINK("http://i-0.rfimg.us/photo/1/bigphoto/679/28045679_1.jpg","Photo")</f>
        <v>Photo</v>
      </c>
      <c r="AG2550">
        <v>47.5152</v>
      </c>
      <c r="AH2550">
        <v>-122.1956</v>
      </c>
      <c r="AI2550" t="s">
        <v>1077</v>
      </c>
      <c r="AJ2550">
        <v>98056</v>
      </c>
      <c r="BC2550" s="22">
        <v>39522.744525462964</v>
      </c>
      <c r="BI2550" s="22">
        <v>39549.294907407406</v>
      </c>
      <c r="BL2550">
        <v>11799</v>
      </c>
      <c r="BM2550">
        <v>1563531</v>
      </c>
      <c r="BN2550" t="s">
        <v>1688</v>
      </c>
      <c r="BO2550" s="17">
        <f t="shared" ca="1" si="39"/>
        <v>26.56488043981517</v>
      </c>
      <c r="BP2550" t="b">
        <v>0</v>
      </c>
      <c r="BQ2550">
        <v>1</v>
      </c>
      <c r="BR2550" t="s">
        <v>1842</v>
      </c>
      <c r="BS2550" t="s">
        <v>1769</v>
      </c>
      <c r="BT2550" t="b">
        <v>0</v>
      </c>
      <c r="BU2550" t="s">
        <v>1738</v>
      </c>
      <c r="BV2550" t="s">
        <v>1668</v>
      </c>
      <c r="BW2550">
        <v>2001</v>
      </c>
      <c r="BY2550">
        <v>12429700</v>
      </c>
      <c r="BZ2550" t="s">
        <v>1679</v>
      </c>
      <c r="CA2550">
        <v>1</v>
      </c>
      <c r="CB2550" t="b">
        <v>1</v>
      </c>
      <c r="CC2550">
        <v>0</v>
      </c>
      <c r="CD2550" t="b">
        <v>0</v>
      </c>
      <c r="CE2550" t="b">
        <v>0</v>
      </c>
      <c r="CF2550" t="b">
        <v>0</v>
      </c>
      <c r="CG2550">
        <v>15633448</v>
      </c>
      <c r="CH2550" t="s">
        <v>1681</v>
      </c>
      <c r="CI2550" s="10">
        <v>589950</v>
      </c>
    </row>
    <row r="2551" spans="1:89">
      <c r="A2551">
        <v>28045681</v>
      </c>
      <c r="B2551" s="15" t="str">
        <f>HYPERLINK("http://www.redfin.com/stingray/do/printable-listing?listing-id=1563290","Subject To Inspection")</f>
        <v>Subject To Inspection</v>
      </c>
      <c r="D2551" t="s">
        <v>99</v>
      </c>
      <c r="E2551" t="s">
        <v>268</v>
      </c>
      <c r="F2551">
        <v>499950</v>
      </c>
      <c r="G2551">
        <v>1981</v>
      </c>
      <c r="H2551">
        <v>1980</v>
      </c>
      <c r="I2551">
        <v>8276</v>
      </c>
      <c r="J2551">
        <v>3</v>
      </c>
      <c r="K2551">
        <v>2</v>
      </c>
      <c r="M2551" s="2" t="str">
        <f>HYPERLINK("http://maps.live.com/default.aspx?v=2&amp;lvl=15&amp;sp=Point.47.698895_-122.36908_9527 9th Ave NW&amp;cp=47.698895~-122.36908","Map")</f>
        <v>Map</v>
      </c>
      <c r="N2551" s="2" t="str">
        <f>HYPERLINK("http://i-0.rfimg.us/photo/1/bigphoto/681/28045681_0.jpg","Photo")</f>
        <v>Photo</v>
      </c>
      <c r="AG2551">
        <v>47.698895</v>
      </c>
      <c r="AH2551">
        <v>-122.36908</v>
      </c>
      <c r="AI2551" t="s">
        <v>66</v>
      </c>
      <c r="AJ2551">
        <v>98117</v>
      </c>
      <c r="AN2551">
        <v>330000</v>
      </c>
      <c r="BC2551" s="22">
        <v>39522.621736111112</v>
      </c>
      <c r="BI2551" s="22">
        <v>39549.294907407406</v>
      </c>
      <c r="BL2551">
        <v>9999</v>
      </c>
      <c r="BM2551">
        <v>1563290</v>
      </c>
      <c r="BN2551" t="s">
        <v>1812</v>
      </c>
      <c r="BO2551" s="17">
        <f t="shared" ca="1" si="39"/>
        <v>26.687669907405507</v>
      </c>
      <c r="BP2551" t="b">
        <v>0</v>
      </c>
      <c r="BQ2551">
        <v>1</v>
      </c>
      <c r="BR2551" t="s">
        <v>1667</v>
      </c>
      <c r="BS2551" t="s">
        <v>1785</v>
      </c>
      <c r="BT2551" t="b">
        <v>0</v>
      </c>
      <c r="BV2551" t="s">
        <v>1668</v>
      </c>
      <c r="BW2551">
        <v>9527</v>
      </c>
      <c r="BX2551" t="s">
        <v>1669</v>
      </c>
      <c r="BY2551">
        <v>96499</v>
      </c>
      <c r="BZ2551" t="s">
        <v>1672</v>
      </c>
      <c r="CA2551">
        <v>1</v>
      </c>
      <c r="CB2551" t="b">
        <v>1</v>
      </c>
      <c r="CC2551">
        <v>0</v>
      </c>
      <c r="CD2551" t="b">
        <v>0</v>
      </c>
      <c r="CE2551" t="b">
        <v>1</v>
      </c>
      <c r="CF2551" t="b">
        <v>0</v>
      </c>
      <c r="CG2551">
        <v>2581232</v>
      </c>
      <c r="CH2551" t="s">
        <v>1681</v>
      </c>
      <c r="CI2551" s="10">
        <v>499950</v>
      </c>
      <c r="CJ2551" s="7">
        <v>38974</v>
      </c>
      <c r="CK2551" t="s">
        <v>6883</v>
      </c>
    </row>
    <row r="2552" spans="1:89">
      <c r="A2552">
        <v>28045722</v>
      </c>
      <c r="B2552" s="2" t="str">
        <f>HYPERLINK("http://www.redfin.com/stingray/do/printable-listing?listing-id=1563409","Active")</f>
        <v>Active</v>
      </c>
      <c r="D2552" t="s">
        <v>919</v>
      </c>
      <c r="E2552" t="s">
        <v>2169</v>
      </c>
      <c r="F2552">
        <v>499950</v>
      </c>
      <c r="G2552">
        <v>1942</v>
      </c>
      <c r="H2552">
        <v>0</v>
      </c>
      <c r="I2552">
        <v>7590</v>
      </c>
      <c r="J2552">
        <v>2</v>
      </c>
      <c r="K2552">
        <v>2.75</v>
      </c>
      <c r="M2552" s="2" t="str">
        <f>HYPERLINK("http://maps.live.com/default.aspx?v=2&amp;lvl=15&amp;sp=Point.47.708218_-122.339744_10745 Ashworth N&amp;cp=47.708218~-122.339744","Map")</f>
        <v>Map</v>
      </c>
      <c r="N2552" s="2" t="str">
        <f>HYPERLINK("http://i-0.rfimg.us/photo/1/bigphoto/722/28045722_2.jpg","Photo")</f>
        <v>Photo</v>
      </c>
      <c r="AG2552">
        <v>47.708218000000002</v>
      </c>
      <c r="AH2552">
        <v>-122.339744</v>
      </c>
      <c r="AI2552" t="s">
        <v>66</v>
      </c>
      <c r="AJ2552">
        <v>98133</v>
      </c>
      <c r="AN2552">
        <v>69000</v>
      </c>
      <c r="BC2552" s="22">
        <v>39522.661134259259</v>
      </c>
      <c r="BI2552" s="22">
        <v>39549.294907407406</v>
      </c>
      <c r="BL2552">
        <v>9999</v>
      </c>
      <c r="BM2552">
        <v>1563409</v>
      </c>
      <c r="BN2552" t="s">
        <v>1675</v>
      </c>
      <c r="BO2552" s="17">
        <f t="shared" ca="1" si="39"/>
        <v>26.648271643520275</v>
      </c>
      <c r="BP2552" t="b">
        <v>0</v>
      </c>
      <c r="BQ2552">
        <v>1</v>
      </c>
      <c r="BS2552" t="s">
        <v>1825</v>
      </c>
      <c r="BT2552" t="b">
        <v>0</v>
      </c>
      <c r="BV2552" t="s">
        <v>1668</v>
      </c>
      <c r="BW2552">
        <v>10745</v>
      </c>
      <c r="BX2552" t="s">
        <v>1712</v>
      </c>
      <c r="BY2552">
        <v>104456</v>
      </c>
      <c r="BZ2552" t="s">
        <v>2789</v>
      </c>
      <c r="CA2552">
        <v>1</v>
      </c>
      <c r="CB2552" t="b">
        <v>1</v>
      </c>
      <c r="CC2552">
        <v>0</v>
      </c>
      <c r="CD2552" t="b">
        <v>0</v>
      </c>
      <c r="CE2552" t="b">
        <v>0</v>
      </c>
      <c r="CF2552" t="b">
        <v>0</v>
      </c>
      <c r="CG2552">
        <v>2587775</v>
      </c>
      <c r="CH2552" t="s">
        <v>1681</v>
      </c>
      <c r="CI2552" s="10">
        <v>499950</v>
      </c>
      <c r="CJ2552" s="7">
        <v>31930</v>
      </c>
    </row>
    <row r="2553" spans="1:89">
      <c r="A2553">
        <v>28045775</v>
      </c>
      <c r="B2553" s="2" t="str">
        <f>HYPERLINK("http://www.redfin.com/stingray/do/printable-listing?listing-id=1564726","Subject To Inspection")</f>
        <v>Subject To Inspection</v>
      </c>
      <c r="D2553" t="s">
        <v>88</v>
      </c>
      <c r="E2553" t="s">
        <v>2483</v>
      </c>
      <c r="F2553">
        <v>697000</v>
      </c>
      <c r="G2553">
        <v>1929</v>
      </c>
      <c r="H2553">
        <v>2465</v>
      </c>
      <c r="I2553">
        <v>4000</v>
      </c>
      <c r="J2553">
        <v>3</v>
      </c>
      <c r="K2553">
        <v>2</v>
      </c>
      <c r="M2553" s="2" t="str">
        <f>HYPERLINK("http://maps.live.com/default.aspx?v=2&amp;lvl=15&amp;sp=Point.47.665738_-122.359423_5020 Baker Ave NW&amp;cp=47.665738~-122.359423","Map")</f>
        <v>Map</v>
      </c>
      <c r="N2553" s="2" t="str">
        <f>HYPERLINK("http://i-0.rfimg.us/photo/1/bigphoto/775/28045775_0.jpg","Photo")</f>
        <v>Photo</v>
      </c>
      <c r="AG2553">
        <v>47.665737999999997</v>
      </c>
      <c r="AH2553">
        <v>-122.35942300000001</v>
      </c>
      <c r="AI2553" t="s">
        <v>66</v>
      </c>
      <c r="AJ2553">
        <v>98107</v>
      </c>
      <c r="AN2553">
        <v>329500</v>
      </c>
      <c r="BC2553" s="22">
        <v>39523.889861111114</v>
      </c>
      <c r="BI2553" s="7">
        <v>39540</v>
      </c>
      <c r="BL2553">
        <v>13940</v>
      </c>
      <c r="BM2553">
        <v>1564726</v>
      </c>
      <c r="BN2553" t="s">
        <v>1678</v>
      </c>
      <c r="BO2553" s="17">
        <f t="shared" ca="1" si="39"/>
        <v>25.419544907403179</v>
      </c>
      <c r="BP2553" t="b">
        <v>0</v>
      </c>
      <c r="BQ2553">
        <v>2</v>
      </c>
      <c r="BR2553" t="s">
        <v>1667</v>
      </c>
      <c r="BS2553" t="s">
        <v>2484</v>
      </c>
      <c r="BT2553" t="b">
        <v>0</v>
      </c>
      <c r="BV2553" t="s">
        <v>1668</v>
      </c>
      <c r="BW2553">
        <v>5020</v>
      </c>
      <c r="BX2553" t="s">
        <v>1669</v>
      </c>
      <c r="BY2553">
        <v>298799</v>
      </c>
      <c r="BZ2553" t="s">
        <v>1713</v>
      </c>
      <c r="CA2553">
        <v>1</v>
      </c>
      <c r="CB2553" t="b">
        <v>1</v>
      </c>
      <c r="CC2553">
        <v>0</v>
      </c>
      <c r="CD2553" t="b">
        <v>0</v>
      </c>
      <c r="CE2553" t="b">
        <v>0</v>
      </c>
      <c r="CF2553" t="b">
        <v>0</v>
      </c>
      <c r="CG2553">
        <v>2716993</v>
      </c>
      <c r="CH2553" t="s">
        <v>1681</v>
      </c>
      <c r="CI2553" s="10">
        <v>697000</v>
      </c>
      <c r="CJ2553" s="7">
        <v>36524</v>
      </c>
      <c r="CK2553" t="s">
        <v>6270</v>
      </c>
    </row>
    <row r="2554" spans="1:89">
      <c r="A2554">
        <v>28045780</v>
      </c>
      <c r="B2554" s="2" t="str">
        <f>HYPERLINK("http://www.redfin.com/stingray/do/printable-listing?listing-id=1568826","Active")</f>
        <v>Active</v>
      </c>
      <c r="D2554" t="s">
        <v>192</v>
      </c>
      <c r="E2554" t="s">
        <v>2929</v>
      </c>
      <c r="F2554">
        <v>749000</v>
      </c>
      <c r="G2554">
        <v>2005</v>
      </c>
      <c r="H2554">
        <v>2860</v>
      </c>
      <c r="I2554">
        <v>4612</v>
      </c>
      <c r="J2554">
        <v>4</v>
      </c>
      <c r="K2554">
        <v>3.5</v>
      </c>
      <c r="M2554" s="2" t="str">
        <f>HYPERLINK("http://maps.live.com/default.aspx?v=2&amp;lvl=15&amp;sp=Point.47.699637_-122.318203_846 NE 97 St&amp;cp=47.699637~-122.318203","Map")</f>
        <v>Map</v>
      </c>
      <c r="N2554" s="2" t="str">
        <f>HYPERLINK("http://i-0.rfimg.us/photo/1/bigphoto/780/28045780_4.jpg","Photo")</f>
        <v>Photo</v>
      </c>
      <c r="AG2554">
        <v>47.699637000000003</v>
      </c>
      <c r="AH2554">
        <v>-122.318203</v>
      </c>
      <c r="AI2554" t="s">
        <v>66</v>
      </c>
      <c r="AJ2554">
        <v>98115</v>
      </c>
      <c r="BC2554" s="22">
        <v>39525.485636574071</v>
      </c>
      <c r="BI2554" s="22">
        <v>39549.294907407406</v>
      </c>
      <c r="BL2554">
        <v>14980</v>
      </c>
      <c r="BM2554">
        <v>1568826</v>
      </c>
      <c r="BN2554" t="s">
        <v>1710</v>
      </c>
      <c r="BO2554" s="17">
        <f t="shared" ca="1" si="39"/>
        <v>23.823769328708295</v>
      </c>
      <c r="BP2554" t="b">
        <v>0</v>
      </c>
      <c r="BQ2554">
        <v>1</v>
      </c>
      <c r="BR2554" t="s">
        <v>1686</v>
      </c>
      <c r="BS2554">
        <v>97</v>
      </c>
      <c r="BT2554" t="b">
        <v>0</v>
      </c>
      <c r="BU2554" t="s">
        <v>1738</v>
      </c>
      <c r="BV2554" t="s">
        <v>1668</v>
      </c>
      <c r="BW2554">
        <v>846</v>
      </c>
      <c r="BY2554">
        <v>12430432</v>
      </c>
      <c r="BZ2554" t="s">
        <v>2696</v>
      </c>
      <c r="CA2554">
        <v>1</v>
      </c>
      <c r="CB2554" t="b">
        <v>1</v>
      </c>
      <c r="CC2554">
        <v>0</v>
      </c>
      <c r="CD2554" t="b">
        <v>0</v>
      </c>
      <c r="CE2554" t="b">
        <v>0</v>
      </c>
      <c r="CF2554" t="b">
        <v>0</v>
      </c>
      <c r="CG2554">
        <v>15634180</v>
      </c>
      <c r="CH2554" t="s">
        <v>1681</v>
      </c>
      <c r="CI2554" s="10">
        <v>749000</v>
      </c>
    </row>
    <row r="2555" spans="1:89">
      <c r="A2555">
        <v>28045848</v>
      </c>
      <c r="B2555" s="2" t="str">
        <f>HYPERLINK("http://www.redfin.com/stingray/do/printable-listing?listing-id=1564216","Active")</f>
        <v>Active</v>
      </c>
      <c r="D2555" t="s">
        <v>4710</v>
      </c>
      <c r="E2555" t="s">
        <v>5064</v>
      </c>
      <c r="F2555">
        <v>870000</v>
      </c>
      <c r="G2555">
        <v>2007</v>
      </c>
      <c r="H2555">
        <v>1954</v>
      </c>
      <c r="I2555">
        <v>0</v>
      </c>
      <c r="J2555">
        <v>2</v>
      </c>
      <c r="K2555">
        <v>2.5</v>
      </c>
      <c r="M2555" s="2" t="str">
        <f>HYPERLINK("http://maps.live.com/default.aspx?v=2&amp;lvl=15&amp;sp=Point.47.621237_-122.198895_10590 NE 12th St&amp;cp=47.621237~-122.198895","Map")</f>
        <v>Map</v>
      </c>
      <c r="N2555" s="2" t="str">
        <f>HYPERLINK("http://i-0.rfimg.us/photo/1/bigphoto/848/28045848_0.jpg","Photo")</f>
        <v>Photo</v>
      </c>
      <c r="AG2555">
        <v>47.621237000000001</v>
      </c>
      <c r="AH2555">
        <v>-122.19889499999999</v>
      </c>
      <c r="AI2555" t="s">
        <v>369</v>
      </c>
      <c r="AJ2555">
        <v>98004</v>
      </c>
      <c r="AN2555">
        <v>925000</v>
      </c>
      <c r="BC2555" s="22">
        <v>39523.495011574072</v>
      </c>
      <c r="BI2555" s="22">
        <v>39549.294907407406</v>
      </c>
      <c r="BL2555">
        <v>17400</v>
      </c>
      <c r="BM2555">
        <v>1564216</v>
      </c>
      <c r="BN2555" t="s">
        <v>4138</v>
      </c>
      <c r="BO2555" s="17">
        <f t="shared" ca="1" si="39"/>
        <v>25.81439432870684</v>
      </c>
      <c r="BP2555" t="b">
        <v>0</v>
      </c>
      <c r="BQ2555">
        <v>1</v>
      </c>
      <c r="BR2555" t="s">
        <v>1686</v>
      </c>
      <c r="BS2555" t="s">
        <v>1803</v>
      </c>
      <c r="BT2555" t="b">
        <v>0</v>
      </c>
      <c r="BU2555" t="s">
        <v>1738</v>
      </c>
      <c r="BV2555" t="s">
        <v>1668</v>
      </c>
      <c r="BW2555">
        <v>10590</v>
      </c>
      <c r="BY2555">
        <v>12307211</v>
      </c>
      <c r="BZ2555" t="s">
        <v>1713</v>
      </c>
      <c r="CA2555">
        <v>1</v>
      </c>
      <c r="CB2555" t="b">
        <v>1</v>
      </c>
      <c r="CC2555">
        <v>0</v>
      </c>
      <c r="CD2555" t="b">
        <v>0</v>
      </c>
      <c r="CE2555" t="b">
        <v>0</v>
      </c>
      <c r="CF2555" t="b">
        <v>0</v>
      </c>
      <c r="CG2555">
        <v>15514143</v>
      </c>
      <c r="CH2555" t="s">
        <v>1681</v>
      </c>
      <c r="CI2555" s="10">
        <v>870000</v>
      </c>
      <c r="CJ2555" s="7">
        <v>39490</v>
      </c>
    </row>
    <row r="2556" spans="1:89">
      <c r="A2556">
        <v>28045871</v>
      </c>
      <c r="B2556" s="15" t="str">
        <f>HYPERLINK("http://www.redfin.com/stingray/do/printable-listing?listing-id=1575221","Subject To Inspection")</f>
        <v>Subject To Inspection</v>
      </c>
      <c r="D2556" t="s">
        <v>5198</v>
      </c>
      <c r="E2556" t="s">
        <v>5267</v>
      </c>
      <c r="F2556">
        <v>745000</v>
      </c>
      <c r="G2556">
        <v>1976</v>
      </c>
      <c r="H2556">
        <v>2850</v>
      </c>
      <c r="I2556">
        <v>9397</v>
      </c>
      <c r="J2556">
        <v>4</v>
      </c>
      <c r="K2556">
        <v>2.75</v>
      </c>
      <c r="M2556" s="2" t="str">
        <f>HYPERLINK("http://maps.live.com/default.aspx?v=2&amp;lvl=15&amp;sp=Point.47.581876_-122.113773_17001 SE 31st Pl&amp;cp=47.581876~-122.113773","Map")</f>
        <v>Map</v>
      </c>
      <c r="N2556" s="2" t="str">
        <f>HYPERLINK("http://i-0.rfimg.us/photo/1/bigphoto/871/28045871_0.jpg","Photo")</f>
        <v>Photo</v>
      </c>
      <c r="AG2556">
        <v>47.581876000000001</v>
      </c>
      <c r="AH2556">
        <v>-122.11377299999999</v>
      </c>
      <c r="AI2556" t="s">
        <v>369</v>
      </c>
      <c r="AJ2556">
        <v>98008</v>
      </c>
      <c r="AN2556">
        <v>115000</v>
      </c>
      <c r="BC2556" s="22">
        <v>39527.546655092592</v>
      </c>
      <c r="BI2556" s="22">
        <v>39549.294907407406</v>
      </c>
      <c r="BL2556">
        <v>14900</v>
      </c>
      <c r="BM2556">
        <v>1575221</v>
      </c>
      <c r="BN2556" t="s">
        <v>1768</v>
      </c>
      <c r="BO2556" s="17">
        <f t="shared" ca="1" si="39"/>
        <v>21.762750810186844</v>
      </c>
      <c r="BP2556" t="b">
        <v>0</v>
      </c>
      <c r="BQ2556">
        <v>1</v>
      </c>
      <c r="BR2556" t="s">
        <v>1842</v>
      </c>
      <c r="BS2556" t="s">
        <v>1732</v>
      </c>
      <c r="BT2556" t="b">
        <v>0</v>
      </c>
      <c r="BU2556" t="s">
        <v>3856</v>
      </c>
      <c r="BV2556" t="s">
        <v>1668</v>
      </c>
      <c r="BW2556">
        <v>17001</v>
      </c>
      <c r="BY2556">
        <v>429611</v>
      </c>
      <c r="BZ2556" t="s">
        <v>1713</v>
      </c>
      <c r="CA2556">
        <v>1</v>
      </c>
      <c r="CB2556" t="b">
        <v>1</v>
      </c>
      <c r="CC2556">
        <v>0</v>
      </c>
      <c r="CD2556" t="b">
        <v>0</v>
      </c>
      <c r="CE2556" t="b">
        <v>0</v>
      </c>
      <c r="CF2556" t="b">
        <v>0</v>
      </c>
      <c r="CG2556">
        <v>2391913</v>
      </c>
      <c r="CH2556" t="s">
        <v>1681</v>
      </c>
      <c r="CI2556" s="10">
        <v>745000</v>
      </c>
      <c r="CJ2556" s="7">
        <v>31310</v>
      </c>
    </row>
    <row r="2557" spans="1:89">
      <c r="A2557">
        <v>28045917</v>
      </c>
      <c r="B2557" s="2" t="str">
        <f>HYPERLINK("http://www.redfin.com/stingray/do/printable-listing?listing-id=1566049","Subject To Inspection")</f>
        <v>Subject To Inspection</v>
      </c>
      <c r="D2557" t="s">
        <v>194</v>
      </c>
      <c r="E2557" t="s">
        <v>2177</v>
      </c>
      <c r="F2557">
        <v>419000</v>
      </c>
      <c r="G2557">
        <v>1947</v>
      </c>
      <c r="H2557">
        <v>0</v>
      </c>
      <c r="I2557">
        <v>5100</v>
      </c>
      <c r="J2557">
        <v>2</v>
      </c>
      <c r="K2557">
        <v>1</v>
      </c>
      <c r="M2557" s="2" t="str">
        <f>HYPERLINK("http://maps.live.com/default.aspx?v=2&amp;lvl=15&amp;sp=Point.47.690431_-122.292562_3218 NE 85th St&amp;cp=47.690431~-122.292562","Map")</f>
        <v>Map</v>
      </c>
      <c r="N2557" s="2" t="str">
        <f>HYPERLINK("http://i-0.rfimg.us/photo/1/bigphoto/917/28045917_1.jpg","Photo")</f>
        <v>Photo</v>
      </c>
      <c r="AG2557">
        <v>47.690430999999997</v>
      </c>
      <c r="AH2557">
        <v>-122.292562</v>
      </c>
      <c r="AI2557" t="s">
        <v>66</v>
      </c>
      <c r="AJ2557">
        <v>98115</v>
      </c>
      <c r="AN2557">
        <v>239000</v>
      </c>
      <c r="BC2557" s="22">
        <v>39524.544236111113</v>
      </c>
      <c r="BI2557" s="7">
        <v>39536</v>
      </c>
      <c r="BL2557">
        <v>8380</v>
      </c>
      <c r="BM2557">
        <v>1566049</v>
      </c>
      <c r="BN2557" t="s">
        <v>1715</v>
      </c>
      <c r="BO2557" s="17">
        <f t="shared" ca="1" si="39"/>
        <v>24.765169791666267</v>
      </c>
      <c r="BP2557" t="b">
        <v>0</v>
      </c>
      <c r="BQ2557">
        <v>2</v>
      </c>
      <c r="BR2557" t="s">
        <v>1686</v>
      </c>
      <c r="BS2557" t="s">
        <v>1827</v>
      </c>
      <c r="BT2557" t="b">
        <v>0</v>
      </c>
      <c r="BU2557" t="s">
        <v>1738</v>
      </c>
      <c r="BV2557" t="s">
        <v>1668</v>
      </c>
      <c r="BW2557">
        <v>3218</v>
      </c>
      <c r="BY2557">
        <v>315648</v>
      </c>
      <c r="BZ2557" t="s">
        <v>1709</v>
      </c>
      <c r="CA2557">
        <v>1</v>
      </c>
      <c r="CB2557" t="b">
        <v>1</v>
      </c>
      <c r="CC2557">
        <v>0</v>
      </c>
      <c r="CD2557" t="b">
        <v>0</v>
      </c>
      <c r="CE2557" t="b">
        <v>0</v>
      </c>
      <c r="CF2557" t="b">
        <v>0</v>
      </c>
      <c r="CG2557">
        <v>2557072</v>
      </c>
      <c r="CH2557" t="s">
        <v>1681</v>
      </c>
      <c r="CI2557" s="10">
        <v>419000</v>
      </c>
      <c r="CJ2557" s="7">
        <v>37741</v>
      </c>
    </row>
    <row r="2558" spans="1:89">
      <c r="A2558">
        <v>28045923</v>
      </c>
      <c r="B2558" s="2" t="str">
        <f>HYPERLINK("http://www.redfin.com/stingray/do/printable-listing?listing-id=1564491","Active")</f>
        <v>Active</v>
      </c>
      <c r="D2558" t="s">
        <v>109</v>
      </c>
      <c r="E2558" t="s">
        <v>3743</v>
      </c>
      <c r="F2558" s="19">
        <v>899000</v>
      </c>
      <c r="G2558">
        <v>1927</v>
      </c>
      <c r="H2558">
        <v>3400</v>
      </c>
      <c r="I2558">
        <v>4000</v>
      </c>
      <c r="J2558">
        <v>4</v>
      </c>
      <c r="K2558">
        <v>2.5</v>
      </c>
      <c r="M2558" s="2" t="str">
        <f>HYPERLINK("http://maps.live.com/default.aspx?v=2&amp;lvl=15&amp;sp=Point.47.655999_-122.323173_4014 5th Ave NE&amp;cp=47.655999~-122.323173","Map")</f>
        <v>Map</v>
      </c>
      <c r="N2558" s="2" t="str">
        <f>HYPERLINK("http://i-0.rfimg.us/photo/1/bigphoto/923/28045923_1.jpg","Photo")</f>
        <v>Photo</v>
      </c>
      <c r="AG2558">
        <v>47.655999000000001</v>
      </c>
      <c r="AH2558">
        <v>-122.323173</v>
      </c>
      <c r="AI2558" t="s">
        <v>66</v>
      </c>
      <c r="AJ2558">
        <v>98105</v>
      </c>
      <c r="AN2558">
        <v>469000</v>
      </c>
      <c r="BC2558" s="22">
        <v>39523.682164351849</v>
      </c>
      <c r="BI2558" s="22">
        <v>39549.294907407406</v>
      </c>
      <c r="BL2558">
        <v>19180</v>
      </c>
      <c r="BM2558">
        <v>1564491</v>
      </c>
      <c r="BN2558" t="s">
        <v>3742</v>
      </c>
      <c r="BO2558" s="17">
        <f t="shared" ca="1" si="39"/>
        <v>25.627241550930194</v>
      </c>
      <c r="BP2558" t="b">
        <v>0</v>
      </c>
      <c r="BQ2558">
        <v>1</v>
      </c>
      <c r="BR2558" t="s">
        <v>1667</v>
      </c>
      <c r="BS2558" t="s">
        <v>1832</v>
      </c>
      <c r="BT2558" t="b">
        <v>0</v>
      </c>
      <c r="BV2558" t="s">
        <v>1668</v>
      </c>
      <c r="BW2558">
        <v>4014</v>
      </c>
      <c r="BX2558" t="s">
        <v>1738</v>
      </c>
      <c r="BY2558">
        <v>117155</v>
      </c>
      <c r="BZ2558" t="s">
        <v>1756</v>
      </c>
      <c r="CA2558">
        <v>1</v>
      </c>
      <c r="CB2558" t="b">
        <v>1</v>
      </c>
      <c r="CC2558">
        <v>0</v>
      </c>
      <c r="CD2558" t="b">
        <v>0</v>
      </c>
      <c r="CE2558" t="b">
        <v>0</v>
      </c>
      <c r="CF2558" t="b">
        <v>0</v>
      </c>
      <c r="CG2558">
        <v>2959351</v>
      </c>
      <c r="CH2558" t="s">
        <v>1681</v>
      </c>
      <c r="CI2558" s="10">
        <v>959000</v>
      </c>
      <c r="CJ2558" s="7">
        <v>37741</v>
      </c>
    </row>
    <row r="2559" spans="1:89">
      <c r="A2559">
        <v>28045930</v>
      </c>
      <c r="B2559" s="2" t="str">
        <f>HYPERLINK("http://www.redfin.com/stingray/do/printable-listing?listing-id=1565060","Active")</f>
        <v>Active</v>
      </c>
      <c r="D2559" t="s">
        <v>194</v>
      </c>
      <c r="E2559" t="s">
        <v>3090</v>
      </c>
      <c r="F2559" s="19">
        <v>597500</v>
      </c>
      <c r="G2559">
        <v>1948</v>
      </c>
      <c r="H2559">
        <v>2360</v>
      </c>
      <c r="I2559">
        <v>5664</v>
      </c>
      <c r="J2559">
        <v>4</v>
      </c>
      <c r="K2559">
        <v>2.25</v>
      </c>
      <c r="M2559" s="2" t="str">
        <f>HYPERLINK("http://maps.live.com/default.aspx?v=2&amp;lvl=15&amp;sp=Point.47.68889_-122.283035_8214 42 Ave NE&amp;cp=47.68889~-122.283035","Map")</f>
        <v>Map</v>
      </c>
      <c r="N2559" s="2" t="str">
        <f>HYPERLINK("http://i-0.rfimg.us/photo/1/bigphoto/930/28045930_2.jpg","Photo")</f>
        <v>Photo</v>
      </c>
      <c r="AG2559">
        <v>47.688890000000001</v>
      </c>
      <c r="AH2559">
        <v>-122.283035</v>
      </c>
      <c r="AI2559" t="s">
        <v>66</v>
      </c>
      <c r="AJ2559">
        <v>98115</v>
      </c>
      <c r="AN2559">
        <v>359000</v>
      </c>
      <c r="BC2559" s="22">
        <v>39524.296122685184</v>
      </c>
      <c r="BI2559" s="22">
        <v>39549.294907407406</v>
      </c>
      <c r="BL2559">
        <v>12150</v>
      </c>
      <c r="BM2559">
        <v>1565060</v>
      </c>
      <c r="BN2559" t="s">
        <v>1710</v>
      </c>
      <c r="BO2559" s="17">
        <f t="shared" ca="1" si="39"/>
        <v>25.013283217595017</v>
      </c>
      <c r="BP2559" t="b">
        <v>0</v>
      </c>
      <c r="BQ2559">
        <v>1</v>
      </c>
      <c r="BR2559" t="s">
        <v>1667</v>
      </c>
      <c r="BS2559">
        <v>42</v>
      </c>
      <c r="BT2559" t="b">
        <v>0</v>
      </c>
      <c r="BV2559" t="s">
        <v>1668</v>
      </c>
      <c r="BW2559">
        <v>8214</v>
      </c>
      <c r="BX2559" t="s">
        <v>1738</v>
      </c>
      <c r="BY2559">
        <v>318618</v>
      </c>
      <c r="BZ2559" t="s">
        <v>3091</v>
      </c>
      <c r="CA2559">
        <v>1</v>
      </c>
      <c r="CB2559" t="b">
        <v>1</v>
      </c>
      <c r="CC2559">
        <v>0</v>
      </c>
      <c r="CD2559" t="b">
        <v>0</v>
      </c>
      <c r="CE2559" t="b">
        <v>0</v>
      </c>
      <c r="CF2559" t="b">
        <v>0</v>
      </c>
      <c r="CG2559">
        <v>2707916</v>
      </c>
      <c r="CH2559" t="s">
        <v>1681</v>
      </c>
      <c r="CI2559" s="10">
        <v>607500</v>
      </c>
      <c r="CJ2559" s="7">
        <v>37022</v>
      </c>
    </row>
    <row r="2560" spans="1:89">
      <c r="A2560">
        <v>28045951</v>
      </c>
      <c r="B2560" s="2" t="str">
        <f>HYPERLINK("http://www.redfin.com/stingray/do/printable-listing?listing-id=1567976","Active")</f>
        <v>Active</v>
      </c>
      <c r="D2560" t="s">
        <v>2850</v>
      </c>
      <c r="E2560" t="s">
        <v>4502</v>
      </c>
      <c r="F2560">
        <v>821500</v>
      </c>
      <c r="G2560">
        <v>1979</v>
      </c>
      <c r="H2560">
        <v>2040</v>
      </c>
      <c r="I2560">
        <v>10117</v>
      </c>
      <c r="J2560">
        <v>3</v>
      </c>
      <c r="K2560">
        <v>2</v>
      </c>
      <c r="M2560" s="2" t="str">
        <f>HYPERLINK("http://maps.live.com/default.aspx?v=2&amp;lvl=15&amp;sp=Point.47.70537_-122.220827_9002 NE 116th Pl&amp;cp=47.70537~-122.220827","Map")</f>
        <v>Map</v>
      </c>
      <c r="N2560" s="2" t="str">
        <f>HYPERLINK("http://i-0.rfimg.us/photo/1/bigphoto/951/28045951_2.jpg","Photo")</f>
        <v>Photo</v>
      </c>
      <c r="AG2560">
        <v>47.705370000000002</v>
      </c>
      <c r="AH2560">
        <v>-122.220827</v>
      </c>
      <c r="AI2560" t="s">
        <v>1058</v>
      </c>
      <c r="AJ2560">
        <v>98034</v>
      </c>
      <c r="AN2560">
        <v>211000</v>
      </c>
      <c r="BC2560" s="22">
        <v>39525.046180555553</v>
      </c>
      <c r="BI2560" s="22">
        <v>39549.294907407406</v>
      </c>
      <c r="BL2560">
        <v>16430</v>
      </c>
      <c r="BM2560">
        <v>1567976</v>
      </c>
      <c r="BN2560" t="s">
        <v>1899</v>
      </c>
      <c r="BO2560" s="17">
        <f t="shared" ca="1" si="39"/>
        <v>24.263225347225671</v>
      </c>
      <c r="BP2560" t="b">
        <v>0</v>
      </c>
      <c r="BQ2560">
        <v>1</v>
      </c>
      <c r="BR2560" t="s">
        <v>1842</v>
      </c>
      <c r="BS2560" t="s">
        <v>4441</v>
      </c>
      <c r="BT2560" t="b">
        <v>0</v>
      </c>
      <c r="BU2560" t="s">
        <v>1738</v>
      </c>
      <c r="BV2560" t="s">
        <v>1668</v>
      </c>
      <c r="BW2560">
        <v>9002</v>
      </c>
      <c r="BY2560">
        <v>280506</v>
      </c>
      <c r="BZ2560" t="s">
        <v>2651</v>
      </c>
      <c r="CA2560">
        <v>1</v>
      </c>
      <c r="CB2560" t="b">
        <v>1</v>
      </c>
      <c r="CC2560">
        <v>0</v>
      </c>
      <c r="CD2560" t="b">
        <v>0</v>
      </c>
      <c r="CE2560" t="b">
        <v>0</v>
      </c>
      <c r="CF2560" t="b">
        <v>0</v>
      </c>
      <c r="CG2560">
        <v>2621977</v>
      </c>
      <c r="CH2560" t="s">
        <v>1681</v>
      </c>
      <c r="CI2560" s="10">
        <v>821500</v>
      </c>
      <c r="CJ2560" s="7">
        <v>34989</v>
      </c>
    </row>
    <row r="2561" spans="1:90">
      <c r="A2561">
        <v>28045960</v>
      </c>
      <c r="B2561" s="2" t="str">
        <f>HYPERLINK("http://www.redfin.com/stingray/do/printable-listing?listing-id=1564585","Active")</f>
        <v>Active</v>
      </c>
      <c r="D2561" t="s">
        <v>188</v>
      </c>
      <c r="E2561" t="s">
        <v>2180</v>
      </c>
      <c r="F2561">
        <v>499950</v>
      </c>
      <c r="G2561">
        <v>1987</v>
      </c>
      <c r="H2561">
        <v>1570</v>
      </c>
      <c r="I2561">
        <v>12862</v>
      </c>
      <c r="J2561">
        <v>3</v>
      </c>
      <c r="K2561">
        <v>1.75</v>
      </c>
      <c r="M2561" s="2" t="str">
        <f>HYPERLINK("http://maps.live.com/default.aspx?v=2&amp;lvl=15&amp;sp=Point.47.715161_-122.290047_11747 36th Ave NE&amp;cp=47.715161~-122.290047","Map")</f>
        <v>Map</v>
      </c>
      <c r="N2561" s="2" t="str">
        <f>HYPERLINK("http://i-0.rfimg.us/photo/1/bigphoto/960/28045960_0.jpg","Photo")</f>
        <v>Photo</v>
      </c>
      <c r="AG2561">
        <v>47.715161000000002</v>
      </c>
      <c r="AH2561">
        <v>-122.290047</v>
      </c>
      <c r="AI2561" t="s">
        <v>66</v>
      </c>
      <c r="AJ2561">
        <v>98125</v>
      </c>
      <c r="AN2561">
        <v>122000</v>
      </c>
      <c r="BC2561" s="22">
        <v>39523.765069444446</v>
      </c>
      <c r="BI2561" s="22">
        <v>39549.294907407406</v>
      </c>
      <c r="BL2561">
        <v>9999</v>
      </c>
      <c r="BM2561">
        <v>1564585</v>
      </c>
      <c r="BN2561" t="s">
        <v>1680</v>
      </c>
      <c r="BO2561" s="17">
        <f t="shared" ca="1" si="39"/>
        <v>25.544336458333419</v>
      </c>
      <c r="BP2561" t="b">
        <v>0</v>
      </c>
      <c r="BQ2561">
        <v>1</v>
      </c>
      <c r="BR2561" t="s">
        <v>1667</v>
      </c>
      <c r="BS2561" t="s">
        <v>2911</v>
      </c>
      <c r="BT2561" t="b">
        <v>0</v>
      </c>
      <c r="BV2561" t="s">
        <v>1668</v>
      </c>
      <c r="BW2561">
        <v>11747</v>
      </c>
      <c r="BX2561" t="s">
        <v>1738</v>
      </c>
      <c r="BY2561">
        <v>111907</v>
      </c>
      <c r="BZ2561" t="s">
        <v>1696</v>
      </c>
      <c r="CA2561">
        <v>1</v>
      </c>
      <c r="CB2561" t="b">
        <v>1</v>
      </c>
      <c r="CC2561">
        <v>0</v>
      </c>
      <c r="CD2561" t="b">
        <v>1</v>
      </c>
      <c r="CE2561" t="b">
        <v>0</v>
      </c>
      <c r="CF2561" t="b">
        <v>0</v>
      </c>
      <c r="CG2561">
        <v>2416831</v>
      </c>
      <c r="CH2561" t="s">
        <v>1681</v>
      </c>
      <c r="CI2561" s="10">
        <v>499950</v>
      </c>
      <c r="CJ2561" s="7">
        <v>32647</v>
      </c>
    </row>
    <row r="2562" spans="1:90">
      <c r="A2562">
        <v>28045989</v>
      </c>
      <c r="B2562" s="15" t="str">
        <f>HYPERLINK("http://www.redfin.com/stingray/do/printable-listing?listing-id=1578248","Subject To Inspection")</f>
        <v>Subject To Inspection</v>
      </c>
      <c r="D2562" t="s">
        <v>3249</v>
      </c>
      <c r="E2562" t="s">
        <v>3448</v>
      </c>
      <c r="F2562">
        <v>589000</v>
      </c>
      <c r="G2562">
        <v>1992</v>
      </c>
      <c r="H2562">
        <v>1820</v>
      </c>
      <c r="I2562">
        <v>2756</v>
      </c>
      <c r="J2562">
        <v>3</v>
      </c>
      <c r="K2562">
        <v>2.5</v>
      </c>
      <c r="M2562" s="2" t="str">
        <f>HYPERLINK("http://maps.live.com/default.aspx?v=2&amp;lvl=15&amp;sp=Point.47.643179_-122.373971_2607 13 Ave W&amp;cp=47.643179~-122.373971","Map")</f>
        <v>Map</v>
      </c>
      <c r="N2562" s="2" t="str">
        <f>HYPERLINK("http://i-0.rfimg.us/photo/1/bigphoto/989/28045989_1.jpg","Photo")</f>
        <v>Photo</v>
      </c>
      <c r="AG2562">
        <v>47.643179000000003</v>
      </c>
      <c r="AH2562">
        <v>-122.373971</v>
      </c>
      <c r="AI2562" t="s">
        <v>66</v>
      </c>
      <c r="AJ2562">
        <v>98119</v>
      </c>
      <c r="AN2562">
        <v>410500</v>
      </c>
      <c r="BC2562" s="22">
        <v>39528.52615740741</v>
      </c>
      <c r="BI2562" s="7">
        <v>39542</v>
      </c>
      <c r="BL2562">
        <v>11780</v>
      </c>
      <c r="BM2562">
        <v>1578248</v>
      </c>
      <c r="BN2562" t="s">
        <v>3447</v>
      </c>
      <c r="BO2562" s="17">
        <f t="shared" ref="BO2562:BO2625" ca="1" si="40">NOW()-BC2562</f>
        <v>20.783248495368753</v>
      </c>
      <c r="BP2562" t="b">
        <v>0</v>
      </c>
      <c r="BQ2562">
        <v>1</v>
      </c>
      <c r="BR2562" t="s">
        <v>1667</v>
      </c>
      <c r="BS2562">
        <v>13</v>
      </c>
      <c r="BT2562" t="b">
        <v>0</v>
      </c>
      <c r="BV2562" t="s">
        <v>1668</v>
      </c>
      <c r="BW2562">
        <v>2607</v>
      </c>
      <c r="BX2562" t="s">
        <v>2423</v>
      </c>
      <c r="BY2562">
        <v>130904</v>
      </c>
      <c r="BZ2562" t="s">
        <v>1963</v>
      </c>
      <c r="CA2562">
        <v>1</v>
      </c>
      <c r="CB2562" t="b">
        <v>1</v>
      </c>
      <c r="CC2562">
        <v>0</v>
      </c>
      <c r="CD2562" t="b">
        <v>0</v>
      </c>
      <c r="CE2562" t="b">
        <v>1</v>
      </c>
      <c r="CF2562" t="b">
        <v>0</v>
      </c>
      <c r="CG2562">
        <v>2786611</v>
      </c>
      <c r="CH2562" t="s">
        <v>1681</v>
      </c>
      <c r="CI2562" s="10">
        <v>589000</v>
      </c>
      <c r="CJ2562" s="7">
        <v>36766</v>
      </c>
      <c r="CL2562" s="19" t="s">
        <v>2204</v>
      </c>
    </row>
    <row r="2563" spans="1:90">
      <c r="A2563">
        <v>28045998</v>
      </c>
      <c r="B2563" s="2" t="str">
        <f>HYPERLINK("http://www.redfin.com/stingray/do/printable-listing?listing-id=1565809","Active")</f>
        <v>Active</v>
      </c>
      <c r="D2563" t="s">
        <v>3959</v>
      </c>
      <c r="E2563" t="s">
        <v>3976</v>
      </c>
      <c r="F2563">
        <v>540000</v>
      </c>
      <c r="G2563">
        <v>1914</v>
      </c>
      <c r="H2563">
        <v>1680</v>
      </c>
      <c r="I2563">
        <v>3200</v>
      </c>
      <c r="J2563">
        <v>3</v>
      </c>
      <c r="K2563">
        <v>1.75</v>
      </c>
      <c r="M2563" s="2" t="str">
        <f>HYPERLINK("http://maps.live.com/default.aspx?v=2&amp;lvl=15&amp;sp=Point.47.610629_-122.300534_919 25th Ave&amp;cp=47.610629~-122.300534","Map")</f>
        <v>Map</v>
      </c>
      <c r="N2563" s="2" t="str">
        <f>HYPERLINK("http://i-0.rfimg.us/photo/1/bigphoto/998/28045998_1.jpg","Photo")</f>
        <v>Photo</v>
      </c>
      <c r="AG2563">
        <v>47.610629000000003</v>
      </c>
      <c r="AH2563">
        <v>-122.300534</v>
      </c>
      <c r="AI2563" t="s">
        <v>66</v>
      </c>
      <c r="AJ2563">
        <v>98122</v>
      </c>
      <c r="AN2563">
        <v>249950</v>
      </c>
      <c r="BC2563" s="22">
        <v>39524.4846412037</v>
      </c>
      <c r="BI2563" s="22">
        <v>39549.294907407406</v>
      </c>
      <c r="BL2563">
        <v>10800</v>
      </c>
      <c r="BM2563">
        <v>1565809</v>
      </c>
      <c r="BN2563" t="s">
        <v>1746</v>
      </c>
      <c r="BO2563" s="17">
        <f t="shared" ca="1" si="40"/>
        <v>24.824764699078514</v>
      </c>
      <c r="BP2563" t="b">
        <v>0</v>
      </c>
      <c r="BQ2563">
        <v>1</v>
      </c>
      <c r="BR2563" t="s">
        <v>1667</v>
      </c>
      <c r="BS2563" t="s">
        <v>1819</v>
      </c>
      <c r="BT2563" t="b">
        <v>0</v>
      </c>
      <c r="BV2563" t="s">
        <v>1668</v>
      </c>
      <c r="BW2563">
        <v>919</v>
      </c>
      <c r="BY2563">
        <v>147091</v>
      </c>
      <c r="BZ2563" t="s">
        <v>3977</v>
      </c>
      <c r="CA2563">
        <v>1</v>
      </c>
      <c r="CB2563" t="b">
        <v>1</v>
      </c>
      <c r="CC2563">
        <v>0</v>
      </c>
      <c r="CD2563" t="b">
        <v>0</v>
      </c>
      <c r="CE2563" t="b">
        <v>0</v>
      </c>
      <c r="CF2563" t="b">
        <v>0</v>
      </c>
      <c r="CG2563">
        <v>2462217</v>
      </c>
      <c r="CH2563" t="s">
        <v>1681</v>
      </c>
      <c r="CI2563" s="10">
        <v>540000</v>
      </c>
      <c r="CJ2563" s="7">
        <v>37397</v>
      </c>
    </row>
    <row r="2564" spans="1:90">
      <c r="A2564">
        <v>28046023</v>
      </c>
      <c r="B2564" s="15" t="str">
        <f>HYPERLINK("http://www.redfin.com/stingray/do/printable-listing?listing-id=1565126","Subject To Inspection")</f>
        <v>Subject To Inspection</v>
      </c>
      <c r="D2564" t="s">
        <v>5490</v>
      </c>
      <c r="E2564" t="s">
        <v>5670</v>
      </c>
      <c r="F2564">
        <v>544000</v>
      </c>
      <c r="G2564">
        <v>2000</v>
      </c>
      <c r="H2564">
        <v>1474</v>
      </c>
      <c r="I2564">
        <v>0</v>
      </c>
      <c r="J2564">
        <v>3</v>
      </c>
      <c r="K2564">
        <v>2.5</v>
      </c>
      <c r="M2564" s="2" t="str">
        <f>HYPERLINK("http://maps.live.com/default.aspx?v=2&amp;lvl=15&amp;sp=Point.47.559738_-122.123321_16310 SE 48th Dr&amp;cp=47.559738~-122.123321","Map")</f>
        <v>Map</v>
      </c>
      <c r="N2564" s="2" t="str">
        <f>HYPERLINK("http://i-0.rfimg.us/photo/1/bigphoto/023/28046023_0.jpg","Photo")</f>
        <v>Photo</v>
      </c>
      <c r="AG2564">
        <v>47.559738000000003</v>
      </c>
      <c r="AH2564">
        <v>-122.123321</v>
      </c>
      <c r="AI2564" t="s">
        <v>369</v>
      </c>
      <c r="AJ2564">
        <v>98006</v>
      </c>
      <c r="BC2564" s="22">
        <v>39524.338055555556</v>
      </c>
      <c r="BI2564" s="7">
        <v>39541</v>
      </c>
      <c r="BL2564">
        <v>10880</v>
      </c>
      <c r="BM2564">
        <v>1565126</v>
      </c>
      <c r="BN2564" t="s">
        <v>1680</v>
      </c>
      <c r="BO2564" s="17">
        <f t="shared" ca="1" si="40"/>
        <v>24.971350347223051</v>
      </c>
      <c r="BP2564" t="b">
        <v>0</v>
      </c>
      <c r="BQ2564">
        <v>1</v>
      </c>
      <c r="BR2564" t="s">
        <v>1816</v>
      </c>
      <c r="BS2564" t="s">
        <v>2443</v>
      </c>
      <c r="BT2564" t="b">
        <v>0</v>
      </c>
      <c r="BU2564" t="s">
        <v>3856</v>
      </c>
      <c r="BV2564" t="s">
        <v>1668</v>
      </c>
      <c r="BW2564">
        <v>16310</v>
      </c>
      <c r="BY2564">
        <v>12317180</v>
      </c>
      <c r="BZ2564" t="s">
        <v>1713</v>
      </c>
      <c r="CA2564">
        <v>1</v>
      </c>
      <c r="CB2564" t="b">
        <v>1</v>
      </c>
      <c r="CC2564">
        <v>0</v>
      </c>
      <c r="CD2564" t="b">
        <v>0</v>
      </c>
      <c r="CE2564" t="b">
        <v>0</v>
      </c>
      <c r="CF2564" t="b">
        <v>0</v>
      </c>
      <c r="CG2564">
        <v>15523585</v>
      </c>
      <c r="CH2564" t="s">
        <v>1681</v>
      </c>
      <c r="CI2564" s="10">
        <v>544000</v>
      </c>
    </row>
    <row r="2565" spans="1:90">
      <c r="A2565">
        <v>28046043</v>
      </c>
      <c r="B2565" s="2" t="str">
        <f>HYPERLINK("http://www.redfin.com/stingray/do/printable-listing?listing-id=1565867","Active")</f>
        <v>Active</v>
      </c>
      <c r="D2565" t="s">
        <v>3066</v>
      </c>
      <c r="E2565" t="s">
        <v>4695</v>
      </c>
      <c r="F2565">
        <v>650000</v>
      </c>
      <c r="G2565">
        <v>1962</v>
      </c>
      <c r="H2565">
        <v>980</v>
      </c>
      <c r="I2565">
        <v>9130</v>
      </c>
      <c r="J2565">
        <v>2</v>
      </c>
      <c r="K2565">
        <v>1</v>
      </c>
      <c r="M2565" s="2" t="str">
        <f>HYPERLINK("http://maps.live.com/default.aspx?v=2&amp;lvl=15&amp;sp=Point.47.677913_-122.180295_8246 120th Ave NE&amp;cp=47.677913~-122.180295","Map")</f>
        <v>Map</v>
      </c>
      <c r="N2565" s="2" t="str">
        <f>HYPERLINK("http://i-0.rfimg.us/photo/1/bigphoto/043/28046043_0.jpg","Photo")</f>
        <v>Photo</v>
      </c>
      <c r="AG2565">
        <v>47.677912999999997</v>
      </c>
      <c r="AH2565">
        <v>-122.180295</v>
      </c>
      <c r="AI2565" t="s">
        <v>1058</v>
      </c>
      <c r="AJ2565">
        <v>98033</v>
      </c>
      <c r="AN2565">
        <v>270000</v>
      </c>
      <c r="BC2565" s="22">
        <v>39524.499768518515</v>
      </c>
      <c r="BI2565" s="22">
        <v>39549.294907407406</v>
      </c>
      <c r="BL2565">
        <v>13000</v>
      </c>
      <c r="BM2565">
        <v>1565867</v>
      </c>
      <c r="BN2565" t="s">
        <v>1688</v>
      </c>
      <c r="BO2565" s="17">
        <f t="shared" ca="1" si="40"/>
        <v>24.809637384263624</v>
      </c>
      <c r="BP2565" t="b">
        <v>0</v>
      </c>
      <c r="BQ2565">
        <v>1</v>
      </c>
      <c r="BR2565" t="s">
        <v>1667</v>
      </c>
      <c r="BS2565" t="s">
        <v>2785</v>
      </c>
      <c r="BT2565" t="b">
        <v>0</v>
      </c>
      <c r="BV2565" t="s">
        <v>1668</v>
      </c>
      <c r="BW2565">
        <v>8246</v>
      </c>
      <c r="BX2565" t="s">
        <v>1738</v>
      </c>
      <c r="BY2565">
        <v>2071341</v>
      </c>
      <c r="BZ2565" t="s">
        <v>1684</v>
      </c>
      <c r="CA2565">
        <v>1</v>
      </c>
      <c r="CB2565" t="b">
        <v>1</v>
      </c>
      <c r="CC2565">
        <v>0</v>
      </c>
      <c r="CD2565" t="b">
        <v>0</v>
      </c>
      <c r="CE2565" t="b">
        <v>0</v>
      </c>
      <c r="CF2565" t="b">
        <v>0</v>
      </c>
      <c r="CG2565">
        <v>2549848</v>
      </c>
      <c r="CH2565" t="s">
        <v>1681</v>
      </c>
      <c r="CI2565" s="10">
        <v>650000</v>
      </c>
      <c r="CJ2565" s="7">
        <v>38355</v>
      </c>
    </row>
    <row r="2566" spans="1:90">
      <c r="A2566">
        <v>28046049</v>
      </c>
      <c r="B2566" s="2" t="str">
        <f>HYPERLINK("http://www.redfin.com/stingray/do/printable-listing?listing-id=1565868","Active")</f>
        <v>Active</v>
      </c>
      <c r="D2566" t="s">
        <v>3066</v>
      </c>
      <c r="E2566" t="s">
        <v>4692</v>
      </c>
      <c r="F2566">
        <v>900000</v>
      </c>
      <c r="G2566">
        <v>1955</v>
      </c>
      <c r="H2566">
        <v>1650</v>
      </c>
      <c r="I2566">
        <v>11615</v>
      </c>
      <c r="J2566">
        <v>2</v>
      </c>
      <c r="K2566">
        <v>2</v>
      </c>
      <c r="M2566" s="2" t="str">
        <f>HYPERLINK("http://maps.live.com/default.aspx?v=2&amp;lvl=15&amp;sp=Point.47.677899_-122.180295_8244 120th Ave NE&amp;cp=47.677899~-122.180295","Map")</f>
        <v>Map</v>
      </c>
      <c r="N2566" s="2" t="str">
        <f>HYPERLINK("http://i-0.rfimg.us/photo/1/bigphoto/049/28046049_0.jpg","Photo")</f>
        <v>Photo</v>
      </c>
      <c r="AG2566">
        <v>47.677898999999996</v>
      </c>
      <c r="AH2566">
        <v>-122.180295</v>
      </c>
      <c r="AI2566" t="s">
        <v>1058</v>
      </c>
      <c r="AJ2566">
        <v>98033</v>
      </c>
      <c r="AN2566">
        <v>580000</v>
      </c>
      <c r="BC2566" s="22">
        <v>39524.499768518515</v>
      </c>
      <c r="BI2566" s="22">
        <v>39549.294907407406</v>
      </c>
      <c r="BL2566">
        <v>18000</v>
      </c>
      <c r="BM2566">
        <v>1565868</v>
      </c>
      <c r="BN2566" t="s">
        <v>1688</v>
      </c>
      <c r="BO2566" s="17">
        <f t="shared" ca="1" si="40"/>
        <v>24.809637384263624</v>
      </c>
      <c r="BP2566" t="b">
        <v>0</v>
      </c>
      <c r="BQ2566">
        <v>1</v>
      </c>
      <c r="BR2566" t="s">
        <v>1667</v>
      </c>
      <c r="BS2566" t="s">
        <v>2785</v>
      </c>
      <c r="BT2566" t="b">
        <v>0</v>
      </c>
      <c r="BV2566" t="s">
        <v>1668</v>
      </c>
      <c r="BW2566">
        <v>8244</v>
      </c>
      <c r="BX2566" t="s">
        <v>1738</v>
      </c>
      <c r="BY2566">
        <v>2086790</v>
      </c>
      <c r="BZ2566" t="s">
        <v>1684</v>
      </c>
      <c r="CA2566">
        <v>1</v>
      </c>
      <c r="CB2566" t="b">
        <v>1</v>
      </c>
      <c r="CC2566">
        <v>0</v>
      </c>
      <c r="CD2566" t="b">
        <v>0</v>
      </c>
      <c r="CE2566" t="b">
        <v>0</v>
      </c>
      <c r="CF2566" t="b">
        <v>0</v>
      </c>
      <c r="CG2566">
        <v>2831427</v>
      </c>
      <c r="CH2566" t="s">
        <v>1681</v>
      </c>
      <c r="CI2566" s="10">
        <v>900000</v>
      </c>
      <c r="CJ2566" s="7">
        <v>39279</v>
      </c>
    </row>
    <row r="2567" spans="1:90">
      <c r="A2567">
        <v>28046063</v>
      </c>
      <c r="B2567" s="15" t="str">
        <f>HYPERLINK("http://www.redfin.com/stingray/do/printable-listing?listing-id=1566135","Subject To Inspection")</f>
        <v>Subject To Inspection</v>
      </c>
      <c r="D2567" t="s">
        <v>63</v>
      </c>
      <c r="E2567" t="s">
        <v>1908</v>
      </c>
      <c r="F2567">
        <v>510000</v>
      </c>
      <c r="G2567">
        <v>1961</v>
      </c>
      <c r="H2567">
        <v>2560</v>
      </c>
      <c r="I2567">
        <v>4000</v>
      </c>
      <c r="J2567">
        <v>4</v>
      </c>
      <c r="K2567">
        <v>2</v>
      </c>
      <c r="M2567" s="2" t="str">
        <f>HYPERLINK("http://maps.live.com/default.aspx?v=2&amp;lvl=15&amp;sp=Point.47.693325_-122.379714_8728 18th Ave NW&amp;cp=47.693325~-122.379714","Map")</f>
        <v>Map</v>
      </c>
      <c r="N2567" s="2" t="str">
        <f>HYPERLINK("http://i-0.rfimg.us/photo/1/bigphoto/063/28046063_0.jpg","Photo")</f>
        <v>Photo</v>
      </c>
      <c r="AG2567">
        <v>47.693325000000002</v>
      </c>
      <c r="AH2567">
        <v>-122.37971400000001</v>
      </c>
      <c r="AI2567" t="s">
        <v>66</v>
      </c>
      <c r="AJ2567">
        <v>98117</v>
      </c>
      <c r="AN2567">
        <v>265000</v>
      </c>
      <c r="BC2567" s="22">
        <v>39524.568715277775</v>
      </c>
      <c r="BI2567" s="7">
        <v>39535</v>
      </c>
      <c r="BL2567">
        <v>10200</v>
      </c>
      <c r="BM2567">
        <v>1566135</v>
      </c>
      <c r="BN2567" t="s">
        <v>1725</v>
      </c>
      <c r="BO2567" s="17">
        <f t="shared" ca="1" si="40"/>
        <v>24.740690740742139</v>
      </c>
      <c r="BP2567" t="b">
        <v>0</v>
      </c>
      <c r="BQ2567">
        <v>1</v>
      </c>
      <c r="BR2567" t="s">
        <v>1667</v>
      </c>
      <c r="BS2567" t="s">
        <v>1909</v>
      </c>
      <c r="BT2567" t="b">
        <v>0</v>
      </c>
      <c r="BV2567" t="s">
        <v>1668</v>
      </c>
      <c r="BW2567">
        <v>8728</v>
      </c>
      <c r="BX2567" t="s">
        <v>1669</v>
      </c>
      <c r="BY2567">
        <v>100259</v>
      </c>
      <c r="BZ2567" t="s">
        <v>1762</v>
      </c>
      <c r="CA2567">
        <v>1</v>
      </c>
      <c r="CB2567" t="b">
        <v>1</v>
      </c>
      <c r="CC2567">
        <v>0</v>
      </c>
      <c r="CD2567" t="b">
        <v>0</v>
      </c>
      <c r="CE2567" t="b">
        <v>1</v>
      </c>
      <c r="CF2567" t="b">
        <v>0</v>
      </c>
      <c r="CG2567">
        <v>2986569</v>
      </c>
      <c r="CH2567" t="s">
        <v>1681</v>
      </c>
      <c r="CI2567" s="10">
        <v>510000</v>
      </c>
      <c r="CJ2567" s="7">
        <v>37613</v>
      </c>
      <c r="CK2567" t="s">
        <v>2276</v>
      </c>
      <c r="CL2567" s="19" t="s">
        <v>2059</v>
      </c>
    </row>
    <row r="2568" spans="1:90">
      <c r="A2568">
        <v>28046067</v>
      </c>
      <c r="B2568" s="2" t="str">
        <f>HYPERLINK("http://www.redfin.com/stingray/do/printable-listing?listing-id=1577345","Active")</f>
        <v>Active</v>
      </c>
      <c r="D2568" t="s">
        <v>3249</v>
      </c>
      <c r="E2568" t="s">
        <v>3298</v>
      </c>
      <c r="F2568">
        <v>689950</v>
      </c>
      <c r="G2568">
        <v>1925</v>
      </c>
      <c r="H2568">
        <v>0</v>
      </c>
      <c r="I2568">
        <v>0</v>
      </c>
      <c r="J2568">
        <v>3</v>
      </c>
      <c r="K2568">
        <v>1.75</v>
      </c>
      <c r="M2568" s="2" t="str">
        <f>HYPERLINK("http://maps.live.com/default.aspx?v=2&amp;lvl=15&amp;sp=Point.47.633351_-122.352498_214 Garfield St&amp;cp=47.633351~-122.352498","Map")</f>
        <v>Map</v>
      </c>
      <c r="N2568" s="2" t="str">
        <f>HYPERLINK("http://i-0.rfimg.us/photo/1/bigphoto/067/28046067_0.jpg","Photo")</f>
        <v>Photo</v>
      </c>
      <c r="AG2568">
        <v>47.633350999999998</v>
      </c>
      <c r="AH2568">
        <v>-122.352498</v>
      </c>
      <c r="AI2568" t="s">
        <v>66</v>
      </c>
      <c r="AJ2568">
        <v>98109</v>
      </c>
      <c r="AN2568">
        <v>78000</v>
      </c>
      <c r="BC2568" s="22">
        <v>39528.348576388889</v>
      </c>
      <c r="BI2568" s="22">
        <v>39549.294907407406</v>
      </c>
      <c r="BL2568">
        <v>13799</v>
      </c>
      <c r="BM2568">
        <v>1577345</v>
      </c>
      <c r="BN2568" t="s">
        <v>1685</v>
      </c>
      <c r="BO2568" s="17">
        <f t="shared" ca="1" si="40"/>
        <v>20.960829513889621</v>
      </c>
      <c r="BP2568" t="b">
        <v>0</v>
      </c>
      <c r="BQ2568">
        <v>1</v>
      </c>
      <c r="BR2568" t="s">
        <v>1686</v>
      </c>
      <c r="BS2568" t="s">
        <v>3299</v>
      </c>
      <c r="BT2568" t="b">
        <v>0</v>
      </c>
      <c r="BV2568" t="s">
        <v>1668</v>
      </c>
      <c r="BW2568">
        <v>214</v>
      </c>
      <c r="BY2568">
        <v>134740</v>
      </c>
      <c r="BZ2568" t="s">
        <v>1672</v>
      </c>
      <c r="CA2568">
        <v>1</v>
      </c>
      <c r="CB2568" t="b">
        <v>1</v>
      </c>
      <c r="CC2568">
        <v>0</v>
      </c>
      <c r="CD2568" t="b">
        <v>0</v>
      </c>
      <c r="CE2568" t="b">
        <v>1</v>
      </c>
      <c r="CF2568" t="b">
        <v>0</v>
      </c>
      <c r="CG2568">
        <v>2632309</v>
      </c>
      <c r="CH2568" t="s">
        <v>1681</v>
      </c>
      <c r="CI2568" s="10">
        <v>689950</v>
      </c>
      <c r="CJ2568" s="7">
        <v>31909</v>
      </c>
    </row>
    <row r="2569" spans="1:90">
      <c r="A2569">
        <v>28046086</v>
      </c>
      <c r="B2569" s="2" t="str">
        <f>HYPERLINK("http://www.redfin.com/stingray/do/printable-listing?listing-id=1565367","Subject To Inspection")</f>
        <v>Subject To Inspection</v>
      </c>
      <c r="D2569" t="s">
        <v>226</v>
      </c>
      <c r="E2569" t="s">
        <v>2196</v>
      </c>
      <c r="F2569">
        <v>465000</v>
      </c>
      <c r="G2569">
        <v>1922</v>
      </c>
      <c r="H2569">
        <v>1650</v>
      </c>
      <c r="I2569">
        <v>4400</v>
      </c>
      <c r="J2569">
        <v>3</v>
      </c>
      <c r="K2569">
        <v>2</v>
      </c>
      <c r="M2569" s="2" t="str">
        <f>HYPERLINK("http://maps.live.com/default.aspx?v=2&amp;lvl=15&amp;sp=Point.47.667454_-122.318737_5311 9th Ave NE&amp;cp=47.667454~-122.318737","Map")</f>
        <v>Map</v>
      </c>
      <c r="N2569" s="2" t="str">
        <f>HYPERLINK("http://i-0.rfimg.us/photo/1/bigphoto/086/28046086_2.jpg","Photo")</f>
        <v>Photo</v>
      </c>
      <c r="AG2569">
        <v>47.667453999999999</v>
      </c>
      <c r="AH2569">
        <v>-122.318737</v>
      </c>
      <c r="AI2569" t="s">
        <v>66</v>
      </c>
      <c r="AJ2569">
        <v>98105</v>
      </c>
      <c r="AN2569">
        <v>154000</v>
      </c>
      <c r="BC2569" s="22">
        <v>39524.401469907411</v>
      </c>
      <c r="BI2569" s="7">
        <v>39533</v>
      </c>
      <c r="BL2569">
        <v>9300</v>
      </c>
      <c r="BM2569">
        <v>1565367</v>
      </c>
      <c r="BN2569" t="s">
        <v>1674</v>
      </c>
      <c r="BO2569" s="17">
        <f t="shared" ca="1" si="40"/>
        <v>24.907935995368462</v>
      </c>
      <c r="BP2569" t="b">
        <v>0</v>
      </c>
      <c r="BQ2569">
        <v>2</v>
      </c>
      <c r="BR2569" t="s">
        <v>1667</v>
      </c>
      <c r="BS2569" t="s">
        <v>1785</v>
      </c>
      <c r="BT2569" t="b">
        <v>0</v>
      </c>
      <c r="BV2569" t="s">
        <v>1668</v>
      </c>
      <c r="BW2569">
        <v>5311</v>
      </c>
      <c r="BX2569" t="s">
        <v>1738</v>
      </c>
      <c r="BY2569">
        <v>311510</v>
      </c>
      <c r="BZ2569" t="s">
        <v>3194</v>
      </c>
      <c r="CA2569">
        <v>1</v>
      </c>
      <c r="CB2569" t="b">
        <v>1</v>
      </c>
      <c r="CC2569">
        <v>0</v>
      </c>
      <c r="CD2569" t="b">
        <v>0</v>
      </c>
      <c r="CE2569" t="b">
        <v>0</v>
      </c>
      <c r="CF2569" t="b">
        <v>0</v>
      </c>
      <c r="CG2569">
        <v>2870031</v>
      </c>
      <c r="CH2569" t="s">
        <v>1681</v>
      </c>
      <c r="CI2569" s="10">
        <v>465000</v>
      </c>
      <c r="CJ2569" s="7">
        <v>35482</v>
      </c>
    </row>
    <row r="2570" spans="1:90">
      <c r="A2570">
        <v>28046098</v>
      </c>
      <c r="B2570" s="2" t="str">
        <f>HYPERLINK("http://www.redfin.com/stingray/do/printable-listing?listing-id=1565370","Active")</f>
        <v>Active</v>
      </c>
      <c r="D2570" t="s">
        <v>194</v>
      </c>
      <c r="E2570" t="s">
        <v>2175</v>
      </c>
      <c r="F2570">
        <v>379000</v>
      </c>
      <c r="G2570">
        <v>1951</v>
      </c>
      <c r="H2570">
        <v>790</v>
      </c>
      <c r="I2570">
        <v>7057</v>
      </c>
      <c r="J2570">
        <v>2</v>
      </c>
      <c r="K2570">
        <v>1</v>
      </c>
      <c r="M2570" s="2" t="str">
        <f>HYPERLINK("http://maps.live.com/default.aspx?v=2&amp;lvl=15&amp;sp=Point.47.696874_-122.29812_2714 NE 94th St&amp;cp=47.696874~-122.29812","Map")</f>
        <v>Map</v>
      </c>
      <c r="N2570" s="2" t="str">
        <f>HYPERLINK("http://i-0.rfimg.us/photo/1/bigphoto/098/28046098_0.jpg","Photo")</f>
        <v>Photo</v>
      </c>
      <c r="AG2570">
        <v>47.696874000000001</v>
      </c>
      <c r="AH2570">
        <v>-122.29812</v>
      </c>
      <c r="AI2570" t="s">
        <v>66</v>
      </c>
      <c r="AJ2570">
        <v>98115</v>
      </c>
      <c r="BC2570" s="22">
        <v>39524.401504629626</v>
      </c>
      <c r="BI2570" s="22">
        <v>39549.294907407406</v>
      </c>
      <c r="BL2570">
        <v>7580</v>
      </c>
      <c r="BM2570">
        <v>1565370</v>
      </c>
      <c r="BN2570" t="s">
        <v>1688</v>
      </c>
      <c r="BO2570" s="17">
        <f t="shared" ca="1" si="40"/>
        <v>24.907901273152675</v>
      </c>
      <c r="BP2570" t="b">
        <v>0</v>
      </c>
      <c r="BQ2570">
        <v>1</v>
      </c>
      <c r="BR2570" t="s">
        <v>1686</v>
      </c>
      <c r="BS2570" t="s">
        <v>2716</v>
      </c>
      <c r="BT2570" t="b">
        <v>0</v>
      </c>
      <c r="BU2570" t="s">
        <v>1738</v>
      </c>
      <c r="BV2570" t="s">
        <v>1668</v>
      </c>
      <c r="BW2570">
        <v>2714</v>
      </c>
      <c r="BY2570">
        <v>315165</v>
      </c>
      <c r="BZ2570" t="s">
        <v>1696</v>
      </c>
      <c r="CA2570">
        <v>1</v>
      </c>
      <c r="CB2570" t="b">
        <v>1</v>
      </c>
      <c r="CC2570">
        <v>0</v>
      </c>
      <c r="CD2570" t="b">
        <v>0</v>
      </c>
      <c r="CE2570" t="b">
        <v>0</v>
      </c>
      <c r="CF2570" t="b">
        <v>0</v>
      </c>
      <c r="CG2570">
        <v>2566417</v>
      </c>
      <c r="CH2570" t="s">
        <v>1681</v>
      </c>
      <c r="CI2570" s="10">
        <v>379000</v>
      </c>
    </row>
    <row r="2571" spans="1:90">
      <c r="A2571">
        <v>28046117</v>
      </c>
      <c r="B2571" s="2" t="str">
        <f>HYPERLINK("http://www.redfin.com/stingray/do/printable-listing?listing-id=1566106","Active")</f>
        <v>Active</v>
      </c>
      <c r="D2571" t="s">
        <v>395</v>
      </c>
      <c r="E2571" t="s">
        <v>1657</v>
      </c>
      <c r="F2571" s="19">
        <v>1117000</v>
      </c>
      <c r="G2571">
        <v>1962</v>
      </c>
      <c r="H2571">
        <v>4390</v>
      </c>
      <c r="I2571">
        <v>10336</v>
      </c>
      <c r="J2571">
        <v>10</v>
      </c>
      <c r="K2571">
        <v>5</v>
      </c>
      <c r="M2571" s="2" t="str">
        <f>HYPERLINK("http://maps.live.com/default.aspx?v=2&amp;lvl=15&amp;sp=adr.Undisclosed,98133","Map")</f>
        <v>Map</v>
      </c>
      <c r="N2571" s="2" t="str">
        <f>HYPERLINK("http://i-0.rfimg.us/photo/1/bigphoto/117/28046117_.jpg","Photo")</f>
        <v>Photo</v>
      </c>
      <c r="AI2571" t="s">
        <v>395</v>
      </c>
      <c r="AJ2571">
        <v>98133</v>
      </c>
      <c r="BC2571" s="22">
        <v>39524.560312499998</v>
      </c>
      <c r="BI2571" s="22">
        <v>39549.294907407406</v>
      </c>
      <c r="BL2571">
        <v>26340</v>
      </c>
      <c r="BM2571">
        <v>1566106</v>
      </c>
      <c r="BN2571" t="s">
        <v>2669</v>
      </c>
      <c r="BO2571" s="17">
        <f t="shared" ca="1" si="40"/>
        <v>24.749093518519658</v>
      </c>
      <c r="BP2571" t="b">
        <v>0</v>
      </c>
      <c r="BQ2571">
        <v>1</v>
      </c>
      <c r="BT2571" t="b">
        <v>1</v>
      </c>
      <c r="BV2571" t="s">
        <v>1668</v>
      </c>
      <c r="BY2571">
        <v>0</v>
      </c>
      <c r="CA2571">
        <v>1</v>
      </c>
      <c r="CB2571" t="b">
        <v>1</v>
      </c>
      <c r="CC2571">
        <v>0</v>
      </c>
      <c r="CD2571" t="b">
        <v>0</v>
      </c>
      <c r="CE2571" t="b">
        <v>0</v>
      </c>
      <c r="CF2571" t="b">
        <v>0</v>
      </c>
      <c r="CG2571" t="s">
        <v>1870</v>
      </c>
      <c r="CH2571" t="s">
        <v>1681</v>
      </c>
      <c r="CI2571" s="10">
        <v>1317000</v>
      </c>
    </row>
    <row r="2572" spans="1:90">
      <c r="A2572">
        <v>28046136</v>
      </c>
      <c r="B2572" s="2" t="str">
        <f>HYPERLINK("http://www.redfin.com/stingray/do/printable-listing?listing-id=1574710","Active")</f>
        <v>Active</v>
      </c>
      <c r="D2572" t="s">
        <v>1077</v>
      </c>
      <c r="E2572" t="s">
        <v>3873</v>
      </c>
      <c r="F2572">
        <v>608888</v>
      </c>
      <c r="G2572">
        <v>2008</v>
      </c>
      <c r="H2572">
        <v>2689</v>
      </c>
      <c r="I2572">
        <v>0</v>
      </c>
      <c r="J2572">
        <v>4</v>
      </c>
      <c r="K2572">
        <v>2.5</v>
      </c>
      <c r="M2572" s="2" t="str">
        <f>HYPERLINK("http://maps.live.com/default.aspx?v=2&amp;lvl=15&amp;sp=adr.5025 NE 8th Pl (Unable to map),98059","Map")</f>
        <v>Map</v>
      </c>
      <c r="N2572" s="2" t="str">
        <f>HYPERLINK("http://i-0.rfimg.us/photo/1/bigphoto/136/28046136_0.jpg","Photo")</f>
        <v>Photo</v>
      </c>
      <c r="AI2572" t="s">
        <v>1077</v>
      </c>
      <c r="AJ2572">
        <v>98059</v>
      </c>
      <c r="BC2572" s="22">
        <v>39527.442777777775</v>
      </c>
      <c r="BI2572" s="22">
        <v>39549.294907407406</v>
      </c>
      <c r="BL2572">
        <v>12178</v>
      </c>
      <c r="BM2572">
        <v>1574710</v>
      </c>
      <c r="BN2572" t="s">
        <v>3236</v>
      </c>
      <c r="BO2572" s="17">
        <f t="shared" ca="1" si="40"/>
        <v>21.866628125004354</v>
      </c>
      <c r="BP2572" t="b">
        <v>0</v>
      </c>
      <c r="BQ2572">
        <v>1</v>
      </c>
      <c r="BR2572" t="s">
        <v>1842</v>
      </c>
      <c r="BS2572" t="s">
        <v>1723</v>
      </c>
      <c r="BT2572" t="b">
        <v>0</v>
      </c>
      <c r="BU2572" t="s">
        <v>1738</v>
      </c>
      <c r="BV2572" t="s">
        <v>1668</v>
      </c>
      <c r="BW2572">
        <v>5025</v>
      </c>
      <c r="BY2572">
        <v>0</v>
      </c>
      <c r="BZ2572" t="s">
        <v>1813</v>
      </c>
      <c r="CA2572">
        <v>1</v>
      </c>
      <c r="CB2572" t="b">
        <v>1</v>
      </c>
      <c r="CC2572">
        <v>0</v>
      </c>
      <c r="CD2572" t="b">
        <v>0</v>
      </c>
      <c r="CE2572" t="b">
        <v>0</v>
      </c>
      <c r="CF2572" t="b">
        <v>0</v>
      </c>
      <c r="CG2572" t="s">
        <v>1870</v>
      </c>
      <c r="CH2572" t="s">
        <v>1681</v>
      </c>
      <c r="CI2572" s="10">
        <v>608888</v>
      </c>
    </row>
    <row r="2573" spans="1:90">
      <c r="A2573">
        <v>28046144</v>
      </c>
      <c r="B2573" s="2" t="str">
        <f>HYPERLINK("http://www.redfin.com/stingray/do/printable-listing?listing-id=1565439","Active")</f>
        <v>Active</v>
      </c>
      <c r="D2573" t="s">
        <v>60</v>
      </c>
      <c r="E2573" t="s">
        <v>2650</v>
      </c>
      <c r="F2573">
        <v>574950</v>
      </c>
      <c r="G2573">
        <v>2006</v>
      </c>
      <c r="H2573">
        <v>0</v>
      </c>
      <c r="I2573">
        <v>0</v>
      </c>
      <c r="J2573">
        <v>2</v>
      </c>
      <c r="K2573">
        <v>2.25</v>
      </c>
      <c r="M2573" s="2" t="str">
        <f>HYPERLINK("http://maps.live.com/default.aspx?v=2&amp;lvl=15&amp;sp=Point.47.664863_-122.345897_1011 N 50th St&amp;cp=47.664863~-122.345897","Map")</f>
        <v>Map</v>
      </c>
      <c r="N2573" s="2" t="str">
        <f>HYPERLINK("http://i-0.rfimg.us/photo/1/bigphoto/144/28046144_2.jpg","Photo")</f>
        <v>Photo</v>
      </c>
      <c r="AG2573">
        <v>47.664862999999997</v>
      </c>
      <c r="AH2573">
        <v>-122.34589699999999</v>
      </c>
      <c r="AI2573" t="s">
        <v>66</v>
      </c>
      <c r="AJ2573">
        <v>98103</v>
      </c>
      <c r="BC2573" s="22">
        <v>39524.41128472222</v>
      </c>
      <c r="BI2573" s="22">
        <v>39549.294907407406</v>
      </c>
      <c r="BL2573">
        <v>11499</v>
      </c>
      <c r="BM2573">
        <v>1565439</v>
      </c>
      <c r="BN2573" t="s">
        <v>1737</v>
      </c>
      <c r="BO2573" s="17">
        <f t="shared" ca="1" si="40"/>
        <v>24.898121296297177</v>
      </c>
      <c r="BP2573" t="b">
        <v>0</v>
      </c>
      <c r="BQ2573">
        <v>1</v>
      </c>
      <c r="BR2573" t="s">
        <v>1686</v>
      </c>
      <c r="BS2573" t="s">
        <v>2638</v>
      </c>
      <c r="BT2573" t="b">
        <v>0</v>
      </c>
      <c r="BU2573" t="s">
        <v>1712</v>
      </c>
      <c r="BV2573" t="s">
        <v>1668</v>
      </c>
      <c r="BW2573">
        <v>1011</v>
      </c>
      <c r="BY2573">
        <v>12429939</v>
      </c>
      <c r="BZ2573" t="s">
        <v>2651</v>
      </c>
      <c r="CA2573">
        <v>1</v>
      </c>
      <c r="CB2573" t="b">
        <v>1</v>
      </c>
      <c r="CC2573">
        <v>0</v>
      </c>
      <c r="CD2573" t="b">
        <v>0</v>
      </c>
      <c r="CE2573" t="b">
        <v>0</v>
      </c>
      <c r="CF2573" t="b">
        <v>0</v>
      </c>
      <c r="CG2573">
        <v>15633687</v>
      </c>
      <c r="CH2573" t="s">
        <v>1681</v>
      </c>
      <c r="CI2573" s="10">
        <v>574950</v>
      </c>
      <c r="CL2573" t="s">
        <v>5283</v>
      </c>
    </row>
    <row r="2574" spans="1:90">
      <c r="A2574">
        <v>28046175</v>
      </c>
      <c r="B2574" s="15" t="str">
        <f>HYPERLINK("http://www.redfin.com/stingray/do/printable-listing?listing-id=1567483","Subject To Inspection")</f>
        <v>Subject To Inspection</v>
      </c>
      <c r="D2574" t="s">
        <v>3066</v>
      </c>
      <c r="E2574" t="s">
        <v>4696</v>
      </c>
      <c r="F2574">
        <v>410000</v>
      </c>
      <c r="G2574">
        <v>1954</v>
      </c>
      <c r="H2574">
        <v>1430</v>
      </c>
      <c r="I2574">
        <v>12700</v>
      </c>
      <c r="J2574">
        <v>3</v>
      </c>
      <c r="K2574">
        <v>1.5</v>
      </c>
      <c r="M2574" s="2" t="str">
        <f>HYPERLINK("http://maps.live.com/default.aspx?v=2&amp;lvl=15&amp;sp=Point.47.677857_-122.172495_8202 126th Ave NE&amp;cp=47.677857~-122.172495","Map")</f>
        <v>Map</v>
      </c>
      <c r="N2574" s="2" t="str">
        <f>HYPERLINK("http://i-0.rfimg.us/photo/1/bigphoto/175/28046175_1.jpg","Photo")</f>
        <v>Photo</v>
      </c>
      <c r="AG2574">
        <v>47.677857000000003</v>
      </c>
      <c r="AH2574">
        <v>-122.172495</v>
      </c>
      <c r="AI2574" t="s">
        <v>1058</v>
      </c>
      <c r="AJ2574">
        <v>98033</v>
      </c>
      <c r="BC2574" s="22">
        <v>39524.93209490741</v>
      </c>
      <c r="BI2574" s="7">
        <v>39543</v>
      </c>
      <c r="BL2574">
        <v>8200</v>
      </c>
      <c r="BM2574">
        <v>1567483</v>
      </c>
      <c r="BN2574" t="s">
        <v>2203</v>
      </c>
      <c r="BO2574" s="17">
        <f t="shared" ca="1" si="40"/>
        <v>24.377310995369044</v>
      </c>
      <c r="BP2574" t="b">
        <v>0</v>
      </c>
      <c r="BQ2574">
        <v>1</v>
      </c>
      <c r="BR2574" t="s">
        <v>1667</v>
      </c>
      <c r="BS2574" t="s">
        <v>4544</v>
      </c>
      <c r="BT2574" t="b">
        <v>0</v>
      </c>
      <c r="BV2574" t="s">
        <v>1668</v>
      </c>
      <c r="BW2574">
        <v>8202</v>
      </c>
      <c r="BX2574" t="s">
        <v>1738</v>
      </c>
      <c r="BY2574">
        <v>517059</v>
      </c>
      <c r="BZ2574" t="s">
        <v>2841</v>
      </c>
      <c r="CA2574">
        <v>1</v>
      </c>
      <c r="CB2574" t="b">
        <v>1</v>
      </c>
      <c r="CC2574">
        <v>0</v>
      </c>
      <c r="CD2574" t="b">
        <v>0</v>
      </c>
      <c r="CE2574" t="b">
        <v>0</v>
      </c>
      <c r="CF2574" t="b">
        <v>0</v>
      </c>
      <c r="CG2574">
        <v>2409973</v>
      </c>
      <c r="CH2574" t="s">
        <v>1681</v>
      </c>
      <c r="CI2574" s="10">
        <v>410000</v>
      </c>
    </row>
    <row r="2575" spans="1:90">
      <c r="A2575">
        <v>28046217</v>
      </c>
      <c r="B2575" s="15" t="str">
        <f>HYPERLINK("http://www.redfin.com/stingray/do/printable-listing?listing-id=1566519","Subject To Inspection")</f>
        <v>Subject To Inspection</v>
      </c>
      <c r="D2575" t="s">
        <v>5729</v>
      </c>
      <c r="E2575" t="s">
        <v>5728</v>
      </c>
      <c r="F2575">
        <v>1045000</v>
      </c>
      <c r="G2575">
        <v>1977</v>
      </c>
      <c r="H2575">
        <v>2820</v>
      </c>
      <c r="I2575">
        <v>14300</v>
      </c>
      <c r="J2575">
        <v>3</v>
      </c>
      <c r="K2575">
        <v>2.5</v>
      </c>
      <c r="M2575" s="2" t="str">
        <f>HYPERLINK("http://maps.live.com/default.aspx?v=2&amp;lvl=15&amp;sp=Point.47.562258_-122.214617_9405 SE 47th St&amp;cp=47.562258~-122.214617","Map")</f>
        <v>Map</v>
      </c>
      <c r="N2575" s="2" t="str">
        <f>HYPERLINK("http://i-0.rfimg.us/photo/1/bigphoto/217/28046217_1.jpg","Photo")</f>
        <v>Photo</v>
      </c>
      <c r="AG2575">
        <v>47.562258</v>
      </c>
      <c r="AH2575">
        <v>-122.214617</v>
      </c>
      <c r="AI2575" t="s">
        <v>5139</v>
      </c>
      <c r="AJ2575">
        <v>98040</v>
      </c>
      <c r="AN2575">
        <v>670000</v>
      </c>
      <c r="BC2575" s="22">
        <v>39524.641203703701</v>
      </c>
      <c r="BI2575" s="7">
        <v>39540</v>
      </c>
      <c r="BL2575">
        <v>20900</v>
      </c>
      <c r="BM2575">
        <v>1566519</v>
      </c>
      <c r="BN2575" t="s">
        <v>1674</v>
      </c>
      <c r="BO2575" s="17">
        <f t="shared" ca="1" si="40"/>
        <v>24.668202199078223</v>
      </c>
      <c r="BP2575" t="b">
        <v>0</v>
      </c>
      <c r="BQ2575">
        <v>1</v>
      </c>
      <c r="BR2575" t="s">
        <v>1686</v>
      </c>
      <c r="BS2575" t="s">
        <v>2453</v>
      </c>
      <c r="BT2575" t="b">
        <v>0</v>
      </c>
      <c r="BU2575" t="s">
        <v>3856</v>
      </c>
      <c r="BV2575" t="s">
        <v>1668</v>
      </c>
      <c r="BW2575">
        <v>9405</v>
      </c>
      <c r="BY2575">
        <v>255694</v>
      </c>
      <c r="BZ2575" t="s">
        <v>1836</v>
      </c>
      <c r="CA2575">
        <v>1</v>
      </c>
      <c r="CB2575" t="b">
        <v>1</v>
      </c>
      <c r="CC2575">
        <v>0</v>
      </c>
      <c r="CD2575" t="b">
        <v>0</v>
      </c>
      <c r="CE2575" t="b">
        <v>0</v>
      </c>
      <c r="CF2575" t="b">
        <v>0</v>
      </c>
      <c r="CG2575">
        <v>2816594</v>
      </c>
      <c r="CH2575" t="s">
        <v>1681</v>
      </c>
      <c r="CI2575" s="10">
        <v>1045000</v>
      </c>
      <c r="CJ2575" s="7">
        <v>38569</v>
      </c>
    </row>
    <row r="2576" spans="1:90">
      <c r="A2576">
        <v>28046290</v>
      </c>
      <c r="B2576" s="2" t="str">
        <f>HYPERLINK("http://www.redfin.com/stingray/do/printable-listing?listing-id=1565749","Subject To Inspection")</f>
        <v>Subject To Inspection</v>
      </c>
      <c r="D2576" t="s">
        <v>218</v>
      </c>
      <c r="E2576" t="s">
        <v>3198</v>
      </c>
      <c r="F2576">
        <v>543000</v>
      </c>
      <c r="G2576">
        <v>1909</v>
      </c>
      <c r="H2576">
        <v>2300</v>
      </c>
      <c r="I2576">
        <v>4000</v>
      </c>
      <c r="J2576">
        <v>4</v>
      </c>
      <c r="K2576">
        <v>2.5</v>
      </c>
      <c r="M2576" s="2" t="str">
        <f>HYPERLINK("http://maps.live.com/default.aspx?v=2&amp;lvl=15&amp;sp=Point.47.667644_-122.296596_2817 NE 54th St&amp;cp=47.667644~-122.296596","Map")</f>
        <v>Map</v>
      </c>
      <c r="N2576" s="2" t="str">
        <f>HYPERLINK("http://i-0.rfimg.us/photo/1/bigphoto/290/28046290_0.jpg","Photo")</f>
        <v>Photo</v>
      </c>
      <c r="AG2576">
        <v>47.667644000000003</v>
      </c>
      <c r="AH2576">
        <v>-122.29659599999999</v>
      </c>
      <c r="AI2576" t="s">
        <v>66</v>
      </c>
      <c r="AJ2576">
        <v>98105</v>
      </c>
      <c r="AN2576">
        <v>467500</v>
      </c>
      <c r="BC2576" s="22">
        <v>39524.473553240743</v>
      </c>
      <c r="BI2576" s="7">
        <v>39535</v>
      </c>
      <c r="BL2576">
        <v>10860</v>
      </c>
      <c r="BM2576">
        <v>1565749</v>
      </c>
      <c r="BN2576" t="s">
        <v>1688</v>
      </c>
      <c r="BO2576" s="17">
        <f t="shared" ca="1" si="40"/>
        <v>24.835852662035904</v>
      </c>
      <c r="BP2576" t="b">
        <v>0</v>
      </c>
      <c r="BQ2576">
        <v>2</v>
      </c>
      <c r="BR2576" t="s">
        <v>1686</v>
      </c>
      <c r="BS2576" t="s">
        <v>2585</v>
      </c>
      <c r="BT2576" t="b">
        <v>0</v>
      </c>
      <c r="BU2576" t="s">
        <v>1738</v>
      </c>
      <c r="BV2576" t="s">
        <v>1668</v>
      </c>
      <c r="BW2576">
        <v>2817</v>
      </c>
      <c r="BY2576">
        <v>312843</v>
      </c>
      <c r="BZ2576" t="s">
        <v>1696</v>
      </c>
      <c r="CA2576">
        <v>1</v>
      </c>
      <c r="CB2576" t="b">
        <v>1</v>
      </c>
      <c r="CC2576">
        <v>0</v>
      </c>
      <c r="CD2576" t="b">
        <v>0</v>
      </c>
      <c r="CE2576" t="b">
        <v>0</v>
      </c>
      <c r="CF2576" t="b">
        <v>0</v>
      </c>
      <c r="CG2576">
        <v>2639225</v>
      </c>
      <c r="CH2576" t="s">
        <v>1681</v>
      </c>
      <c r="CI2576" s="10">
        <v>543000</v>
      </c>
      <c r="CJ2576" s="7">
        <v>38532</v>
      </c>
    </row>
    <row r="2577" spans="1:88">
      <c r="A2577">
        <v>28046305</v>
      </c>
      <c r="B2577" s="2" t="str">
        <f>HYPERLINK("http://www.redfin.com/stingray/do/printable-listing?listing-id=1566839","Active")</f>
        <v>Active</v>
      </c>
      <c r="D2577" t="s">
        <v>3249</v>
      </c>
      <c r="E2577" t="s">
        <v>3257</v>
      </c>
      <c r="F2577">
        <v>2650000</v>
      </c>
      <c r="G2577">
        <v>2008</v>
      </c>
      <c r="H2577">
        <v>4500</v>
      </c>
      <c r="I2577">
        <v>7000</v>
      </c>
      <c r="J2577">
        <v>4</v>
      </c>
      <c r="K2577">
        <v>3.5</v>
      </c>
      <c r="M2577" s="2" t="str">
        <f>HYPERLINK("http://maps.live.com/default.aspx?v=2&amp;lvl=15&amp;sp=Point.47.642742_-122.348536_421 Raye St&amp;cp=47.642742~-122.348536","Map")</f>
        <v>Map</v>
      </c>
      <c r="N2577" s="2" t="str">
        <f>HYPERLINK("http://i-0.rfimg.us/photo/1/bigphoto/305/28046305_3.jpg","Photo")</f>
        <v>Photo</v>
      </c>
      <c r="AG2577">
        <v>47.642741999999998</v>
      </c>
      <c r="AH2577">
        <v>-122.348536</v>
      </c>
      <c r="AI2577" t="s">
        <v>66</v>
      </c>
      <c r="AJ2577">
        <v>98109</v>
      </c>
      <c r="AN2577">
        <v>648000</v>
      </c>
      <c r="BC2577" s="22">
        <v>39524.745254629626</v>
      </c>
      <c r="BI2577" s="22">
        <v>39549.294907407406</v>
      </c>
      <c r="BL2577">
        <v>53000</v>
      </c>
      <c r="BM2577">
        <v>1566839</v>
      </c>
      <c r="BN2577" t="s">
        <v>2556</v>
      </c>
      <c r="BO2577" s="17">
        <f t="shared" ca="1" si="40"/>
        <v>24.564151273152675</v>
      </c>
      <c r="BP2577" t="b">
        <v>0</v>
      </c>
      <c r="BQ2577">
        <v>1</v>
      </c>
      <c r="BR2577" t="s">
        <v>1686</v>
      </c>
      <c r="BS2577" t="s">
        <v>3258</v>
      </c>
      <c r="BT2577" t="b">
        <v>0</v>
      </c>
      <c r="BV2577" t="s">
        <v>1668</v>
      </c>
      <c r="BW2577">
        <v>421</v>
      </c>
      <c r="BY2577">
        <v>133884</v>
      </c>
      <c r="BZ2577" t="s">
        <v>3259</v>
      </c>
      <c r="CA2577">
        <v>1</v>
      </c>
      <c r="CB2577" t="b">
        <v>1</v>
      </c>
      <c r="CC2577">
        <v>0</v>
      </c>
      <c r="CD2577" t="b">
        <v>0</v>
      </c>
      <c r="CE2577" t="b">
        <v>0</v>
      </c>
      <c r="CF2577" t="b">
        <v>0</v>
      </c>
      <c r="CG2577">
        <v>2539071</v>
      </c>
      <c r="CH2577" t="s">
        <v>1681</v>
      </c>
      <c r="CI2577" s="10">
        <v>2650000</v>
      </c>
      <c r="CJ2577" s="7">
        <v>38874</v>
      </c>
    </row>
    <row r="2578" spans="1:88">
      <c r="A2578">
        <v>28046309</v>
      </c>
      <c r="B2578" s="2" t="str">
        <f>HYPERLINK("http://www.redfin.com/stingray/do/printable-listing?listing-id=1565906","Active")</f>
        <v>Active</v>
      </c>
      <c r="D2578" t="s">
        <v>1023</v>
      </c>
      <c r="E2578" t="s">
        <v>1928</v>
      </c>
      <c r="F2578">
        <v>509950</v>
      </c>
      <c r="G2578">
        <v>1950</v>
      </c>
      <c r="H2578">
        <v>0</v>
      </c>
      <c r="I2578">
        <v>0</v>
      </c>
      <c r="J2578">
        <v>2</v>
      </c>
      <c r="K2578">
        <v>1.5</v>
      </c>
      <c r="M2578" s="2" t="str">
        <f>HYPERLINK("http://maps.live.com/default.aspx?v=2&amp;lvl=15&amp;sp=Point.47.67837_-122.399774_3230 NW 68th St&amp;cp=47.67837~-122.399774","Map")</f>
        <v>Map</v>
      </c>
      <c r="N2578" s="2" t="str">
        <f>HYPERLINK("http://i-0.rfimg.us/photo/1/bigphoto/309/28046309_0.jpg","Photo")</f>
        <v>Photo</v>
      </c>
      <c r="AG2578">
        <v>47.678370000000001</v>
      </c>
      <c r="AH2578">
        <v>-122.39977399999999</v>
      </c>
      <c r="AI2578" t="s">
        <v>66</v>
      </c>
      <c r="AJ2578">
        <v>98117</v>
      </c>
      <c r="AN2578">
        <v>80500</v>
      </c>
      <c r="BC2578" s="22">
        <v>39524.509953703702</v>
      </c>
      <c r="BI2578" s="22">
        <v>39549.294907407406</v>
      </c>
      <c r="BL2578">
        <v>10199</v>
      </c>
      <c r="BM2578">
        <v>1565906</v>
      </c>
      <c r="BN2578" t="s">
        <v>1774</v>
      </c>
      <c r="BO2578" s="17">
        <f t="shared" ca="1" si="40"/>
        <v>24.799452314815426</v>
      </c>
      <c r="BP2578" t="b">
        <v>0</v>
      </c>
      <c r="BQ2578">
        <v>1</v>
      </c>
      <c r="BR2578" t="s">
        <v>1686</v>
      </c>
      <c r="BS2578" t="s">
        <v>1863</v>
      </c>
      <c r="BT2578" t="b">
        <v>0</v>
      </c>
      <c r="BU2578" t="s">
        <v>1669</v>
      </c>
      <c r="BV2578" t="s">
        <v>1668</v>
      </c>
      <c r="BW2578">
        <v>3230</v>
      </c>
      <c r="BY2578">
        <v>290556</v>
      </c>
      <c r="BZ2578" t="s">
        <v>1696</v>
      </c>
      <c r="CA2578">
        <v>1</v>
      </c>
      <c r="CB2578" t="b">
        <v>1</v>
      </c>
      <c r="CC2578">
        <v>0</v>
      </c>
      <c r="CD2578" t="b">
        <v>0</v>
      </c>
      <c r="CE2578" t="b">
        <v>1</v>
      </c>
      <c r="CF2578" t="b">
        <v>0</v>
      </c>
      <c r="CG2578">
        <v>2382755</v>
      </c>
      <c r="CH2578" t="s">
        <v>1681</v>
      </c>
      <c r="CI2578" s="10">
        <v>509950</v>
      </c>
      <c r="CJ2578" s="7">
        <v>31835</v>
      </c>
    </row>
    <row r="2579" spans="1:88">
      <c r="A2579">
        <v>28046310</v>
      </c>
      <c r="B2579" s="2" t="str">
        <f>HYPERLINK("http://www.redfin.com/stingray/do/printable-listing?listing-id=1566101","Active")</f>
        <v>Active</v>
      </c>
      <c r="D2579" t="s">
        <v>192</v>
      </c>
      <c r="E2579" t="s">
        <v>2176</v>
      </c>
      <c r="F2579">
        <v>375000</v>
      </c>
      <c r="G2579">
        <v>1945</v>
      </c>
      <c r="H2579">
        <v>1290</v>
      </c>
      <c r="I2579">
        <v>5376</v>
      </c>
      <c r="J2579">
        <v>2</v>
      </c>
      <c r="K2579">
        <v>1</v>
      </c>
      <c r="M2579" s="2" t="str">
        <f>HYPERLINK("http://maps.live.com/default.aspx?v=2&amp;lvl=15&amp;sp=Point.47.696606_-122.315157_1059 NE 94th St&amp;cp=47.696606~-122.315157","Map")</f>
        <v>Map</v>
      </c>
      <c r="N2579" s="2" t="str">
        <f>HYPERLINK("http://i-0.rfimg.us/photo/1/bigphoto/310/28046310_0.jpg","Photo")</f>
        <v>Photo</v>
      </c>
      <c r="AG2579">
        <v>47.696606000000003</v>
      </c>
      <c r="AH2579">
        <v>-122.315157</v>
      </c>
      <c r="AI2579" t="s">
        <v>66</v>
      </c>
      <c r="AJ2579">
        <v>98115</v>
      </c>
      <c r="AN2579">
        <v>182000</v>
      </c>
      <c r="BC2579" s="22">
        <v>39524.560185185182</v>
      </c>
      <c r="BI2579" s="22">
        <v>39549.294907407406</v>
      </c>
      <c r="BL2579">
        <v>7500</v>
      </c>
      <c r="BM2579">
        <v>1566101</v>
      </c>
      <c r="BN2579" t="s">
        <v>1682</v>
      </c>
      <c r="BO2579" s="17">
        <f t="shared" ca="1" si="40"/>
        <v>24.749220717596472</v>
      </c>
      <c r="BP2579" t="b">
        <v>0</v>
      </c>
      <c r="BQ2579">
        <v>1</v>
      </c>
      <c r="BR2579" t="s">
        <v>1686</v>
      </c>
      <c r="BS2579" t="s">
        <v>2716</v>
      </c>
      <c r="BT2579" t="b">
        <v>0</v>
      </c>
      <c r="BU2579" t="s">
        <v>1738</v>
      </c>
      <c r="BV2579" t="s">
        <v>1668</v>
      </c>
      <c r="BW2579">
        <v>1059</v>
      </c>
      <c r="BY2579">
        <v>109804</v>
      </c>
      <c r="BZ2579" t="s">
        <v>1745</v>
      </c>
      <c r="CA2579">
        <v>1</v>
      </c>
      <c r="CB2579" t="b">
        <v>1</v>
      </c>
      <c r="CC2579">
        <v>0</v>
      </c>
      <c r="CD2579" t="b">
        <v>0</v>
      </c>
      <c r="CE2579" t="b">
        <v>0</v>
      </c>
      <c r="CF2579" t="b">
        <v>0</v>
      </c>
      <c r="CG2579">
        <v>2576411</v>
      </c>
      <c r="CH2579" t="s">
        <v>1681</v>
      </c>
      <c r="CI2579" s="10">
        <v>375000</v>
      </c>
      <c r="CJ2579" s="7">
        <v>37687</v>
      </c>
    </row>
    <row r="2580" spans="1:88">
      <c r="A2580">
        <v>28046322</v>
      </c>
      <c r="B2580" s="2" t="str">
        <f>HYPERLINK("http://www.redfin.com/stingray/do/printable-listing?listing-id=1565897","Active")</f>
        <v>Active</v>
      </c>
      <c r="D2580" t="s">
        <v>5926</v>
      </c>
      <c r="E2580" t="s">
        <v>5976</v>
      </c>
      <c r="F2580">
        <v>925000</v>
      </c>
      <c r="G2580">
        <v>2008</v>
      </c>
      <c r="H2580">
        <v>3000</v>
      </c>
      <c r="I2580">
        <v>0</v>
      </c>
      <c r="J2580">
        <v>3</v>
      </c>
      <c r="K2580">
        <v>4</v>
      </c>
      <c r="M2580" s="2" t="str">
        <f>HYPERLINK("http://maps.live.com/default.aspx?v=2&amp;lvl=15&amp;sp=adr.1018 N 42nd Pl (Unable to map),98056","Map")</f>
        <v>Map</v>
      </c>
      <c r="N2580" s="2" t="str">
        <f>HYPERLINK("http://i-0.rfimg.us/photo/1/bigphoto/322/28046322_0.jpg","Photo")</f>
        <v>Photo</v>
      </c>
      <c r="AI2580" t="s">
        <v>1077</v>
      </c>
      <c r="AJ2580">
        <v>98056</v>
      </c>
      <c r="BC2580" s="22">
        <v>39524.509884259256</v>
      </c>
      <c r="BI2580" s="22">
        <v>39549.294907407406</v>
      </c>
      <c r="BL2580">
        <v>18500</v>
      </c>
      <c r="BM2580">
        <v>1565897</v>
      </c>
      <c r="BN2580" t="s">
        <v>3878</v>
      </c>
      <c r="BO2580" s="17">
        <f t="shared" ca="1" si="40"/>
        <v>24.799521643522894</v>
      </c>
      <c r="BP2580" t="b">
        <v>0</v>
      </c>
      <c r="BQ2580">
        <v>1</v>
      </c>
      <c r="BR2580" t="s">
        <v>1842</v>
      </c>
      <c r="BS2580" t="s">
        <v>3371</v>
      </c>
      <c r="BT2580" t="b">
        <v>0</v>
      </c>
      <c r="BU2580" t="s">
        <v>1712</v>
      </c>
      <c r="BV2580" t="s">
        <v>1668</v>
      </c>
      <c r="BW2580">
        <v>1018</v>
      </c>
      <c r="BY2580">
        <v>0</v>
      </c>
      <c r="BZ2580" s="21">
        <v>0</v>
      </c>
      <c r="CA2580">
        <v>1</v>
      </c>
      <c r="CB2580" t="b">
        <v>1</v>
      </c>
      <c r="CC2580">
        <v>0</v>
      </c>
      <c r="CD2580" t="b">
        <v>0</v>
      </c>
      <c r="CE2580" t="b">
        <v>0</v>
      </c>
      <c r="CF2580" t="b">
        <v>0</v>
      </c>
      <c r="CG2580" t="s">
        <v>1870</v>
      </c>
      <c r="CH2580" t="s">
        <v>1681</v>
      </c>
      <c r="CI2580" s="10">
        <v>925000</v>
      </c>
    </row>
    <row r="2581" spans="1:88">
      <c r="A2581">
        <v>28046324</v>
      </c>
      <c r="B2581" s="2" t="str">
        <f>HYPERLINK("http://www.redfin.com/stingray/do/printable-listing?listing-id=1571311","Active")</f>
        <v>Active</v>
      </c>
      <c r="D2581" t="s">
        <v>3066</v>
      </c>
      <c r="E2581" t="s">
        <v>4677</v>
      </c>
      <c r="F2581">
        <v>899950</v>
      </c>
      <c r="G2581">
        <v>2005</v>
      </c>
      <c r="H2581">
        <v>3300</v>
      </c>
      <c r="I2581">
        <v>6881</v>
      </c>
      <c r="J2581">
        <v>3</v>
      </c>
      <c r="K2581">
        <v>2.5</v>
      </c>
      <c r="M2581" s="2" t="str">
        <f>HYPERLINK("http://maps.live.com/default.aspx?v=2&amp;lvl=15&amp;sp=Point.47.690554352578_-122.17191792528_10034 127th Ave NE&amp;cp=47.690554352578~-122.17191792528","Map")</f>
        <v>Map</v>
      </c>
      <c r="N2581" s="2" t="str">
        <f>HYPERLINK("http://i-0.rfimg.us/photo/1/bigphoto/324/28046324_0.jpg","Photo")</f>
        <v>Photo</v>
      </c>
      <c r="AG2581">
        <v>47.690554352577998</v>
      </c>
      <c r="AH2581">
        <v>-122.17191792528</v>
      </c>
      <c r="AI2581" t="s">
        <v>1058</v>
      </c>
      <c r="AJ2581">
        <v>98033</v>
      </c>
      <c r="AN2581">
        <v>679900</v>
      </c>
      <c r="BC2581" s="22">
        <v>39526.358842592592</v>
      </c>
      <c r="BI2581" s="22">
        <v>39549.294907407406</v>
      </c>
      <c r="BL2581">
        <v>17999</v>
      </c>
      <c r="BM2581">
        <v>1571311</v>
      </c>
      <c r="BN2581" t="s">
        <v>1700</v>
      </c>
      <c r="BO2581" s="17">
        <f t="shared" ca="1" si="40"/>
        <v>22.950563310187135</v>
      </c>
      <c r="BP2581" t="b">
        <v>0</v>
      </c>
      <c r="BQ2581">
        <v>1</v>
      </c>
      <c r="BR2581" t="s">
        <v>1667</v>
      </c>
      <c r="BS2581" t="s">
        <v>2698</v>
      </c>
      <c r="BT2581" t="b">
        <v>0</v>
      </c>
      <c r="BV2581" t="s">
        <v>1668</v>
      </c>
      <c r="BW2581">
        <v>10034</v>
      </c>
      <c r="BX2581" t="s">
        <v>1738</v>
      </c>
      <c r="BY2581">
        <v>2078333</v>
      </c>
      <c r="BZ2581" t="s">
        <v>1672</v>
      </c>
      <c r="CA2581">
        <v>1</v>
      </c>
      <c r="CB2581" t="b">
        <v>1</v>
      </c>
      <c r="CC2581">
        <v>0</v>
      </c>
      <c r="CD2581" t="b">
        <v>0</v>
      </c>
      <c r="CE2581" t="b">
        <v>0</v>
      </c>
      <c r="CF2581" t="b">
        <v>0</v>
      </c>
      <c r="CG2581">
        <v>2678049</v>
      </c>
      <c r="CH2581" t="s">
        <v>1681</v>
      </c>
      <c r="CI2581" s="10">
        <v>899950</v>
      </c>
      <c r="CJ2581" s="7">
        <v>38533</v>
      </c>
    </row>
    <row r="2582" spans="1:88">
      <c r="A2582">
        <v>28046332</v>
      </c>
      <c r="B2582" s="2" t="str">
        <f>HYPERLINK("http://www.redfin.com/stingray/do/printable-listing?listing-id=1570169","Active")</f>
        <v>Active</v>
      </c>
      <c r="D2582" t="s">
        <v>5204</v>
      </c>
      <c r="E2582" t="s">
        <v>5243</v>
      </c>
      <c r="F2582">
        <v>424950</v>
      </c>
      <c r="G2582">
        <v>1960</v>
      </c>
      <c r="H2582">
        <v>2020</v>
      </c>
      <c r="I2582">
        <v>8750</v>
      </c>
      <c r="J2582">
        <v>4</v>
      </c>
      <c r="K2582">
        <v>1.75</v>
      </c>
      <c r="M2582" s="2" t="str">
        <f>HYPERLINK("http://maps.live.com/default.aspx?v=2&amp;lvl=15&amp;sp=Point.47.604726_-122.136252_451 154th Ave SE&amp;cp=47.604726~-122.136252","Map")</f>
        <v>Map</v>
      </c>
      <c r="N2582" s="2" t="str">
        <f>HYPERLINK("http://i-0.rfimg.us/photo/1/bigphoto/332/28046332_4.jpg","Photo")</f>
        <v>Photo</v>
      </c>
      <c r="AG2582">
        <v>47.604725999999999</v>
      </c>
      <c r="AH2582">
        <v>-122.136252</v>
      </c>
      <c r="AI2582" t="s">
        <v>369</v>
      </c>
      <c r="AJ2582">
        <v>98007</v>
      </c>
      <c r="BC2582" s="22">
        <v>39525.797303240739</v>
      </c>
      <c r="BI2582" s="22">
        <v>39549.294907407406</v>
      </c>
      <c r="BL2582">
        <v>8499</v>
      </c>
      <c r="BM2582">
        <v>1570169</v>
      </c>
      <c r="BN2582" t="s">
        <v>1688</v>
      </c>
      <c r="BO2582" s="17">
        <f t="shared" ca="1" si="40"/>
        <v>23.512102662039979</v>
      </c>
      <c r="BP2582" t="b">
        <v>0</v>
      </c>
      <c r="BQ2582">
        <v>1</v>
      </c>
      <c r="BR2582" t="s">
        <v>1667</v>
      </c>
      <c r="BS2582" t="s">
        <v>5244</v>
      </c>
      <c r="BT2582" t="b">
        <v>0</v>
      </c>
      <c r="BV2582" t="s">
        <v>1668</v>
      </c>
      <c r="BW2582">
        <v>451</v>
      </c>
      <c r="BX2582" t="s">
        <v>3856</v>
      </c>
      <c r="BY2582">
        <v>427559</v>
      </c>
      <c r="BZ2582" t="s">
        <v>5245</v>
      </c>
      <c r="CA2582">
        <v>1</v>
      </c>
      <c r="CB2582" t="b">
        <v>1</v>
      </c>
      <c r="CC2582">
        <v>0</v>
      </c>
      <c r="CD2582" t="b">
        <v>0</v>
      </c>
      <c r="CE2582" t="b">
        <v>0</v>
      </c>
      <c r="CF2582" t="b">
        <v>0</v>
      </c>
      <c r="CG2582">
        <v>2391535</v>
      </c>
      <c r="CH2582" t="s">
        <v>1681</v>
      </c>
      <c r="CI2582" s="10">
        <v>424950</v>
      </c>
    </row>
    <row r="2583" spans="1:88">
      <c r="A2583">
        <v>28046334</v>
      </c>
      <c r="B2583" s="2" t="str">
        <f>HYPERLINK("http://www.redfin.com/stingray/do/printable-listing?listing-id=1574711","Active")</f>
        <v>Active</v>
      </c>
      <c r="D2583" t="s">
        <v>1077</v>
      </c>
      <c r="E2583" t="s">
        <v>3874</v>
      </c>
      <c r="F2583">
        <v>648888</v>
      </c>
      <c r="G2583">
        <v>2008</v>
      </c>
      <c r="H2583">
        <v>3543</v>
      </c>
      <c r="I2583">
        <v>0</v>
      </c>
      <c r="J2583">
        <v>4</v>
      </c>
      <c r="K2583">
        <v>3</v>
      </c>
      <c r="M2583" s="2" t="str">
        <f>HYPERLINK("http://maps.live.com/default.aspx?v=2&amp;lvl=15&amp;sp=adr.5019 N 8th Pl (Unable to map),98059","Map")</f>
        <v>Map</v>
      </c>
      <c r="N2583" s="2" t="str">
        <f>HYPERLINK("http://i-0.rfimg.us/photo/1/bigphoto/334/28046334_0.jpg","Photo")</f>
        <v>Photo</v>
      </c>
      <c r="AI2583" t="s">
        <v>1077</v>
      </c>
      <c r="AJ2583">
        <v>98059</v>
      </c>
      <c r="BC2583" s="22">
        <v>39527.442777777775</v>
      </c>
      <c r="BI2583" s="22">
        <v>39549.294907407406</v>
      </c>
      <c r="BL2583">
        <v>12978</v>
      </c>
      <c r="BM2583">
        <v>1574711</v>
      </c>
      <c r="BN2583" t="s">
        <v>3236</v>
      </c>
      <c r="BO2583" s="17">
        <f t="shared" ca="1" si="40"/>
        <v>21.866628125004354</v>
      </c>
      <c r="BP2583" t="b">
        <v>0</v>
      </c>
      <c r="BQ2583">
        <v>1</v>
      </c>
      <c r="BR2583" t="s">
        <v>1842</v>
      </c>
      <c r="BS2583" t="s">
        <v>1723</v>
      </c>
      <c r="BT2583" t="b">
        <v>0</v>
      </c>
      <c r="BU2583" t="s">
        <v>1712</v>
      </c>
      <c r="BV2583" t="s">
        <v>1668</v>
      </c>
      <c r="BW2583">
        <v>5019</v>
      </c>
      <c r="BY2583">
        <v>0</v>
      </c>
      <c r="BZ2583" t="s">
        <v>1741</v>
      </c>
      <c r="CA2583">
        <v>1</v>
      </c>
      <c r="CB2583" t="b">
        <v>1</v>
      </c>
      <c r="CC2583">
        <v>0</v>
      </c>
      <c r="CD2583" t="b">
        <v>0</v>
      </c>
      <c r="CE2583" t="b">
        <v>0</v>
      </c>
      <c r="CF2583" t="b">
        <v>0</v>
      </c>
      <c r="CG2583" t="s">
        <v>1870</v>
      </c>
      <c r="CH2583" t="s">
        <v>1681</v>
      </c>
      <c r="CI2583" s="10">
        <v>648888</v>
      </c>
    </row>
    <row r="2584" spans="1:88">
      <c r="A2584">
        <v>28046348</v>
      </c>
      <c r="B2584" s="15" t="str">
        <f>HYPERLINK("http://www.redfin.com/stingray/do/printable-listing?listing-id=1566448","Subject To Inspection")</f>
        <v>Subject To Inspection</v>
      </c>
      <c r="D2584" t="s">
        <v>194</v>
      </c>
      <c r="E2584" t="s">
        <v>2867</v>
      </c>
      <c r="F2584">
        <v>595000</v>
      </c>
      <c r="G2584">
        <v>1937</v>
      </c>
      <c r="H2584">
        <v>1850</v>
      </c>
      <c r="I2584">
        <v>5200</v>
      </c>
      <c r="J2584">
        <v>4</v>
      </c>
      <c r="K2584">
        <v>2</v>
      </c>
      <c r="M2584" s="2" t="str">
        <f>HYPERLINK("http://maps.live.com/default.aspx?v=2&amp;lvl=15&amp;sp=Point.47.692148_-122.294195_3039 NE 88th St&amp;cp=47.692148~-122.294195","Map")</f>
        <v>Map</v>
      </c>
      <c r="N2584" s="2" t="str">
        <f>HYPERLINK("http://i-0.rfimg.us/photo/1/bigphoto/348/28046348_1.jpg","Photo")</f>
        <v>Photo</v>
      </c>
      <c r="AG2584">
        <v>47.692148000000003</v>
      </c>
      <c r="AH2584">
        <v>-122.294195</v>
      </c>
      <c r="AI2584" t="s">
        <v>66</v>
      </c>
      <c r="AJ2584">
        <v>98115</v>
      </c>
      <c r="AN2584">
        <v>250000</v>
      </c>
      <c r="BC2584" s="22">
        <v>39524.631076388891</v>
      </c>
      <c r="BI2584" s="22">
        <v>39545.917314814818</v>
      </c>
      <c r="BL2584">
        <v>11900</v>
      </c>
      <c r="BM2584">
        <v>1566448</v>
      </c>
      <c r="BN2584" t="s">
        <v>1829</v>
      </c>
      <c r="BO2584" s="17">
        <f t="shared" ca="1" si="40"/>
        <v>24.678329513888457</v>
      </c>
      <c r="BP2584" t="b">
        <v>0</v>
      </c>
      <c r="BQ2584">
        <v>1</v>
      </c>
      <c r="BR2584" t="s">
        <v>1686</v>
      </c>
      <c r="BS2584" t="s">
        <v>1719</v>
      </c>
      <c r="BT2584" t="b">
        <v>0</v>
      </c>
      <c r="BU2584" t="s">
        <v>1738</v>
      </c>
      <c r="BV2584" t="s">
        <v>1668</v>
      </c>
      <c r="BW2584">
        <v>3039</v>
      </c>
      <c r="BY2584">
        <v>314721</v>
      </c>
      <c r="BZ2584" t="s">
        <v>1756</v>
      </c>
      <c r="CA2584">
        <v>1</v>
      </c>
      <c r="CB2584" t="b">
        <v>1</v>
      </c>
      <c r="CC2584">
        <v>0</v>
      </c>
      <c r="CD2584" t="b">
        <v>0</v>
      </c>
      <c r="CE2584" t="b">
        <v>0</v>
      </c>
      <c r="CF2584" t="b">
        <v>0</v>
      </c>
      <c r="CG2584">
        <v>2857390</v>
      </c>
      <c r="CH2584" t="s">
        <v>1681</v>
      </c>
      <c r="CI2584" s="10">
        <v>595000</v>
      </c>
      <c r="CJ2584" s="7">
        <v>36903</v>
      </c>
    </row>
    <row r="2585" spans="1:88">
      <c r="A2585">
        <v>28046359</v>
      </c>
      <c r="B2585" s="2" t="str">
        <f>HYPERLINK("http://www.redfin.com/stingray/do/printable-listing?listing-id=1574709","Active")</f>
        <v>Active</v>
      </c>
      <c r="D2585" t="s">
        <v>1077</v>
      </c>
      <c r="E2585" t="s">
        <v>3875</v>
      </c>
      <c r="F2585">
        <v>638888</v>
      </c>
      <c r="G2585">
        <v>2008</v>
      </c>
      <c r="H2585">
        <v>3543</v>
      </c>
      <c r="I2585">
        <v>0</v>
      </c>
      <c r="J2585">
        <v>4</v>
      </c>
      <c r="K2585">
        <v>3</v>
      </c>
      <c r="M2585" s="2" t="str">
        <f>HYPERLINK("http://maps.live.com/default.aspx?v=2&amp;lvl=15&amp;sp=adr.5018 NE 8th Pl (Unable to map),98059","Map")</f>
        <v>Map</v>
      </c>
      <c r="N2585" s="2" t="str">
        <f>HYPERLINK("http://i-0.rfimg.us/photo/1/bigphoto/359/28046359_0.jpg","Photo")</f>
        <v>Photo</v>
      </c>
      <c r="AI2585" t="s">
        <v>1077</v>
      </c>
      <c r="AJ2585">
        <v>98059</v>
      </c>
      <c r="BC2585" s="22">
        <v>39527.442766203705</v>
      </c>
      <c r="BI2585" s="22">
        <v>39549.294907407406</v>
      </c>
      <c r="BL2585">
        <v>12778</v>
      </c>
      <c r="BM2585">
        <v>1574709</v>
      </c>
      <c r="BN2585" t="s">
        <v>3236</v>
      </c>
      <c r="BO2585" s="17">
        <f t="shared" ca="1" si="40"/>
        <v>21.866639699073858</v>
      </c>
      <c r="BP2585" t="b">
        <v>0</v>
      </c>
      <c r="BQ2585">
        <v>1</v>
      </c>
      <c r="BR2585" t="s">
        <v>1842</v>
      </c>
      <c r="BS2585" t="s">
        <v>1723</v>
      </c>
      <c r="BT2585" t="b">
        <v>0</v>
      </c>
      <c r="BU2585" t="s">
        <v>1738</v>
      </c>
      <c r="BV2585" t="s">
        <v>1668</v>
      </c>
      <c r="BW2585">
        <v>5018</v>
      </c>
      <c r="BY2585">
        <v>0</v>
      </c>
      <c r="BZ2585" t="s">
        <v>1743</v>
      </c>
      <c r="CA2585">
        <v>1</v>
      </c>
      <c r="CB2585" t="b">
        <v>1</v>
      </c>
      <c r="CC2585">
        <v>0</v>
      </c>
      <c r="CD2585" t="b">
        <v>0</v>
      </c>
      <c r="CE2585" t="b">
        <v>0</v>
      </c>
      <c r="CF2585" t="b">
        <v>0</v>
      </c>
      <c r="CG2585" t="s">
        <v>1870</v>
      </c>
      <c r="CH2585" t="s">
        <v>1681</v>
      </c>
      <c r="CI2585" s="10">
        <v>638888</v>
      </c>
    </row>
    <row r="2586" spans="1:88">
      <c r="A2586">
        <v>28046370</v>
      </c>
      <c r="B2586" s="2" t="str">
        <f>HYPERLINK("http://www.redfin.com/stingray/do/printable-listing?listing-id=1565965","Active")</f>
        <v>Active</v>
      </c>
      <c r="D2586" t="s">
        <v>207</v>
      </c>
      <c r="E2586" t="s">
        <v>2194</v>
      </c>
      <c r="F2586">
        <v>459950</v>
      </c>
      <c r="G2586">
        <v>1908</v>
      </c>
      <c r="H2586">
        <v>1270</v>
      </c>
      <c r="I2586">
        <v>3750</v>
      </c>
      <c r="J2586">
        <v>2</v>
      </c>
      <c r="K2586">
        <v>1</v>
      </c>
      <c r="M2586" s="2" t="str">
        <f>HYPERLINK("http://maps.live.com/default.aspx?v=2&amp;lvl=15&amp;sp=Point.47.675442_-122.296755_6251 29th Ave NE&amp;cp=47.675442~-122.296755","Map")</f>
        <v>Map</v>
      </c>
      <c r="N2586" s="2" t="str">
        <f>HYPERLINK("http://i-0.rfimg.us/photo/1/bigphoto/370/28046370_1.jpg","Photo")</f>
        <v>Photo</v>
      </c>
      <c r="AG2586">
        <v>47.675441999999997</v>
      </c>
      <c r="AH2586">
        <v>-122.296755</v>
      </c>
      <c r="AI2586" t="s">
        <v>66</v>
      </c>
      <c r="AJ2586">
        <v>98115</v>
      </c>
      <c r="AN2586">
        <v>442000</v>
      </c>
      <c r="BC2586" s="22">
        <v>39524.528124999997</v>
      </c>
      <c r="BI2586" s="22">
        <v>39547.913935185185</v>
      </c>
      <c r="BL2586">
        <v>9199</v>
      </c>
      <c r="BM2586">
        <v>1565965</v>
      </c>
      <c r="BN2586" t="s">
        <v>1674</v>
      </c>
      <c r="BO2586" s="17">
        <f t="shared" ca="1" si="40"/>
        <v>24.781280902781873</v>
      </c>
      <c r="BP2586" t="b">
        <v>0</v>
      </c>
      <c r="BQ2586">
        <v>1</v>
      </c>
      <c r="BR2586" t="s">
        <v>1667</v>
      </c>
      <c r="BS2586" t="s">
        <v>1772</v>
      </c>
      <c r="BT2586" t="b">
        <v>0</v>
      </c>
      <c r="BV2586" t="s">
        <v>1668</v>
      </c>
      <c r="BW2586">
        <v>6251</v>
      </c>
      <c r="BX2586" t="s">
        <v>1738</v>
      </c>
      <c r="BY2586">
        <v>312830</v>
      </c>
      <c r="BZ2586" t="s">
        <v>1935</v>
      </c>
      <c r="CA2586">
        <v>1</v>
      </c>
      <c r="CB2586" t="b">
        <v>1</v>
      </c>
      <c r="CC2586">
        <v>0</v>
      </c>
      <c r="CD2586" t="b">
        <v>0</v>
      </c>
      <c r="CE2586" t="b">
        <v>0</v>
      </c>
      <c r="CF2586" t="b">
        <v>0</v>
      </c>
      <c r="CG2586">
        <v>2546724</v>
      </c>
      <c r="CH2586" t="s">
        <v>1681</v>
      </c>
      <c r="CI2586" s="10">
        <v>459950</v>
      </c>
      <c r="CJ2586" s="7">
        <v>38889</v>
      </c>
    </row>
    <row r="2587" spans="1:88">
      <c r="A2587">
        <v>28046371</v>
      </c>
      <c r="B2587" s="2" t="str">
        <f>HYPERLINK("http://www.redfin.com/stingray/do/printable-listing?listing-id=1572924","Active")</f>
        <v>Active</v>
      </c>
      <c r="D2587" s="19" t="s">
        <v>100</v>
      </c>
      <c r="E2587" t="s">
        <v>3270</v>
      </c>
      <c r="F2587">
        <v>509000</v>
      </c>
      <c r="G2587">
        <v>2006</v>
      </c>
      <c r="H2587">
        <v>1615</v>
      </c>
      <c r="I2587">
        <v>981</v>
      </c>
      <c r="J2587">
        <v>3</v>
      </c>
      <c r="K2587">
        <v>2.5</v>
      </c>
      <c r="M2587" s="2" t="str">
        <f>HYPERLINK("http://maps.live.com/default.aspx?v=2&amp;lvl=15&amp;sp=Point.47.653963_-122.345554_1017 N 39 St&amp;cp=47.653963~-122.345554","Map")</f>
        <v>Map</v>
      </c>
      <c r="N2587" s="2" t="str">
        <f>HYPERLINK("http://i-0.rfimg.us/photo/1/bigphoto/371/28046371_1.jpg","Photo")</f>
        <v>Photo</v>
      </c>
      <c r="AG2587">
        <v>47.653962999999997</v>
      </c>
      <c r="AH2587">
        <v>-122.34555400000001</v>
      </c>
      <c r="AI2587" t="s">
        <v>66</v>
      </c>
      <c r="AJ2587">
        <v>98103</v>
      </c>
      <c r="BC2587" s="22">
        <v>39526.703125</v>
      </c>
      <c r="BI2587" s="22">
        <v>39549.294907407406</v>
      </c>
      <c r="BL2587">
        <v>10180</v>
      </c>
      <c r="BM2587">
        <v>1572924</v>
      </c>
      <c r="BN2587" t="s">
        <v>1674</v>
      </c>
      <c r="BO2587" s="17">
        <f t="shared" ca="1" si="40"/>
        <v>22.606280902778963</v>
      </c>
      <c r="BP2587" t="b">
        <v>0</v>
      </c>
      <c r="BQ2587">
        <v>1</v>
      </c>
      <c r="BR2587" t="s">
        <v>1686</v>
      </c>
      <c r="BS2587">
        <v>39</v>
      </c>
      <c r="BT2587" t="b">
        <v>0</v>
      </c>
      <c r="BU2587" t="s">
        <v>1712</v>
      </c>
      <c r="BV2587" t="s">
        <v>1668</v>
      </c>
      <c r="BW2587">
        <v>1017</v>
      </c>
      <c r="BY2587">
        <v>12432854</v>
      </c>
      <c r="BZ2587" t="s">
        <v>3271</v>
      </c>
      <c r="CA2587">
        <v>1</v>
      </c>
      <c r="CB2587" t="b">
        <v>1</v>
      </c>
      <c r="CC2587">
        <v>0</v>
      </c>
      <c r="CD2587" t="b">
        <v>0</v>
      </c>
      <c r="CE2587" t="b">
        <v>0</v>
      </c>
      <c r="CF2587" t="b">
        <v>0</v>
      </c>
      <c r="CG2587">
        <v>15636602</v>
      </c>
      <c r="CH2587" t="s">
        <v>1681</v>
      </c>
      <c r="CI2587" s="10">
        <v>509000</v>
      </c>
    </row>
    <row r="2588" spans="1:88">
      <c r="A2588">
        <v>28046421</v>
      </c>
      <c r="B2588" s="2" t="str">
        <f>HYPERLINK("http://www.redfin.com/stingray/do/printable-listing?listing-id=1569265","Active")</f>
        <v>Active</v>
      </c>
      <c r="D2588" t="s">
        <v>192</v>
      </c>
      <c r="E2588" t="s">
        <v>2870</v>
      </c>
      <c r="F2588">
        <v>649950</v>
      </c>
      <c r="G2588">
        <v>1960</v>
      </c>
      <c r="H2588">
        <v>3320</v>
      </c>
      <c r="I2588">
        <v>8064</v>
      </c>
      <c r="J2588">
        <v>4</v>
      </c>
      <c r="K2588">
        <v>2.5</v>
      </c>
      <c r="M2588" s="2" t="str">
        <f>HYPERLINK("http://maps.live.com/default.aspx?v=2&amp;lvl=15&amp;sp=Point.47.69601_-122.320635_9201 8th Ave NE&amp;cp=47.69601~-122.320635","Map")</f>
        <v>Map</v>
      </c>
      <c r="N2588" s="2" t="str">
        <f>HYPERLINK("http://i-0.rfimg.us/photo/1/bigphoto/421/28046421_1.jpg","Photo")</f>
        <v>Photo</v>
      </c>
      <c r="AG2588">
        <v>47.696010000000001</v>
      </c>
      <c r="AH2588">
        <v>-122.320635</v>
      </c>
      <c r="AI2588" t="s">
        <v>66</v>
      </c>
      <c r="AJ2588">
        <v>98115</v>
      </c>
      <c r="AN2588">
        <v>110000</v>
      </c>
      <c r="BC2588" s="22">
        <v>39525.568298611113</v>
      </c>
      <c r="BI2588" s="22">
        <v>39549.294907407406</v>
      </c>
      <c r="BL2588">
        <v>12999</v>
      </c>
      <c r="BM2588">
        <v>1569265</v>
      </c>
      <c r="BN2588" t="s">
        <v>2869</v>
      </c>
      <c r="BO2588" s="17">
        <f t="shared" ca="1" si="40"/>
        <v>23.741107291665685</v>
      </c>
      <c r="BP2588" t="b">
        <v>0</v>
      </c>
      <c r="BQ2588">
        <v>1</v>
      </c>
      <c r="BR2588" t="s">
        <v>1667</v>
      </c>
      <c r="BS2588" t="s">
        <v>1723</v>
      </c>
      <c r="BT2588" t="b">
        <v>0</v>
      </c>
      <c r="BV2588" t="s">
        <v>1668</v>
      </c>
      <c r="BW2588">
        <v>9201</v>
      </c>
      <c r="BX2588" t="s">
        <v>1738</v>
      </c>
      <c r="BY2588">
        <v>109595</v>
      </c>
      <c r="BZ2588" t="s">
        <v>2871</v>
      </c>
      <c r="CA2588">
        <v>1</v>
      </c>
      <c r="CB2588" t="b">
        <v>1</v>
      </c>
      <c r="CC2588">
        <v>0</v>
      </c>
      <c r="CD2588" t="b">
        <v>0</v>
      </c>
      <c r="CE2588" t="b">
        <v>0</v>
      </c>
      <c r="CF2588" t="b">
        <v>0</v>
      </c>
      <c r="CG2588">
        <v>2818587</v>
      </c>
      <c r="CH2588" t="s">
        <v>1681</v>
      </c>
      <c r="CI2588" s="10">
        <v>649950</v>
      </c>
      <c r="CJ2588" s="7">
        <v>31320</v>
      </c>
    </row>
    <row r="2589" spans="1:88">
      <c r="A2589">
        <v>28046434</v>
      </c>
      <c r="B2589" s="2" t="str">
        <f>HYPERLINK("http://www.redfin.com/stingray/do/printable-listing?listing-id=1566095","Subject To Inspection")</f>
        <v>Subject To Inspection</v>
      </c>
      <c r="D2589" t="s">
        <v>5565</v>
      </c>
      <c r="E2589" t="s">
        <v>5622</v>
      </c>
      <c r="F2589">
        <v>498950</v>
      </c>
      <c r="G2589">
        <v>1960</v>
      </c>
      <c r="H2589">
        <v>0</v>
      </c>
      <c r="I2589">
        <v>15150</v>
      </c>
      <c r="J2589">
        <v>3</v>
      </c>
      <c r="K2589">
        <v>1.75</v>
      </c>
      <c r="M2589" s="2" t="str">
        <f>HYPERLINK("http://maps.live.com/default.aspx?v=2&amp;lvl=15&amp;sp=Point.47.553997_-122.176622_12219 SE 54th St&amp;cp=47.553997~-122.176622","Map")</f>
        <v>Map</v>
      </c>
      <c r="N2589" s="2" t="str">
        <f>HYPERLINK("http://i-0.rfimg.us/photo/1/bigphoto/434/28046434_.jpg","Photo")</f>
        <v>Photo</v>
      </c>
      <c r="AG2589">
        <v>47.553997000000003</v>
      </c>
      <c r="AH2589">
        <v>-122.17662199999999</v>
      </c>
      <c r="AI2589" t="s">
        <v>369</v>
      </c>
      <c r="AJ2589">
        <v>98006</v>
      </c>
      <c r="BC2589" s="22">
        <v>39524.559988425928</v>
      </c>
      <c r="BI2589" s="7">
        <v>39541</v>
      </c>
      <c r="BL2589">
        <v>9979</v>
      </c>
      <c r="BM2589">
        <v>1566095</v>
      </c>
      <c r="BN2589" t="s">
        <v>1688</v>
      </c>
      <c r="BO2589" s="17">
        <f t="shared" ca="1" si="40"/>
        <v>24.749417476850795</v>
      </c>
      <c r="BP2589" t="b">
        <v>0</v>
      </c>
      <c r="BQ2589">
        <v>2</v>
      </c>
      <c r="BR2589" t="s">
        <v>1686</v>
      </c>
      <c r="BS2589" t="s">
        <v>2585</v>
      </c>
      <c r="BT2589" t="b">
        <v>0</v>
      </c>
      <c r="BU2589" t="s">
        <v>3856</v>
      </c>
      <c r="BV2589" t="s">
        <v>1668</v>
      </c>
      <c r="BW2589">
        <v>12219</v>
      </c>
      <c r="BY2589">
        <v>413135</v>
      </c>
      <c r="CA2589">
        <v>1</v>
      </c>
      <c r="CB2589" t="b">
        <v>1</v>
      </c>
      <c r="CC2589">
        <v>0</v>
      </c>
      <c r="CD2589" t="b">
        <v>0</v>
      </c>
      <c r="CE2589" t="b">
        <v>0</v>
      </c>
      <c r="CF2589" t="b">
        <v>0</v>
      </c>
      <c r="CG2589">
        <v>2701677</v>
      </c>
      <c r="CH2589" t="s">
        <v>1681</v>
      </c>
      <c r="CI2589" s="10">
        <v>498950</v>
      </c>
    </row>
    <row r="2590" spans="1:88">
      <c r="A2590">
        <v>28046465</v>
      </c>
      <c r="B2590" s="2" t="str">
        <f>HYPERLINK("http://www.redfin.com/stingray/do/printable-listing?listing-id=1566211","Active")</f>
        <v>Active</v>
      </c>
      <c r="D2590" t="s">
        <v>5204</v>
      </c>
      <c r="E2590" t="s">
        <v>5228</v>
      </c>
      <c r="F2590" s="19">
        <v>449999</v>
      </c>
      <c r="G2590">
        <v>1962</v>
      </c>
      <c r="H2590">
        <v>1380</v>
      </c>
      <c r="I2590">
        <v>5184</v>
      </c>
      <c r="J2590">
        <v>3</v>
      </c>
      <c r="K2590">
        <v>1.75</v>
      </c>
      <c r="M2590" s="2" t="str">
        <f>HYPERLINK("http://maps.live.com/default.aspx?v=2&amp;lvl=15&amp;sp=Point.47.608863_-122.136277_15216 SE 1st Pl&amp;cp=47.608863~-122.136277","Map")</f>
        <v>Map</v>
      </c>
      <c r="N2590" s="2" t="str">
        <f>HYPERLINK("http://i-0.rfimg.us/photo/1/bigphoto/465/28046465_0.jpg","Photo")</f>
        <v>Photo</v>
      </c>
      <c r="AG2590">
        <v>47.608862999999999</v>
      </c>
      <c r="AH2590">
        <v>-122.13627700000001</v>
      </c>
      <c r="AI2590" t="s">
        <v>369</v>
      </c>
      <c r="AJ2590">
        <v>98007</v>
      </c>
      <c r="AN2590">
        <v>430000</v>
      </c>
      <c r="BC2590" s="22">
        <v>39524.580891203703</v>
      </c>
      <c r="BI2590" s="22">
        <v>39549.294907407406</v>
      </c>
      <c r="BL2590">
        <v>9980</v>
      </c>
      <c r="BM2590">
        <v>1566211</v>
      </c>
      <c r="BN2590" t="s">
        <v>1737</v>
      </c>
      <c r="BO2590" s="17">
        <f t="shared" ca="1" si="40"/>
        <v>24.728514699076186</v>
      </c>
      <c r="BP2590" t="b">
        <v>0</v>
      </c>
      <c r="BQ2590">
        <v>1</v>
      </c>
      <c r="BR2590" t="s">
        <v>1842</v>
      </c>
      <c r="BS2590" t="s">
        <v>1822</v>
      </c>
      <c r="BT2590" t="b">
        <v>0</v>
      </c>
      <c r="BU2590" t="s">
        <v>3856</v>
      </c>
      <c r="BV2590" t="s">
        <v>1668</v>
      </c>
      <c r="BW2590">
        <v>15216</v>
      </c>
      <c r="BY2590">
        <v>426128</v>
      </c>
      <c r="BZ2590" s="21">
        <v>0</v>
      </c>
      <c r="CA2590">
        <v>1</v>
      </c>
      <c r="CB2590" t="b">
        <v>1</v>
      </c>
      <c r="CC2590">
        <v>0</v>
      </c>
      <c r="CD2590" t="b">
        <v>0</v>
      </c>
      <c r="CE2590" t="b">
        <v>0</v>
      </c>
      <c r="CF2590" t="b">
        <v>0</v>
      </c>
      <c r="CG2590">
        <v>2582628</v>
      </c>
      <c r="CH2590" t="s">
        <v>1681</v>
      </c>
      <c r="CI2590" s="10">
        <v>499000</v>
      </c>
      <c r="CJ2590" s="7">
        <v>39437</v>
      </c>
    </row>
    <row r="2591" spans="1:88">
      <c r="A2591">
        <v>28046487</v>
      </c>
      <c r="B2591" s="2" t="str">
        <f>HYPERLINK("http://www.redfin.com/stingray/do/printable-listing?listing-id=1566249","Active")</f>
        <v>Active</v>
      </c>
      <c r="D2591" t="s">
        <v>3704</v>
      </c>
      <c r="E2591" t="s">
        <v>4021</v>
      </c>
      <c r="F2591" s="19">
        <v>765000</v>
      </c>
      <c r="G2591">
        <v>1905</v>
      </c>
      <c r="H2591">
        <v>3280</v>
      </c>
      <c r="I2591">
        <v>4000</v>
      </c>
      <c r="J2591">
        <v>5</v>
      </c>
      <c r="K2591">
        <v>2</v>
      </c>
      <c r="M2591" s="2" t="str">
        <f>HYPERLINK("http://maps.live.com/default.aspx?v=2&amp;lvl=15&amp;sp=Point.47.617297_-122.317897_1728 11th Ave&amp;cp=47.617297~-122.317897","Map")</f>
        <v>Map</v>
      </c>
      <c r="N2591" s="2" t="str">
        <f>HYPERLINK("http://i-0.rfimg.us/photo/1/bigphoto/487/28046487_3.jpg","Photo")</f>
        <v>Photo</v>
      </c>
      <c r="AG2591">
        <v>47.617297000000001</v>
      </c>
      <c r="AH2591">
        <v>-122.317897</v>
      </c>
      <c r="AI2591" t="s">
        <v>66</v>
      </c>
      <c r="AJ2591">
        <v>98122</v>
      </c>
      <c r="AN2591">
        <v>330000</v>
      </c>
      <c r="BC2591" s="22">
        <v>39524.589629629627</v>
      </c>
      <c r="BI2591" s="22">
        <v>39549.294907407406</v>
      </c>
      <c r="BL2591">
        <v>15799</v>
      </c>
      <c r="BM2591">
        <v>1566249</v>
      </c>
      <c r="BN2591" t="s">
        <v>2014</v>
      </c>
      <c r="BO2591" s="17">
        <f t="shared" ca="1" si="40"/>
        <v>24.719776273152092</v>
      </c>
      <c r="BP2591" t="b">
        <v>0</v>
      </c>
      <c r="BQ2591">
        <v>1</v>
      </c>
      <c r="BR2591" t="s">
        <v>1667</v>
      </c>
      <c r="BS2591" t="s">
        <v>1792</v>
      </c>
      <c r="BT2591" t="b">
        <v>0</v>
      </c>
      <c r="BV2591" t="s">
        <v>1668</v>
      </c>
      <c r="BW2591">
        <v>1728</v>
      </c>
      <c r="BY2591">
        <v>143113</v>
      </c>
      <c r="BZ2591" t="s">
        <v>4022</v>
      </c>
      <c r="CA2591">
        <v>1</v>
      </c>
      <c r="CB2591" t="b">
        <v>1</v>
      </c>
      <c r="CC2591">
        <v>0</v>
      </c>
      <c r="CD2591" t="b">
        <v>0</v>
      </c>
      <c r="CE2591" t="b">
        <v>0</v>
      </c>
      <c r="CF2591" t="b">
        <v>0</v>
      </c>
      <c r="CG2591">
        <v>2857601</v>
      </c>
      <c r="CH2591" t="s">
        <v>1681</v>
      </c>
      <c r="CI2591" s="10">
        <v>789950</v>
      </c>
      <c r="CJ2591" s="7">
        <v>37103</v>
      </c>
    </row>
    <row r="2592" spans="1:88">
      <c r="A2592">
        <v>28046514</v>
      </c>
      <c r="B2592" s="2" t="str">
        <f>HYPERLINK("http://www.redfin.com/stingray/do/printable-listing?listing-id=1566322","Active")</f>
        <v>Active</v>
      </c>
      <c r="D2592" t="s">
        <v>207</v>
      </c>
      <c r="E2592" t="s">
        <v>3095</v>
      </c>
      <c r="F2592">
        <v>525000</v>
      </c>
      <c r="G2592">
        <v>2001</v>
      </c>
      <c r="H2592">
        <v>1722</v>
      </c>
      <c r="I2592">
        <v>0</v>
      </c>
      <c r="J2592">
        <v>3</v>
      </c>
      <c r="K2592">
        <v>3.5</v>
      </c>
      <c r="M2592" s="2" t="str">
        <f>HYPERLINK("http://maps.live.com/default.aspx?v=2&amp;lvl=15&amp;sp=Point.47.664656_-122.285639_4842 Railroad Ave NE&amp;cp=47.664656~-122.285639","Map")</f>
        <v>Map</v>
      </c>
      <c r="N2592" s="2" t="str">
        <f>HYPERLINK("http://i-0.rfimg.us/photo/1/bigphoto/514/28046514_0.jpg","Photo")</f>
        <v>Photo</v>
      </c>
      <c r="AG2592">
        <v>47.664656000000001</v>
      </c>
      <c r="AH2592">
        <v>-122.285639</v>
      </c>
      <c r="AI2592" t="s">
        <v>66</v>
      </c>
      <c r="AJ2592">
        <v>98105</v>
      </c>
      <c r="AN2592">
        <v>349950</v>
      </c>
      <c r="BC2592" s="22">
        <v>39524.599791666667</v>
      </c>
      <c r="BI2592" s="7">
        <v>39538</v>
      </c>
      <c r="BL2592">
        <v>10500</v>
      </c>
      <c r="BM2592">
        <v>1566322</v>
      </c>
      <c r="BN2592" t="s">
        <v>1821</v>
      </c>
      <c r="BO2592" s="17">
        <f t="shared" ca="1" si="40"/>
        <v>24.70961423611152</v>
      </c>
      <c r="BP2592" t="b">
        <v>0</v>
      </c>
      <c r="BQ2592">
        <v>1</v>
      </c>
      <c r="BR2592" t="s">
        <v>1667</v>
      </c>
      <c r="BS2592" t="s">
        <v>3096</v>
      </c>
      <c r="BT2592" t="b">
        <v>0</v>
      </c>
      <c r="BV2592" t="s">
        <v>1668</v>
      </c>
      <c r="BW2592">
        <v>4842</v>
      </c>
      <c r="BX2592" t="s">
        <v>1738</v>
      </c>
      <c r="BY2592">
        <v>314494</v>
      </c>
      <c r="BZ2592" t="s">
        <v>1672</v>
      </c>
      <c r="CA2592">
        <v>1</v>
      </c>
      <c r="CB2592" t="b">
        <v>1</v>
      </c>
      <c r="CC2592">
        <v>0</v>
      </c>
      <c r="CD2592" t="b">
        <v>0</v>
      </c>
      <c r="CE2592" t="b">
        <v>0</v>
      </c>
      <c r="CF2592" t="b">
        <v>0</v>
      </c>
      <c r="CG2592">
        <v>2701889</v>
      </c>
      <c r="CH2592" t="s">
        <v>1681</v>
      </c>
      <c r="CI2592" s="10">
        <v>525000</v>
      </c>
      <c r="CJ2592" s="7">
        <v>37090</v>
      </c>
    </row>
    <row r="2593" spans="1:90">
      <c r="A2593">
        <v>28046551</v>
      </c>
      <c r="B2593" s="2" t="str">
        <f>HYPERLINK("http://www.redfin.com/stingray/do/printable-listing?listing-id=1566682","Active")</f>
        <v>Active</v>
      </c>
      <c r="D2593" t="s">
        <v>3055</v>
      </c>
      <c r="E2593" t="s">
        <v>1657</v>
      </c>
      <c r="F2593">
        <v>231000</v>
      </c>
      <c r="G2593">
        <v>1954</v>
      </c>
      <c r="H2593">
        <v>1477</v>
      </c>
      <c r="I2593">
        <v>9583</v>
      </c>
      <c r="J2593">
        <v>3</v>
      </c>
      <c r="K2593">
        <v>2</v>
      </c>
      <c r="M2593" s="2" t="str">
        <f>HYPERLINK("http://maps.live.com/default.aspx?v=2&amp;lvl=15&amp;sp=adr.Undisclosed,98203","Map")</f>
        <v>Map</v>
      </c>
      <c r="N2593" s="2" t="str">
        <f>HYPERLINK("http://i-0.rfimg.us/photo/1/bigphoto/551/28046551_0.jpg","Photo")</f>
        <v>Photo</v>
      </c>
      <c r="AI2593" t="s">
        <v>3055</v>
      </c>
      <c r="AJ2593">
        <v>98203</v>
      </c>
      <c r="BC2593" s="22">
        <v>39524.682905092595</v>
      </c>
      <c r="BI2593" s="7">
        <v>39535</v>
      </c>
      <c r="BL2593">
        <v>3930</v>
      </c>
      <c r="BM2593">
        <v>1566682</v>
      </c>
      <c r="BN2593" t="s">
        <v>1674</v>
      </c>
      <c r="BO2593" s="17">
        <f t="shared" ca="1" si="40"/>
        <v>24.626500810183643</v>
      </c>
      <c r="BP2593" t="b">
        <v>0</v>
      </c>
      <c r="BQ2593">
        <v>1</v>
      </c>
      <c r="BT2593" t="b">
        <v>1</v>
      </c>
      <c r="BV2593" t="s">
        <v>1668</v>
      </c>
      <c r="BY2593">
        <v>0</v>
      </c>
      <c r="BZ2593" t="s">
        <v>1743</v>
      </c>
      <c r="CA2593">
        <v>1</v>
      </c>
      <c r="CB2593" t="b">
        <v>1</v>
      </c>
      <c r="CC2593">
        <v>0</v>
      </c>
      <c r="CD2593" t="b">
        <v>1</v>
      </c>
      <c r="CE2593" t="b">
        <v>0</v>
      </c>
      <c r="CF2593" t="b">
        <v>0</v>
      </c>
      <c r="CG2593" t="s">
        <v>1870</v>
      </c>
      <c r="CH2593" t="s">
        <v>1681</v>
      </c>
      <c r="CI2593" s="10">
        <v>231000</v>
      </c>
    </row>
    <row r="2594" spans="1:90">
      <c r="A2594">
        <v>28046563</v>
      </c>
      <c r="B2594" s="2" t="str">
        <f>HYPERLINK("http://www.redfin.com/stingray/do/printable-listing?listing-id=1566449","Active")</f>
        <v>Active</v>
      </c>
      <c r="D2594" t="s">
        <v>3066</v>
      </c>
      <c r="E2594" t="s">
        <v>4717</v>
      </c>
      <c r="F2594" s="19">
        <v>509000</v>
      </c>
      <c r="G2594">
        <v>1990</v>
      </c>
      <c r="H2594">
        <v>1532</v>
      </c>
      <c r="I2594">
        <v>0</v>
      </c>
      <c r="J2594">
        <v>3</v>
      </c>
      <c r="K2594">
        <v>2.25</v>
      </c>
      <c r="M2594" s="2" t="str">
        <f>HYPERLINK("http://maps.live.com/default.aspx?v=2&amp;lvl=15&amp;sp=Point.47.675702_-122.182095_8014 118th Ct NE&amp;cp=47.675702~-122.182095","Map")</f>
        <v>Map</v>
      </c>
      <c r="N2594" s="2" t="str">
        <f>HYPERLINK("http://i-0.rfimg.us/photo/1/bigphoto/563/28046563_0.jpg","Photo")</f>
        <v>Photo</v>
      </c>
      <c r="AG2594">
        <v>47.675702000000001</v>
      </c>
      <c r="AH2594">
        <v>-122.182095</v>
      </c>
      <c r="AI2594" t="s">
        <v>1058</v>
      </c>
      <c r="AJ2594">
        <v>98033</v>
      </c>
      <c r="BC2594" s="22">
        <v>39524.63108796296</v>
      </c>
      <c r="BI2594" s="22">
        <v>39549.294907407406</v>
      </c>
      <c r="BL2594">
        <v>10380</v>
      </c>
      <c r="BM2594">
        <v>1566449</v>
      </c>
      <c r="BN2594" t="s">
        <v>1674</v>
      </c>
      <c r="BO2594" s="17">
        <f t="shared" ca="1" si="40"/>
        <v>24.678317939818953</v>
      </c>
      <c r="BP2594" t="b">
        <v>0</v>
      </c>
      <c r="BQ2594">
        <v>1</v>
      </c>
      <c r="BR2594" t="s">
        <v>3768</v>
      </c>
      <c r="BS2594" t="s">
        <v>4419</v>
      </c>
      <c r="BT2594" t="b">
        <v>0</v>
      </c>
      <c r="BV2594" t="s">
        <v>1668</v>
      </c>
      <c r="BW2594">
        <v>8014</v>
      </c>
      <c r="BX2594" t="s">
        <v>1738</v>
      </c>
      <c r="BY2594">
        <v>12428704</v>
      </c>
      <c r="BZ2594" t="s">
        <v>1713</v>
      </c>
      <c r="CA2594">
        <v>1</v>
      </c>
      <c r="CB2594" t="b">
        <v>1</v>
      </c>
      <c r="CC2594">
        <v>0</v>
      </c>
      <c r="CD2594" t="b">
        <v>0</v>
      </c>
      <c r="CE2594" t="b">
        <v>0</v>
      </c>
      <c r="CF2594" t="b">
        <v>0</v>
      </c>
      <c r="CG2594">
        <v>15632452</v>
      </c>
      <c r="CH2594" t="s">
        <v>1681</v>
      </c>
      <c r="CI2594" s="10">
        <v>519000</v>
      </c>
    </row>
    <row r="2595" spans="1:90">
      <c r="A2595">
        <v>28046565</v>
      </c>
      <c r="B2595" s="2" t="str">
        <f>HYPERLINK("http://www.redfin.com/stingray/do/printable-listing?listing-id=1566557","Active")</f>
        <v>Active</v>
      </c>
      <c r="D2595" t="s">
        <v>3249</v>
      </c>
      <c r="E2595" t="s">
        <v>3614</v>
      </c>
      <c r="F2595" s="19">
        <v>895000</v>
      </c>
      <c r="G2595">
        <v>2006</v>
      </c>
      <c r="H2595">
        <v>2100</v>
      </c>
      <c r="I2595">
        <v>0</v>
      </c>
      <c r="J2595">
        <v>3</v>
      </c>
      <c r="K2595">
        <v>3.5</v>
      </c>
      <c r="M2595" s="2" t="str">
        <f>HYPERLINK("http://maps.live.com/default.aspx?v=2&amp;lvl=15&amp;sp=Point.47.639014_-122.371395_2200 11th Ave W nB&amp;cp=47.639014~-122.371395","Map")</f>
        <v>Map</v>
      </c>
      <c r="N2595" s="2" t="str">
        <f>HYPERLINK("http://i-0.rfimg.us/photo/1/bigphoto/565/28046565_1.jpg","Photo")</f>
        <v>Photo</v>
      </c>
      <c r="AG2595">
        <v>47.639014000000003</v>
      </c>
      <c r="AH2595">
        <v>-122.37139500000001</v>
      </c>
      <c r="AI2595" t="s">
        <v>66</v>
      </c>
      <c r="AJ2595">
        <v>98119</v>
      </c>
      <c r="AM2595" t="s">
        <v>1699</v>
      </c>
      <c r="BC2595" s="22">
        <v>39524.651909722219</v>
      </c>
      <c r="BI2595" s="22">
        <v>39549.294907407406</v>
      </c>
      <c r="BL2595">
        <v>18500</v>
      </c>
      <c r="BM2595">
        <v>1566557</v>
      </c>
      <c r="BN2595" t="s">
        <v>1766</v>
      </c>
      <c r="BO2595" s="17">
        <f t="shared" ca="1" si="40"/>
        <v>24.657496180559974</v>
      </c>
      <c r="BP2595" t="b">
        <v>0</v>
      </c>
      <c r="BQ2595">
        <v>1</v>
      </c>
      <c r="BR2595" t="s">
        <v>1667</v>
      </c>
      <c r="BS2595" t="s">
        <v>1792</v>
      </c>
      <c r="BT2595" t="b">
        <v>0</v>
      </c>
      <c r="BV2595" t="s">
        <v>1668</v>
      </c>
      <c r="BW2595">
        <v>2200</v>
      </c>
      <c r="BX2595" t="s">
        <v>2423</v>
      </c>
      <c r="BY2595">
        <v>12430088</v>
      </c>
      <c r="BZ2595" t="s">
        <v>3305</v>
      </c>
      <c r="CA2595">
        <v>1</v>
      </c>
      <c r="CB2595" t="b">
        <v>1</v>
      </c>
      <c r="CC2595">
        <v>0</v>
      </c>
      <c r="CD2595" t="b">
        <v>0</v>
      </c>
      <c r="CE2595" t="b">
        <v>0</v>
      </c>
      <c r="CF2595" t="b">
        <v>0</v>
      </c>
      <c r="CG2595">
        <v>15633836</v>
      </c>
      <c r="CH2595" t="s">
        <v>1681</v>
      </c>
      <c r="CI2595" s="10">
        <v>925000</v>
      </c>
    </row>
    <row r="2596" spans="1:90">
      <c r="A2596">
        <v>28046689</v>
      </c>
      <c r="B2596" s="2" t="str">
        <f>HYPERLINK("http://www.redfin.com/stingray/do/printable-listing?listing-id=1568153","Active")</f>
        <v>Active</v>
      </c>
      <c r="D2596" t="s">
        <v>3961</v>
      </c>
      <c r="E2596" t="s">
        <v>3992</v>
      </c>
      <c r="F2596">
        <v>1149950</v>
      </c>
      <c r="G2596">
        <v>1909</v>
      </c>
      <c r="H2596">
        <v>4000</v>
      </c>
      <c r="I2596">
        <v>6480</v>
      </c>
      <c r="J2596">
        <v>5</v>
      </c>
      <c r="K2596">
        <v>2.25</v>
      </c>
      <c r="M2596" s="2" t="str">
        <f>HYPERLINK("http://maps.live.com/default.aspx?v=2&amp;lvl=15&amp;sp=Point.47.601295_-122.294112_109 30th Ave S&amp;cp=47.601295~-122.294112","Map")</f>
        <v>Map</v>
      </c>
      <c r="N2596" s="2" t="str">
        <f>HYPERLINK("http://i-0.rfimg.us/photo/1/bigphoto/689/28046689_0.jpg","Photo")</f>
        <v>Photo</v>
      </c>
      <c r="AG2596">
        <v>47.601295</v>
      </c>
      <c r="AH2596">
        <v>-122.294112</v>
      </c>
      <c r="AI2596" t="s">
        <v>66</v>
      </c>
      <c r="AJ2596">
        <v>98144</v>
      </c>
      <c r="AN2596">
        <v>637570</v>
      </c>
      <c r="BC2596" s="22">
        <v>39525.275173611109</v>
      </c>
      <c r="BI2596" s="22">
        <v>39549.294907407406</v>
      </c>
      <c r="BL2596">
        <v>22999</v>
      </c>
      <c r="BM2596">
        <v>1568153</v>
      </c>
      <c r="BN2596" t="s">
        <v>1674</v>
      </c>
      <c r="BO2596" s="17">
        <f t="shared" ca="1" si="40"/>
        <v>24.034232291669468</v>
      </c>
      <c r="BP2596" t="b">
        <v>0</v>
      </c>
      <c r="BQ2596">
        <v>1</v>
      </c>
      <c r="BR2596" t="s">
        <v>1667</v>
      </c>
      <c r="BS2596" t="s">
        <v>1818</v>
      </c>
      <c r="BT2596" t="b">
        <v>0</v>
      </c>
      <c r="BV2596" t="s">
        <v>1668</v>
      </c>
      <c r="BW2596">
        <v>109</v>
      </c>
      <c r="BX2596" t="s">
        <v>1881</v>
      </c>
      <c r="BY2596">
        <v>149014</v>
      </c>
      <c r="BZ2596" t="s">
        <v>1672</v>
      </c>
      <c r="CA2596">
        <v>1</v>
      </c>
      <c r="CB2596" t="b">
        <v>1</v>
      </c>
      <c r="CC2596">
        <v>0</v>
      </c>
      <c r="CD2596" t="b">
        <v>0</v>
      </c>
      <c r="CE2596" t="b">
        <v>0</v>
      </c>
      <c r="CF2596" t="b">
        <v>0</v>
      </c>
      <c r="CG2596">
        <v>2644544</v>
      </c>
      <c r="CH2596" t="s">
        <v>1681</v>
      </c>
      <c r="CI2596" s="10">
        <v>1149950</v>
      </c>
      <c r="CJ2596" s="7">
        <v>36616</v>
      </c>
    </row>
    <row r="2597" spans="1:90">
      <c r="A2597">
        <v>28046710</v>
      </c>
      <c r="B2597" s="2" t="str">
        <f>HYPERLINK("http://www.redfin.com/stingray/do/printable-listing?listing-id=1567069","Active")</f>
        <v>Active</v>
      </c>
      <c r="D2597" t="s">
        <v>3249</v>
      </c>
      <c r="E2597" t="s">
        <v>3573</v>
      </c>
      <c r="F2597" s="19">
        <v>699999</v>
      </c>
      <c r="G2597">
        <v>1910</v>
      </c>
      <c r="H2597">
        <v>0</v>
      </c>
      <c r="I2597">
        <v>0</v>
      </c>
      <c r="J2597">
        <v>3</v>
      </c>
      <c r="K2597">
        <v>2.5</v>
      </c>
      <c r="M2597" s="2" t="str">
        <f>HYPERLINK("http://maps.live.com/default.aspx?v=2&amp;lvl=15&amp;sp=Point.47.640582_-122.367158_719 W Wheeler St&amp;cp=47.640582~-122.367158","Map")</f>
        <v>Map</v>
      </c>
      <c r="N2597" s="2" t="str">
        <f>HYPERLINK("http://i-0.rfimg.us/photo/1/bigphoto/710/28046710_0.jpg","Photo")</f>
        <v>Photo</v>
      </c>
      <c r="AG2597">
        <v>47.640582000000002</v>
      </c>
      <c r="AH2597">
        <v>-122.367158</v>
      </c>
      <c r="AI2597" t="s">
        <v>66</v>
      </c>
      <c r="AJ2597">
        <v>98119</v>
      </c>
      <c r="AN2597">
        <v>612810</v>
      </c>
      <c r="BC2597" s="22">
        <v>39524.797337962962</v>
      </c>
      <c r="BI2597" s="22">
        <v>39549.294907407406</v>
      </c>
      <c r="BL2597">
        <v>14498</v>
      </c>
      <c r="BM2597">
        <v>1567069</v>
      </c>
      <c r="BN2597" t="s">
        <v>3572</v>
      </c>
      <c r="BO2597" s="17">
        <f t="shared" ca="1" si="40"/>
        <v>24.512067939816916</v>
      </c>
      <c r="BP2597" t="b">
        <v>0</v>
      </c>
      <c r="BQ2597">
        <v>1</v>
      </c>
      <c r="BR2597" t="s">
        <v>1686</v>
      </c>
      <c r="BS2597" t="s">
        <v>3574</v>
      </c>
      <c r="BT2597" t="b">
        <v>0</v>
      </c>
      <c r="BU2597" t="s">
        <v>2423</v>
      </c>
      <c r="BV2597" t="s">
        <v>1668</v>
      </c>
      <c r="BW2597">
        <v>719</v>
      </c>
      <c r="BY2597">
        <v>131504</v>
      </c>
      <c r="BZ2597" t="s">
        <v>1762</v>
      </c>
      <c r="CA2597">
        <v>1</v>
      </c>
      <c r="CB2597" t="b">
        <v>1</v>
      </c>
      <c r="CC2597">
        <v>0</v>
      </c>
      <c r="CD2597" t="b">
        <v>0</v>
      </c>
      <c r="CE2597" t="b">
        <v>0</v>
      </c>
      <c r="CF2597" t="b">
        <v>0</v>
      </c>
      <c r="CG2597">
        <v>2810787</v>
      </c>
      <c r="CH2597" t="s">
        <v>1681</v>
      </c>
      <c r="CI2597" s="10">
        <v>724900</v>
      </c>
      <c r="CJ2597" s="7">
        <v>38729</v>
      </c>
    </row>
    <row r="2598" spans="1:90">
      <c r="A2598">
        <v>28046729</v>
      </c>
      <c r="B2598" s="2" t="str">
        <f>HYPERLINK("http://www.redfin.com/stingray/do/printable-listing?listing-id=1569527","Active")</f>
        <v>Active</v>
      </c>
      <c r="D2598" t="s">
        <v>109</v>
      </c>
      <c r="E2598" t="s">
        <v>3304</v>
      </c>
      <c r="F2598" s="19">
        <v>569000</v>
      </c>
      <c r="G2598">
        <v>1925</v>
      </c>
      <c r="H2598">
        <v>2325</v>
      </c>
      <c r="I2598">
        <v>3120</v>
      </c>
      <c r="J2598">
        <v>4</v>
      </c>
      <c r="K2598">
        <v>2.5</v>
      </c>
      <c r="M2598" s="2" t="str">
        <f>HYPERLINK("http://maps.live.com/default.aspx?v=2&amp;lvl=15&amp;sp=Point.47.652966_-122.329986_3732 Sunnyside Ave N&amp;cp=47.652966~-122.329986","Map")</f>
        <v>Map</v>
      </c>
      <c r="N2598" s="2" t="str">
        <f>HYPERLINK("http://i-0.rfimg.us/photo/1/bigphoto/729/28046729_1.jpg","Photo")</f>
        <v>Photo</v>
      </c>
      <c r="AG2598">
        <v>47.652965999999999</v>
      </c>
      <c r="AH2598">
        <v>-122.32998600000001</v>
      </c>
      <c r="AI2598" t="s">
        <v>66</v>
      </c>
      <c r="AJ2598">
        <v>98103</v>
      </c>
      <c r="BC2598" s="22">
        <v>39525.599745370368</v>
      </c>
      <c r="BI2598" s="22">
        <v>39549.294907407406</v>
      </c>
      <c r="BL2598">
        <v>11980</v>
      </c>
      <c r="BM2598">
        <v>1569527</v>
      </c>
      <c r="BN2598" t="s">
        <v>1735</v>
      </c>
      <c r="BO2598" s="17">
        <f t="shared" ca="1" si="40"/>
        <v>23.709660532411363</v>
      </c>
      <c r="BP2598" t="b">
        <v>0</v>
      </c>
      <c r="BQ2598">
        <v>1</v>
      </c>
      <c r="BR2598" t="s">
        <v>1667</v>
      </c>
      <c r="BS2598" t="s">
        <v>2427</v>
      </c>
      <c r="BT2598" t="b">
        <v>0</v>
      </c>
      <c r="BV2598" t="s">
        <v>1668</v>
      </c>
      <c r="BW2598">
        <v>3732</v>
      </c>
      <c r="BX2598" t="s">
        <v>1712</v>
      </c>
      <c r="BY2598">
        <v>119134</v>
      </c>
      <c r="BZ2598" t="s">
        <v>3305</v>
      </c>
      <c r="CA2598">
        <v>1</v>
      </c>
      <c r="CB2598" t="b">
        <v>1</v>
      </c>
      <c r="CC2598">
        <v>0</v>
      </c>
      <c r="CD2598" t="b">
        <v>1</v>
      </c>
      <c r="CE2598" t="b">
        <v>0</v>
      </c>
      <c r="CF2598" t="b">
        <v>0</v>
      </c>
      <c r="CG2598">
        <v>2485980</v>
      </c>
      <c r="CH2598" t="s">
        <v>1681</v>
      </c>
      <c r="CI2598" s="10">
        <v>599000</v>
      </c>
    </row>
    <row r="2599" spans="1:90">
      <c r="A2599">
        <v>28046748</v>
      </c>
      <c r="B2599" s="2" t="str">
        <f>HYPERLINK("http://www.redfin.com/stingray/do/printable-listing?listing-id=1568329","Active")</f>
        <v>Active</v>
      </c>
      <c r="D2599" t="s">
        <v>2850</v>
      </c>
      <c r="E2599" t="s">
        <v>4393</v>
      </c>
      <c r="F2599">
        <v>569000</v>
      </c>
      <c r="G2599">
        <v>1972</v>
      </c>
      <c r="H2599">
        <v>2250</v>
      </c>
      <c r="I2599">
        <v>10000</v>
      </c>
      <c r="J2599">
        <v>4</v>
      </c>
      <c r="K2599">
        <v>2.5</v>
      </c>
      <c r="M2599" s="2" t="str">
        <f>HYPERLINK("http://maps.live.com/default.aspx?v=2&amp;lvl=15&amp;sp=Point.47.702043_-122.204532_10162 NE 113th Pl&amp;cp=47.702043~-122.204532","Map")</f>
        <v>Map</v>
      </c>
      <c r="N2599" s="2" t="str">
        <f>HYPERLINK("http://i-0.rfimg.us/photo/1/bigphoto/748/28046748_3.jpg","Photo")</f>
        <v>Photo</v>
      </c>
      <c r="AG2599">
        <v>47.702043000000003</v>
      </c>
      <c r="AH2599">
        <v>-122.204532</v>
      </c>
      <c r="AI2599" t="s">
        <v>1058</v>
      </c>
      <c r="AJ2599">
        <v>98033</v>
      </c>
      <c r="AN2599">
        <v>337000</v>
      </c>
      <c r="BC2599" s="22">
        <v>39525.358877314815</v>
      </c>
      <c r="BI2599" s="7">
        <v>39542</v>
      </c>
      <c r="BL2599">
        <v>11380</v>
      </c>
      <c r="BM2599">
        <v>1568329</v>
      </c>
      <c r="BN2599" t="s">
        <v>4392</v>
      </c>
      <c r="BO2599" s="17">
        <f t="shared" ca="1" si="40"/>
        <v>23.950528587964072</v>
      </c>
      <c r="BP2599" t="b">
        <v>0</v>
      </c>
      <c r="BQ2599">
        <v>1</v>
      </c>
      <c r="BR2599" t="s">
        <v>1842</v>
      </c>
      <c r="BS2599" t="s">
        <v>4394</v>
      </c>
      <c r="BT2599" t="b">
        <v>0</v>
      </c>
      <c r="BU2599" t="s">
        <v>1738</v>
      </c>
      <c r="BV2599" t="s">
        <v>1668</v>
      </c>
      <c r="BW2599">
        <v>10162</v>
      </c>
      <c r="BY2599">
        <v>463161</v>
      </c>
      <c r="BZ2599" t="s">
        <v>2592</v>
      </c>
      <c r="CA2599">
        <v>1</v>
      </c>
      <c r="CB2599" t="b">
        <v>1</v>
      </c>
      <c r="CC2599">
        <v>0</v>
      </c>
      <c r="CD2599" t="b">
        <v>0</v>
      </c>
      <c r="CE2599" t="b">
        <v>0</v>
      </c>
      <c r="CF2599" t="b">
        <v>0</v>
      </c>
      <c r="CG2599">
        <v>2477642</v>
      </c>
      <c r="CH2599" t="s">
        <v>1681</v>
      </c>
      <c r="CI2599" s="10">
        <v>569000</v>
      </c>
      <c r="CJ2599" s="7">
        <v>38261</v>
      </c>
    </row>
    <row r="2600" spans="1:90">
      <c r="A2600">
        <v>28046753</v>
      </c>
      <c r="B2600" s="2" t="str">
        <f>HYPERLINK("http://www.redfin.com/stingray/do/printable-listing?listing-id=1570218","Active")</f>
        <v>Active</v>
      </c>
      <c r="D2600" t="s">
        <v>4663</v>
      </c>
      <c r="E2600" t="s">
        <v>4662</v>
      </c>
      <c r="F2600">
        <v>1089000</v>
      </c>
      <c r="G2600">
        <v>2008</v>
      </c>
      <c r="H2600">
        <v>3560</v>
      </c>
      <c r="I2600">
        <v>8101</v>
      </c>
      <c r="J2600">
        <v>4</v>
      </c>
      <c r="K2600">
        <v>3.5</v>
      </c>
      <c r="M2600" s="2" t="str">
        <f>HYPERLINK("http://maps.live.com/default.aspx?v=2&amp;lvl=15&amp;sp=Point.47.668604_-122.174495_7020 124th Ave NE&amp;cp=47.668604~-122.174495","Map")</f>
        <v>Map</v>
      </c>
      <c r="N2600" s="2" t="str">
        <f>HYPERLINK("http://i-0.rfimg.us/photo/1/bigphoto/753/28046753_0.jpg","Photo")</f>
        <v>Photo</v>
      </c>
      <c r="AG2600">
        <v>47.668604000000002</v>
      </c>
      <c r="AH2600">
        <v>-122.17449499999999</v>
      </c>
      <c r="AI2600" t="s">
        <v>1058</v>
      </c>
      <c r="AJ2600">
        <v>98033</v>
      </c>
      <c r="AN2600">
        <v>388000</v>
      </c>
      <c r="BC2600" s="22">
        <v>39525.818009259259</v>
      </c>
      <c r="BI2600" s="22">
        <v>39549.294907407406</v>
      </c>
      <c r="BL2600">
        <v>21780</v>
      </c>
      <c r="BM2600">
        <v>1570218</v>
      </c>
      <c r="BN2600" t="s">
        <v>1737</v>
      </c>
      <c r="BO2600" s="17">
        <f t="shared" ca="1" si="40"/>
        <v>23.491396643519693</v>
      </c>
      <c r="BP2600" t="b">
        <v>0</v>
      </c>
      <c r="BQ2600">
        <v>1</v>
      </c>
      <c r="BR2600" t="s">
        <v>1667</v>
      </c>
      <c r="BS2600" t="s">
        <v>4507</v>
      </c>
      <c r="BT2600" t="b">
        <v>0</v>
      </c>
      <c r="BV2600" t="s">
        <v>1668</v>
      </c>
      <c r="BW2600">
        <v>7020</v>
      </c>
      <c r="BX2600" t="s">
        <v>1738</v>
      </c>
      <c r="BY2600">
        <v>516622</v>
      </c>
      <c r="BZ2600" t="s">
        <v>1741</v>
      </c>
      <c r="CA2600">
        <v>1</v>
      </c>
      <c r="CB2600" t="b">
        <v>1</v>
      </c>
      <c r="CC2600">
        <v>0</v>
      </c>
      <c r="CD2600" t="b">
        <v>0</v>
      </c>
      <c r="CE2600" t="b">
        <v>0</v>
      </c>
      <c r="CF2600" t="b">
        <v>0</v>
      </c>
      <c r="CG2600">
        <v>2839614</v>
      </c>
      <c r="CH2600" t="s">
        <v>1681</v>
      </c>
      <c r="CI2600" s="10">
        <v>1089000</v>
      </c>
      <c r="CJ2600" s="7">
        <v>39135</v>
      </c>
    </row>
    <row r="2601" spans="1:90">
      <c r="A2601">
        <v>28046755</v>
      </c>
      <c r="B2601" s="2" t="str">
        <f>HYPERLINK("http://www.redfin.com/stingray/do/printable-listing?listing-id=1571781","Active")</f>
        <v>Active</v>
      </c>
      <c r="D2601" t="s">
        <v>3924</v>
      </c>
      <c r="E2601" t="s">
        <v>4031</v>
      </c>
      <c r="F2601">
        <v>529900</v>
      </c>
      <c r="G2601">
        <v>2006</v>
      </c>
      <c r="H2601">
        <v>1370</v>
      </c>
      <c r="I2601">
        <v>1038</v>
      </c>
      <c r="J2601">
        <v>3</v>
      </c>
      <c r="K2601">
        <v>3</v>
      </c>
      <c r="M2601" s="2" t="str">
        <f>HYPERLINK("http://maps.live.com/default.aspx?v=2&amp;lvl=15&amp;sp=Point.47.617381_-122.302239_1730 23rd Ave&amp;cp=47.617381~-122.302239","Map")</f>
        <v>Map</v>
      </c>
      <c r="N2601" s="2" t="str">
        <f>HYPERLINK("http://i-0.rfimg.us/photo/1/bigphoto/755/28046755_2.jpg","Photo")</f>
        <v>Photo</v>
      </c>
      <c r="AG2601">
        <v>47.617381000000002</v>
      </c>
      <c r="AH2601">
        <v>-122.302239</v>
      </c>
      <c r="AI2601" t="s">
        <v>66</v>
      </c>
      <c r="AJ2601">
        <v>98122</v>
      </c>
      <c r="AN2601">
        <v>449000</v>
      </c>
      <c r="BC2601" s="22">
        <v>39526.4846412037</v>
      </c>
      <c r="BI2601" s="22">
        <v>39549.294907407406</v>
      </c>
      <c r="BL2601">
        <v>10598</v>
      </c>
      <c r="BM2601">
        <v>1571781</v>
      </c>
      <c r="BN2601" t="s">
        <v>1673</v>
      </c>
      <c r="BO2601" s="17">
        <f t="shared" ca="1" si="40"/>
        <v>22.824764699078514</v>
      </c>
      <c r="BP2601" t="b">
        <v>0</v>
      </c>
      <c r="BQ2601">
        <v>1</v>
      </c>
      <c r="BR2601" t="s">
        <v>1667</v>
      </c>
      <c r="BS2601" t="s">
        <v>1839</v>
      </c>
      <c r="BT2601" t="b">
        <v>0</v>
      </c>
      <c r="BV2601" t="s">
        <v>1668</v>
      </c>
      <c r="BW2601">
        <v>1730</v>
      </c>
      <c r="BY2601">
        <v>2097723</v>
      </c>
      <c r="BZ2601" t="s">
        <v>4032</v>
      </c>
      <c r="CA2601">
        <v>1</v>
      </c>
      <c r="CB2601" t="b">
        <v>1</v>
      </c>
      <c r="CC2601">
        <v>0</v>
      </c>
      <c r="CD2601" t="b">
        <v>0</v>
      </c>
      <c r="CE2601" t="b">
        <v>0</v>
      </c>
      <c r="CF2601" t="b">
        <v>0</v>
      </c>
      <c r="CG2601">
        <v>2984446</v>
      </c>
      <c r="CH2601" t="s">
        <v>1681</v>
      </c>
      <c r="CI2601" s="10">
        <v>529900</v>
      </c>
      <c r="CJ2601" s="7">
        <v>38863</v>
      </c>
      <c r="CL2601" t="s">
        <v>6311</v>
      </c>
    </row>
    <row r="2602" spans="1:90">
      <c r="A2602">
        <v>28046804</v>
      </c>
      <c r="B2602" s="2" t="str">
        <f>HYPERLINK("http://www.redfin.com/stingray/do/printable-listing?listing-id=1568707","Active")</f>
        <v>Active</v>
      </c>
      <c r="D2602" t="s">
        <v>3066</v>
      </c>
      <c r="E2602" t="s">
        <v>4676</v>
      </c>
      <c r="F2602">
        <v>479500</v>
      </c>
      <c r="G2602">
        <v>1957</v>
      </c>
      <c r="H2602">
        <v>1250</v>
      </c>
      <c r="I2602">
        <v>9225</v>
      </c>
      <c r="J2602">
        <v>3</v>
      </c>
      <c r="K2602">
        <v>2</v>
      </c>
      <c r="M2602" s="2" t="str">
        <f>HYPERLINK("http://maps.live.com/default.aspx?v=2&amp;lvl=15&amp;sp=Point.47.693439_-122.171809_12626 NE 104th St&amp;cp=47.693439~-122.171809","Map")</f>
        <v>Map</v>
      </c>
      <c r="N2602" s="2" t="str">
        <f>HYPERLINK("http://i-0.rfimg.us/photo/1/bigphoto/804/28046804_0.jpg","Photo")</f>
        <v>Photo</v>
      </c>
      <c r="AG2602">
        <v>47.693438999999998</v>
      </c>
      <c r="AH2602">
        <v>-122.171809</v>
      </c>
      <c r="AI2602" t="s">
        <v>1058</v>
      </c>
      <c r="AJ2602">
        <v>98033</v>
      </c>
      <c r="AN2602">
        <v>377300</v>
      </c>
      <c r="BC2602" s="22">
        <v>39525.454467592594</v>
      </c>
      <c r="BI2602" s="22">
        <v>39549.294907407406</v>
      </c>
      <c r="BL2602">
        <v>9590</v>
      </c>
      <c r="BM2602">
        <v>1568707</v>
      </c>
      <c r="BN2602" t="s">
        <v>1798</v>
      </c>
      <c r="BO2602" s="17">
        <f t="shared" ca="1" si="40"/>
        <v>23.854938310185389</v>
      </c>
      <c r="BP2602" t="b">
        <v>0</v>
      </c>
      <c r="BQ2602">
        <v>1</v>
      </c>
      <c r="BR2602" t="s">
        <v>1686</v>
      </c>
      <c r="BS2602" t="s">
        <v>2910</v>
      </c>
      <c r="BT2602" t="b">
        <v>0</v>
      </c>
      <c r="BU2602" t="s">
        <v>1738</v>
      </c>
      <c r="BV2602" t="s">
        <v>1668</v>
      </c>
      <c r="BW2602">
        <v>12626</v>
      </c>
      <c r="BY2602">
        <v>511988</v>
      </c>
      <c r="BZ2602" t="s">
        <v>1747</v>
      </c>
      <c r="CA2602">
        <v>1</v>
      </c>
      <c r="CB2602" t="b">
        <v>1</v>
      </c>
      <c r="CC2602">
        <v>0</v>
      </c>
      <c r="CD2602" t="b">
        <v>0</v>
      </c>
      <c r="CE2602" t="b">
        <v>0</v>
      </c>
      <c r="CF2602" t="b">
        <v>0</v>
      </c>
      <c r="CG2602">
        <v>2425278</v>
      </c>
      <c r="CH2602" t="s">
        <v>1681</v>
      </c>
      <c r="CI2602" s="10">
        <v>479500</v>
      </c>
      <c r="CJ2602" s="7">
        <v>39401</v>
      </c>
    </row>
    <row r="2603" spans="1:90">
      <c r="A2603">
        <v>28046834</v>
      </c>
      <c r="B2603" s="2" t="str">
        <f>HYPERLINK("http://www.redfin.com/stingray/do/printable-listing?listing-id=1572520","Active")</f>
        <v>Active</v>
      </c>
      <c r="D2603" t="s">
        <v>2850</v>
      </c>
      <c r="E2603" t="s">
        <v>4478</v>
      </c>
      <c r="F2603">
        <v>399950</v>
      </c>
      <c r="G2603">
        <v>1968</v>
      </c>
      <c r="H2603">
        <v>1090</v>
      </c>
      <c r="I2603">
        <v>7350</v>
      </c>
      <c r="J2603">
        <v>3</v>
      </c>
      <c r="K2603">
        <v>1.5</v>
      </c>
      <c r="M2603" s="2" t="str">
        <f>HYPERLINK("http://maps.live.com/default.aspx?v=2&amp;lvl=15&amp;sp=Point.47.726361_-122.203724_10215 NE 140th Pl&amp;cp=47.726361~-122.203724","Map")</f>
        <v>Map</v>
      </c>
      <c r="N2603" s="2" t="str">
        <f>HYPERLINK("http://i-0.rfimg.us/photo/1/bigphoto/834/28046834_0.jpg","Photo")</f>
        <v>Photo</v>
      </c>
      <c r="AG2603">
        <v>47.726360999999997</v>
      </c>
      <c r="AH2603">
        <v>-122.20372399999999</v>
      </c>
      <c r="AI2603" t="s">
        <v>4474</v>
      </c>
      <c r="AJ2603">
        <v>98011</v>
      </c>
      <c r="AN2603">
        <v>72500</v>
      </c>
      <c r="BC2603" s="22">
        <v>39526.610092592593</v>
      </c>
      <c r="BI2603" s="22">
        <v>39549.294907407406</v>
      </c>
      <c r="BL2603">
        <v>7999</v>
      </c>
      <c r="BM2603">
        <v>1572520</v>
      </c>
      <c r="BN2603" t="s">
        <v>1768</v>
      </c>
      <c r="BO2603" s="17">
        <f t="shared" ca="1" si="40"/>
        <v>22.699313310185971</v>
      </c>
      <c r="BP2603" t="b">
        <v>0</v>
      </c>
      <c r="BQ2603">
        <v>1</v>
      </c>
      <c r="BR2603" t="s">
        <v>1842</v>
      </c>
      <c r="BS2603" t="s">
        <v>4434</v>
      </c>
      <c r="BT2603" t="b">
        <v>0</v>
      </c>
      <c r="BU2603" t="s">
        <v>1738</v>
      </c>
      <c r="BV2603" t="s">
        <v>1668</v>
      </c>
      <c r="BW2603">
        <v>10215</v>
      </c>
      <c r="BY2603">
        <v>457396</v>
      </c>
      <c r="BZ2603" t="s">
        <v>1743</v>
      </c>
      <c r="CA2603">
        <v>1</v>
      </c>
      <c r="CB2603" t="b">
        <v>1</v>
      </c>
      <c r="CC2603">
        <v>0</v>
      </c>
      <c r="CD2603" t="b">
        <v>0</v>
      </c>
      <c r="CE2603" t="b">
        <v>0</v>
      </c>
      <c r="CF2603" t="b">
        <v>0</v>
      </c>
      <c r="CG2603">
        <v>2558139</v>
      </c>
      <c r="CH2603" t="s">
        <v>1681</v>
      </c>
      <c r="CI2603" s="10">
        <v>399950</v>
      </c>
      <c r="CJ2603" s="7">
        <v>31560</v>
      </c>
    </row>
    <row r="2604" spans="1:90">
      <c r="A2604">
        <v>28046836</v>
      </c>
      <c r="B2604" s="15" t="str">
        <f>HYPERLINK("http://www.redfin.com/stingray/do/printable-listing?listing-id=1574620","Active")</f>
        <v>Active</v>
      </c>
      <c r="D2604" t="s">
        <v>3685</v>
      </c>
      <c r="E2604" t="s">
        <v>3756</v>
      </c>
      <c r="F2604">
        <v>1175000</v>
      </c>
      <c r="G2604">
        <v>1931</v>
      </c>
      <c r="H2604">
        <v>2030</v>
      </c>
      <c r="I2604">
        <v>4792</v>
      </c>
      <c r="J2604">
        <v>3</v>
      </c>
      <c r="K2604">
        <v>2.75</v>
      </c>
      <c r="M2604" s="2" t="str">
        <f>HYPERLINK("http://maps.live.com/default.aspx?v=2&amp;lvl=15&amp;sp=Point.47.64038_-122.281134_2341 McGilvra Blvd E&amp;cp=47.64038~-122.281134","Map")</f>
        <v>Map</v>
      </c>
      <c r="N2604" s="2" t="str">
        <f>HYPERLINK("http://i-0.rfimg.us/photo/1/bigphoto/836/28046836_0.jpg","Photo")</f>
        <v>Photo</v>
      </c>
      <c r="AG2604">
        <v>47.64038</v>
      </c>
      <c r="AH2604">
        <v>-122.28113399999999</v>
      </c>
      <c r="AI2604" t="s">
        <v>66</v>
      </c>
      <c r="AJ2604">
        <v>98112</v>
      </c>
      <c r="AN2604">
        <v>565000</v>
      </c>
      <c r="BC2604" s="22">
        <v>39527.422013888892</v>
      </c>
      <c r="BI2604" s="22">
        <v>39549.294907407406</v>
      </c>
      <c r="BL2604">
        <v>23500</v>
      </c>
      <c r="BM2604">
        <v>1574620</v>
      </c>
      <c r="BN2604" t="s">
        <v>1768</v>
      </c>
      <c r="BO2604" s="17">
        <f t="shared" ca="1" si="40"/>
        <v>21.887392013886711</v>
      </c>
      <c r="BP2604" t="b">
        <v>0</v>
      </c>
      <c r="BQ2604">
        <v>1</v>
      </c>
      <c r="BR2604" t="s">
        <v>3141</v>
      </c>
      <c r="BS2604" t="s">
        <v>3684</v>
      </c>
      <c r="BT2604" t="b">
        <v>0</v>
      </c>
      <c r="BV2604" t="s">
        <v>1668</v>
      </c>
      <c r="BW2604">
        <v>2341</v>
      </c>
      <c r="BX2604" t="s">
        <v>2436</v>
      </c>
      <c r="BY2604">
        <v>139355</v>
      </c>
      <c r="BZ2604" t="s">
        <v>1713</v>
      </c>
      <c r="CA2604">
        <v>1</v>
      </c>
      <c r="CB2604" t="b">
        <v>1</v>
      </c>
      <c r="CC2604">
        <v>0</v>
      </c>
      <c r="CD2604" t="b">
        <v>0</v>
      </c>
      <c r="CE2604" t="b">
        <v>0</v>
      </c>
      <c r="CF2604" t="b">
        <v>0</v>
      </c>
      <c r="CG2604">
        <v>2719019</v>
      </c>
      <c r="CH2604" t="s">
        <v>1681</v>
      </c>
      <c r="CI2604" s="10">
        <v>1175000</v>
      </c>
      <c r="CJ2604" s="7">
        <v>37651</v>
      </c>
    </row>
    <row r="2605" spans="1:90">
      <c r="A2605">
        <v>28046868</v>
      </c>
      <c r="B2605" s="2" t="str">
        <f>HYPERLINK("http://www.redfin.com/stingray/do/printable-listing?listing-id=1568855","Active")</f>
        <v>Active</v>
      </c>
      <c r="D2605" t="s">
        <v>2850</v>
      </c>
      <c r="E2605" t="s">
        <v>4503</v>
      </c>
      <c r="F2605">
        <v>719000</v>
      </c>
      <c r="G2605">
        <v>1998</v>
      </c>
      <c r="H2605">
        <v>3090</v>
      </c>
      <c r="I2605">
        <v>18344</v>
      </c>
      <c r="J2605">
        <v>4</v>
      </c>
      <c r="K2605">
        <v>3.25</v>
      </c>
      <c r="M2605" s="2" t="str">
        <f>HYPERLINK("http://maps.live.com/default.aspx?v=2&amp;lvl=15&amp;sp=Point.47.711273_-122.218077_12347 93rd Ave NE&amp;cp=47.711273~-122.218077","Map")</f>
        <v>Map</v>
      </c>
      <c r="N2605" s="2" t="str">
        <f>HYPERLINK("http://i-0.rfimg.us/photo/1/bigphoto/868/28046868_0.jpg","Photo")</f>
        <v>Photo</v>
      </c>
      <c r="AG2605">
        <v>47.711272999999998</v>
      </c>
      <c r="AH2605">
        <v>-122.21807699999999</v>
      </c>
      <c r="AI2605" t="s">
        <v>1058</v>
      </c>
      <c r="AJ2605">
        <v>98034</v>
      </c>
      <c r="AN2605">
        <v>460000</v>
      </c>
      <c r="BC2605" s="22">
        <v>39525.495532407411</v>
      </c>
      <c r="BI2605" s="22">
        <v>39549.294907407406</v>
      </c>
      <c r="BL2605">
        <v>14380</v>
      </c>
      <c r="BM2605">
        <v>1568855</v>
      </c>
      <c r="BN2605" t="s">
        <v>1768</v>
      </c>
      <c r="BO2605" s="17">
        <f t="shared" ca="1" si="40"/>
        <v>23.813873495368171</v>
      </c>
      <c r="BP2605" t="b">
        <v>0</v>
      </c>
      <c r="BQ2605">
        <v>1</v>
      </c>
      <c r="BR2605" t="s">
        <v>1667</v>
      </c>
      <c r="BS2605" t="s">
        <v>2732</v>
      </c>
      <c r="BT2605" t="b">
        <v>0</v>
      </c>
      <c r="BV2605" t="s">
        <v>1668</v>
      </c>
      <c r="BW2605">
        <v>12347</v>
      </c>
      <c r="BX2605" t="s">
        <v>1738</v>
      </c>
      <c r="BY2605">
        <v>281950</v>
      </c>
      <c r="BZ2605" t="s">
        <v>1672</v>
      </c>
      <c r="CA2605">
        <v>1</v>
      </c>
      <c r="CB2605" t="b">
        <v>1</v>
      </c>
      <c r="CC2605">
        <v>0</v>
      </c>
      <c r="CD2605" t="b">
        <v>0</v>
      </c>
      <c r="CE2605" t="b">
        <v>0</v>
      </c>
      <c r="CF2605" t="b">
        <v>0</v>
      </c>
      <c r="CG2605">
        <v>2484956</v>
      </c>
      <c r="CH2605" t="s">
        <v>1681</v>
      </c>
      <c r="CI2605" s="10">
        <v>719000</v>
      </c>
      <c r="CJ2605" s="7">
        <v>37924</v>
      </c>
    </row>
    <row r="2606" spans="1:90">
      <c r="A2606">
        <v>28046874</v>
      </c>
      <c r="B2606" s="2" t="str">
        <f>HYPERLINK("http://www.redfin.com/stingray/do/printable-listing?listing-id=1568666","Active")</f>
        <v>Active</v>
      </c>
      <c r="D2606" t="s">
        <v>5565</v>
      </c>
      <c r="E2606" t="s">
        <v>5595</v>
      </c>
      <c r="F2606">
        <v>479000</v>
      </c>
      <c r="G2606">
        <v>1962</v>
      </c>
      <c r="H2606">
        <v>2560</v>
      </c>
      <c r="I2606">
        <v>12400</v>
      </c>
      <c r="J2606">
        <v>4</v>
      </c>
      <c r="K2606">
        <v>2.5</v>
      </c>
      <c r="M2606" s="2" t="str">
        <f>HYPERLINK("http://maps.live.com/default.aspx?v=2&amp;lvl=15&amp;sp=Point.47.548956_-122.175265_6024 123rd Ave SE&amp;cp=47.548956~-122.175265","Map")</f>
        <v>Map</v>
      </c>
      <c r="N2606" s="2" t="str">
        <f>HYPERLINK("http://i-0.rfimg.us/photo/1/bigphoto/874/28046874_0.jpg","Photo")</f>
        <v>Photo</v>
      </c>
      <c r="AG2606">
        <v>47.548955999999997</v>
      </c>
      <c r="AH2606">
        <v>-122.175265</v>
      </c>
      <c r="AI2606" t="s">
        <v>369</v>
      </c>
      <c r="AJ2606">
        <v>98006</v>
      </c>
      <c r="AN2606">
        <v>338000</v>
      </c>
      <c r="BC2606" s="22">
        <v>39525.443449074075</v>
      </c>
      <c r="BI2606" s="22">
        <v>39549.294907407406</v>
      </c>
      <c r="BL2606">
        <v>9580</v>
      </c>
      <c r="BM2606">
        <v>1568666</v>
      </c>
      <c r="BN2606" t="s">
        <v>1691</v>
      </c>
      <c r="BO2606" s="17">
        <f t="shared" ca="1" si="40"/>
        <v>23.865956828703929</v>
      </c>
      <c r="BP2606" t="b">
        <v>0</v>
      </c>
      <c r="BQ2606">
        <v>1</v>
      </c>
      <c r="BR2606" t="s">
        <v>1667</v>
      </c>
      <c r="BS2606" t="s">
        <v>2882</v>
      </c>
      <c r="BT2606" t="b">
        <v>0</v>
      </c>
      <c r="BV2606" t="s">
        <v>1668</v>
      </c>
      <c r="BW2606">
        <v>6024</v>
      </c>
      <c r="BX2606" t="s">
        <v>3856</v>
      </c>
      <c r="BY2606">
        <v>414124</v>
      </c>
      <c r="BZ2606" t="s">
        <v>1743</v>
      </c>
      <c r="CA2606">
        <v>1</v>
      </c>
      <c r="CB2606" t="b">
        <v>1</v>
      </c>
      <c r="CC2606">
        <v>0</v>
      </c>
      <c r="CD2606" t="b">
        <v>0</v>
      </c>
      <c r="CE2606" t="b">
        <v>0</v>
      </c>
      <c r="CF2606" t="b">
        <v>0</v>
      </c>
      <c r="CG2606">
        <v>2571115</v>
      </c>
      <c r="CH2606" t="s">
        <v>1681</v>
      </c>
      <c r="CI2606" s="10">
        <v>479000</v>
      </c>
      <c r="CJ2606" s="7">
        <v>38159</v>
      </c>
    </row>
    <row r="2607" spans="1:90">
      <c r="A2607">
        <v>28046882</v>
      </c>
      <c r="B2607" s="2" t="str">
        <f>HYPERLINK("http://www.redfin.com/stingray/do/printable-listing?listing-id=1568477","Active")</f>
        <v>Active</v>
      </c>
      <c r="D2607" t="s">
        <v>60</v>
      </c>
      <c r="E2607" t="s">
        <v>2485</v>
      </c>
      <c r="F2607">
        <v>579000</v>
      </c>
      <c r="G2607">
        <v>2008</v>
      </c>
      <c r="H2607">
        <v>1700</v>
      </c>
      <c r="I2607">
        <v>0</v>
      </c>
      <c r="J2607">
        <v>3</v>
      </c>
      <c r="K2607">
        <v>3.5</v>
      </c>
      <c r="M2607" s="2" t="str">
        <f>HYPERLINK("http://maps.live.com/default.aspx?v=2&amp;lvl=15&amp;sp=Point.47.664437_-122.34831_810 N 49th St&amp;cp=47.664437~-122.34831","Map")</f>
        <v>Map</v>
      </c>
      <c r="N2607" s="2" t="str">
        <f>HYPERLINK("http://i-0.rfimg.us/photo/1/bigphoto/882/28046882_0.jpg","Photo")</f>
        <v>Photo</v>
      </c>
      <c r="AG2607">
        <v>47.664437</v>
      </c>
      <c r="AH2607">
        <v>-122.34831</v>
      </c>
      <c r="AI2607" t="s">
        <v>66</v>
      </c>
      <c r="AJ2607">
        <v>98103</v>
      </c>
      <c r="BC2607" s="22">
        <v>39525.40152777778</v>
      </c>
      <c r="BI2607" s="22">
        <v>39549.294907407406</v>
      </c>
      <c r="BL2607">
        <v>11580</v>
      </c>
      <c r="BM2607">
        <v>1568477</v>
      </c>
      <c r="BN2607" t="s">
        <v>2450</v>
      </c>
      <c r="BO2607" s="17">
        <f t="shared" ca="1" si="40"/>
        <v>23.907878240737773</v>
      </c>
      <c r="BP2607" t="b">
        <v>0</v>
      </c>
      <c r="BQ2607">
        <v>1</v>
      </c>
      <c r="BR2607" t="s">
        <v>1686</v>
      </c>
      <c r="BS2607" t="s">
        <v>2446</v>
      </c>
      <c r="BT2607" t="b">
        <v>0</v>
      </c>
      <c r="BU2607" t="s">
        <v>1712</v>
      </c>
      <c r="BV2607" t="s">
        <v>1668</v>
      </c>
      <c r="BW2607">
        <v>810</v>
      </c>
      <c r="BY2607">
        <v>12333029</v>
      </c>
      <c r="BZ2607" t="s">
        <v>1676</v>
      </c>
      <c r="CA2607">
        <v>1</v>
      </c>
      <c r="CB2607" t="b">
        <v>1</v>
      </c>
      <c r="CC2607">
        <v>0</v>
      </c>
      <c r="CD2607" t="b">
        <v>0</v>
      </c>
      <c r="CE2607" t="b">
        <v>0</v>
      </c>
      <c r="CF2607" t="b">
        <v>0</v>
      </c>
      <c r="CG2607">
        <v>15537186</v>
      </c>
      <c r="CH2607" t="s">
        <v>1681</v>
      </c>
      <c r="CI2607" s="10">
        <v>579000</v>
      </c>
    </row>
    <row r="2608" spans="1:90">
      <c r="A2608">
        <v>28046884</v>
      </c>
      <c r="B2608" s="2" t="str">
        <f>HYPERLINK("http://www.redfin.com/stingray/do/printable-listing?listing-id=1577509","Active")</f>
        <v>Active</v>
      </c>
      <c r="D2608" t="s">
        <v>63</v>
      </c>
      <c r="E2608" t="s">
        <v>1984</v>
      </c>
      <c r="F2608">
        <v>379950</v>
      </c>
      <c r="G2608">
        <v>1914</v>
      </c>
      <c r="H2608">
        <v>710</v>
      </c>
      <c r="I2608">
        <v>0</v>
      </c>
      <c r="J2608">
        <v>2</v>
      </c>
      <c r="K2608">
        <v>1</v>
      </c>
      <c r="M2608" s="2" t="str">
        <f>HYPERLINK("http://maps.live.com/default.aspx?v=2&amp;lvl=15&amp;sp=Point.47.678612_-122.366344_6726 Division Ave NW&amp;cp=47.678612~-122.366344","Map")</f>
        <v>Map</v>
      </c>
      <c r="N2608" s="2" t="str">
        <f>HYPERLINK("http://i-0.rfimg.us/photo/1/bigphoto/884/28046884_2.jpg","Photo")</f>
        <v>Photo</v>
      </c>
      <c r="AG2608">
        <v>47.678612000000001</v>
      </c>
      <c r="AH2608">
        <v>-122.366344</v>
      </c>
      <c r="AI2608" t="s">
        <v>66</v>
      </c>
      <c r="AJ2608">
        <v>98117</v>
      </c>
      <c r="AN2608">
        <v>285000</v>
      </c>
      <c r="BC2608" s="22">
        <v>39528.368969907409</v>
      </c>
      <c r="BI2608" s="22">
        <v>39549.294907407406</v>
      </c>
      <c r="BL2608">
        <v>7599</v>
      </c>
      <c r="BM2608">
        <v>1577509</v>
      </c>
      <c r="BN2608" t="s">
        <v>1700</v>
      </c>
      <c r="BO2608" s="17">
        <f t="shared" ca="1" si="40"/>
        <v>20.940436111108284</v>
      </c>
      <c r="BP2608" t="b">
        <v>0</v>
      </c>
      <c r="BQ2608">
        <v>1</v>
      </c>
      <c r="BR2608" t="s">
        <v>1667</v>
      </c>
      <c r="BS2608" t="s">
        <v>1891</v>
      </c>
      <c r="BT2608" t="b">
        <v>0</v>
      </c>
      <c r="BV2608" t="s">
        <v>1668</v>
      </c>
      <c r="BW2608">
        <v>6726</v>
      </c>
      <c r="BX2608" t="s">
        <v>1669</v>
      </c>
      <c r="BY2608">
        <v>496711</v>
      </c>
      <c r="BZ2608" t="s">
        <v>1985</v>
      </c>
      <c r="CA2608">
        <v>1</v>
      </c>
      <c r="CB2608" t="b">
        <v>1</v>
      </c>
      <c r="CC2608">
        <v>0</v>
      </c>
      <c r="CD2608" t="b">
        <v>0</v>
      </c>
      <c r="CE2608" t="b">
        <v>1</v>
      </c>
      <c r="CF2608" t="b">
        <v>0</v>
      </c>
      <c r="CG2608">
        <v>2580074</v>
      </c>
      <c r="CH2608" t="s">
        <v>1681</v>
      </c>
      <c r="CI2608" s="10">
        <v>379950</v>
      </c>
      <c r="CJ2608" s="7">
        <v>38365</v>
      </c>
    </row>
    <row r="2609" spans="1:90">
      <c r="A2609">
        <v>28046907</v>
      </c>
      <c r="B2609" s="2" t="str">
        <f>HYPERLINK("http://www.redfin.com/stingray/do/printable-listing?listing-id=1568473","Active")</f>
        <v>Active</v>
      </c>
      <c r="D2609" t="s">
        <v>4596</v>
      </c>
      <c r="E2609" t="s">
        <v>4642</v>
      </c>
      <c r="F2609">
        <v>659950</v>
      </c>
      <c r="G2609">
        <v>2008</v>
      </c>
      <c r="H2609">
        <v>2200</v>
      </c>
      <c r="I2609">
        <v>9511</v>
      </c>
      <c r="J2609">
        <v>3</v>
      </c>
      <c r="K2609">
        <v>2.5</v>
      </c>
      <c r="M2609" s="2" t="str">
        <f>HYPERLINK("http://maps.live.com/default.aspx?v=2&amp;lvl=15&amp;sp=adr.91 172nd Ave NE nxx (Unable to map),98052","Map")</f>
        <v>Map</v>
      </c>
      <c r="N2609" s="2" t="str">
        <f>HYPERLINK("http://i-0.rfimg.us/photo/1/bigphoto/907/28046907_0.jpg","Photo")</f>
        <v>Photo</v>
      </c>
      <c r="AI2609" t="s">
        <v>4363</v>
      </c>
      <c r="AJ2609">
        <v>98052</v>
      </c>
      <c r="AM2609" t="s">
        <v>4643</v>
      </c>
      <c r="BC2609" s="22">
        <v>39525.401458333334</v>
      </c>
      <c r="BI2609" s="22">
        <v>39549.294907407406</v>
      </c>
      <c r="BL2609">
        <v>13199</v>
      </c>
      <c r="BM2609">
        <v>1568473</v>
      </c>
      <c r="BN2609" t="s">
        <v>1768</v>
      </c>
      <c r="BO2609" s="17">
        <f t="shared" ca="1" si="40"/>
        <v>23.907947569445241</v>
      </c>
      <c r="BP2609" t="b">
        <v>0</v>
      </c>
      <c r="BQ2609">
        <v>1</v>
      </c>
      <c r="BR2609" t="s">
        <v>1667</v>
      </c>
      <c r="BS2609" t="s">
        <v>4644</v>
      </c>
      <c r="BT2609" t="b">
        <v>0</v>
      </c>
      <c r="BV2609" t="s">
        <v>1668</v>
      </c>
      <c r="BW2609">
        <v>91</v>
      </c>
      <c r="BX2609" t="s">
        <v>1738</v>
      </c>
      <c r="BY2609">
        <v>0</v>
      </c>
      <c r="BZ2609" t="s">
        <v>1801</v>
      </c>
      <c r="CA2609">
        <v>1</v>
      </c>
      <c r="CB2609" t="b">
        <v>1</v>
      </c>
      <c r="CC2609">
        <v>0</v>
      </c>
      <c r="CD2609" t="b">
        <v>0</v>
      </c>
      <c r="CE2609" t="b">
        <v>0</v>
      </c>
      <c r="CF2609" t="b">
        <v>0</v>
      </c>
      <c r="CG2609" t="s">
        <v>1870</v>
      </c>
      <c r="CH2609" t="s">
        <v>1681</v>
      </c>
      <c r="CI2609" s="10">
        <v>659950</v>
      </c>
    </row>
    <row r="2610" spans="1:90">
      <c r="A2610">
        <v>28046937</v>
      </c>
      <c r="B2610" s="2" t="str">
        <f>HYPERLINK("http://www.redfin.com/stingray/do/printable-listing?listing-id=1568558","Active")</f>
        <v>Active</v>
      </c>
      <c r="D2610" t="s">
        <v>60</v>
      </c>
      <c r="E2610" t="s">
        <v>2406</v>
      </c>
      <c r="F2610" s="19">
        <v>1375000</v>
      </c>
      <c r="G2610">
        <v>1903</v>
      </c>
      <c r="H2610">
        <v>3090</v>
      </c>
      <c r="I2610">
        <v>13664</v>
      </c>
      <c r="J2610">
        <v>4</v>
      </c>
      <c r="K2610">
        <v>4</v>
      </c>
      <c r="M2610" s="2" t="str">
        <f>HYPERLINK("http://maps.live.com/default.aspx?v=2&amp;lvl=15&amp;sp=Point.47.685254_-122.333937_2034 N 77th St&amp;cp=47.685254~-122.333937","Map")</f>
        <v>Map</v>
      </c>
      <c r="N2610" s="2" t="str">
        <f>HYPERLINK("http://i-0.rfimg.us/photo/1/bigphoto/937/28046937_1.jpg","Photo")</f>
        <v>Photo</v>
      </c>
      <c r="AG2610">
        <v>47.685254</v>
      </c>
      <c r="AH2610">
        <v>-122.33393700000001</v>
      </c>
      <c r="AI2610" t="s">
        <v>66</v>
      </c>
      <c r="AJ2610">
        <v>98103</v>
      </c>
      <c r="AN2610">
        <v>423000</v>
      </c>
      <c r="BC2610" s="22">
        <v>39525.422384259262</v>
      </c>
      <c r="BI2610" s="22">
        <v>39549.294907407406</v>
      </c>
      <c r="BL2610">
        <v>29900</v>
      </c>
      <c r="BM2610">
        <v>1568558</v>
      </c>
      <c r="BN2610" t="s">
        <v>1939</v>
      </c>
      <c r="BO2610" s="17">
        <f t="shared" ca="1" si="40"/>
        <v>23.887021759255731</v>
      </c>
      <c r="BP2610" t="b">
        <v>0</v>
      </c>
      <c r="BQ2610">
        <v>1</v>
      </c>
      <c r="BR2610" t="s">
        <v>1686</v>
      </c>
      <c r="BS2610" t="s">
        <v>1714</v>
      </c>
      <c r="BT2610" t="b">
        <v>0</v>
      </c>
      <c r="BU2610" t="s">
        <v>1712</v>
      </c>
      <c r="BV2610" t="s">
        <v>1668</v>
      </c>
      <c r="BW2610">
        <v>2034</v>
      </c>
      <c r="BY2610">
        <v>306958</v>
      </c>
      <c r="BZ2610" t="s">
        <v>1704</v>
      </c>
      <c r="CA2610">
        <v>1</v>
      </c>
      <c r="CB2610" t="b">
        <v>1</v>
      </c>
      <c r="CC2610">
        <v>0</v>
      </c>
      <c r="CD2610" t="b">
        <v>0</v>
      </c>
      <c r="CE2610" t="b">
        <v>0</v>
      </c>
      <c r="CF2610" t="b">
        <v>0</v>
      </c>
      <c r="CG2610">
        <v>2655770</v>
      </c>
      <c r="CH2610" t="s">
        <v>1681</v>
      </c>
      <c r="CI2610" s="10">
        <v>1495000</v>
      </c>
      <c r="CJ2610" s="7">
        <v>33450</v>
      </c>
    </row>
    <row r="2611" spans="1:90">
      <c r="A2611">
        <v>28046940</v>
      </c>
      <c r="B2611" s="2" t="str">
        <f>HYPERLINK("http://www.redfin.com/stingray/do/printable-listing?listing-id=1568602","Active")</f>
        <v>Active</v>
      </c>
      <c r="D2611" t="s">
        <v>5198</v>
      </c>
      <c r="E2611" t="s">
        <v>5270</v>
      </c>
      <c r="F2611">
        <v>999950</v>
      </c>
      <c r="G2611">
        <v>1957</v>
      </c>
      <c r="H2611">
        <v>5000</v>
      </c>
      <c r="I2611">
        <v>12467</v>
      </c>
      <c r="J2611">
        <v>6</v>
      </c>
      <c r="K2611">
        <v>4.5</v>
      </c>
      <c r="M2611" s="2" t="str">
        <f>HYPERLINK("http://maps.live.com/default.aspx?v=2&amp;lvl=15&amp;sp=Point.47.579646_-122.118261_16605 SE 34th St&amp;cp=47.579646~-122.118261","Map")</f>
        <v>Map</v>
      </c>
      <c r="N2611" s="2" t="str">
        <f>HYPERLINK("http://i-0.rfimg.us/photo/1/bigphoto/940/28046940_1.jpg","Photo")</f>
        <v>Photo</v>
      </c>
      <c r="AG2611">
        <v>47.579645999999997</v>
      </c>
      <c r="AH2611">
        <v>-122.118261</v>
      </c>
      <c r="AI2611" t="s">
        <v>369</v>
      </c>
      <c r="AJ2611">
        <v>98008</v>
      </c>
      <c r="AN2611">
        <v>100000</v>
      </c>
      <c r="BC2611" s="22">
        <v>39525.433020833334</v>
      </c>
      <c r="BI2611" s="22">
        <v>39549.294907407406</v>
      </c>
      <c r="BL2611">
        <v>19999</v>
      </c>
      <c r="BM2611">
        <v>1568602</v>
      </c>
      <c r="BN2611" t="s">
        <v>1688</v>
      </c>
      <c r="BO2611" s="17">
        <f t="shared" ca="1" si="40"/>
        <v>23.87638506944495</v>
      </c>
      <c r="BP2611" t="b">
        <v>0</v>
      </c>
      <c r="BQ2611">
        <v>1</v>
      </c>
      <c r="BR2611" t="s">
        <v>1686</v>
      </c>
      <c r="BS2611" t="s">
        <v>2912</v>
      </c>
      <c r="BT2611" t="b">
        <v>0</v>
      </c>
      <c r="BU2611" t="s">
        <v>3856</v>
      </c>
      <c r="BV2611" t="s">
        <v>1668</v>
      </c>
      <c r="BW2611">
        <v>16605</v>
      </c>
      <c r="BY2611">
        <v>429381</v>
      </c>
      <c r="BZ2611" t="s">
        <v>2750</v>
      </c>
      <c r="CA2611">
        <v>1</v>
      </c>
      <c r="CB2611" t="b">
        <v>1</v>
      </c>
      <c r="CC2611">
        <v>0</v>
      </c>
      <c r="CD2611" t="b">
        <v>0</v>
      </c>
      <c r="CE2611" t="b">
        <v>0</v>
      </c>
      <c r="CF2611" t="b">
        <v>0</v>
      </c>
      <c r="CG2611">
        <v>2890441</v>
      </c>
      <c r="CH2611" t="s">
        <v>1681</v>
      </c>
      <c r="CI2611" s="10">
        <v>999950</v>
      </c>
      <c r="CJ2611" s="7">
        <v>37568</v>
      </c>
    </row>
    <row r="2612" spans="1:90">
      <c r="A2612">
        <v>28046964</v>
      </c>
      <c r="B2612" s="2" t="str">
        <f>HYPERLINK("http://www.redfin.com/stingray/do/printable-listing?listing-id=1584822","Active")</f>
        <v>Active</v>
      </c>
      <c r="D2612" t="s">
        <v>63</v>
      </c>
      <c r="E2612" t="s">
        <v>2285</v>
      </c>
      <c r="F2612">
        <v>424950</v>
      </c>
      <c r="G2612">
        <v>2006</v>
      </c>
      <c r="H2612">
        <v>1522</v>
      </c>
      <c r="I2612">
        <v>1465</v>
      </c>
      <c r="J2612">
        <v>3</v>
      </c>
      <c r="K2612">
        <v>4</v>
      </c>
      <c r="M2612" s="2" t="str">
        <f>HYPERLINK("http://maps.live.com/default.aspx?v=2&amp;lvl=15&amp;sp=Point.47.691954_-122.37522_8558 Mary Ave NW&amp;cp=47.691954~-122.37522","Map")</f>
        <v>Map</v>
      </c>
      <c r="N2612" s="2" t="str">
        <f>HYPERLINK("http://i-0.rfimg.us/photo/1/bigphoto/964/28046964_0.jpg","Photo")</f>
        <v>Photo</v>
      </c>
      <c r="AG2612">
        <v>47.691954000000003</v>
      </c>
      <c r="AH2612">
        <v>-122.37522</v>
      </c>
      <c r="AI2612" t="s">
        <v>66</v>
      </c>
      <c r="AJ2612">
        <v>98117</v>
      </c>
      <c r="BC2612" s="22">
        <v>39532.046435185184</v>
      </c>
      <c r="BI2612" s="22">
        <v>39549.294907407406</v>
      </c>
      <c r="BL2612">
        <v>8499</v>
      </c>
      <c r="BM2612">
        <v>1584822</v>
      </c>
      <c r="BN2612" t="s">
        <v>2202</v>
      </c>
      <c r="BO2612" s="17">
        <f t="shared" ca="1" si="40"/>
        <v>17.262970717594726</v>
      </c>
      <c r="BP2612" t="b">
        <v>0</v>
      </c>
      <c r="BQ2612">
        <v>1</v>
      </c>
      <c r="BR2612" t="s">
        <v>1667</v>
      </c>
      <c r="BS2612" t="s">
        <v>1779</v>
      </c>
      <c r="BT2612" t="b">
        <v>0</v>
      </c>
      <c r="BV2612" t="s">
        <v>1668</v>
      </c>
      <c r="BW2612">
        <v>8558</v>
      </c>
      <c r="BX2612" t="s">
        <v>1669</v>
      </c>
      <c r="BY2612">
        <v>12434155</v>
      </c>
      <c r="BZ2612" t="s">
        <v>1747</v>
      </c>
      <c r="CA2612">
        <v>1</v>
      </c>
      <c r="CB2612" t="b">
        <v>1</v>
      </c>
      <c r="CC2612">
        <v>0</v>
      </c>
      <c r="CD2612" t="b">
        <v>0</v>
      </c>
      <c r="CE2612" t="b">
        <v>1</v>
      </c>
      <c r="CF2612" t="b">
        <v>0</v>
      </c>
      <c r="CG2612">
        <v>15637903</v>
      </c>
      <c r="CH2612" t="s">
        <v>1681</v>
      </c>
      <c r="CI2612" s="10">
        <v>424950</v>
      </c>
    </row>
    <row r="2613" spans="1:90">
      <c r="A2613">
        <v>28046980</v>
      </c>
      <c r="B2613" s="2" t="str">
        <f>HYPERLINK("http://www.redfin.com/stingray/do/printable-listing?listing-id=1568932","Active")</f>
        <v>Active</v>
      </c>
      <c r="D2613" t="s">
        <v>5153</v>
      </c>
      <c r="E2613" t="s">
        <v>5330</v>
      </c>
      <c r="F2613">
        <v>500000</v>
      </c>
      <c r="G2613">
        <v>1954</v>
      </c>
      <c r="H2613">
        <v>1800</v>
      </c>
      <c r="I2613">
        <v>11926</v>
      </c>
      <c r="J2613">
        <v>3</v>
      </c>
      <c r="K2613">
        <v>2.75</v>
      </c>
      <c r="M2613" s="2" t="str">
        <f>HYPERLINK("http://maps.live.com/default.aspx?v=2&amp;lvl=15&amp;sp=Point.47.570717_-122.139807_15104 SE 42nd Pl&amp;cp=47.570717~-122.139807","Map")</f>
        <v>Map</v>
      </c>
      <c r="N2613" s="2" t="str">
        <f>HYPERLINK("http://i-0.rfimg.us/photo/1/bigphoto/980/28046980_1.jpg","Photo")</f>
        <v>Photo</v>
      </c>
      <c r="AG2613">
        <v>47.570717000000002</v>
      </c>
      <c r="AH2613">
        <v>-122.139807</v>
      </c>
      <c r="AI2613" t="s">
        <v>369</v>
      </c>
      <c r="AJ2613">
        <v>98006</v>
      </c>
      <c r="BC2613" s="22">
        <v>39525.506620370368</v>
      </c>
      <c r="BI2613" s="22">
        <v>39549.294907407406</v>
      </c>
      <c r="BL2613">
        <v>10000</v>
      </c>
      <c r="BM2613">
        <v>1568932</v>
      </c>
      <c r="BN2613" t="s">
        <v>2136</v>
      </c>
      <c r="BO2613" s="17">
        <f t="shared" ca="1" si="40"/>
        <v>23.80278553241078</v>
      </c>
      <c r="BP2613" t="b">
        <v>0</v>
      </c>
      <c r="BQ2613">
        <v>1</v>
      </c>
      <c r="BR2613" t="s">
        <v>1842</v>
      </c>
      <c r="BS2613" t="s">
        <v>3371</v>
      </c>
      <c r="BT2613" t="b">
        <v>0</v>
      </c>
      <c r="BU2613" t="s">
        <v>3856</v>
      </c>
      <c r="BV2613" t="s">
        <v>1668</v>
      </c>
      <c r="BW2613">
        <v>15104</v>
      </c>
      <c r="BY2613">
        <v>237388</v>
      </c>
      <c r="BZ2613" t="s">
        <v>3506</v>
      </c>
      <c r="CA2613">
        <v>1</v>
      </c>
      <c r="CB2613" t="b">
        <v>1</v>
      </c>
      <c r="CC2613">
        <v>0</v>
      </c>
      <c r="CD2613" t="b">
        <v>0</v>
      </c>
      <c r="CE2613" t="b">
        <v>0</v>
      </c>
      <c r="CF2613" t="b">
        <v>0</v>
      </c>
      <c r="CG2613">
        <v>2957007</v>
      </c>
      <c r="CH2613" t="s">
        <v>1681</v>
      </c>
      <c r="CI2613" s="10">
        <v>500000</v>
      </c>
    </row>
    <row r="2614" spans="1:90">
      <c r="A2614">
        <v>28046982</v>
      </c>
      <c r="B2614" s="2" t="str">
        <f>HYPERLINK("http://www.redfin.com/stingray/do/printable-listing?listing-id=1568664","Active")</f>
        <v>Active</v>
      </c>
      <c r="D2614" t="s">
        <v>3959</v>
      </c>
      <c r="E2614" t="s">
        <v>3994</v>
      </c>
      <c r="F2614">
        <v>357500</v>
      </c>
      <c r="G2614">
        <v>2007</v>
      </c>
      <c r="H2614">
        <v>1029</v>
      </c>
      <c r="I2614">
        <v>0</v>
      </c>
      <c r="J2614">
        <v>2</v>
      </c>
      <c r="K2614">
        <v>2.5</v>
      </c>
      <c r="M2614" s="2" t="str">
        <f>HYPERLINK("http://maps.live.com/default.aspx?v=2&amp;lvl=15&amp;sp=Point.47.601837_-122.298695_100 26th Ave nB&amp;cp=47.601837~-122.298695","Map")</f>
        <v>Map</v>
      </c>
      <c r="N2614" s="2" t="str">
        <f>HYPERLINK("http://i-0.rfimg.us/photo/1/bigphoto/982/28046982_0.jpg","Photo")</f>
        <v>Photo</v>
      </c>
      <c r="AG2614">
        <v>47.601837000000003</v>
      </c>
      <c r="AH2614">
        <v>-122.298695</v>
      </c>
      <c r="AI2614" t="s">
        <v>66</v>
      </c>
      <c r="AJ2614">
        <v>98122</v>
      </c>
      <c r="AM2614" t="s">
        <v>1699</v>
      </c>
      <c r="BC2614" s="22">
        <v>39525.443414351852</v>
      </c>
      <c r="BI2614" s="22">
        <v>39549.294907407406</v>
      </c>
      <c r="BL2614">
        <v>7150</v>
      </c>
      <c r="BM2614">
        <v>1568664</v>
      </c>
      <c r="BN2614" t="s">
        <v>1744</v>
      </c>
      <c r="BO2614" s="17">
        <f t="shared" ca="1" si="40"/>
        <v>23.865991550926992</v>
      </c>
      <c r="BP2614" t="b">
        <v>0</v>
      </c>
      <c r="BQ2614">
        <v>1</v>
      </c>
      <c r="BR2614" t="s">
        <v>1667</v>
      </c>
      <c r="BS2614" t="s">
        <v>1769</v>
      </c>
      <c r="BT2614" t="b">
        <v>0</v>
      </c>
      <c r="BV2614" t="s">
        <v>1668</v>
      </c>
      <c r="BW2614">
        <v>100</v>
      </c>
      <c r="BY2614">
        <v>12175218</v>
      </c>
      <c r="BZ2614" t="s">
        <v>1701</v>
      </c>
      <c r="CA2614">
        <v>1</v>
      </c>
      <c r="CB2614" t="b">
        <v>1</v>
      </c>
      <c r="CC2614">
        <v>0</v>
      </c>
      <c r="CD2614" t="b">
        <v>0</v>
      </c>
      <c r="CE2614" t="b">
        <v>0</v>
      </c>
      <c r="CF2614" t="b">
        <v>0</v>
      </c>
      <c r="CG2614">
        <v>15405825</v>
      </c>
      <c r="CH2614" t="s">
        <v>1681</v>
      </c>
      <c r="CI2614" s="10">
        <v>357500</v>
      </c>
    </row>
    <row r="2615" spans="1:90">
      <c r="A2615">
        <v>28046993</v>
      </c>
      <c r="B2615" s="2" t="str">
        <f>HYPERLINK("http://www.redfin.com/stingray/do/printable-listing?listing-id=1568791","Active")</f>
        <v>Active</v>
      </c>
      <c r="D2615" t="s">
        <v>70</v>
      </c>
      <c r="E2615" t="s">
        <v>2157</v>
      </c>
      <c r="F2615">
        <v>495000</v>
      </c>
      <c r="G2615">
        <v>1965</v>
      </c>
      <c r="H2615">
        <v>1630</v>
      </c>
      <c r="I2615">
        <v>7934</v>
      </c>
      <c r="J2615">
        <v>4</v>
      </c>
      <c r="K2615">
        <v>2.5</v>
      </c>
      <c r="M2615" s="2" t="str">
        <f>HYPERLINK("http://maps.live.com/default.aspx?v=2&amp;lvl=15&amp;sp=Point.47.715141_-122.352492_11732 Dayton Ave N&amp;cp=47.715141~-122.352492","Map")</f>
        <v>Map</v>
      </c>
      <c r="N2615" s="2" t="str">
        <f>HYPERLINK("http://i-0.rfimg.us/photo/1/bigphoto/993/28046993_0.jpg","Photo")</f>
        <v>Photo</v>
      </c>
      <c r="AG2615">
        <v>47.715141000000003</v>
      </c>
      <c r="AH2615">
        <v>-122.352492</v>
      </c>
      <c r="AI2615" t="s">
        <v>66</v>
      </c>
      <c r="AJ2615">
        <v>98133</v>
      </c>
      <c r="BC2615" s="22">
        <v>39525.474328703705</v>
      </c>
      <c r="BI2615" s="22">
        <v>39549.294907407406</v>
      </c>
      <c r="BL2615">
        <v>9900</v>
      </c>
      <c r="BM2615">
        <v>1568791</v>
      </c>
      <c r="BN2615" t="s">
        <v>2494</v>
      </c>
      <c r="BO2615" s="17">
        <f t="shared" ca="1" si="40"/>
        <v>23.835077199073567</v>
      </c>
      <c r="BP2615" t="b">
        <v>0</v>
      </c>
      <c r="BQ2615">
        <v>1</v>
      </c>
      <c r="BR2615" t="s">
        <v>1667</v>
      </c>
      <c r="BS2615" t="s">
        <v>2640</v>
      </c>
      <c r="BT2615" t="b">
        <v>0</v>
      </c>
      <c r="BV2615" t="s">
        <v>1668</v>
      </c>
      <c r="BW2615">
        <v>11732</v>
      </c>
      <c r="BX2615" t="s">
        <v>1712</v>
      </c>
      <c r="BY2615">
        <v>98181</v>
      </c>
      <c r="BZ2615" t="s">
        <v>1672</v>
      </c>
      <c r="CA2615">
        <v>1</v>
      </c>
      <c r="CB2615" t="b">
        <v>1</v>
      </c>
      <c r="CC2615">
        <v>0</v>
      </c>
      <c r="CD2615" t="b">
        <v>0</v>
      </c>
      <c r="CE2615" t="b">
        <v>0</v>
      </c>
      <c r="CF2615" t="b">
        <v>0</v>
      </c>
      <c r="CG2615">
        <v>2746666</v>
      </c>
      <c r="CH2615" t="s">
        <v>1681</v>
      </c>
      <c r="CI2615" s="10">
        <v>495000</v>
      </c>
      <c r="CL2615" t="s">
        <v>2204</v>
      </c>
    </row>
    <row r="2616" spans="1:90">
      <c r="A2616">
        <v>28047026</v>
      </c>
      <c r="B2616" s="15" t="str">
        <f>HYPERLINK("http://www.redfin.com/stingray/do/printable-listing?listing-id=1573048","Subject To Inspection")</f>
        <v>Subject To Inspection</v>
      </c>
      <c r="D2616" t="s">
        <v>3966</v>
      </c>
      <c r="E2616" t="s">
        <v>4077</v>
      </c>
      <c r="F2616">
        <v>625000</v>
      </c>
      <c r="G2616">
        <v>1996</v>
      </c>
      <c r="H2616">
        <v>1780</v>
      </c>
      <c r="I2616">
        <v>5500</v>
      </c>
      <c r="J2616">
        <v>3</v>
      </c>
      <c r="K2616">
        <v>2.5</v>
      </c>
      <c r="M2616" s="2" t="str">
        <f>HYPERLINK("http://maps.live.com/default.aspx?v=2&amp;lvl=15&amp;sp=Point.47.61329_-122.293371_1410 30th Ave&amp;cp=47.61329~-122.293371","Map")</f>
        <v>Map</v>
      </c>
      <c r="N2616" s="2" t="str">
        <f>HYPERLINK("http://i-0.rfimg.us/photo/1/bigphoto/026/28047026_1.jpg","Photo")</f>
        <v>Photo</v>
      </c>
      <c r="AG2616">
        <v>47.613289999999999</v>
      </c>
      <c r="AH2616">
        <v>-122.29337099999999</v>
      </c>
      <c r="AI2616" t="s">
        <v>66</v>
      </c>
      <c r="AJ2616">
        <v>98122</v>
      </c>
      <c r="AN2616">
        <v>347500</v>
      </c>
      <c r="BC2616" s="22">
        <v>39526.765902777777</v>
      </c>
      <c r="BI2616" s="22">
        <v>39545.917314814818</v>
      </c>
      <c r="BL2616">
        <v>12500</v>
      </c>
      <c r="BM2616">
        <v>1573048</v>
      </c>
      <c r="BN2616" t="s">
        <v>1829</v>
      </c>
      <c r="BO2616" s="17">
        <f t="shared" ca="1" si="40"/>
        <v>22.543503125001735</v>
      </c>
      <c r="BP2616" t="b">
        <v>0</v>
      </c>
      <c r="BQ2616">
        <v>1</v>
      </c>
      <c r="BR2616" t="s">
        <v>1667</v>
      </c>
      <c r="BS2616" t="s">
        <v>1818</v>
      </c>
      <c r="BT2616" t="b">
        <v>0</v>
      </c>
      <c r="BV2616" t="s">
        <v>1668</v>
      </c>
      <c r="BW2616">
        <v>1410</v>
      </c>
      <c r="BY2616">
        <v>146200</v>
      </c>
      <c r="BZ2616" t="s">
        <v>1709</v>
      </c>
      <c r="CA2616">
        <v>1</v>
      </c>
      <c r="CB2616" t="b">
        <v>1</v>
      </c>
      <c r="CC2616">
        <v>0</v>
      </c>
      <c r="CD2616" t="b">
        <v>0</v>
      </c>
      <c r="CE2616" t="b">
        <v>0</v>
      </c>
      <c r="CF2616" t="b">
        <v>0</v>
      </c>
      <c r="CG2616">
        <v>2598257</v>
      </c>
      <c r="CH2616" t="s">
        <v>1681</v>
      </c>
      <c r="CI2616" s="10">
        <v>625000</v>
      </c>
      <c r="CJ2616" s="7">
        <v>36635</v>
      </c>
    </row>
    <row r="2617" spans="1:90">
      <c r="A2617">
        <v>28047053</v>
      </c>
      <c r="B2617" s="15" t="str">
        <f>HYPERLINK("http://www.redfin.com/stingray/do/printable-listing?listing-id=1572416","Subject To Inspection")</f>
        <v>Subject To Inspection</v>
      </c>
      <c r="D2617" t="s">
        <v>3966</v>
      </c>
      <c r="E2617" t="s">
        <v>4026</v>
      </c>
      <c r="F2617">
        <v>525000</v>
      </c>
      <c r="G2617">
        <v>1935</v>
      </c>
      <c r="H2617">
        <v>2570</v>
      </c>
      <c r="I2617">
        <v>4356</v>
      </c>
      <c r="J2617">
        <v>3</v>
      </c>
      <c r="K2617">
        <v>1.5</v>
      </c>
      <c r="M2617" s="2" t="str">
        <f>HYPERLINK("http://maps.live.com/default.aspx?v=2&amp;lvl=15&amp;sp=Point.47.616139_-122.288873_1630 34th Ave&amp;cp=47.616139~-122.288873","Map")</f>
        <v>Map</v>
      </c>
      <c r="N2617" s="2" t="str">
        <f>HYPERLINK("http://i-0.rfimg.us/photo/1/bigphoto/053/28047053_2.jpg","Photo")</f>
        <v>Photo</v>
      </c>
      <c r="AG2617">
        <v>47.616138999999997</v>
      </c>
      <c r="AH2617">
        <v>-122.288873</v>
      </c>
      <c r="AI2617" t="s">
        <v>66</v>
      </c>
      <c r="AJ2617">
        <v>98122</v>
      </c>
      <c r="BC2617" s="22">
        <v>39526.578287037039</v>
      </c>
      <c r="BI2617" s="7">
        <v>39539</v>
      </c>
      <c r="BL2617">
        <v>10500</v>
      </c>
      <c r="BM2617">
        <v>1572416</v>
      </c>
      <c r="BN2617" t="s">
        <v>3742</v>
      </c>
      <c r="BO2617" s="17">
        <f t="shared" ca="1" si="40"/>
        <v>22.731118865740427</v>
      </c>
      <c r="BP2617" t="b">
        <v>0</v>
      </c>
      <c r="BQ2617">
        <v>1</v>
      </c>
      <c r="BR2617" t="s">
        <v>1667</v>
      </c>
      <c r="BS2617" t="s">
        <v>2912</v>
      </c>
      <c r="BT2617" t="b">
        <v>0</v>
      </c>
      <c r="BV2617" t="s">
        <v>1668</v>
      </c>
      <c r="BW2617">
        <v>1630</v>
      </c>
      <c r="BY2617">
        <v>140867</v>
      </c>
      <c r="BZ2617" t="s">
        <v>4027</v>
      </c>
      <c r="CA2617">
        <v>1</v>
      </c>
      <c r="CB2617" t="b">
        <v>1</v>
      </c>
      <c r="CC2617">
        <v>0</v>
      </c>
      <c r="CD2617" t="b">
        <v>1</v>
      </c>
      <c r="CE2617" t="b">
        <v>0</v>
      </c>
      <c r="CF2617" t="b">
        <v>0</v>
      </c>
      <c r="CG2617">
        <v>2373609</v>
      </c>
      <c r="CH2617" t="s">
        <v>1681</v>
      </c>
      <c r="CI2617" s="10">
        <v>525000</v>
      </c>
    </row>
    <row r="2618" spans="1:90">
      <c r="A2618">
        <v>28047115</v>
      </c>
      <c r="B2618" s="2" t="str">
        <f>HYPERLINK("http://www.redfin.com/stingray/do/printable-listing?listing-id=1572622","Active")</f>
        <v>Active</v>
      </c>
      <c r="D2618" t="s">
        <v>2848</v>
      </c>
      <c r="E2618" t="s">
        <v>2854</v>
      </c>
      <c r="F2618">
        <v>799950</v>
      </c>
      <c r="G2618">
        <v>1997</v>
      </c>
      <c r="H2618">
        <v>2635</v>
      </c>
      <c r="I2618">
        <v>24180</v>
      </c>
      <c r="J2618">
        <v>3</v>
      </c>
      <c r="K2618">
        <v>3</v>
      </c>
      <c r="M2618" s="2" t="str">
        <f>HYPERLINK("http://maps.live.com/default.aspx?v=2&amp;lvl=15&amp;sp=Point.47.721188_-122.250586_6804 NE 134th St&amp;cp=47.721188~-122.250586","Map")</f>
        <v>Map</v>
      </c>
      <c r="N2618" s="2" t="str">
        <f>HYPERLINK("http://i-0.rfimg.us/photo/1/bigphoto/115/28047115_1.jpg","Photo")</f>
        <v>Photo</v>
      </c>
      <c r="AG2618">
        <v>47.721187999999998</v>
      </c>
      <c r="AH2618">
        <v>-122.250586</v>
      </c>
      <c r="AI2618" t="s">
        <v>1058</v>
      </c>
      <c r="AJ2618">
        <v>98034</v>
      </c>
      <c r="AN2618">
        <v>781000</v>
      </c>
      <c r="BC2618" s="22">
        <v>39526.631354166668</v>
      </c>
      <c r="BI2618" s="22">
        <v>39549.294907407406</v>
      </c>
      <c r="BL2618">
        <v>15999</v>
      </c>
      <c r="BM2618">
        <v>1572622</v>
      </c>
      <c r="BN2618" t="s">
        <v>1768</v>
      </c>
      <c r="BO2618" s="17">
        <f t="shared" ca="1" si="40"/>
        <v>22.678051736111229</v>
      </c>
      <c r="BP2618" t="b">
        <v>0</v>
      </c>
      <c r="BQ2618">
        <v>1</v>
      </c>
      <c r="BR2618" t="s">
        <v>1686</v>
      </c>
      <c r="BS2618" t="s">
        <v>2855</v>
      </c>
      <c r="BT2618" t="b">
        <v>0</v>
      </c>
      <c r="BU2618" t="s">
        <v>1738</v>
      </c>
      <c r="BV2618" t="s">
        <v>1668</v>
      </c>
      <c r="BW2618">
        <v>6804</v>
      </c>
      <c r="BY2618">
        <v>281758</v>
      </c>
      <c r="BZ2618" t="s">
        <v>1742</v>
      </c>
      <c r="CA2618">
        <v>1</v>
      </c>
      <c r="CB2618" t="b">
        <v>1</v>
      </c>
      <c r="CC2618">
        <v>0</v>
      </c>
      <c r="CD2618" t="b">
        <v>0</v>
      </c>
      <c r="CE2618" t="b">
        <v>0</v>
      </c>
      <c r="CF2618" t="b">
        <v>0</v>
      </c>
      <c r="CG2618">
        <v>2972244</v>
      </c>
      <c r="CH2618" t="s">
        <v>1681</v>
      </c>
      <c r="CI2618" s="10">
        <v>799950</v>
      </c>
      <c r="CJ2618" s="7">
        <v>38954</v>
      </c>
    </row>
    <row r="2619" spans="1:90">
      <c r="A2619">
        <v>28047125</v>
      </c>
      <c r="B2619" s="2" t="str">
        <f>HYPERLINK("http://www.redfin.com/stingray/do/printable-listing?listing-id=1569127","Active")</f>
        <v>Active</v>
      </c>
      <c r="D2619" t="s">
        <v>63</v>
      </c>
      <c r="E2619" t="s">
        <v>1965</v>
      </c>
      <c r="F2619">
        <v>625000</v>
      </c>
      <c r="G2619">
        <v>1928</v>
      </c>
      <c r="H2619">
        <v>2260</v>
      </c>
      <c r="I2619">
        <v>2800</v>
      </c>
      <c r="J2619">
        <v>3</v>
      </c>
      <c r="K2619">
        <v>1.75</v>
      </c>
      <c r="M2619" s="2" t="str">
        <f>HYPERLINK("http://maps.live.com/default.aspx?v=2&amp;lvl=15&amp;sp=Point.47.677901_-122.37112_6701 11th Ave NW&amp;cp=47.677901~-122.37112","Map")</f>
        <v>Map</v>
      </c>
      <c r="N2619" s="2" t="str">
        <f>HYPERLINK("http://i-0.rfimg.us/photo/1/bigphoto/125/28047125_0.jpg","Photo")</f>
        <v>Photo</v>
      </c>
      <c r="AG2619">
        <v>47.677900999999999</v>
      </c>
      <c r="AH2619">
        <v>-122.37112</v>
      </c>
      <c r="AI2619" t="s">
        <v>66</v>
      </c>
      <c r="AJ2619">
        <v>98117</v>
      </c>
      <c r="BC2619" s="22">
        <v>39525.536990740744</v>
      </c>
      <c r="BI2619" s="22">
        <v>39549.294907407406</v>
      </c>
      <c r="BL2619">
        <v>12500</v>
      </c>
      <c r="BM2619">
        <v>1569127</v>
      </c>
      <c r="BN2619" t="s">
        <v>1815</v>
      </c>
      <c r="BO2619" s="17">
        <f t="shared" ca="1" si="40"/>
        <v>23.772415277773689</v>
      </c>
      <c r="BP2619" t="b">
        <v>0</v>
      </c>
      <c r="BQ2619">
        <v>1</v>
      </c>
      <c r="BR2619" t="s">
        <v>1667</v>
      </c>
      <c r="BS2619" t="s">
        <v>1792</v>
      </c>
      <c r="BT2619" t="b">
        <v>0</v>
      </c>
      <c r="BV2619" t="s">
        <v>1668</v>
      </c>
      <c r="BW2619">
        <v>6701</v>
      </c>
      <c r="BX2619" t="s">
        <v>1669</v>
      </c>
      <c r="BY2619">
        <v>496978</v>
      </c>
      <c r="BZ2619" t="s">
        <v>1696</v>
      </c>
      <c r="CA2619">
        <v>1</v>
      </c>
      <c r="CB2619" t="b">
        <v>1</v>
      </c>
      <c r="CC2619">
        <v>0</v>
      </c>
      <c r="CD2619" t="b">
        <v>0</v>
      </c>
      <c r="CE2619" t="b">
        <v>1</v>
      </c>
      <c r="CF2619" t="b">
        <v>0</v>
      </c>
      <c r="CG2619">
        <v>2344796</v>
      </c>
      <c r="CH2619" t="s">
        <v>1681</v>
      </c>
      <c r="CI2619" s="10">
        <v>625000</v>
      </c>
      <c r="CL2619" t="s">
        <v>2012</v>
      </c>
    </row>
    <row r="2620" spans="1:90">
      <c r="A2620">
        <v>28047138</v>
      </c>
      <c r="B2620" s="2" t="str">
        <f>HYPERLINK("http://www.redfin.com/stingray/do/printable-listing?listing-id=1571674","Active")</f>
        <v>Active</v>
      </c>
      <c r="D2620" t="s">
        <v>1152</v>
      </c>
      <c r="E2620" t="s">
        <v>3133</v>
      </c>
      <c r="F2620">
        <v>635000</v>
      </c>
      <c r="G2620">
        <v>2008</v>
      </c>
      <c r="H2620">
        <v>2030</v>
      </c>
      <c r="I2620">
        <v>0</v>
      </c>
      <c r="J2620">
        <v>3</v>
      </c>
      <c r="K2620">
        <v>3.5</v>
      </c>
      <c r="M2620" s="2" t="str">
        <f>HYPERLINK("http://maps.live.com/default.aspx?v=2&amp;lvl=15&amp;sp=Point.47.668972_-122.282624_5511 43rd Ave NE&amp;cp=47.668972~-122.282624","Map")</f>
        <v>Map</v>
      </c>
      <c r="N2620" s="2" t="str">
        <f>HYPERLINK("http://i-0.rfimg.us/photo/1/bigphoto/138/28047138_2.jpg","Photo")</f>
        <v>Photo</v>
      </c>
      <c r="AG2620">
        <v>47.668971999999997</v>
      </c>
      <c r="AH2620">
        <v>-122.282624</v>
      </c>
      <c r="AI2620" t="s">
        <v>66</v>
      </c>
      <c r="AJ2620">
        <v>98105</v>
      </c>
      <c r="AN2620">
        <v>450000</v>
      </c>
      <c r="BC2620" s="22">
        <v>39526.453206018516</v>
      </c>
      <c r="BI2620" s="22">
        <v>39549.294907407406</v>
      </c>
      <c r="BL2620">
        <v>12700</v>
      </c>
      <c r="BM2620">
        <v>1571674</v>
      </c>
      <c r="BN2620" t="s">
        <v>1768</v>
      </c>
      <c r="BO2620" s="17">
        <f t="shared" ca="1" si="40"/>
        <v>22.856199884263333</v>
      </c>
      <c r="BP2620" t="b">
        <v>0</v>
      </c>
      <c r="BQ2620">
        <v>1</v>
      </c>
      <c r="BR2620" t="s">
        <v>1667</v>
      </c>
      <c r="BS2620" t="s">
        <v>3134</v>
      </c>
      <c r="BT2620" t="b">
        <v>0</v>
      </c>
      <c r="BV2620" t="s">
        <v>1668</v>
      </c>
      <c r="BW2620">
        <v>5511</v>
      </c>
      <c r="BX2620" t="s">
        <v>1738</v>
      </c>
      <c r="BY2620">
        <v>314259</v>
      </c>
      <c r="BZ2620" t="s">
        <v>2577</v>
      </c>
      <c r="CA2620">
        <v>1</v>
      </c>
      <c r="CB2620" t="b">
        <v>1</v>
      </c>
      <c r="CC2620">
        <v>0</v>
      </c>
      <c r="CD2620" t="b">
        <v>0</v>
      </c>
      <c r="CE2620" t="b">
        <v>0</v>
      </c>
      <c r="CF2620" t="b">
        <v>0</v>
      </c>
      <c r="CG2620">
        <v>2925858</v>
      </c>
      <c r="CH2620" t="s">
        <v>1681</v>
      </c>
      <c r="CI2620" s="10">
        <v>635000</v>
      </c>
      <c r="CJ2620" s="7">
        <v>39112</v>
      </c>
    </row>
    <row r="2621" spans="1:90">
      <c r="A2621">
        <v>28047151</v>
      </c>
      <c r="B2621" s="15" t="str">
        <f>HYPERLINK("http://www.redfin.com/stingray/do/printable-listing?listing-id=1569216","Subject To Inspection")</f>
        <v>Subject To Inspection</v>
      </c>
      <c r="D2621" t="s">
        <v>78</v>
      </c>
      <c r="E2621" t="s">
        <v>1930</v>
      </c>
      <c r="F2621">
        <v>899950</v>
      </c>
      <c r="G2621">
        <v>2004</v>
      </c>
      <c r="H2621">
        <v>2530</v>
      </c>
      <c r="I2621">
        <v>11560</v>
      </c>
      <c r="J2621">
        <v>3</v>
      </c>
      <c r="K2621">
        <v>2.5</v>
      </c>
      <c r="M2621" s="2" t="str">
        <f>HYPERLINK("http://maps.live.com/default.aspx?v=2&amp;lvl=15&amp;sp=Point.47.692748_-122.398707_8720 Golden Gardens Dr NW&amp;cp=47.692748~-122.398707","Map")</f>
        <v>Map</v>
      </c>
      <c r="N2621" s="2" t="str">
        <f>HYPERLINK("http://i-0.rfimg.us/photo/1/bigphoto/151/28047151_1.jpg","Photo")</f>
        <v>Photo</v>
      </c>
      <c r="AG2621">
        <v>47.692748000000002</v>
      </c>
      <c r="AH2621">
        <v>-122.398707</v>
      </c>
      <c r="AI2621" t="s">
        <v>66</v>
      </c>
      <c r="AJ2621">
        <v>98117</v>
      </c>
      <c r="AN2621">
        <v>270000</v>
      </c>
      <c r="BC2621" s="22">
        <v>39525.561932870369</v>
      </c>
      <c r="BI2621" s="7">
        <v>39541</v>
      </c>
      <c r="BL2621">
        <v>17999</v>
      </c>
      <c r="BM2621">
        <v>1569216</v>
      </c>
      <c r="BN2621" t="s">
        <v>1929</v>
      </c>
      <c r="BO2621" s="17">
        <f t="shared" ca="1" si="40"/>
        <v>23.747473148148856</v>
      </c>
      <c r="BP2621" t="b">
        <v>0</v>
      </c>
      <c r="BQ2621">
        <v>1</v>
      </c>
      <c r="BR2621" t="s">
        <v>1816</v>
      </c>
      <c r="BS2621" t="s">
        <v>1919</v>
      </c>
      <c r="BT2621" t="b">
        <v>0</v>
      </c>
      <c r="BV2621" t="s">
        <v>1668</v>
      </c>
      <c r="BW2621">
        <v>8720</v>
      </c>
      <c r="BX2621" t="s">
        <v>1669</v>
      </c>
      <c r="BY2621">
        <v>290143</v>
      </c>
      <c r="BZ2621" t="s">
        <v>1704</v>
      </c>
      <c r="CA2621">
        <v>1</v>
      </c>
      <c r="CB2621" t="b">
        <v>1</v>
      </c>
      <c r="CC2621">
        <v>0</v>
      </c>
      <c r="CD2621" t="b">
        <v>0</v>
      </c>
      <c r="CE2621" t="b">
        <v>1</v>
      </c>
      <c r="CF2621" t="b">
        <v>0</v>
      </c>
      <c r="CG2621">
        <v>2886297</v>
      </c>
      <c r="CH2621" t="s">
        <v>1681</v>
      </c>
      <c r="CI2621" s="10">
        <v>899950</v>
      </c>
      <c r="CJ2621" s="7">
        <v>37943</v>
      </c>
    </row>
    <row r="2622" spans="1:90">
      <c r="A2622">
        <v>28047212</v>
      </c>
      <c r="B2622" s="15" t="str">
        <f>HYPERLINK("http://www.redfin.com/stingray/do/printable-listing?listing-id=1578997","Subject To Inspection")</f>
        <v>Subject To Inspection</v>
      </c>
      <c r="D2622" t="s">
        <v>983</v>
      </c>
      <c r="E2622" t="s">
        <v>2996</v>
      </c>
      <c r="F2622">
        <v>1799000</v>
      </c>
      <c r="G2622">
        <v>2007</v>
      </c>
      <c r="H2622">
        <v>3952</v>
      </c>
      <c r="I2622">
        <v>0</v>
      </c>
      <c r="J2622">
        <v>4</v>
      </c>
      <c r="K2622">
        <v>3.5</v>
      </c>
      <c r="M2622" s="2" t="str">
        <f>HYPERLINK("http://maps.live.com/default.aspx?v=2&amp;lvl=15&amp;sp=Point.47.711127_-122.276227_11252 Riviera Pl NE&amp;cp=47.711127~-122.276227","Map")</f>
        <v>Map</v>
      </c>
      <c r="N2622" s="2" t="str">
        <f>HYPERLINK("http://i-0.rfimg.us/photo/1/bigphoto/212/28047212_0.jpg","Photo")</f>
        <v>Photo</v>
      </c>
      <c r="AG2622">
        <v>47.711126999999998</v>
      </c>
      <c r="AH2622">
        <v>-122.27622700000001</v>
      </c>
      <c r="AI2622" t="s">
        <v>66</v>
      </c>
      <c r="AJ2622">
        <v>98125</v>
      </c>
      <c r="AN2622">
        <v>621000</v>
      </c>
      <c r="BC2622" s="22">
        <v>39528.682430555556</v>
      </c>
      <c r="BI2622" s="22">
        <v>39549.294907407406</v>
      </c>
      <c r="BL2622">
        <v>35980</v>
      </c>
      <c r="BM2622">
        <v>1578997</v>
      </c>
      <c r="BN2622" t="s">
        <v>1817</v>
      </c>
      <c r="BO2622" s="17">
        <f t="shared" ca="1" si="40"/>
        <v>20.626975347222469</v>
      </c>
      <c r="BP2622" t="b">
        <v>0</v>
      </c>
      <c r="BQ2622">
        <v>1</v>
      </c>
      <c r="BR2622" t="s">
        <v>1842</v>
      </c>
      <c r="BS2622" t="s">
        <v>2834</v>
      </c>
      <c r="BT2622" t="b">
        <v>0</v>
      </c>
      <c r="BV2622" t="s">
        <v>1668</v>
      </c>
      <c r="BW2622">
        <v>11252</v>
      </c>
      <c r="BX2622" t="s">
        <v>1738</v>
      </c>
      <c r="BY2622">
        <v>319979</v>
      </c>
      <c r="BZ2622" t="s">
        <v>1701</v>
      </c>
      <c r="CA2622">
        <v>1</v>
      </c>
      <c r="CB2622" t="b">
        <v>1</v>
      </c>
      <c r="CC2622">
        <v>0</v>
      </c>
      <c r="CD2622" t="b">
        <v>0</v>
      </c>
      <c r="CE2622" t="b">
        <v>1</v>
      </c>
      <c r="CF2622" t="b">
        <v>0</v>
      </c>
      <c r="CG2622">
        <v>2824816</v>
      </c>
      <c r="CH2622" t="s">
        <v>1681</v>
      </c>
      <c r="CI2622" s="10">
        <v>1799000</v>
      </c>
      <c r="CJ2622" s="7">
        <v>38075</v>
      </c>
    </row>
    <row r="2623" spans="1:90">
      <c r="A2623">
        <v>28047220</v>
      </c>
      <c r="B2623" s="2" t="str">
        <f>HYPERLINK("http://www.redfin.com/stingray/do/printable-listing?listing-id=1569466","Active")</f>
        <v>Active</v>
      </c>
      <c r="D2623" t="s">
        <v>226</v>
      </c>
      <c r="E2623" t="s">
        <v>2195</v>
      </c>
      <c r="F2623">
        <v>399950</v>
      </c>
      <c r="G2623">
        <v>1920</v>
      </c>
      <c r="H2623">
        <v>2300</v>
      </c>
      <c r="I2623">
        <v>4500</v>
      </c>
      <c r="J2623">
        <v>4</v>
      </c>
      <c r="K2623">
        <v>1.75</v>
      </c>
      <c r="M2623" s="2" t="str">
        <f>HYPERLINK("http://maps.live.com/default.aspx?v=2&amp;lvl=15&amp;sp=Point.47.670441_-122.315962_5632 11th Ave NE&amp;cp=47.670441~-122.315962","Map")</f>
        <v>Map</v>
      </c>
      <c r="N2623" s="2" t="str">
        <f>HYPERLINK("http://i-0.rfimg.us/photo/1/bigphoto/220/28047220_6.jpg","Photo")</f>
        <v>Photo</v>
      </c>
      <c r="AG2623">
        <v>47.670440999999997</v>
      </c>
      <c r="AH2623">
        <v>-122.315962</v>
      </c>
      <c r="AI2623" t="s">
        <v>66</v>
      </c>
      <c r="AJ2623">
        <v>98105</v>
      </c>
      <c r="AN2623">
        <v>74500</v>
      </c>
      <c r="BC2623" s="22">
        <v>39525.584618055553</v>
      </c>
      <c r="BI2623" s="7">
        <v>39533</v>
      </c>
      <c r="BL2623">
        <v>7999</v>
      </c>
      <c r="BM2623">
        <v>1569466</v>
      </c>
      <c r="BN2623" t="s">
        <v>1678</v>
      </c>
      <c r="BO2623" s="17">
        <f t="shared" ca="1" si="40"/>
        <v>23.724787847226253</v>
      </c>
      <c r="BP2623" t="b">
        <v>0</v>
      </c>
      <c r="BQ2623">
        <v>1</v>
      </c>
      <c r="BR2623" t="s">
        <v>1667</v>
      </c>
      <c r="BS2623" t="s">
        <v>1792</v>
      </c>
      <c r="BT2623" t="b">
        <v>0</v>
      </c>
      <c r="BV2623" t="s">
        <v>1668</v>
      </c>
      <c r="BW2623">
        <v>5632</v>
      </c>
      <c r="BX2623" t="s">
        <v>1738</v>
      </c>
      <c r="BY2623">
        <v>311733</v>
      </c>
      <c r="BZ2623" s="21">
        <v>6.9444444444444447E-4</v>
      </c>
      <c r="CA2623">
        <v>1</v>
      </c>
      <c r="CB2623" t="b">
        <v>1</v>
      </c>
      <c r="CC2623">
        <v>0</v>
      </c>
      <c r="CD2623" t="b">
        <v>0</v>
      </c>
      <c r="CE2623" t="b">
        <v>0</v>
      </c>
      <c r="CF2623" t="b">
        <v>0</v>
      </c>
      <c r="CG2623">
        <v>2439911</v>
      </c>
      <c r="CH2623" t="s">
        <v>1681</v>
      </c>
      <c r="CI2623" s="10">
        <v>399950</v>
      </c>
      <c r="CJ2623" s="7">
        <v>31596</v>
      </c>
    </row>
    <row r="2624" spans="1:90">
      <c r="A2624">
        <v>28047233</v>
      </c>
      <c r="B2624" s="2" t="str">
        <f>HYPERLINK("http://www.redfin.com/stingray/do/printable-listing?listing-id=1569497","Active")</f>
        <v>Active</v>
      </c>
      <c r="D2624" t="s">
        <v>109</v>
      </c>
      <c r="E2624" t="s">
        <v>3303</v>
      </c>
      <c r="F2624">
        <v>849000</v>
      </c>
      <c r="G2624">
        <v>1919</v>
      </c>
      <c r="H2624">
        <v>2500</v>
      </c>
      <c r="I2624">
        <v>4560</v>
      </c>
      <c r="J2624">
        <v>4</v>
      </c>
      <c r="K2624">
        <v>3</v>
      </c>
      <c r="M2624" s="2" t="str">
        <f>HYPERLINK("http://maps.live.com/default.aspx?v=2&amp;lvl=15&amp;sp=Point.47.656278_-122.329869_4022 Sunnyside Ave N&amp;cp=47.656278~-122.329869","Map")</f>
        <v>Map</v>
      </c>
      <c r="N2624" s="2" t="str">
        <f>HYPERLINK("http://i-0.rfimg.us/photo/1/bigphoto/233/28047233_0.jpg","Photo")</f>
        <v>Photo</v>
      </c>
      <c r="AG2624">
        <v>47.656278</v>
      </c>
      <c r="AH2624">
        <v>-122.329869</v>
      </c>
      <c r="AI2624" t="s">
        <v>66</v>
      </c>
      <c r="AJ2624">
        <v>98103</v>
      </c>
      <c r="AN2624">
        <v>500000</v>
      </c>
      <c r="BC2624" s="22">
        <v>39525.595023148147</v>
      </c>
      <c r="BI2624" s="7">
        <v>39533</v>
      </c>
      <c r="BL2624">
        <v>16980</v>
      </c>
      <c r="BM2624">
        <v>1569497</v>
      </c>
      <c r="BN2624" t="s">
        <v>1710</v>
      </c>
      <c r="BO2624" s="17">
        <f t="shared" ca="1" si="40"/>
        <v>23.714382754631515</v>
      </c>
      <c r="BP2624" t="b">
        <v>0</v>
      </c>
      <c r="BQ2624">
        <v>1</v>
      </c>
      <c r="BR2624" t="s">
        <v>1667</v>
      </c>
      <c r="BS2624" t="s">
        <v>2427</v>
      </c>
      <c r="BT2624" t="b">
        <v>0</v>
      </c>
      <c r="BV2624" t="s">
        <v>1668</v>
      </c>
      <c r="BW2624">
        <v>4022</v>
      </c>
      <c r="BX2624" t="s">
        <v>1712</v>
      </c>
      <c r="BY2624">
        <v>118087</v>
      </c>
      <c r="BZ2624" t="s">
        <v>1672</v>
      </c>
      <c r="CA2624">
        <v>1</v>
      </c>
      <c r="CB2624" t="b">
        <v>1</v>
      </c>
      <c r="CC2624">
        <v>0</v>
      </c>
      <c r="CD2624" t="b">
        <v>0</v>
      </c>
      <c r="CE2624" t="b">
        <v>0</v>
      </c>
      <c r="CF2624" t="b">
        <v>0</v>
      </c>
      <c r="CG2624">
        <v>2719996</v>
      </c>
      <c r="CH2624" t="s">
        <v>1681</v>
      </c>
      <c r="CI2624" s="10">
        <v>849000</v>
      </c>
      <c r="CJ2624" s="7">
        <v>36769</v>
      </c>
    </row>
    <row r="2625" spans="1:90">
      <c r="A2625">
        <v>28047276</v>
      </c>
      <c r="B2625" s="2" t="str">
        <f>HYPERLINK("http://www.redfin.com/stingray/do/printable-listing?listing-id=1569585","Active")</f>
        <v>Active</v>
      </c>
      <c r="D2625" t="s">
        <v>60</v>
      </c>
      <c r="E2625" t="s">
        <v>2407</v>
      </c>
      <c r="F2625">
        <v>735000</v>
      </c>
      <c r="G2625">
        <v>2008</v>
      </c>
      <c r="H2625">
        <v>0</v>
      </c>
      <c r="I2625">
        <v>0</v>
      </c>
      <c r="J2625">
        <v>3</v>
      </c>
      <c r="K2625">
        <v>2.5</v>
      </c>
      <c r="M2625" s="2" t="str">
        <f>HYPERLINK("http://maps.live.com/default.aspx?v=2&amp;lvl=15&amp;sp=Point.47.685506_-122.335229_2020 N 78th St&amp;cp=47.685506~-122.335229","Map")</f>
        <v>Map</v>
      </c>
      <c r="N2625" s="2" t="str">
        <f>HYPERLINK("http://i-0.rfimg.us/photo/1/bigphoto/276/28047276_0.jpg","Photo")</f>
        <v>Photo</v>
      </c>
      <c r="AG2625">
        <v>47.685505999999997</v>
      </c>
      <c r="AH2625">
        <v>-122.335229</v>
      </c>
      <c r="AI2625" t="s">
        <v>66</v>
      </c>
      <c r="AJ2625">
        <v>98103</v>
      </c>
      <c r="AN2625">
        <v>442000</v>
      </c>
      <c r="BC2625" s="22">
        <v>39525.615324074075</v>
      </c>
      <c r="BI2625" s="22">
        <v>39549.294907407406</v>
      </c>
      <c r="BL2625">
        <v>14700</v>
      </c>
      <c r="BM2625">
        <v>1569585</v>
      </c>
      <c r="BN2625" t="s">
        <v>1710</v>
      </c>
      <c r="BO2625" s="17">
        <f t="shared" ca="1" si="40"/>
        <v>23.694081944442587</v>
      </c>
      <c r="BP2625" t="b">
        <v>0</v>
      </c>
      <c r="BQ2625">
        <v>1</v>
      </c>
      <c r="BR2625" t="s">
        <v>1686</v>
      </c>
      <c r="BS2625" t="s">
        <v>2354</v>
      </c>
      <c r="BT2625" t="b">
        <v>0</v>
      </c>
      <c r="BU2625" t="s">
        <v>1712</v>
      </c>
      <c r="BV2625" t="s">
        <v>1668</v>
      </c>
      <c r="BW2625">
        <v>2020</v>
      </c>
      <c r="BY2625">
        <v>307609</v>
      </c>
      <c r="BZ2625" t="s">
        <v>1672</v>
      </c>
      <c r="CA2625">
        <v>1</v>
      </c>
      <c r="CB2625" t="b">
        <v>1</v>
      </c>
      <c r="CC2625">
        <v>0</v>
      </c>
      <c r="CD2625" t="b">
        <v>0</v>
      </c>
      <c r="CE2625" t="b">
        <v>0</v>
      </c>
      <c r="CF2625" t="b">
        <v>0</v>
      </c>
      <c r="CG2625">
        <v>2914786</v>
      </c>
      <c r="CH2625" t="s">
        <v>1681</v>
      </c>
      <c r="CI2625" s="10">
        <v>735000</v>
      </c>
      <c r="CJ2625" s="7">
        <v>38811</v>
      </c>
    </row>
    <row r="2626" spans="1:90">
      <c r="A2626">
        <v>28047304</v>
      </c>
      <c r="B2626" s="2" t="str">
        <f>HYPERLINK("http://www.redfin.com/stingray/do/printable-listing?listing-id=1569703","Active")</f>
        <v>Active</v>
      </c>
      <c r="D2626" t="s">
        <v>60</v>
      </c>
      <c r="E2626" t="s">
        <v>2408</v>
      </c>
      <c r="F2626">
        <v>699500</v>
      </c>
      <c r="G2626">
        <v>2008</v>
      </c>
      <c r="H2626">
        <v>0</v>
      </c>
      <c r="I2626">
        <v>0</v>
      </c>
      <c r="J2626">
        <v>3</v>
      </c>
      <c r="K2626">
        <v>2.5</v>
      </c>
      <c r="M2626" s="2" t="str">
        <f>HYPERLINK("http://maps.live.com/default.aspx?v=2&amp;lvl=15&amp;sp=Point.47.685623_-122.335179_2018 N 78th St&amp;cp=47.685623~-122.335179","Map")</f>
        <v>Map</v>
      </c>
      <c r="N2626" s="2" t="str">
        <f>HYPERLINK("http://i-0.rfimg.us/photo/1/bigphoto/304/28047304_0.jpg","Photo")</f>
        <v>Photo</v>
      </c>
      <c r="AG2626">
        <v>47.685623</v>
      </c>
      <c r="AH2626">
        <v>-122.335179</v>
      </c>
      <c r="AI2626" t="s">
        <v>66</v>
      </c>
      <c r="AJ2626">
        <v>98103</v>
      </c>
      <c r="BC2626" s="22">
        <v>39525.648796296293</v>
      </c>
      <c r="BI2626" s="22">
        <v>39549.294907407406</v>
      </c>
      <c r="BL2626">
        <v>13990</v>
      </c>
      <c r="BM2626">
        <v>1569703</v>
      </c>
      <c r="BN2626" t="s">
        <v>1710</v>
      </c>
      <c r="BO2626" s="17">
        <f t="shared" ref="BO2626:BO2689" ca="1" si="41">NOW()-BC2626</f>
        <v>23.660609722224763</v>
      </c>
      <c r="BP2626" t="b">
        <v>0</v>
      </c>
      <c r="BQ2626">
        <v>1</v>
      </c>
      <c r="BR2626" t="s">
        <v>1686</v>
      </c>
      <c r="BS2626" t="s">
        <v>2354</v>
      </c>
      <c r="BT2626" t="b">
        <v>0</v>
      </c>
      <c r="BU2626" t="s">
        <v>1712</v>
      </c>
      <c r="BV2626" t="s">
        <v>1668</v>
      </c>
      <c r="BW2626">
        <v>2018</v>
      </c>
      <c r="BY2626">
        <v>12306514</v>
      </c>
      <c r="BZ2626" t="s">
        <v>1672</v>
      </c>
      <c r="CA2626">
        <v>1</v>
      </c>
      <c r="CB2626" t="b">
        <v>1</v>
      </c>
      <c r="CC2626">
        <v>0</v>
      </c>
      <c r="CD2626" t="b">
        <v>0</v>
      </c>
      <c r="CE2626" t="b">
        <v>0</v>
      </c>
      <c r="CF2626" t="b">
        <v>0</v>
      </c>
      <c r="CG2626">
        <v>15513446</v>
      </c>
      <c r="CH2626" t="s">
        <v>1681</v>
      </c>
      <c r="CI2626" s="10">
        <v>699500</v>
      </c>
    </row>
    <row r="2627" spans="1:90">
      <c r="A2627">
        <v>28047313</v>
      </c>
      <c r="B2627" s="2" t="str">
        <f>HYPERLINK("http://www.redfin.com/stingray/do/printable-listing?listing-id=1586461","Active")</f>
        <v>Active</v>
      </c>
      <c r="D2627" t="s">
        <v>5236</v>
      </c>
      <c r="E2627" t="s">
        <v>6445</v>
      </c>
      <c r="F2627">
        <v>405000</v>
      </c>
      <c r="G2627">
        <v>1957</v>
      </c>
      <c r="H2627">
        <v>1200</v>
      </c>
      <c r="I2627">
        <v>8000</v>
      </c>
      <c r="J2627">
        <v>3</v>
      </c>
      <c r="K2627">
        <v>1</v>
      </c>
      <c r="M2627" s="2" t="str">
        <f>HYPERLINK("http://maps.live.com/default.aspx?v=2&amp;lvl=15&amp;sp=Point.47.586253_-122.136431_2644 153rd Ave SE&amp;cp=47.586253~-122.136431","Map")</f>
        <v>Map</v>
      </c>
      <c r="N2627" s="2" t="str">
        <f>HYPERLINK("http://i-0.rfimg.us/photo/1/bigphoto/313/28047313_1.jpg","Photo")</f>
        <v>Photo</v>
      </c>
      <c r="AG2627">
        <v>47.586252999999999</v>
      </c>
      <c r="AH2627">
        <v>-122.136431</v>
      </c>
      <c r="AI2627" t="s">
        <v>369</v>
      </c>
      <c r="AJ2627">
        <v>98007</v>
      </c>
      <c r="BC2627" s="22">
        <v>39532.599722222221</v>
      </c>
      <c r="BI2627" s="22">
        <v>39549.294907407406</v>
      </c>
      <c r="BL2627">
        <v>8100</v>
      </c>
      <c r="BM2627">
        <v>1586461</v>
      </c>
      <c r="BN2627" t="s">
        <v>1768</v>
      </c>
      <c r="BO2627" s="17">
        <f t="shared" ca="1" si="41"/>
        <v>16.709683680557646</v>
      </c>
      <c r="BP2627" t="b">
        <v>0</v>
      </c>
      <c r="BQ2627">
        <v>1</v>
      </c>
      <c r="BR2627" t="s">
        <v>1667</v>
      </c>
      <c r="BS2627" t="s">
        <v>4918</v>
      </c>
      <c r="BT2627" t="b">
        <v>0</v>
      </c>
      <c r="BV2627" t="s">
        <v>1668</v>
      </c>
      <c r="BW2627">
        <v>2644</v>
      </c>
      <c r="BX2627" t="s">
        <v>3856</v>
      </c>
      <c r="BY2627">
        <v>427765</v>
      </c>
      <c r="BZ2627" t="s">
        <v>1689</v>
      </c>
      <c r="CA2627">
        <v>1</v>
      </c>
      <c r="CB2627" t="b">
        <v>1</v>
      </c>
      <c r="CC2627">
        <v>0</v>
      </c>
      <c r="CD2627" t="b">
        <v>0</v>
      </c>
      <c r="CE2627" t="b">
        <v>1</v>
      </c>
      <c r="CF2627" t="b">
        <v>0</v>
      </c>
      <c r="CG2627">
        <v>2712156</v>
      </c>
      <c r="CH2627" t="s">
        <v>1681</v>
      </c>
      <c r="CI2627" s="10">
        <v>405000</v>
      </c>
    </row>
    <row r="2628" spans="1:90">
      <c r="A2628">
        <v>28047331</v>
      </c>
      <c r="B2628" s="2" t="str">
        <f>HYPERLINK("http://www.redfin.com/stingray/do/printable-listing?listing-id=1569712","Active")</f>
        <v>Active</v>
      </c>
      <c r="D2628" t="s">
        <v>2850</v>
      </c>
      <c r="E2628" t="s">
        <v>4393</v>
      </c>
      <c r="F2628">
        <v>569000</v>
      </c>
      <c r="G2628">
        <v>1972</v>
      </c>
      <c r="H2628">
        <v>2250</v>
      </c>
      <c r="I2628">
        <v>10000</v>
      </c>
      <c r="J2628">
        <v>4</v>
      </c>
      <c r="K2628">
        <v>2.5</v>
      </c>
      <c r="M2628" s="2" t="str">
        <f>HYPERLINK("http://maps.live.com/default.aspx?v=2&amp;lvl=15&amp;sp=Point.47.702043_-122.204532_10162 NE 113th Pl&amp;cp=47.702043~-122.204532","Map")</f>
        <v>Map</v>
      </c>
      <c r="N2628" s="2" t="str">
        <f>HYPERLINK("http://i-0.rfimg.us/photo/1/bigphoto/331/28047331_0.jpg","Photo")</f>
        <v>Photo</v>
      </c>
      <c r="AG2628">
        <v>47.702043000000003</v>
      </c>
      <c r="AH2628">
        <v>-122.204532</v>
      </c>
      <c r="AI2628" t="s">
        <v>1058</v>
      </c>
      <c r="AJ2628">
        <v>98033</v>
      </c>
      <c r="AN2628">
        <v>337000</v>
      </c>
      <c r="BC2628" s="22">
        <v>39525.648923611108</v>
      </c>
      <c r="BI2628" s="7">
        <v>39542</v>
      </c>
      <c r="BL2628">
        <v>11380</v>
      </c>
      <c r="BM2628">
        <v>1569712</v>
      </c>
      <c r="BN2628" t="s">
        <v>4392</v>
      </c>
      <c r="BO2628" s="17">
        <f t="shared" ca="1" si="41"/>
        <v>23.660482291670633</v>
      </c>
      <c r="BP2628" t="b">
        <v>0</v>
      </c>
      <c r="BQ2628">
        <v>1</v>
      </c>
      <c r="BR2628" t="s">
        <v>1842</v>
      </c>
      <c r="BS2628" t="s">
        <v>4394</v>
      </c>
      <c r="BT2628" t="b">
        <v>0</v>
      </c>
      <c r="BU2628" t="s">
        <v>1738</v>
      </c>
      <c r="BV2628" t="s">
        <v>1668</v>
      </c>
      <c r="BW2628">
        <v>10162</v>
      </c>
      <c r="BY2628">
        <v>463161</v>
      </c>
      <c r="BZ2628" t="s">
        <v>1672</v>
      </c>
      <c r="CA2628">
        <v>1</v>
      </c>
      <c r="CB2628" t="b">
        <v>1</v>
      </c>
      <c r="CC2628">
        <v>0</v>
      </c>
      <c r="CD2628" t="b">
        <v>0</v>
      </c>
      <c r="CE2628" t="b">
        <v>0</v>
      </c>
      <c r="CF2628" t="b">
        <v>0</v>
      </c>
      <c r="CG2628">
        <v>2477642</v>
      </c>
      <c r="CH2628" t="s">
        <v>1681</v>
      </c>
      <c r="CI2628" s="10">
        <v>569000</v>
      </c>
      <c r="CJ2628" s="7">
        <v>38261</v>
      </c>
    </row>
    <row r="2629" spans="1:90">
      <c r="A2629">
        <v>28047356</v>
      </c>
      <c r="B2629" s="2" t="str">
        <f>HYPERLINK("http://www.redfin.com/stingray/do/printable-listing?listing-id=1569699","Active")</f>
        <v>Active</v>
      </c>
      <c r="D2629" t="s">
        <v>5014</v>
      </c>
      <c r="E2629" t="s">
        <v>5040</v>
      </c>
      <c r="F2629">
        <v>1249000</v>
      </c>
      <c r="G2629">
        <v>1961</v>
      </c>
      <c r="H2629">
        <v>2050</v>
      </c>
      <c r="I2629">
        <v>18760</v>
      </c>
      <c r="J2629">
        <v>4</v>
      </c>
      <c r="K2629">
        <v>1.75</v>
      </c>
      <c r="M2629" s="2" t="str">
        <f>HYPERLINK("http://maps.live.com/default.aspx?v=2&amp;lvl=15&amp;sp=Point.47.631615_-122.217517_2320 92nd Ave NE&amp;cp=47.631615~-122.217517","Map")</f>
        <v>Map</v>
      </c>
      <c r="N2629" s="2" t="str">
        <f>HYPERLINK("http://i-0.rfimg.us/photo/1/bigphoto/356/28047356_0.jpg","Photo")</f>
        <v>Photo</v>
      </c>
      <c r="AG2629">
        <v>47.631614999999996</v>
      </c>
      <c r="AH2629">
        <v>-122.217517</v>
      </c>
      <c r="AI2629" t="s">
        <v>5014</v>
      </c>
      <c r="AJ2629">
        <v>98004</v>
      </c>
      <c r="AN2629">
        <v>950000</v>
      </c>
      <c r="BC2629" s="22">
        <v>39525.648773148147</v>
      </c>
      <c r="BI2629" s="22">
        <v>39549.294907407406</v>
      </c>
      <c r="BL2629">
        <v>24980</v>
      </c>
      <c r="BM2629">
        <v>1569699</v>
      </c>
      <c r="BN2629" t="s">
        <v>1737</v>
      </c>
      <c r="BO2629" s="17">
        <f t="shared" ca="1" si="41"/>
        <v>23.660632754632388</v>
      </c>
      <c r="BP2629" t="b">
        <v>0</v>
      </c>
      <c r="BQ2629">
        <v>1</v>
      </c>
      <c r="BR2629" t="s">
        <v>1667</v>
      </c>
      <c r="BS2629" t="s">
        <v>2726</v>
      </c>
      <c r="BT2629" t="b">
        <v>0</v>
      </c>
      <c r="BV2629" t="s">
        <v>1668</v>
      </c>
      <c r="BW2629">
        <v>2320</v>
      </c>
      <c r="BX2629" t="s">
        <v>1738</v>
      </c>
      <c r="BY2629">
        <v>252255</v>
      </c>
      <c r="BZ2629" t="s">
        <v>1713</v>
      </c>
      <c r="CA2629">
        <v>1</v>
      </c>
      <c r="CB2629" t="b">
        <v>1</v>
      </c>
      <c r="CC2629">
        <v>0</v>
      </c>
      <c r="CD2629" t="b">
        <v>0</v>
      </c>
      <c r="CE2629" t="b">
        <v>0</v>
      </c>
      <c r="CF2629" t="b">
        <v>0</v>
      </c>
      <c r="CG2629">
        <v>2749854</v>
      </c>
      <c r="CH2629" t="s">
        <v>1681</v>
      </c>
      <c r="CI2629" s="10">
        <v>1249000</v>
      </c>
      <c r="CJ2629" s="7">
        <v>39335</v>
      </c>
    </row>
    <row r="2630" spans="1:90">
      <c r="A2630">
        <v>28047395</v>
      </c>
      <c r="B2630" s="2" t="str">
        <f>HYPERLINK("http://www.redfin.com/stingray/do/printable-listing?listing-id=1571338","Active")</f>
        <v>Active</v>
      </c>
      <c r="D2630" t="s">
        <v>194</v>
      </c>
      <c r="E2630" t="s">
        <v>2878</v>
      </c>
      <c r="F2630" s="19">
        <v>659000</v>
      </c>
      <c r="G2630">
        <v>2007</v>
      </c>
      <c r="H2630">
        <v>2610</v>
      </c>
      <c r="I2630">
        <v>7540</v>
      </c>
      <c r="J2630">
        <v>6</v>
      </c>
      <c r="K2630">
        <v>3</v>
      </c>
      <c r="M2630" s="2" t="str">
        <f>HYPERLINK("http://maps.live.com/default.aspx?v=2&amp;lvl=15&amp;sp=Point.47.6973_-122.303582_2315 NE 95th St&amp;cp=47.6973~-122.303582","Map")</f>
        <v>Map</v>
      </c>
      <c r="N2630" s="2" t="str">
        <f>HYPERLINK("http://i-0.rfimg.us/photo/1/bigphoto/395/28047395_4.jpg","Photo")</f>
        <v>Photo</v>
      </c>
      <c r="AG2630">
        <v>47.697299999999998</v>
      </c>
      <c r="AH2630">
        <v>-122.30358200000001</v>
      </c>
      <c r="AI2630" t="s">
        <v>66</v>
      </c>
      <c r="AJ2630">
        <v>98115</v>
      </c>
      <c r="AN2630">
        <v>104000</v>
      </c>
      <c r="BC2630" s="22">
        <v>39526.369247685187</v>
      </c>
      <c r="BI2630" s="22">
        <v>39549.294907407406</v>
      </c>
      <c r="BL2630">
        <v>13799</v>
      </c>
      <c r="BM2630">
        <v>1571338</v>
      </c>
      <c r="BN2630" t="s">
        <v>1674</v>
      </c>
      <c r="BO2630" s="17">
        <f t="shared" ca="1" si="41"/>
        <v>22.940158217592398</v>
      </c>
      <c r="BP2630" t="b">
        <v>0</v>
      </c>
      <c r="BQ2630">
        <v>1</v>
      </c>
      <c r="BR2630" t="s">
        <v>1686</v>
      </c>
      <c r="BS2630" t="s">
        <v>2722</v>
      </c>
      <c r="BT2630" t="b">
        <v>0</v>
      </c>
      <c r="BU2630" t="s">
        <v>1738</v>
      </c>
      <c r="BV2630" t="s">
        <v>1668</v>
      </c>
      <c r="BW2630">
        <v>2315</v>
      </c>
      <c r="BY2630">
        <v>315294</v>
      </c>
      <c r="BZ2630" t="s">
        <v>2879</v>
      </c>
      <c r="CA2630">
        <v>1</v>
      </c>
      <c r="CB2630" t="b">
        <v>1</v>
      </c>
      <c r="CC2630">
        <v>0</v>
      </c>
      <c r="CD2630" t="b">
        <v>0</v>
      </c>
      <c r="CE2630" t="b">
        <v>0</v>
      </c>
      <c r="CF2630" t="b">
        <v>0</v>
      </c>
      <c r="CG2630">
        <v>2809300</v>
      </c>
      <c r="CH2630" t="s">
        <v>1681</v>
      </c>
      <c r="CI2630" s="10">
        <v>689950</v>
      </c>
      <c r="CJ2630" s="7">
        <v>38791</v>
      </c>
    </row>
    <row r="2631" spans="1:90">
      <c r="A2631">
        <v>28047430</v>
      </c>
      <c r="B2631" s="2" t="str">
        <f>HYPERLINK("http://www.redfin.com/stingray/do/printable-listing?listing-id=1569928","Active")</f>
        <v>Active</v>
      </c>
      <c r="D2631" s="19" t="s">
        <v>88</v>
      </c>
      <c r="E2631" t="s">
        <v>1885</v>
      </c>
      <c r="F2631">
        <v>510000</v>
      </c>
      <c r="G2631">
        <v>1918</v>
      </c>
      <c r="H2631">
        <v>1300</v>
      </c>
      <c r="I2631">
        <v>4500</v>
      </c>
      <c r="J2631">
        <v>3</v>
      </c>
      <c r="K2631">
        <v>2</v>
      </c>
      <c r="M2631" s="2" t="str">
        <f>HYPERLINK("http://maps.live.com/default.aspx?v=2&amp;lvl=15&amp;sp=Point.47.682009_-122.361902_408 NW 73rd St&amp;cp=47.682009~-122.361902","Map")</f>
        <v>Map</v>
      </c>
      <c r="N2631" s="2" t="str">
        <f>HYPERLINK("http://i-0.rfimg.us/photo/1/bigphoto/430/28047430_2.jpg","Photo")</f>
        <v>Photo</v>
      </c>
      <c r="AG2631">
        <v>47.682009000000001</v>
      </c>
      <c r="AH2631">
        <v>-122.361902</v>
      </c>
      <c r="AI2631" t="s">
        <v>66</v>
      </c>
      <c r="AJ2631">
        <v>98117</v>
      </c>
      <c r="AN2631">
        <v>302950</v>
      </c>
      <c r="BC2631" s="22">
        <v>39525.689305555556</v>
      </c>
      <c r="BI2631" s="22">
        <v>39549.294907407406</v>
      </c>
      <c r="BL2631">
        <v>10200</v>
      </c>
      <c r="BM2631">
        <v>1569928</v>
      </c>
      <c r="BN2631" t="s">
        <v>1674</v>
      </c>
      <c r="BO2631" s="17">
        <f t="shared" ca="1" si="41"/>
        <v>23.620100462962</v>
      </c>
      <c r="BP2631" t="b">
        <v>0</v>
      </c>
      <c r="BQ2631">
        <v>1</v>
      </c>
      <c r="BR2631" t="s">
        <v>1686</v>
      </c>
      <c r="BS2631" t="s">
        <v>1828</v>
      </c>
      <c r="BT2631" t="b">
        <v>0</v>
      </c>
      <c r="BU2631" t="s">
        <v>1669</v>
      </c>
      <c r="BV2631" t="s">
        <v>1668</v>
      </c>
      <c r="BW2631">
        <v>408</v>
      </c>
      <c r="BY2631">
        <v>495471</v>
      </c>
      <c r="BZ2631" t="s">
        <v>1886</v>
      </c>
      <c r="CA2631">
        <v>1</v>
      </c>
      <c r="CB2631" t="b">
        <v>1</v>
      </c>
      <c r="CC2631">
        <v>0</v>
      </c>
      <c r="CD2631" t="b">
        <v>0</v>
      </c>
      <c r="CE2631" t="b">
        <v>1</v>
      </c>
      <c r="CF2631" t="b">
        <v>0</v>
      </c>
      <c r="CG2631">
        <v>2359457</v>
      </c>
      <c r="CH2631" t="s">
        <v>1681</v>
      </c>
      <c r="CI2631" s="10">
        <v>510000</v>
      </c>
      <c r="CJ2631" s="7">
        <v>37011</v>
      </c>
      <c r="CK2631" t="s">
        <v>1996</v>
      </c>
    </row>
    <row r="2632" spans="1:90">
      <c r="A2632">
        <v>28047442</v>
      </c>
      <c r="B2632" s="2" t="str">
        <f>HYPERLINK("http://www.redfin.com/stingray/do/printable-listing?listing-id=1570373","Active")</f>
        <v>Active</v>
      </c>
      <c r="D2632" t="s">
        <v>63</v>
      </c>
      <c r="E2632" t="s">
        <v>1896</v>
      </c>
      <c r="F2632" s="19">
        <v>329950</v>
      </c>
      <c r="G2632">
        <v>1981</v>
      </c>
      <c r="H2632">
        <v>1179</v>
      </c>
      <c r="I2632">
        <v>0</v>
      </c>
      <c r="J2632">
        <v>2</v>
      </c>
      <c r="K2632">
        <v>1.75</v>
      </c>
      <c r="M2632" s="2" t="str">
        <f>HYPERLINK("http://maps.live.com/default.aspx?v=2&amp;lvl=15&amp;sp=Point.47.695532_-122.375703_9023 Mary Ave NW n401&amp;cp=47.695532~-122.375703","Map")</f>
        <v>Map</v>
      </c>
      <c r="N2632" s="2" t="str">
        <f>HYPERLINK("http://i-0.rfimg.us/photo/1/bigphoto/442/28047442_2.jpg","Photo")</f>
        <v>Photo</v>
      </c>
      <c r="AG2632">
        <v>47.695532</v>
      </c>
      <c r="AH2632">
        <v>-122.375703</v>
      </c>
      <c r="AI2632" t="s">
        <v>66</v>
      </c>
      <c r="AJ2632">
        <v>98117</v>
      </c>
      <c r="AM2632" t="s">
        <v>1897</v>
      </c>
      <c r="AN2632">
        <v>280000</v>
      </c>
      <c r="BC2632" s="22">
        <v>39525.890532407408</v>
      </c>
      <c r="BI2632" s="22">
        <v>39549.294907407406</v>
      </c>
      <c r="BL2632">
        <v>6980</v>
      </c>
      <c r="BM2632">
        <v>1570373</v>
      </c>
      <c r="BN2632" t="s">
        <v>1710</v>
      </c>
      <c r="BO2632" s="17">
        <f t="shared" ca="1" si="41"/>
        <v>23.41887361111003</v>
      </c>
      <c r="BP2632" t="b">
        <v>0</v>
      </c>
      <c r="BQ2632">
        <v>1</v>
      </c>
      <c r="BR2632" t="s">
        <v>1667</v>
      </c>
      <c r="BS2632" t="s">
        <v>1779</v>
      </c>
      <c r="BT2632" t="b">
        <v>0</v>
      </c>
      <c r="BV2632" t="s">
        <v>1668</v>
      </c>
      <c r="BW2632">
        <v>9023</v>
      </c>
      <c r="BX2632" t="s">
        <v>1669</v>
      </c>
      <c r="BY2632">
        <v>15143</v>
      </c>
      <c r="BZ2632" t="s">
        <v>1898</v>
      </c>
      <c r="CA2632">
        <v>1</v>
      </c>
      <c r="CB2632" t="b">
        <v>1</v>
      </c>
      <c r="CC2632">
        <v>0</v>
      </c>
      <c r="CD2632" t="b">
        <v>0</v>
      </c>
      <c r="CE2632" t="b">
        <v>1</v>
      </c>
      <c r="CF2632" t="b">
        <v>0</v>
      </c>
      <c r="CG2632">
        <v>2402595</v>
      </c>
      <c r="CH2632" t="s">
        <v>1666</v>
      </c>
      <c r="CI2632" s="10">
        <v>349000</v>
      </c>
      <c r="CJ2632" s="7">
        <v>38093</v>
      </c>
    </row>
    <row r="2633" spans="1:90">
      <c r="A2633">
        <v>28047458</v>
      </c>
      <c r="B2633" s="15" t="str">
        <f>HYPERLINK("http://www.redfin.com/stingray/do/printable-listing?listing-id=1570035","Contingent")</f>
        <v>Contingent</v>
      </c>
      <c r="D2633" t="s">
        <v>3064</v>
      </c>
      <c r="E2633" t="s">
        <v>3925</v>
      </c>
      <c r="F2633" s="19">
        <v>528900</v>
      </c>
      <c r="G2633">
        <v>2008</v>
      </c>
      <c r="H2633">
        <v>2996</v>
      </c>
      <c r="I2633">
        <v>0</v>
      </c>
      <c r="J2633">
        <v>3</v>
      </c>
      <c r="K2633">
        <v>2.5</v>
      </c>
      <c r="M2633" s="2" t="str">
        <f>HYPERLINK("http://maps.live.com/default.aspx?v=2&amp;lvl=15&amp;sp=adr.5105 NE 7th Pl (Lot 201) (Unable to map),98059","Map")</f>
        <v>Map</v>
      </c>
      <c r="N2633" s="2" t="str">
        <f>HYPERLINK("http://i-0.rfimg.us/photo/1/bigphoto/458/28047458_0.jpg","Photo")</f>
        <v>Photo</v>
      </c>
      <c r="AI2633" t="s">
        <v>1077</v>
      </c>
      <c r="AJ2633">
        <v>98059</v>
      </c>
      <c r="BC2633" s="22">
        <v>39525.734571759262</v>
      </c>
      <c r="BI2633" s="22">
        <v>39549.294907407406</v>
      </c>
      <c r="BL2633">
        <v>10378</v>
      </c>
      <c r="BM2633">
        <v>1570035</v>
      </c>
      <c r="BN2633" t="s">
        <v>3236</v>
      </c>
      <c r="BO2633" s="17">
        <f t="shared" ca="1" si="41"/>
        <v>23.574834143517364</v>
      </c>
      <c r="BP2633" t="b">
        <v>0</v>
      </c>
      <c r="BQ2633">
        <v>1</v>
      </c>
      <c r="BS2633" t="s">
        <v>3926</v>
      </c>
      <c r="BT2633" t="b">
        <v>0</v>
      </c>
      <c r="BU2633" t="s">
        <v>1738</v>
      </c>
      <c r="BV2633" t="s">
        <v>1668</v>
      </c>
      <c r="BW2633">
        <v>5105</v>
      </c>
      <c r="BY2633">
        <v>0</v>
      </c>
      <c r="BZ2633" t="s">
        <v>1684</v>
      </c>
      <c r="CA2633">
        <v>1</v>
      </c>
      <c r="CB2633" t="b">
        <v>1</v>
      </c>
      <c r="CC2633">
        <v>0</v>
      </c>
      <c r="CD2633" t="b">
        <v>0</v>
      </c>
      <c r="CE2633" t="b">
        <v>0</v>
      </c>
      <c r="CF2633" t="b">
        <v>0</v>
      </c>
      <c r="CG2633" t="s">
        <v>1870</v>
      </c>
      <c r="CH2633" t="s">
        <v>1681</v>
      </c>
      <c r="CI2633" s="10">
        <v>518900</v>
      </c>
    </row>
    <row r="2634" spans="1:90">
      <c r="A2634">
        <v>28047461</v>
      </c>
      <c r="B2634" s="2" t="str">
        <f>HYPERLINK("http://www.redfin.com/stingray/do/printable-listing?listing-id=1570049","Active")</f>
        <v>Active</v>
      </c>
      <c r="D2634" t="s">
        <v>3064</v>
      </c>
      <c r="E2634" t="s">
        <v>3936</v>
      </c>
      <c r="F2634" s="19">
        <v>534900</v>
      </c>
      <c r="G2634">
        <v>2008</v>
      </c>
      <c r="H2634">
        <v>3200</v>
      </c>
      <c r="I2634">
        <v>0</v>
      </c>
      <c r="J2634">
        <v>4</v>
      </c>
      <c r="K2634">
        <v>2.5</v>
      </c>
      <c r="M2634" s="2" t="str">
        <f>HYPERLINK("http://maps.live.com/default.aspx?v=2&amp;lvl=15&amp;sp=adr.5111 NE 7th Pl (Lot 202) (Unable to map),98059","Map")</f>
        <v>Map</v>
      </c>
      <c r="N2634" s="2" t="str">
        <f>HYPERLINK("http://i-0.rfimg.us/photo/1/bigphoto/461/28047461_0.jpg","Photo")</f>
        <v>Photo</v>
      </c>
      <c r="AI2634" t="s">
        <v>1077</v>
      </c>
      <c r="AJ2634">
        <v>98059</v>
      </c>
      <c r="BC2634" s="22">
        <v>39525.735173611109</v>
      </c>
      <c r="BI2634" s="22">
        <v>39549.294907407406</v>
      </c>
      <c r="BL2634">
        <v>10498</v>
      </c>
      <c r="BM2634">
        <v>1570049</v>
      </c>
      <c r="BN2634" t="s">
        <v>3236</v>
      </c>
      <c r="BO2634" s="17">
        <f t="shared" ca="1" si="41"/>
        <v>23.574232291670342</v>
      </c>
      <c r="BP2634" t="b">
        <v>0</v>
      </c>
      <c r="BQ2634">
        <v>1</v>
      </c>
      <c r="BS2634" t="s">
        <v>3937</v>
      </c>
      <c r="BT2634" t="b">
        <v>0</v>
      </c>
      <c r="BU2634" t="s">
        <v>1738</v>
      </c>
      <c r="BV2634" t="s">
        <v>1668</v>
      </c>
      <c r="BW2634">
        <v>5111</v>
      </c>
      <c r="BY2634">
        <v>0</v>
      </c>
      <c r="BZ2634" t="s">
        <v>1713</v>
      </c>
      <c r="CA2634">
        <v>1</v>
      </c>
      <c r="CB2634" t="b">
        <v>1</v>
      </c>
      <c r="CC2634">
        <v>0</v>
      </c>
      <c r="CD2634" t="b">
        <v>0</v>
      </c>
      <c r="CE2634" t="b">
        <v>0</v>
      </c>
      <c r="CF2634" t="b">
        <v>0</v>
      </c>
      <c r="CG2634" t="s">
        <v>1870</v>
      </c>
      <c r="CH2634" t="s">
        <v>1681</v>
      </c>
      <c r="CI2634" s="10">
        <v>524900</v>
      </c>
    </row>
    <row r="2635" spans="1:90">
      <c r="A2635">
        <v>28047463</v>
      </c>
      <c r="B2635" s="2" t="str">
        <f>HYPERLINK("http://www.redfin.com/stingray/do/printable-listing?listing-id=1572158","Active")</f>
        <v>Active</v>
      </c>
      <c r="D2635" t="s">
        <v>6041</v>
      </c>
      <c r="E2635" t="s">
        <v>6052</v>
      </c>
      <c r="F2635">
        <v>549950</v>
      </c>
      <c r="G2635">
        <v>1998</v>
      </c>
      <c r="H2635">
        <v>2500</v>
      </c>
      <c r="I2635">
        <v>5663</v>
      </c>
      <c r="J2635">
        <v>4</v>
      </c>
      <c r="K2635">
        <v>2.5</v>
      </c>
      <c r="M2635" s="2" t="str">
        <f>HYPERLINK("http://maps.live.com/default.aspx?v=2&amp;lvl=15&amp;sp=Point.47.513356_-122.173951_3512 NE 24th Ct&amp;cp=47.513356~-122.173951","Map")</f>
        <v>Map</v>
      </c>
      <c r="N2635" s="2" t="str">
        <f>HYPERLINK("http://i-0.rfimg.us/photo/1/bigphoto/463/28047463_4.jpg","Photo")</f>
        <v>Photo</v>
      </c>
      <c r="AG2635">
        <v>47.513356000000002</v>
      </c>
      <c r="AH2635">
        <v>-122.173951</v>
      </c>
      <c r="AI2635" t="s">
        <v>1077</v>
      </c>
      <c r="AJ2635">
        <v>98056</v>
      </c>
      <c r="AN2635">
        <v>303000</v>
      </c>
      <c r="BC2635" s="22">
        <v>39526.536539351851</v>
      </c>
      <c r="BI2635" s="22">
        <v>39549.294907407406</v>
      </c>
      <c r="BL2635">
        <v>10999</v>
      </c>
      <c r="BM2635">
        <v>1572158</v>
      </c>
      <c r="BN2635" t="s">
        <v>1673</v>
      </c>
      <c r="BO2635" s="17">
        <f t="shared" ca="1" si="41"/>
        <v>22.772866550927574</v>
      </c>
      <c r="BP2635" t="b">
        <v>0</v>
      </c>
      <c r="BQ2635">
        <v>1</v>
      </c>
      <c r="BR2635" t="s">
        <v>3768</v>
      </c>
      <c r="BS2635" t="s">
        <v>1740</v>
      </c>
      <c r="BT2635" t="b">
        <v>0</v>
      </c>
      <c r="BU2635" t="s">
        <v>1738</v>
      </c>
      <c r="BV2635" t="s">
        <v>1668</v>
      </c>
      <c r="BW2635">
        <v>3512</v>
      </c>
      <c r="BY2635">
        <v>411027</v>
      </c>
      <c r="BZ2635" t="s">
        <v>6053</v>
      </c>
      <c r="CA2635">
        <v>1</v>
      </c>
      <c r="CB2635" t="b">
        <v>1</v>
      </c>
      <c r="CC2635">
        <v>0</v>
      </c>
      <c r="CD2635" t="b">
        <v>0</v>
      </c>
      <c r="CE2635" t="b">
        <v>0</v>
      </c>
      <c r="CF2635" t="b">
        <v>0</v>
      </c>
      <c r="CG2635">
        <v>2381932</v>
      </c>
      <c r="CH2635" t="s">
        <v>1681</v>
      </c>
      <c r="CI2635" s="10">
        <v>549950</v>
      </c>
      <c r="CJ2635" s="7">
        <v>36073</v>
      </c>
    </row>
    <row r="2636" spans="1:90">
      <c r="A2636">
        <v>28047464</v>
      </c>
      <c r="B2636" s="2" t="str">
        <f>HYPERLINK("http://www.redfin.com/stingray/do/printable-listing?listing-id=1570047","Active")</f>
        <v>Active</v>
      </c>
      <c r="D2636" t="s">
        <v>3064</v>
      </c>
      <c r="E2636" t="s">
        <v>3932</v>
      </c>
      <c r="F2636" s="19">
        <v>538900</v>
      </c>
      <c r="G2636">
        <v>2008</v>
      </c>
      <c r="H2636">
        <v>3200</v>
      </c>
      <c r="I2636">
        <v>0</v>
      </c>
      <c r="J2636">
        <v>4</v>
      </c>
      <c r="K2636">
        <v>2.5</v>
      </c>
      <c r="M2636" s="2" t="str">
        <f>HYPERLINK("http://maps.live.com/default.aspx?v=2&amp;lvl=15&amp;sp=adr.5221 NE 7th Pl (Lot 210) (Unable to map),98059","Map")</f>
        <v>Map</v>
      </c>
      <c r="N2636" s="2" t="str">
        <f>HYPERLINK("http://i-0.rfimg.us/photo/1/bigphoto/464/28047464_0.jpg","Photo")</f>
        <v>Photo</v>
      </c>
      <c r="AI2636" t="s">
        <v>1077</v>
      </c>
      <c r="AJ2636">
        <v>98059</v>
      </c>
      <c r="BC2636" s="22">
        <v>39525.735173611109</v>
      </c>
      <c r="BI2636" s="22">
        <v>39549.294907407406</v>
      </c>
      <c r="BL2636">
        <v>10498</v>
      </c>
      <c r="BM2636">
        <v>1570047</v>
      </c>
      <c r="BN2636" t="s">
        <v>3236</v>
      </c>
      <c r="BO2636" s="17">
        <f t="shared" ca="1" si="41"/>
        <v>23.574232291670342</v>
      </c>
      <c r="BP2636" t="b">
        <v>0</v>
      </c>
      <c r="BQ2636">
        <v>1</v>
      </c>
      <c r="BS2636" t="s">
        <v>3933</v>
      </c>
      <c r="BT2636" t="b">
        <v>0</v>
      </c>
      <c r="BU2636" t="s">
        <v>1738</v>
      </c>
      <c r="BV2636" t="s">
        <v>1668</v>
      </c>
      <c r="BW2636">
        <v>5221</v>
      </c>
      <c r="BY2636">
        <v>0</v>
      </c>
      <c r="BZ2636" t="s">
        <v>1713</v>
      </c>
      <c r="CA2636">
        <v>1</v>
      </c>
      <c r="CB2636" t="b">
        <v>1</v>
      </c>
      <c r="CC2636">
        <v>0</v>
      </c>
      <c r="CD2636" t="b">
        <v>0</v>
      </c>
      <c r="CE2636" t="b">
        <v>0</v>
      </c>
      <c r="CF2636" t="b">
        <v>0</v>
      </c>
      <c r="CG2636" t="s">
        <v>1870</v>
      </c>
      <c r="CH2636" t="s">
        <v>1681</v>
      </c>
      <c r="CI2636" s="10">
        <v>524900</v>
      </c>
    </row>
    <row r="2637" spans="1:90">
      <c r="A2637">
        <v>28047466</v>
      </c>
      <c r="B2637" s="2" t="str">
        <f>HYPERLINK("http://www.redfin.com/stingray/do/printable-listing?listing-id=1570048","Active")</f>
        <v>Active</v>
      </c>
      <c r="D2637" t="s">
        <v>3064</v>
      </c>
      <c r="E2637" t="s">
        <v>3930</v>
      </c>
      <c r="F2637" s="19">
        <v>522900</v>
      </c>
      <c r="G2637">
        <v>2008</v>
      </c>
      <c r="H2637">
        <v>3016</v>
      </c>
      <c r="I2637">
        <v>0</v>
      </c>
      <c r="J2637">
        <v>3</v>
      </c>
      <c r="K2637">
        <v>2.5</v>
      </c>
      <c r="M2637" s="2" t="str">
        <f>HYPERLINK("http://maps.live.com/default.aspx?v=2&amp;lvl=15&amp;sp=adr.5117 NE 7th Pl (Lot 203) (Unable to map),98059","Map")</f>
        <v>Map</v>
      </c>
      <c r="N2637" s="2" t="str">
        <f>HYPERLINK("http://i-0.rfimg.us/photo/1/bigphoto/466/28047466_0.jpg","Photo")</f>
        <v>Photo</v>
      </c>
      <c r="AI2637" t="s">
        <v>1077</v>
      </c>
      <c r="AJ2637">
        <v>98059</v>
      </c>
      <c r="BC2637" s="22">
        <v>39525.735173611109</v>
      </c>
      <c r="BI2637" s="22">
        <v>39549.294907407406</v>
      </c>
      <c r="BL2637">
        <v>10258</v>
      </c>
      <c r="BM2637">
        <v>1570048</v>
      </c>
      <c r="BN2637" t="s">
        <v>3236</v>
      </c>
      <c r="BO2637" s="17">
        <f t="shared" ca="1" si="41"/>
        <v>23.574232291670342</v>
      </c>
      <c r="BP2637" t="b">
        <v>0</v>
      </c>
      <c r="BQ2637">
        <v>1</v>
      </c>
      <c r="BS2637" t="s">
        <v>3931</v>
      </c>
      <c r="BT2637" t="b">
        <v>0</v>
      </c>
      <c r="BU2637" t="s">
        <v>1738</v>
      </c>
      <c r="BV2637" t="s">
        <v>1668</v>
      </c>
      <c r="BW2637">
        <v>5117</v>
      </c>
      <c r="BY2637">
        <v>0</v>
      </c>
      <c r="BZ2637" t="s">
        <v>1745</v>
      </c>
      <c r="CA2637">
        <v>1</v>
      </c>
      <c r="CB2637" t="b">
        <v>1</v>
      </c>
      <c r="CC2637">
        <v>0</v>
      </c>
      <c r="CD2637" t="b">
        <v>0</v>
      </c>
      <c r="CE2637" t="b">
        <v>0</v>
      </c>
      <c r="CF2637" t="b">
        <v>0</v>
      </c>
      <c r="CG2637" t="s">
        <v>1870</v>
      </c>
      <c r="CH2637" t="s">
        <v>1681</v>
      </c>
      <c r="CI2637" s="10">
        <v>512900</v>
      </c>
    </row>
    <row r="2638" spans="1:90">
      <c r="A2638">
        <v>28047468</v>
      </c>
      <c r="B2638" s="2" t="str">
        <f>HYPERLINK("http://www.redfin.com/stingray/do/printable-listing?listing-id=1570079","Active")</f>
        <v>Active</v>
      </c>
      <c r="D2638" t="s">
        <v>3064</v>
      </c>
      <c r="E2638" t="s">
        <v>3934</v>
      </c>
      <c r="F2638" s="19">
        <v>520900</v>
      </c>
      <c r="G2638">
        <v>2008</v>
      </c>
      <c r="H2638">
        <v>3016</v>
      </c>
      <c r="I2638">
        <v>0</v>
      </c>
      <c r="J2638">
        <v>3</v>
      </c>
      <c r="K2638">
        <v>2.5</v>
      </c>
      <c r="M2638" s="2" t="str">
        <f>HYPERLINK("http://maps.live.com/default.aspx?v=2&amp;lvl=15&amp;sp=adr.5156 NE 7th Pl (Lot 237) (Unable to map),98059","Map")</f>
        <v>Map</v>
      </c>
      <c r="N2638" s="2" t="str">
        <f>HYPERLINK("http://i-0.rfimg.us/photo/1/bigphoto/468/28047468_0.jpg","Photo")</f>
        <v>Photo</v>
      </c>
      <c r="AI2638" t="s">
        <v>1077</v>
      </c>
      <c r="AJ2638">
        <v>98059</v>
      </c>
      <c r="BC2638" s="22">
        <v>39525.744826388887</v>
      </c>
      <c r="BI2638" s="22">
        <v>39549.294907407406</v>
      </c>
      <c r="BL2638">
        <v>10218</v>
      </c>
      <c r="BM2638">
        <v>1570079</v>
      </c>
      <c r="BN2638" t="s">
        <v>3236</v>
      </c>
      <c r="BO2638" s="17">
        <f t="shared" ca="1" si="41"/>
        <v>23.564579513891658</v>
      </c>
      <c r="BP2638" t="b">
        <v>0</v>
      </c>
      <c r="BQ2638">
        <v>1</v>
      </c>
      <c r="BS2638" t="s">
        <v>3935</v>
      </c>
      <c r="BT2638" t="b">
        <v>0</v>
      </c>
      <c r="BU2638" t="s">
        <v>1738</v>
      </c>
      <c r="BV2638" t="s">
        <v>1668</v>
      </c>
      <c r="BW2638">
        <v>5156</v>
      </c>
      <c r="BY2638">
        <v>0</v>
      </c>
      <c r="BZ2638" t="s">
        <v>1745</v>
      </c>
      <c r="CA2638">
        <v>1</v>
      </c>
      <c r="CB2638" t="b">
        <v>1</v>
      </c>
      <c r="CC2638">
        <v>0</v>
      </c>
      <c r="CD2638" t="b">
        <v>0</v>
      </c>
      <c r="CE2638" t="b">
        <v>0</v>
      </c>
      <c r="CF2638" t="b">
        <v>0</v>
      </c>
      <c r="CG2638" t="s">
        <v>1870</v>
      </c>
      <c r="CH2638" t="s">
        <v>1681</v>
      </c>
      <c r="CI2638" s="10">
        <v>510900</v>
      </c>
    </row>
    <row r="2639" spans="1:90">
      <c r="A2639">
        <v>28047504</v>
      </c>
      <c r="B2639" s="15" t="str">
        <f>HYPERLINK("http://www.redfin.com/stingray/do/printable-listing?listing-id=1577098","Subject To Inspection")</f>
        <v>Subject To Inspection</v>
      </c>
      <c r="D2639" t="s">
        <v>2850</v>
      </c>
      <c r="E2639" t="s">
        <v>4483</v>
      </c>
      <c r="F2639">
        <v>479000</v>
      </c>
      <c r="G2639">
        <v>1991</v>
      </c>
      <c r="H2639">
        <v>1830</v>
      </c>
      <c r="I2639">
        <v>3184</v>
      </c>
      <c r="J2639">
        <v>3</v>
      </c>
      <c r="K2639">
        <v>2.75</v>
      </c>
      <c r="M2639" s="2" t="str">
        <f>HYPERLINK("http://maps.live.com/default.aspx?v=2&amp;lvl=15&amp;sp=Point.47.715578_-122.217941_9205 NE 128th Ln&amp;cp=47.715578~-122.217941","Map")</f>
        <v>Map</v>
      </c>
      <c r="N2639" s="2" t="str">
        <f>HYPERLINK("http://i-0.rfimg.us/photo/1/bigphoto/504/28047504_0.jpg","Photo")</f>
        <v>Photo</v>
      </c>
      <c r="AG2639">
        <v>47.715578000000001</v>
      </c>
      <c r="AH2639">
        <v>-122.217941</v>
      </c>
      <c r="AI2639" t="s">
        <v>1058</v>
      </c>
      <c r="AJ2639">
        <v>98034</v>
      </c>
      <c r="AN2639">
        <v>345000</v>
      </c>
      <c r="BC2639" s="22">
        <v>39528.150324074071</v>
      </c>
      <c r="BI2639" s="22">
        <v>39545.917314814818</v>
      </c>
      <c r="BL2639">
        <v>9580</v>
      </c>
      <c r="BM2639">
        <v>1577098</v>
      </c>
      <c r="BN2639" t="s">
        <v>4392</v>
      </c>
      <c r="BO2639" s="17">
        <f t="shared" ca="1" si="41"/>
        <v>21.159081828707713</v>
      </c>
      <c r="BP2639" t="b">
        <v>0</v>
      </c>
      <c r="BQ2639">
        <v>1</v>
      </c>
      <c r="BR2639" t="s">
        <v>2963</v>
      </c>
      <c r="BS2639" t="s">
        <v>4484</v>
      </c>
      <c r="BT2639" t="b">
        <v>0</v>
      </c>
      <c r="BU2639" t="s">
        <v>1738</v>
      </c>
      <c r="BV2639" t="s">
        <v>1668</v>
      </c>
      <c r="BW2639">
        <v>9205</v>
      </c>
      <c r="BY2639">
        <v>277023</v>
      </c>
      <c r="BZ2639" t="s">
        <v>4485</v>
      </c>
      <c r="CA2639">
        <v>1</v>
      </c>
      <c r="CB2639" t="b">
        <v>1</v>
      </c>
      <c r="CC2639">
        <v>0</v>
      </c>
      <c r="CD2639" t="b">
        <v>0</v>
      </c>
      <c r="CE2639" t="b">
        <v>1</v>
      </c>
      <c r="CF2639" t="b">
        <v>0</v>
      </c>
      <c r="CG2639">
        <v>2384876</v>
      </c>
      <c r="CH2639" t="s">
        <v>1681</v>
      </c>
      <c r="CI2639" s="10">
        <v>479000</v>
      </c>
      <c r="CJ2639" s="7">
        <v>38401</v>
      </c>
      <c r="CL2639" t="s">
        <v>2204</v>
      </c>
    </row>
    <row r="2640" spans="1:90">
      <c r="A2640">
        <v>28047540</v>
      </c>
      <c r="B2640" s="2" t="str">
        <f>HYPERLINK("http://www.redfin.com/stingray/do/printable-listing?listing-id=1571002","Active")</f>
        <v>Active</v>
      </c>
      <c r="D2640" t="s">
        <v>55</v>
      </c>
      <c r="E2640" t="s">
        <v>1953</v>
      </c>
      <c r="F2640">
        <v>399950</v>
      </c>
      <c r="G2640">
        <v>1949</v>
      </c>
      <c r="H2640">
        <v>1057</v>
      </c>
      <c r="I2640">
        <v>0</v>
      </c>
      <c r="J2640">
        <v>2</v>
      </c>
      <c r="K2640">
        <v>2</v>
      </c>
      <c r="M2640" s="2" t="str">
        <f>HYPERLINK("http://maps.live.com/default.aspx?v=2&amp;lvl=15&amp;sp=Point.47.695916_-122.366404_9057 8 Ave NW&amp;cp=47.695916~-122.366404","Map")</f>
        <v>Map</v>
      </c>
      <c r="N2640" s="2" t="str">
        <f>HYPERLINK("http://i-0.rfimg.us/photo/1/bigphoto/540/28047540_0.jpg","Photo")</f>
        <v>Photo</v>
      </c>
      <c r="AG2640">
        <v>47.695915999999997</v>
      </c>
      <c r="AH2640">
        <v>-122.366404</v>
      </c>
      <c r="AI2640" t="s">
        <v>66</v>
      </c>
      <c r="AJ2640">
        <v>98117</v>
      </c>
      <c r="AN2640">
        <v>428000</v>
      </c>
      <c r="BC2640" s="22">
        <v>39526.046238425923</v>
      </c>
      <c r="BI2640" s="22">
        <v>39549.294907407406</v>
      </c>
      <c r="BL2640">
        <v>7999</v>
      </c>
      <c r="BM2640">
        <v>1571002</v>
      </c>
      <c r="BN2640" t="s">
        <v>1810</v>
      </c>
      <c r="BO2640" s="17">
        <f t="shared" ca="1" si="41"/>
        <v>23.263167592594982</v>
      </c>
      <c r="BP2640" t="b">
        <v>0</v>
      </c>
      <c r="BQ2640">
        <v>1</v>
      </c>
      <c r="BR2640" t="s">
        <v>1667</v>
      </c>
      <c r="BS2640">
        <v>8</v>
      </c>
      <c r="BT2640" t="b">
        <v>0</v>
      </c>
      <c r="BV2640" t="s">
        <v>1668</v>
      </c>
      <c r="BW2640">
        <v>9057</v>
      </c>
      <c r="BX2640" t="s">
        <v>1669</v>
      </c>
      <c r="BY2640">
        <v>100176</v>
      </c>
      <c r="BZ2640" t="s">
        <v>1672</v>
      </c>
      <c r="CA2640">
        <v>1</v>
      </c>
      <c r="CB2640" t="b">
        <v>1</v>
      </c>
      <c r="CC2640">
        <v>0</v>
      </c>
      <c r="CD2640" t="b">
        <v>0</v>
      </c>
      <c r="CE2640" t="b">
        <v>1</v>
      </c>
      <c r="CF2640" t="b">
        <v>0</v>
      </c>
      <c r="CG2640">
        <v>2635617</v>
      </c>
      <c r="CH2640" t="s">
        <v>1681</v>
      </c>
      <c r="CI2640" s="10">
        <v>399950</v>
      </c>
      <c r="CJ2640" s="7">
        <v>39197</v>
      </c>
    </row>
    <row r="2641" spans="1:89">
      <c r="A2641">
        <v>28047557</v>
      </c>
      <c r="B2641" s="2" t="str">
        <f>HYPERLINK("http://www.redfin.com/stingray/do/printable-listing?listing-id=1571340","Active")</f>
        <v>Active</v>
      </c>
      <c r="D2641" t="s">
        <v>2552</v>
      </c>
      <c r="E2641" t="s">
        <v>3531</v>
      </c>
      <c r="F2641">
        <v>1350000</v>
      </c>
      <c r="G2641">
        <v>1937</v>
      </c>
      <c r="H2641">
        <v>4000</v>
      </c>
      <c r="I2641">
        <v>7800</v>
      </c>
      <c r="J2641">
        <v>4</v>
      </c>
      <c r="K2641">
        <v>4</v>
      </c>
      <c r="M2641" s="2" t="str">
        <f>HYPERLINK("http://maps.live.com/default.aspx?v=2&amp;lvl=15&amp;sp=Point.47.646664_-122.390608_2603 W Barrett Street&amp;cp=47.646664~-122.390608","Map")</f>
        <v>Map</v>
      </c>
      <c r="N2641" s="2" t="str">
        <f>HYPERLINK("http://i-0.rfimg.us/photo/1/bigphoto/557/28047557_4.jpg","Photo")</f>
        <v>Photo</v>
      </c>
      <c r="AG2641">
        <v>47.646664000000001</v>
      </c>
      <c r="AH2641">
        <v>-122.390608</v>
      </c>
      <c r="AI2641" t="s">
        <v>66</v>
      </c>
      <c r="AJ2641">
        <v>98199</v>
      </c>
      <c r="AN2641">
        <v>225000</v>
      </c>
      <c r="BC2641" s="22">
        <v>39526.369293981479</v>
      </c>
      <c r="BI2641" s="22">
        <v>39549.294907407406</v>
      </c>
      <c r="BL2641">
        <v>27000</v>
      </c>
      <c r="BM2641">
        <v>1571340</v>
      </c>
      <c r="BN2641" t="s">
        <v>1737</v>
      </c>
      <c r="BO2641" s="17">
        <f t="shared" ca="1" si="41"/>
        <v>22.940111921299831</v>
      </c>
      <c r="BP2641" t="b">
        <v>0</v>
      </c>
      <c r="BQ2641">
        <v>1</v>
      </c>
      <c r="BR2641" t="s">
        <v>1656</v>
      </c>
      <c r="BS2641" t="s">
        <v>3532</v>
      </c>
      <c r="BT2641" t="b">
        <v>0</v>
      </c>
      <c r="BU2641" t="s">
        <v>2423</v>
      </c>
      <c r="BV2641" t="s">
        <v>1668</v>
      </c>
      <c r="BW2641">
        <v>2603</v>
      </c>
      <c r="BY2641">
        <v>125084</v>
      </c>
      <c r="BZ2641" t="s">
        <v>2379</v>
      </c>
      <c r="CA2641">
        <v>1</v>
      </c>
      <c r="CB2641" t="b">
        <v>1</v>
      </c>
      <c r="CC2641">
        <v>0</v>
      </c>
      <c r="CD2641" t="b">
        <v>0</v>
      </c>
      <c r="CE2641" t="b">
        <v>0</v>
      </c>
      <c r="CF2641" t="b">
        <v>0</v>
      </c>
      <c r="CG2641">
        <v>2606624</v>
      </c>
      <c r="CH2641" t="s">
        <v>1681</v>
      </c>
      <c r="CI2641" s="10">
        <v>1350000</v>
      </c>
      <c r="CJ2641" s="7">
        <v>35090</v>
      </c>
    </row>
    <row r="2642" spans="1:89">
      <c r="A2642">
        <v>28047566</v>
      </c>
      <c r="B2642" s="2" t="str">
        <f>HYPERLINK("http://www.redfin.com/stingray/do/printable-listing?listing-id=1585063","Active")</f>
        <v>Active</v>
      </c>
      <c r="D2642" t="s">
        <v>60</v>
      </c>
      <c r="E2642" t="s">
        <v>6329</v>
      </c>
      <c r="F2642">
        <v>649950</v>
      </c>
      <c r="G2642">
        <v>1997</v>
      </c>
      <c r="H2642">
        <v>2150</v>
      </c>
      <c r="I2642">
        <v>3060</v>
      </c>
      <c r="J2642">
        <v>4</v>
      </c>
      <c r="K2642">
        <v>2.5</v>
      </c>
      <c r="M2642" s="2" t="str">
        <f>HYPERLINK("http://maps.live.com/default.aspx?v=2&amp;lvl=15&amp;sp=Point.47.688166_-122.351187_533 N 82nd St&amp;cp=47.688166~-122.351187","Map")</f>
        <v>Map</v>
      </c>
      <c r="N2642" s="2" t="str">
        <f>HYPERLINK("http://i-0.rfimg.us/photo/1/bigphoto/566/28047566_2.jpg","Photo")</f>
        <v>Photo</v>
      </c>
      <c r="AG2642">
        <v>47.688166000000002</v>
      </c>
      <c r="AH2642">
        <v>-122.351187</v>
      </c>
      <c r="AI2642" t="s">
        <v>66</v>
      </c>
      <c r="AJ2642">
        <v>98103</v>
      </c>
      <c r="AN2642">
        <v>450000</v>
      </c>
      <c r="BC2642" s="22">
        <v>39532.285474537035</v>
      </c>
      <c r="BI2642" s="22">
        <v>39549.294907407406</v>
      </c>
      <c r="BL2642">
        <v>12999</v>
      </c>
      <c r="BM2642">
        <v>1585063</v>
      </c>
      <c r="BN2642" t="s">
        <v>2014</v>
      </c>
      <c r="BO2642" s="17">
        <f t="shared" ca="1" si="41"/>
        <v>17.02393136574392</v>
      </c>
      <c r="BP2642" t="b">
        <v>0</v>
      </c>
      <c r="BQ2642">
        <v>1</v>
      </c>
      <c r="BR2642" t="s">
        <v>1686</v>
      </c>
      <c r="BS2642" t="s">
        <v>2359</v>
      </c>
      <c r="BT2642" t="b">
        <v>0</v>
      </c>
      <c r="BU2642" t="s">
        <v>1712</v>
      </c>
      <c r="BV2642" t="s">
        <v>1668</v>
      </c>
      <c r="BW2642">
        <v>533</v>
      </c>
      <c r="BY2642">
        <v>300751</v>
      </c>
      <c r="BZ2642" t="s">
        <v>1730</v>
      </c>
      <c r="CA2642">
        <v>1</v>
      </c>
      <c r="CB2642" t="b">
        <v>1</v>
      </c>
      <c r="CC2642">
        <v>0</v>
      </c>
      <c r="CD2642" t="b">
        <v>0</v>
      </c>
      <c r="CE2642" t="b">
        <v>1</v>
      </c>
      <c r="CF2642" t="b">
        <v>0</v>
      </c>
      <c r="CG2642">
        <v>2593508</v>
      </c>
      <c r="CH2642" t="s">
        <v>1681</v>
      </c>
      <c r="CI2642" s="10">
        <v>649950</v>
      </c>
      <c r="CJ2642" s="7">
        <v>38127</v>
      </c>
    </row>
    <row r="2643" spans="1:89">
      <c r="A2643">
        <v>28047590</v>
      </c>
      <c r="B2643" s="2" t="str">
        <f>HYPERLINK("http://www.redfin.com/stingray/do/printable-listing?listing-id=1574384","Active")</f>
        <v>Active</v>
      </c>
      <c r="D2643" t="s">
        <v>5287</v>
      </c>
      <c r="E2643" t="s">
        <v>5285</v>
      </c>
      <c r="F2643">
        <v>1150000</v>
      </c>
      <c r="G2643">
        <v>1992</v>
      </c>
      <c r="H2643">
        <v>4000</v>
      </c>
      <c r="I2643">
        <v>15121</v>
      </c>
      <c r="J2643">
        <v>3</v>
      </c>
      <c r="K2643">
        <v>3.5</v>
      </c>
      <c r="M2643" s="2" t="str">
        <f>HYPERLINK("http://maps.live.com/default.aspx?v=2&amp;lvl=15&amp;sp=Point.47.566663_-122.120307_16425 SE 44th Pl&amp;cp=47.566663~-122.120307","Map")</f>
        <v>Map</v>
      </c>
      <c r="N2643" s="2" t="str">
        <f>HYPERLINK("http://i-0.rfimg.us/photo/1/bigphoto/590/28047590_2.jpg","Photo")</f>
        <v>Photo</v>
      </c>
      <c r="AG2643">
        <v>47.566662999999998</v>
      </c>
      <c r="AH2643">
        <v>-122.120307</v>
      </c>
      <c r="AI2643" t="s">
        <v>5280</v>
      </c>
      <c r="AJ2643">
        <v>98027</v>
      </c>
      <c r="BC2643" s="22">
        <v>39527.348136574074</v>
      </c>
      <c r="BI2643" s="22">
        <v>39549.294907407406</v>
      </c>
      <c r="BL2643">
        <v>23000</v>
      </c>
      <c r="BM2643">
        <v>1574384</v>
      </c>
      <c r="BN2643" t="s">
        <v>1768</v>
      </c>
      <c r="BO2643" s="17">
        <f t="shared" ca="1" si="41"/>
        <v>21.961269328705384</v>
      </c>
      <c r="BP2643" t="b">
        <v>0</v>
      </c>
      <c r="BQ2643">
        <v>1</v>
      </c>
      <c r="BR2643" t="s">
        <v>1842</v>
      </c>
      <c r="BS2643" t="s">
        <v>3082</v>
      </c>
      <c r="BT2643" t="b">
        <v>0</v>
      </c>
      <c r="BU2643" t="s">
        <v>3856</v>
      </c>
      <c r="BV2643" t="s">
        <v>1668</v>
      </c>
      <c r="BW2643">
        <v>16425</v>
      </c>
      <c r="BY2643">
        <v>12433090</v>
      </c>
      <c r="BZ2643" t="s">
        <v>5286</v>
      </c>
      <c r="CA2643">
        <v>1</v>
      </c>
      <c r="CB2643" t="b">
        <v>1</v>
      </c>
      <c r="CC2643">
        <v>0</v>
      </c>
      <c r="CD2643" t="b">
        <v>0</v>
      </c>
      <c r="CE2643" t="b">
        <v>0</v>
      </c>
      <c r="CF2643" t="b">
        <v>0</v>
      </c>
      <c r="CG2643">
        <v>15636838</v>
      </c>
      <c r="CH2643" t="s">
        <v>1681</v>
      </c>
      <c r="CI2643" s="10">
        <v>1150000</v>
      </c>
    </row>
    <row r="2644" spans="1:89">
      <c r="A2644">
        <v>28047604</v>
      </c>
      <c r="B2644" s="2" t="str">
        <f>HYPERLINK("http://www.redfin.com/stingray/do/printable-listing?listing-id=1571341","Active")</f>
        <v>Active</v>
      </c>
      <c r="D2644" t="s">
        <v>55</v>
      </c>
      <c r="E2644" t="s">
        <v>2734</v>
      </c>
      <c r="F2644">
        <v>319500</v>
      </c>
      <c r="G2644">
        <v>1930</v>
      </c>
      <c r="H2644">
        <v>1540</v>
      </c>
      <c r="I2644">
        <v>6350</v>
      </c>
      <c r="J2644">
        <v>3</v>
      </c>
      <c r="K2644">
        <v>0.75</v>
      </c>
      <c r="M2644" s="2" t="str">
        <f>HYPERLINK("http://maps.live.com/default.aspx?v=2&amp;lvl=15&amp;sp=Point.47.698817_-122.356348_9534 Palatine Ave N&amp;cp=47.698817~-122.356348","Map")</f>
        <v>Map</v>
      </c>
      <c r="N2644" s="2" t="str">
        <f>HYPERLINK("http://i-0.rfimg.us/photo/1/bigphoto/604/28047604_0.jpg","Photo")</f>
        <v>Photo</v>
      </c>
      <c r="AG2644">
        <v>47.698816999999998</v>
      </c>
      <c r="AH2644">
        <v>-122.356348</v>
      </c>
      <c r="AI2644" t="s">
        <v>66</v>
      </c>
      <c r="AJ2644">
        <v>98103</v>
      </c>
      <c r="BC2644" s="22">
        <v>39526.369293981479</v>
      </c>
      <c r="BI2644" s="22">
        <v>39549.294907407406</v>
      </c>
      <c r="BL2644">
        <v>6390</v>
      </c>
      <c r="BM2644">
        <v>1571341</v>
      </c>
      <c r="BN2644" t="s">
        <v>2733</v>
      </c>
      <c r="BO2644" s="17">
        <f t="shared" ca="1" si="41"/>
        <v>22.940111921299831</v>
      </c>
      <c r="BP2644" t="b">
        <v>0</v>
      </c>
      <c r="BQ2644">
        <v>1</v>
      </c>
      <c r="BR2644" t="s">
        <v>1667</v>
      </c>
      <c r="BS2644" t="s">
        <v>2605</v>
      </c>
      <c r="BT2644" t="b">
        <v>0</v>
      </c>
      <c r="BV2644" t="s">
        <v>1668</v>
      </c>
      <c r="BW2644">
        <v>9534</v>
      </c>
      <c r="BX2644" t="s">
        <v>1712</v>
      </c>
      <c r="BY2644">
        <v>100280</v>
      </c>
      <c r="BZ2644" t="s">
        <v>1713</v>
      </c>
      <c r="CA2644">
        <v>1</v>
      </c>
      <c r="CB2644" t="b">
        <v>1</v>
      </c>
      <c r="CC2644">
        <v>0</v>
      </c>
      <c r="CD2644" t="b">
        <v>0</v>
      </c>
      <c r="CE2644" t="b">
        <v>0</v>
      </c>
      <c r="CF2644" t="b">
        <v>0</v>
      </c>
      <c r="CG2644">
        <v>2522220</v>
      </c>
      <c r="CH2644" t="s">
        <v>1681</v>
      </c>
      <c r="CI2644" s="10">
        <v>319500</v>
      </c>
    </row>
    <row r="2645" spans="1:89">
      <c r="A2645">
        <v>28047610</v>
      </c>
      <c r="B2645" s="15" t="str">
        <f>HYPERLINK("http://www.redfin.com/stingray/do/printable-listing?listing-id=1571406","Subject To Inspection")</f>
        <v>Subject To Inspection</v>
      </c>
      <c r="D2645" t="s">
        <v>3714</v>
      </c>
      <c r="E2645" t="s">
        <v>3745</v>
      </c>
      <c r="F2645">
        <v>1950000</v>
      </c>
      <c r="G2645">
        <v>1928</v>
      </c>
      <c r="H2645">
        <v>3809</v>
      </c>
      <c r="I2645">
        <v>9217</v>
      </c>
      <c r="J2645">
        <v>4</v>
      </c>
      <c r="K2645">
        <v>3.25</v>
      </c>
      <c r="M2645" s="2" t="str">
        <f>HYPERLINK("http://maps.live.com/default.aspx?v=2&amp;lvl=15&amp;sp=Point.47.635679_-122.288648_1804 Blenheim Dr E&amp;cp=47.635679~-122.288648","Map")</f>
        <v>Map</v>
      </c>
      <c r="N2645" s="2" t="str">
        <f>HYPERLINK("http://i-0.rfimg.us/photo/1/bigphoto/610/28047610_3.jpg","Photo")</f>
        <v>Photo</v>
      </c>
      <c r="AG2645">
        <v>47.635679000000003</v>
      </c>
      <c r="AH2645">
        <v>-122.28864799999999</v>
      </c>
      <c r="AI2645" t="s">
        <v>66</v>
      </c>
      <c r="AJ2645">
        <v>98112</v>
      </c>
      <c r="AN2645">
        <v>1675000</v>
      </c>
      <c r="BC2645" s="22">
        <v>39526.390115740738</v>
      </c>
      <c r="BI2645" s="22">
        <v>39549.294907407406</v>
      </c>
      <c r="BL2645">
        <v>39000</v>
      </c>
      <c r="BM2645">
        <v>1571406</v>
      </c>
      <c r="BN2645" t="s">
        <v>1674</v>
      </c>
      <c r="BO2645" s="17">
        <f t="shared" ca="1" si="41"/>
        <v>22.919290162040852</v>
      </c>
      <c r="BP2645" t="b">
        <v>0</v>
      </c>
      <c r="BQ2645">
        <v>1</v>
      </c>
      <c r="BR2645" t="s">
        <v>1816</v>
      </c>
      <c r="BS2645" t="s">
        <v>3746</v>
      </c>
      <c r="BT2645" t="b">
        <v>0</v>
      </c>
      <c r="BV2645" t="s">
        <v>1668</v>
      </c>
      <c r="BW2645">
        <v>1804</v>
      </c>
      <c r="BX2645" t="s">
        <v>2436</v>
      </c>
      <c r="BY2645">
        <v>138931</v>
      </c>
      <c r="BZ2645" t="s">
        <v>3139</v>
      </c>
      <c r="CA2645">
        <v>1</v>
      </c>
      <c r="CB2645" t="b">
        <v>1</v>
      </c>
      <c r="CC2645">
        <v>0</v>
      </c>
      <c r="CD2645" t="b">
        <v>0</v>
      </c>
      <c r="CE2645" t="b">
        <v>0</v>
      </c>
      <c r="CF2645" t="b">
        <v>0</v>
      </c>
      <c r="CG2645">
        <v>2562989</v>
      </c>
      <c r="CH2645" t="s">
        <v>1681</v>
      </c>
      <c r="CI2645" s="10">
        <v>1950000</v>
      </c>
      <c r="CJ2645" s="7">
        <v>38201</v>
      </c>
    </row>
    <row r="2646" spans="1:89">
      <c r="A2646">
        <v>28047626</v>
      </c>
      <c r="B2646" s="2" t="str">
        <f>HYPERLINK("http://www.redfin.com/stingray/do/printable-listing?listing-id=1574245","Active")</f>
        <v>Active</v>
      </c>
      <c r="D2646" t="s">
        <v>63</v>
      </c>
      <c r="E2646" t="s">
        <v>1910</v>
      </c>
      <c r="F2646">
        <v>324500</v>
      </c>
      <c r="G2646">
        <v>1983</v>
      </c>
      <c r="H2646">
        <v>833</v>
      </c>
      <c r="I2646">
        <v>0</v>
      </c>
      <c r="J2646">
        <v>2</v>
      </c>
      <c r="K2646">
        <v>1</v>
      </c>
      <c r="M2646" s="2" t="str">
        <f>HYPERLINK("http://maps.live.com/default.aspx?v=2&amp;lvl=15&amp;sp=Point.47.690737_-122.379276_1712 NW 85th St n202&amp;cp=47.690737~-122.379276","Map")</f>
        <v>Map</v>
      </c>
      <c r="N2646" s="2" t="str">
        <f>HYPERLINK("http://i-0.rfimg.us/photo/1/bigphoto/626/28047626_1.jpg","Photo")</f>
        <v>Photo</v>
      </c>
      <c r="AG2646">
        <v>47.690736999999999</v>
      </c>
      <c r="AH2646">
        <v>-122.379276</v>
      </c>
      <c r="AI2646" t="s">
        <v>66</v>
      </c>
      <c r="AJ2646">
        <v>98117</v>
      </c>
      <c r="AM2646" t="s">
        <v>1894</v>
      </c>
      <c r="AN2646">
        <v>264000</v>
      </c>
      <c r="BC2646" s="22">
        <v>39527.275358796294</v>
      </c>
      <c r="BI2646" s="22">
        <v>39549.294907407406</v>
      </c>
      <c r="BL2646">
        <v>6490</v>
      </c>
      <c r="BM2646">
        <v>1574245</v>
      </c>
      <c r="BN2646" t="s">
        <v>1737</v>
      </c>
      <c r="BO2646" s="17">
        <f t="shared" ca="1" si="41"/>
        <v>22.034047222223307</v>
      </c>
      <c r="BP2646" t="b">
        <v>0</v>
      </c>
      <c r="BQ2646">
        <v>1</v>
      </c>
      <c r="BR2646" t="s">
        <v>1686</v>
      </c>
      <c r="BS2646" t="s">
        <v>1827</v>
      </c>
      <c r="BT2646" t="b">
        <v>0</v>
      </c>
      <c r="BU2646" t="s">
        <v>1669</v>
      </c>
      <c r="BV2646" t="s">
        <v>1668</v>
      </c>
      <c r="BW2646">
        <v>1712</v>
      </c>
      <c r="BY2646">
        <v>2116216</v>
      </c>
      <c r="BZ2646" t="s">
        <v>1677</v>
      </c>
      <c r="CA2646">
        <v>1</v>
      </c>
      <c r="CB2646" t="b">
        <v>1</v>
      </c>
      <c r="CC2646">
        <v>0</v>
      </c>
      <c r="CD2646" t="b">
        <v>0</v>
      </c>
      <c r="CE2646" t="b">
        <v>1</v>
      </c>
      <c r="CF2646" t="b">
        <v>0</v>
      </c>
      <c r="CG2646">
        <v>2895414</v>
      </c>
      <c r="CH2646" t="s">
        <v>1666</v>
      </c>
      <c r="CI2646" s="10">
        <v>324500</v>
      </c>
      <c r="CJ2646" s="7">
        <v>38796</v>
      </c>
    </row>
    <row r="2647" spans="1:89">
      <c r="A2647">
        <v>28047628</v>
      </c>
      <c r="B2647" s="2" t="str">
        <f>HYPERLINK("http://www.redfin.com/stingray/do/printable-listing?listing-id=1571407","Active")</f>
        <v>Active</v>
      </c>
      <c r="D2647" t="s">
        <v>3885</v>
      </c>
      <c r="E2647" t="s">
        <v>5678</v>
      </c>
      <c r="F2647">
        <v>570000</v>
      </c>
      <c r="G2647">
        <v>1999</v>
      </c>
      <c r="H2647">
        <v>2290</v>
      </c>
      <c r="I2647">
        <v>3776</v>
      </c>
      <c r="J2647">
        <v>3</v>
      </c>
      <c r="K2647">
        <v>2.5</v>
      </c>
      <c r="M2647" s="2" t="str">
        <f>HYPERLINK("http://maps.live.com/default.aspx?v=2&amp;lvl=15&amp;sp=Point.47.542749_-122.171012_6672 127th Pl SE&amp;cp=47.542749~-122.171012","Map")</f>
        <v>Map</v>
      </c>
      <c r="N2647" s="2" t="str">
        <f>HYPERLINK("http://i-0.rfimg.us/photo/1/bigphoto/628/28047628_0.jpg","Photo")</f>
        <v>Photo</v>
      </c>
      <c r="AG2647">
        <v>47.542749000000001</v>
      </c>
      <c r="AH2647">
        <v>-122.171012</v>
      </c>
      <c r="AI2647" t="s">
        <v>369</v>
      </c>
      <c r="AJ2647">
        <v>98006</v>
      </c>
      <c r="AN2647">
        <v>470000</v>
      </c>
      <c r="BC2647" s="22">
        <v>39526.390347222223</v>
      </c>
      <c r="BI2647" s="22">
        <v>39549.294907407406</v>
      </c>
      <c r="BL2647">
        <v>11400</v>
      </c>
      <c r="BM2647">
        <v>1571407</v>
      </c>
      <c r="BN2647" t="s">
        <v>1674</v>
      </c>
      <c r="BO2647" s="17">
        <f t="shared" ca="1" si="41"/>
        <v>22.919058680556191</v>
      </c>
      <c r="BP2647" t="b">
        <v>0</v>
      </c>
      <c r="BQ2647">
        <v>1</v>
      </c>
      <c r="BR2647" t="s">
        <v>1842</v>
      </c>
      <c r="BS2647" t="s">
        <v>2698</v>
      </c>
      <c r="BT2647" t="b">
        <v>0</v>
      </c>
      <c r="BV2647" t="s">
        <v>1668</v>
      </c>
      <c r="BW2647">
        <v>6672</v>
      </c>
      <c r="BX2647" t="s">
        <v>3856</v>
      </c>
      <c r="BY2647">
        <v>415604</v>
      </c>
      <c r="BZ2647" t="s">
        <v>1672</v>
      </c>
      <c r="CA2647">
        <v>1</v>
      </c>
      <c r="CB2647" t="b">
        <v>1</v>
      </c>
      <c r="CC2647">
        <v>0</v>
      </c>
      <c r="CD2647" t="b">
        <v>0</v>
      </c>
      <c r="CE2647" t="b">
        <v>0</v>
      </c>
      <c r="CF2647" t="b">
        <v>0</v>
      </c>
      <c r="CG2647">
        <v>2657366</v>
      </c>
      <c r="CH2647" t="s">
        <v>1681</v>
      </c>
      <c r="CI2647" s="10">
        <v>570000</v>
      </c>
      <c r="CJ2647" s="7">
        <v>38100</v>
      </c>
    </row>
    <row r="2648" spans="1:89">
      <c r="A2648">
        <v>28047636</v>
      </c>
      <c r="B2648" s="2" t="str">
        <f>HYPERLINK("http://www.redfin.com/stingray/do/printable-listing?listing-id=1574275","Active")</f>
        <v>Active</v>
      </c>
      <c r="D2648" t="s">
        <v>60</v>
      </c>
      <c r="E2648" t="s">
        <v>2739</v>
      </c>
      <c r="F2648">
        <v>427950</v>
      </c>
      <c r="G2648">
        <v>2008</v>
      </c>
      <c r="H2648">
        <v>1770</v>
      </c>
      <c r="I2648">
        <v>1113</v>
      </c>
      <c r="J2648">
        <v>3</v>
      </c>
      <c r="K2648">
        <v>2.5</v>
      </c>
      <c r="M2648" s="2" t="str">
        <f>HYPERLINK("http://maps.live.com/default.aspx?v=2&amp;lvl=15&amp;sp=Point.47.696578_-122.342103_9309 Stone Ave N&amp;cp=47.696578~-122.342103","Map")</f>
        <v>Map</v>
      </c>
      <c r="N2648" s="2" t="str">
        <f>HYPERLINK("http://i-0.rfimg.us/photo/1/bigphoto/636/28047636_0.jpg","Photo")</f>
        <v>Photo</v>
      </c>
      <c r="AG2648">
        <v>47.696578000000002</v>
      </c>
      <c r="AH2648">
        <v>-122.34210299999999</v>
      </c>
      <c r="AI2648" t="s">
        <v>66</v>
      </c>
      <c r="AJ2648">
        <v>98103</v>
      </c>
      <c r="BC2648" s="22">
        <v>39527.295972222222</v>
      </c>
      <c r="BI2648" s="22">
        <v>39549.294907407406</v>
      </c>
      <c r="BL2648">
        <v>8559</v>
      </c>
      <c r="BM2648">
        <v>1574275</v>
      </c>
      <c r="BN2648" t="s">
        <v>1678</v>
      </c>
      <c r="BO2648" s="17">
        <f t="shared" ca="1" si="41"/>
        <v>22.013433680556773</v>
      </c>
      <c r="BP2648" t="b">
        <v>0</v>
      </c>
      <c r="BQ2648">
        <v>1</v>
      </c>
      <c r="BR2648" t="s">
        <v>1667</v>
      </c>
      <c r="BS2648" t="s">
        <v>2719</v>
      </c>
      <c r="BT2648" t="b">
        <v>0</v>
      </c>
      <c r="BV2648" t="s">
        <v>1668</v>
      </c>
      <c r="BW2648">
        <v>9309</v>
      </c>
      <c r="BX2648" t="s">
        <v>1712</v>
      </c>
      <c r="BY2648">
        <v>12433081</v>
      </c>
      <c r="BZ2648" t="s">
        <v>1745</v>
      </c>
      <c r="CA2648">
        <v>1</v>
      </c>
      <c r="CB2648" t="b">
        <v>1</v>
      </c>
      <c r="CC2648">
        <v>0</v>
      </c>
      <c r="CD2648" t="b">
        <v>0</v>
      </c>
      <c r="CE2648" t="b">
        <v>0</v>
      </c>
      <c r="CF2648" t="b">
        <v>0</v>
      </c>
      <c r="CG2648">
        <v>15636829</v>
      </c>
      <c r="CH2648" t="s">
        <v>1681</v>
      </c>
      <c r="CI2648" s="10">
        <v>427950</v>
      </c>
    </row>
    <row r="2649" spans="1:89">
      <c r="A2649">
        <v>28047637</v>
      </c>
      <c r="B2649" s="15" t="str">
        <f>HYPERLINK("http://www.redfin.com/stingray/do/printable-listing?listing-id=1571436","Subject To Inspection")</f>
        <v>Subject To Inspection</v>
      </c>
      <c r="D2649" t="s">
        <v>42</v>
      </c>
      <c r="E2649" t="s">
        <v>2710</v>
      </c>
      <c r="F2649">
        <v>468995</v>
      </c>
      <c r="G2649">
        <v>1990</v>
      </c>
      <c r="H2649">
        <v>1780</v>
      </c>
      <c r="I2649">
        <v>7201</v>
      </c>
      <c r="J2649">
        <v>4</v>
      </c>
      <c r="K2649">
        <v>2.5</v>
      </c>
      <c r="M2649" s="2" t="str">
        <f>HYPERLINK("http://maps.live.com/default.aspx?v=2&amp;lvl=15&amp;sp=Point.47.713198_-122.334675_11601 Meridian Ave N&amp;cp=47.713198~-122.334675","Map")</f>
        <v>Map</v>
      </c>
      <c r="N2649" s="2" t="str">
        <f>HYPERLINK("http://i-0.rfimg.us/photo/1/bigphoto/637/28047637_8.jpg","Photo")</f>
        <v>Photo</v>
      </c>
      <c r="AG2649">
        <v>47.713197999999998</v>
      </c>
      <c r="AH2649">
        <v>-122.334675</v>
      </c>
      <c r="AI2649" t="s">
        <v>66</v>
      </c>
      <c r="AJ2649">
        <v>98133</v>
      </c>
      <c r="AN2649">
        <v>235000</v>
      </c>
      <c r="BC2649" s="22">
        <v>39526.400682870371</v>
      </c>
      <c r="BI2649" s="22">
        <v>39549.294907407406</v>
      </c>
      <c r="BL2649">
        <v>9380</v>
      </c>
      <c r="BM2649">
        <v>1571436</v>
      </c>
      <c r="BN2649" t="s">
        <v>1688</v>
      </c>
      <c r="BO2649" s="17">
        <f t="shared" ca="1" si="41"/>
        <v>22.908723032407579</v>
      </c>
      <c r="BP2649" t="b">
        <v>0</v>
      </c>
      <c r="BQ2649">
        <v>1</v>
      </c>
      <c r="BR2649" t="s">
        <v>1667</v>
      </c>
      <c r="BS2649" t="s">
        <v>2413</v>
      </c>
      <c r="BT2649" t="b">
        <v>0</v>
      </c>
      <c r="BV2649" t="s">
        <v>1668</v>
      </c>
      <c r="BW2649">
        <v>11601</v>
      </c>
      <c r="BX2649" t="s">
        <v>1712</v>
      </c>
      <c r="BY2649">
        <v>103745</v>
      </c>
      <c r="BZ2649" t="s">
        <v>2711</v>
      </c>
      <c r="CA2649">
        <v>1</v>
      </c>
      <c r="CB2649" t="b">
        <v>1</v>
      </c>
      <c r="CC2649">
        <v>0</v>
      </c>
      <c r="CD2649" t="b">
        <v>0</v>
      </c>
      <c r="CE2649" t="b">
        <v>0</v>
      </c>
      <c r="CF2649" t="b">
        <v>0</v>
      </c>
      <c r="CG2649">
        <v>2953482</v>
      </c>
      <c r="CH2649" t="s">
        <v>1681</v>
      </c>
      <c r="CI2649" s="10">
        <v>468995</v>
      </c>
      <c r="CJ2649" s="7">
        <v>35943</v>
      </c>
    </row>
    <row r="2650" spans="1:89">
      <c r="A2650">
        <v>28047647</v>
      </c>
      <c r="B2650" s="2" t="str">
        <f>HYPERLINK("http://www.redfin.com/stingray/do/printable-listing?listing-id=1574274","Active")</f>
        <v>Active</v>
      </c>
      <c r="D2650" t="s">
        <v>60</v>
      </c>
      <c r="E2650" t="s">
        <v>2737</v>
      </c>
      <c r="F2650">
        <v>417950</v>
      </c>
      <c r="G2650">
        <v>2008</v>
      </c>
      <c r="H2650">
        <v>1770</v>
      </c>
      <c r="I2650">
        <v>1122</v>
      </c>
      <c r="J2650">
        <v>3</v>
      </c>
      <c r="K2650">
        <v>2.5</v>
      </c>
      <c r="M2650" s="2" t="str">
        <f>HYPERLINK("http://maps.live.com/default.aspx?v=2&amp;lvl=15&amp;sp=Point.47.69657_-122.342103_9307 Stone Ave N&amp;cp=47.69657~-122.342103","Map")</f>
        <v>Map</v>
      </c>
      <c r="N2650" s="2" t="str">
        <f>HYPERLINK("http://i-0.rfimg.us/photo/1/bigphoto/647/28047647_0.jpg","Photo")</f>
        <v>Photo</v>
      </c>
      <c r="AG2650">
        <v>47.696570000000001</v>
      </c>
      <c r="AH2650">
        <v>-122.34210299999999</v>
      </c>
      <c r="AI2650" t="s">
        <v>66</v>
      </c>
      <c r="AJ2650">
        <v>98103</v>
      </c>
      <c r="BC2650" s="22">
        <v>39527.295972222222</v>
      </c>
      <c r="BI2650" s="22">
        <v>39549.294907407406</v>
      </c>
      <c r="BL2650">
        <v>8359</v>
      </c>
      <c r="BM2650">
        <v>1574274</v>
      </c>
      <c r="BN2650" t="s">
        <v>1678</v>
      </c>
      <c r="BO2650" s="17">
        <f t="shared" ca="1" si="41"/>
        <v>22.013433680556773</v>
      </c>
      <c r="BP2650" t="b">
        <v>0</v>
      </c>
      <c r="BQ2650">
        <v>1</v>
      </c>
      <c r="BR2650" t="s">
        <v>1667</v>
      </c>
      <c r="BS2650" t="s">
        <v>2719</v>
      </c>
      <c r="BT2650" t="b">
        <v>0</v>
      </c>
      <c r="BV2650" t="s">
        <v>1668</v>
      </c>
      <c r="BW2650">
        <v>9307</v>
      </c>
      <c r="BX2650" t="s">
        <v>1712</v>
      </c>
      <c r="BY2650">
        <v>12433080</v>
      </c>
      <c r="BZ2650" t="s">
        <v>1672</v>
      </c>
      <c r="CA2650">
        <v>1</v>
      </c>
      <c r="CB2650" t="b">
        <v>1</v>
      </c>
      <c r="CC2650">
        <v>0</v>
      </c>
      <c r="CD2650" t="b">
        <v>0</v>
      </c>
      <c r="CE2650" t="b">
        <v>0</v>
      </c>
      <c r="CF2650" t="b">
        <v>0</v>
      </c>
      <c r="CG2650">
        <v>15636828</v>
      </c>
      <c r="CH2650" t="s">
        <v>1681</v>
      </c>
      <c r="CI2650" s="10">
        <v>417950</v>
      </c>
    </row>
    <row r="2651" spans="1:89">
      <c r="A2651">
        <v>28047651</v>
      </c>
      <c r="B2651" s="15" t="str">
        <f>HYPERLINK("http://www.redfin.com/stingray/do/printable-listing?listing-id=1583284","Subject To Inspection")</f>
        <v>Subject To Inspection</v>
      </c>
      <c r="D2651" t="s">
        <v>60</v>
      </c>
      <c r="E2651" t="s">
        <v>6271</v>
      </c>
      <c r="F2651">
        <v>679000</v>
      </c>
      <c r="G2651">
        <v>1926</v>
      </c>
      <c r="H2651">
        <v>2500</v>
      </c>
      <c r="I2651">
        <v>3610</v>
      </c>
      <c r="J2651">
        <v>2</v>
      </c>
      <c r="K2651">
        <v>1.75</v>
      </c>
      <c r="M2651" s="2" t="str">
        <f>HYPERLINK("http://maps.live.com/default.aspx?v=2&amp;lvl=15&amp;sp=Point.47.685704_-122.33993_1344 N 78th St&amp;cp=47.685704~-122.33993","Map")</f>
        <v>Map</v>
      </c>
      <c r="N2651" s="2" t="str">
        <f>HYPERLINK("http://i-0.rfimg.us/photo/1/bigphoto/651/28047651_2.jpg","Photo")</f>
        <v>Photo</v>
      </c>
      <c r="AG2651">
        <v>47.685704000000001</v>
      </c>
      <c r="AH2651">
        <v>-122.33993</v>
      </c>
      <c r="AI2651" t="s">
        <v>66</v>
      </c>
      <c r="AJ2651">
        <v>98103</v>
      </c>
      <c r="AN2651">
        <v>600000</v>
      </c>
      <c r="BC2651" s="22">
        <v>39531.610358796293</v>
      </c>
      <c r="BI2651" s="22">
        <v>39549.294907407406</v>
      </c>
      <c r="BL2651">
        <v>13580</v>
      </c>
      <c r="BM2651">
        <v>1583284</v>
      </c>
      <c r="BN2651" t="s">
        <v>1710</v>
      </c>
      <c r="BO2651" s="17">
        <f t="shared" ca="1" si="41"/>
        <v>17.699047106485523</v>
      </c>
      <c r="BP2651" t="b">
        <v>0</v>
      </c>
      <c r="BQ2651">
        <v>1</v>
      </c>
      <c r="BR2651" t="s">
        <v>1686</v>
      </c>
      <c r="BS2651" t="s">
        <v>2354</v>
      </c>
      <c r="BT2651" t="b">
        <v>0</v>
      </c>
      <c r="BU2651" t="s">
        <v>1712</v>
      </c>
      <c r="BV2651" t="s">
        <v>1668</v>
      </c>
      <c r="BW2651">
        <v>1344</v>
      </c>
      <c r="BY2651">
        <v>307663</v>
      </c>
      <c r="BZ2651" t="s">
        <v>2577</v>
      </c>
      <c r="CA2651">
        <v>1</v>
      </c>
      <c r="CB2651" t="b">
        <v>1</v>
      </c>
      <c r="CC2651">
        <v>0</v>
      </c>
      <c r="CD2651" t="b">
        <v>0</v>
      </c>
      <c r="CE2651" t="b">
        <v>1</v>
      </c>
      <c r="CF2651" t="b">
        <v>0</v>
      </c>
      <c r="CG2651">
        <v>2813581</v>
      </c>
      <c r="CH2651" t="s">
        <v>1681</v>
      </c>
      <c r="CI2651" s="10">
        <v>679000</v>
      </c>
      <c r="CJ2651" s="7">
        <v>38149</v>
      </c>
    </row>
    <row r="2652" spans="1:89">
      <c r="A2652">
        <v>28047660</v>
      </c>
      <c r="B2652" s="2" t="str">
        <f>HYPERLINK("http://www.redfin.com/stingray/do/printable-listing?listing-id=1574273","Active")</f>
        <v>Active</v>
      </c>
      <c r="D2652" t="s">
        <v>60</v>
      </c>
      <c r="E2652" t="s">
        <v>2738</v>
      </c>
      <c r="F2652">
        <v>439950</v>
      </c>
      <c r="G2652">
        <v>2008</v>
      </c>
      <c r="H2652">
        <v>1680</v>
      </c>
      <c r="I2652">
        <v>1229</v>
      </c>
      <c r="J2652">
        <v>3</v>
      </c>
      <c r="K2652">
        <v>2.5</v>
      </c>
      <c r="M2652" s="2" t="str">
        <f>HYPERLINK("http://maps.live.com/default.aspx?v=2&amp;lvl=15&amp;sp=Point.47.696537_-122.342644_1152 N 93rd St&amp;cp=47.696537~-122.342644","Map")</f>
        <v>Map</v>
      </c>
      <c r="N2652" s="2" t="str">
        <f>HYPERLINK("http://i-0.rfimg.us/photo/1/bigphoto/660/28047660_0.jpg","Photo")</f>
        <v>Photo</v>
      </c>
      <c r="AG2652">
        <v>47.696536999999999</v>
      </c>
      <c r="AH2652">
        <v>-122.34264400000001</v>
      </c>
      <c r="AI2652" t="s">
        <v>66</v>
      </c>
      <c r="AJ2652">
        <v>98103</v>
      </c>
      <c r="BC2652" s="22">
        <v>39527.295960648145</v>
      </c>
      <c r="BI2652" s="22">
        <v>39549.294907407406</v>
      </c>
      <c r="BL2652">
        <v>8799</v>
      </c>
      <c r="BM2652">
        <v>1574273</v>
      </c>
      <c r="BN2652" t="s">
        <v>1678</v>
      </c>
      <c r="BO2652" s="17">
        <f t="shared" ca="1" si="41"/>
        <v>22.013445254633552</v>
      </c>
      <c r="BP2652" t="b">
        <v>0</v>
      </c>
      <c r="BQ2652">
        <v>1</v>
      </c>
      <c r="BR2652" t="s">
        <v>1686</v>
      </c>
      <c r="BS2652" t="s">
        <v>2732</v>
      </c>
      <c r="BT2652" t="b">
        <v>0</v>
      </c>
      <c r="BU2652" t="s">
        <v>1712</v>
      </c>
      <c r="BV2652" t="s">
        <v>1668</v>
      </c>
      <c r="BW2652">
        <v>1152</v>
      </c>
      <c r="BY2652">
        <v>12433079</v>
      </c>
      <c r="BZ2652" t="s">
        <v>1745</v>
      </c>
      <c r="CA2652">
        <v>1</v>
      </c>
      <c r="CB2652" t="b">
        <v>1</v>
      </c>
      <c r="CC2652">
        <v>0</v>
      </c>
      <c r="CD2652" t="b">
        <v>0</v>
      </c>
      <c r="CE2652" t="b">
        <v>0</v>
      </c>
      <c r="CF2652" t="b">
        <v>0</v>
      </c>
      <c r="CG2652">
        <v>15636827</v>
      </c>
      <c r="CH2652" t="s">
        <v>1681</v>
      </c>
      <c r="CI2652" s="10">
        <v>439950</v>
      </c>
    </row>
    <row r="2653" spans="1:89">
      <c r="A2653">
        <v>28047664</v>
      </c>
      <c r="B2653" s="2" t="str">
        <f>HYPERLINK("http://www.redfin.com/stingray/do/printable-listing?listing-id=1571614","Active")</f>
        <v>Active</v>
      </c>
      <c r="D2653" t="s">
        <v>63</v>
      </c>
      <c r="E2653" t="s">
        <v>2587</v>
      </c>
      <c r="F2653">
        <v>479000</v>
      </c>
      <c r="G2653">
        <v>1944</v>
      </c>
      <c r="H2653">
        <v>1200</v>
      </c>
      <c r="I2653">
        <v>5000</v>
      </c>
      <c r="J2653">
        <v>4</v>
      </c>
      <c r="K2653">
        <v>1</v>
      </c>
      <c r="M2653" s="2" t="str">
        <f>HYPERLINK("http://maps.live.com/default.aspx?v=2&amp;lvl=15&amp;sp=Point.47.66595_-122.36266_342 NW 51st St&amp;cp=47.66595~-122.36266","Map")</f>
        <v>Map</v>
      </c>
      <c r="N2653" s="2" t="str">
        <f>HYPERLINK("http://i-0.rfimg.us/photo/1/bigphoto/664/28047664_0.jpg","Photo")</f>
        <v>Photo</v>
      </c>
      <c r="AG2653">
        <v>47.665950000000002</v>
      </c>
      <c r="AH2653">
        <v>-122.36266000000001</v>
      </c>
      <c r="AI2653" t="s">
        <v>66</v>
      </c>
      <c r="AJ2653">
        <v>98107</v>
      </c>
      <c r="AN2653">
        <v>350000</v>
      </c>
      <c r="BC2653" s="22">
        <v>39526.442766203705</v>
      </c>
      <c r="BI2653" s="22">
        <v>39549.294907407406</v>
      </c>
      <c r="BL2653">
        <v>9580</v>
      </c>
      <c r="BM2653">
        <v>1571614</v>
      </c>
      <c r="BN2653" t="s">
        <v>1697</v>
      </c>
      <c r="BO2653" s="17">
        <f t="shared" ca="1" si="41"/>
        <v>22.866639814812515</v>
      </c>
      <c r="BP2653" t="b">
        <v>0</v>
      </c>
      <c r="BQ2653">
        <v>1</v>
      </c>
      <c r="BR2653" t="s">
        <v>1686</v>
      </c>
      <c r="BS2653" t="s">
        <v>2469</v>
      </c>
      <c r="BT2653" t="b">
        <v>0</v>
      </c>
      <c r="BU2653" t="s">
        <v>1669</v>
      </c>
      <c r="BV2653" t="s">
        <v>1668</v>
      </c>
      <c r="BW2653">
        <v>342</v>
      </c>
      <c r="BY2653">
        <v>303079</v>
      </c>
      <c r="BZ2653" s="21">
        <v>0</v>
      </c>
      <c r="CA2653">
        <v>1</v>
      </c>
      <c r="CB2653" t="b">
        <v>1</v>
      </c>
      <c r="CC2653">
        <v>0</v>
      </c>
      <c r="CD2653" t="b">
        <v>0</v>
      </c>
      <c r="CE2653" t="b">
        <v>0</v>
      </c>
      <c r="CF2653" t="b">
        <v>0</v>
      </c>
      <c r="CG2653">
        <v>2804110</v>
      </c>
      <c r="CH2653" t="s">
        <v>1681</v>
      </c>
      <c r="CI2653" s="10">
        <v>479000</v>
      </c>
      <c r="CJ2653" s="7">
        <v>38930</v>
      </c>
    </row>
    <row r="2654" spans="1:89">
      <c r="A2654">
        <v>28047679</v>
      </c>
      <c r="B2654" s="2" t="str">
        <f>HYPERLINK("http://www.redfin.com/stingray/do/printable-listing?listing-id=1571520","Active")</f>
        <v>Active</v>
      </c>
      <c r="D2654" t="s">
        <v>3885</v>
      </c>
      <c r="E2654" t="s">
        <v>6074</v>
      </c>
      <c r="F2654">
        <v>639950</v>
      </c>
      <c r="G2654">
        <v>2007</v>
      </c>
      <c r="H2654">
        <v>3003</v>
      </c>
      <c r="I2654">
        <v>11979</v>
      </c>
      <c r="J2654">
        <v>4</v>
      </c>
      <c r="K2654">
        <v>2.75</v>
      </c>
      <c r="M2654" s="2" t="str">
        <f>HYPERLINK("http://maps.live.com/default.aspx?v=2&amp;lvl=15&amp;sp=Point.47.507538_-122.17285_3506 NE 17th Pl&amp;cp=47.507538~-122.17285","Map")</f>
        <v>Map</v>
      </c>
      <c r="N2654" s="2" t="str">
        <f>HYPERLINK("http://i-0.rfimg.us/photo/1/bigphoto/679/28047679_0.jpg","Photo")</f>
        <v>Photo</v>
      </c>
      <c r="AG2654">
        <v>47.507537999999997</v>
      </c>
      <c r="AH2654">
        <v>-122.17285</v>
      </c>
      <c r="AI2654" t="s">
        <v>1077</v>
      </c>
      <c r="AJ2654">
        <v>98056</v>
      </c>
      <c r="AN2654">
        <v>125000</v>
      </c>
      <c r="BC2654" s="22">
        <v>39526.421875</v>
      </c>
      <c r="BI2654" s="22">
        <v>39549.294907407406</v>
      </c>
      <c r="BL2654">
        <v>12799</v>
      </c>
      <c r="BM2654">
        <v>1571520</v>
      </c>
      <c r="BN2654" t="s">
        <v>5743</v>
      </c>
      <c r="BO2654" s="17">
        <f t="shared" ca="1" si="41"/>
        <v>22.887530902778963</v>
      </c>
      <c r="BP2654" t="b">
        <v>0</v>
      </c>
      <c r="BQ2654">
        <v>1</v>
      </c>
      <c r="BR2654" t="s">
        <v>1842</v>
      </c>
      <c r="BS2654" t="s">
        <v>1683</v>
      </c>
      <c r="BT2654" t="b">
        <v>0</v>
      </c>
      <c r="BU2654" t="s">
        <v>1738</v>
      </c>
      <c r="BV2654" t="s">
        <v>1668</v>
      </c>
      <c r="BW2654">
        <v>3506</v>
      </c>
      <c r="BY2654">
        <v>12315356</v>
      </c>
      <c r="BZ2654" t="s">
        <v>1676</v>
      </c>
      <c r="CA2654">
        <v>1</v>
      </c>
      <c r="CB2654" t="b">
        <v>1</v>
      </c>
      <c r="CC2654">
        <v>0</v>
      </c>
      <c r="CD2654" t="b">
        <v>0</v>
      </c>
      <c r="CE2654" t="b">
        <v>0</v>
      </c>
      <c r="CF2654" t="b">
        <v>0</v>
      </c>
      <c r="CG2654">
        <v>2902409</v>
      </c>
      <c r="CH2654" t="s">
        <v>1681</v>
      </c>
      <c r="CI2654" s="10">
        <v>639950</v>
      </c>
      <c r="CJ2654" s="7">
        <v>38769</v>
      </c>
    </row>
    <row r="2655" spans="1:89">
      <c r="A2655">
        <v>28047715</v>
      </c>
      <c r="B2655" s="2" t="str">
        <f>HYPERLINK("http://www.redfin.com/stingray/do/printable-listing?listing-id=1571616","Active")</f>
        <v>Active</v>
      </c>
      <c r="D2655" t="s">
        <v>66</v>
      </c>
      <c r="E2655" t="s">
        <v>1887</v>
      </c>
      <c r="F2655">
        <v>574950</v>
      </c>
      <c r="G2655">
        <v>1912</v>
      </c>
      <c r="H2655">
        <v>2700</v>
      </c>
      <c r="I2655">
        <v>5150</v>
      </c>
      <c r="J2655">
        <v>6</v>
      </c>
      <c r="K2655">
        <v>2</v>
      </c>
      <c r="M2655" s="2" t="str">
        <f>HYPERLINK("http://maps.live.com/default.aspx?v=2&amp;lvl=15&amp;sp=Point.47.683495_-122.362904_352 NW 75th St&amp;cp=47.683495~-122.362904","Map")</f>
        <v>Map</v>
      </c>
      <c r="N2655" s="2" t="str">
        <f>HYPERLINK("http://i-0.rfimg.us/photo/1/bigphoto/715/28047715_2.jpg","Photo")</f>
        <v>Photo</v>
      </c>
      <c r="AG2655">
        <v>47.683495000000001</v>
      </c>
      <c r="AH2655">
        <v>-122.362904</v>
      </c>
      <c r="AI2655" t="s">
        <v>66</v>
      </c>
      <c r="AJ2655">
        <v>98117</v>
      </c>
      <c r="AN2655">
        <v>310000</v>
      </c>
      <c r="BC2655" s="22">
        <v>39526.442812499998</v>
      </c>
      <c r="BI2655" s="22">
        <v>39549.294907407406</v>
      </c>
      <c r="BL2655">
        <v>11499</v>
      </c>
      <c r="BM2655">
        <v>1571616</v>
      </c>
      <c r="BN2655" t="s">
        <v>1817</v>
      </c>
      <c r="BO2655" s="17">
        <f t="shared" ca="1" si="41"/>
        <v>22.866593518519949</v>
      </c>
      <c r="BP2655" t="b">
        <v>0</v>
      </c>
      <c r="BQ2655">
        <v>1</v>
      </c>
      <c r="BR2655" t="s">
        <v>1686</v>
      </c>
      <c r="BS2655" t="s">
        <v>1837</v>
      </c>
      <c r="BT2655" t="b">
        <v>0</v>
      </c>
      <c r="BU2655" t="s">
        <v>1669</v>
      </c>
      <c r="BV2655" t="s">
        <v>1668</v>
      </c>
      <c r="BW2655">
        <v>352</v>
      </c>
      <c r="BY2655">
        <v>496479</v>
      </c>
      <c r="BZ2655" t="s">
        <v>1888</v>
      </c>
      <c r="CA2655">
        <v>1</v>
      </c>
      <c r="CB2655" t="b">
        <v>1</v>
      </c>
      <c r="CC2655">
        <v>0</v>
      </c>
      <c r="CD2655" t="b">
        <v>0</v>
      </c>
      <c r="CE2655" t="b">
        <v>1</v>
      </c>
      <c r="CF2655" t="b">
        <v>0</v>
      </c>
      <c r="CG2655">
        <v>2512054</v>
      </c>
      <c r="CH2655" t="s">
        <v>1681</v>
      </c>
      <c r="CI2655" s="10">
        <v>574950</v>
      </c>
      <c r="CJ2655" s="7">
        <v>37109</v>
      </c>
      <c r="CK2655" t="s">
        <v>1997</v>
      </c>
    </row>
    <row r="2656" spans="1:89">
      <c r="A2656">
        <v>28047741</v>
      </c>
      <c r="B2656" s="15" t="str">
        <f>HYPERLINK("http://www.redfin.com/stingray/do/printable-listing?listing-id=1571696","Subject To Inspection")</f>
        <v>Subject To Inspection</v>
      </c>
      <c r="D2656" t="s">
        <v>109</v>
      </c>
      <c r="E2656" t="s">
        <v>834</v>
      </c>
      <c r="F2656">
        <v>479000</v>
      </c>
      <c r="G2656">
        <v>2007</v>
      </c>
      <c r="H2656">
        <v>1350</v>
      </c>
      <c r="I2656">
        <v>0</v>
      </c>
      <c r="J2656">
        <v>3</v>
      </c>
      <c r="K2656">
        <v>2.5</v>
      </c>
      <c r="M2656" s="2" t="str">
        <f>HYPERLINK("http://maps.live.com/default.aspx?v=2&amp;lvl=15&amp;sp=Point.47.648333_-122.334103_3421 Meridian Ave N&amp;cp=47.648333~-122.334103","Map")</f>
        <v>Map</v>
      </c>
      <c r="N2656" s="2" t="str">
        <f>HYPERLINK("http://i-0.rfimg.us/photo/1/bigphoto/741/28047741_0.jpg","Photo")</f>
        <v>Photo</v>
      </c>
      <c r="AG2656">
        <v>47.648333000000001</v>
      </c>
      <c r="AH2656">
        <v>-122.334103</v>
      </c>
      <c r="AI2656" t="s">
        <v>66</v>
      </c>
      <c r="AJ2656">
        <v>98103</v>
      </c>
      <c r="BC2656" s="22">
        <v>39526.463738425926</v>
      </c>
      <c r="BI2656" s="22">
        <v>39549.294907407406</v>
      </c>
      <c r="BL2656">
        <v>9580</v>
      </c>
      <c r="BM2656">
        <v>1571696</v>
      </c>
      <c r="BN2656" t="s">
        <v>1766</v>
      </c>
      <c r="BO2656" s="17">
        <f t="shared" ca="1" si="41"/>
        <v>22.845667476853123</v>
      </c>
      <c r="BP2656" t="b">
        <v>0</v>
      </c>
      <c r="BQ2656">
        <v>1</v>
      </c>
      <c r="BR2656" t="s">
        <v>1667</v>
      </c>
      <c r="BS2656" t="s">
        <v>2413</v>
      </c>
      <c r="BT2656" t="b">
        <v>0</v>
      </c>
      <c r="BV2656" t="s">
        <v>1668</v>
      </c>
      <c r="BW2656">
        <v>3421</v>
      </c>
      <c r="BX2656" t="s">
        <v>1712</v>
      </c>
      <c r="BY2656">
        <v>11896835</v>
      </c>
      <c r="BZ2656" t="s">
        <v>1676</v>
      </c>
      <c r="CA2656">
        <v>1</v>
      </c>
      <c r="CB2656" t="b">
        <v>1</v>
      </c>
      <c r="CC2656">
        <v>0</v>
      </c>
      <c r="CD2656" t="b">
        <v>0</v>
      </c>
      <c r="CE2656" t="b">
        <v>0</v>
      </c>
      <c r="CF2656" t="b">
        <v>0</v>
      </c>
      <c r="CG2656">
        <v>15151060</v>
      </c>
      <c r="CH2656" t="s">
        <v>1681</v>
      </c>
      <c r="CI2656" s="10">
        <v>479000</v>
      </c>
    </row>
    <row r="2657" spans="1:90">
      <c r="A2657">
        <v>28047743</v>
      </c>
      <c r="B2657" s="2" t="str">
        <f>HYPERLINK("http://www.redfin.com/stingray/do/printable-listing?listing-id=1571697","Active")</f>
        <v>Active</v>
      </c>
      <c r="D2657" t="s">
        <v>204</v>
      </c>
      <c r="E2657" t="s">
        <v>2921</v>
      </c>
      <c r="F2657">
        <v>324950</v>
      </c>
      <c r="G2657">
        <v>2001</v>
      </c>
      <c r="H2657">
        <v>1370</v>
      </c>
      <c r="I2657">
        <v>1811</v>
      </c>
      <c r="J2657">
        <v>3</v>
      </c>
      <c r="K2657">
        <v>2.75</v>
      </c>
      <c r="M2657" s="2" t="str">
        <f>HYPERLINK("http://maps.live.com/default.aspx?v=2&amp;lvl=15&amp;sp=Point.47.717791_-122.318303_12307 Roosevelt Way NE nB&amp;cp=47.717791~-122.318303","Map")</f>
        <v>Map</v>
      </c>
      <c r="N2657" s="2" t="str">
        <f>HYPERLINK("http://i-0.rfimg.us/photo/1/bigphoto/743/28047743_0.jpg","Photo")</f>
        <v>Photo</v>
      </c>
      <c r="AG2657">
        <v>47.717790999999998</v>
      </c>
      <c r="AH2657">
        <v>-122.318303</v>
      </c>
      <c r="AI2657" t="s">
        <v>66</v>
      </c>
      <c r="AJ2657">
        <v>98125</v>
      </c>
      <c r="AM2657" t="s">
        <v>1699</v>
      </c>
      <c r="BC2657" s="22">
        <v>39526.463750000003</v>
      </c>
      <c r="BI2657" s="22">
        <v>39549.294907407406</v>
      </c>
      <c r="BL2657">
        <v>6499</v>
      </c>
      <c r="BM2657">
        <v>1571697</v>
      </c>
      <c r="BN2657" t="s">
        <v>1725</v>
      </c>
      <c r="BO2657" s="17">
        <f t="shared" ca="1" si="41"/>
        <v>22.845655902776343</v>
      </c>
      <c r="BP2657" t="b">
        <v>0</v>
      </c>
      <c r="BQ2657">
        <v>1</v>
      </c>
      <c r="BR2657" t="s">
        <v>2463</v>
      </c>
      <c r="BS2657" t="s">
        <v>190</v>
      </c>
      <c r="BT2657" t="b">
        <v>0</v>
      </c>
      <c r="BV2657" t="s">
        <v>1668</v>
      </c>
      <c r="BW2657">
        <v>12307</v>
      </c>
      <c r="BX2657" t="s">
        <v>1738</v>
      </c>
      <c r="BY2657">
        <v>12432641</v>
      </c>
      <c r="BZ2657" t="s">
        <v>1672</v>
      </c>
      <c r="CA2657">
        <v>1</v>
      </c>
      <c r="CB2657" t="b">
        <v>1</v>
      </c>
      <c r="CC2657">
        <v>0</v>
      </c>
      <c r="CD2657" t="b">
        <v>0</v>
      </c>
      <c r="CE2657" t="b">
        <v>0</v>
      </c>
      <c r="CF2657" t="b">
        <v>0</v>
      </c>
      <c r="CG2657">
        <v>15636389</v>
      </c>
      <c r="CH2657" t="s">
        <v>1681</v>
      </c>
      <c r="CI2657" s="10">
        <v>324950</v>
      </c>
    </row>
    <row r="2658" spans="1:90">
      <c r="A2658">
        <v>28047754</v>
      </c>
      <c r="B2658" s="2" t="str">
        <f>HYPERLINK("http://www.redfin.com/stingray/do/printable-listing?listing-id=1581646","Active")</f>
        <v>Active</v>
      </c>
      <c r="D2658" t="s">
        <v>3885</v>
      </c>
      <c r="E2658" t="s">
        <v>6267</v>
      </c>
      <c r="F2658">
        <v>379000</v>
      </c>
      <c r="G2658">
        <v>1976</v>
      </c>
      <c r="H2658">
        <v>1860</v>
      </c>
      <c r="I2658">
        <v>8500</v>
      </c>
      <c r="J2658">
        <v>4</v>
      </c>
      <c r="K2658">
        <v>2.75</v>
      </c>
      <c r="M2658" s="2" t="str">
        <f>HYPERLINK("http://maps.live.com/default.aspx?v=2&amp;lvl=15&amp;sp=Point.47.515872_-122.174314_12359 SE 96th Pl&amp;cp=47.515872~-122.174314","Map")</f>
        <v>Map</v>
      </c>
      <c r="N2658" s="2" t="str">
        <f>HYPERLINK("http://i-0.rfimg.us/photo/1/bigphoto/754/28047754_0.jpg","Photo")</f>
        <v>Photo</v>
      </c>
      <c r="AG2658">
        <v>47.515872000000002</v>
      </c>
      <c r="AH2658">
        <v>-122.174314</v>
      </c>
      <c r="AI2658" t="s">
        <v>1077</v>
      </c>
      <c r="AJ2658">
        <v>98056</v>
      </c>
      <c r="AN2658">
        <v>291600</v>
      </c>
      <c r="BC2658" s="22">
        <v>39531.046053240738</v>
      </c>
      <c r="BI2658" s="22">
        <v>39549.294907407406</v>
      </c>
      <c r="BL2658">
        <v>7580</v>
      </c>
      <c r="BM2658">
        <v>1581646</v>
      </c>
      <c r="BN2658" t="s">
        <v>1737</v>
      </c>
      <c r="BO2658" s="17">
        <f t="shared" ca="1" si="41"/>
        <v>18.263352662041143</v>
      </c>
      <c r="BP2658" t="b">
        <v>0</v>
      </c>
      <c r="BQ2658">
        <v>1</v>
      </c>
      <c r="BR2658" t="s">
        <v>1842</v>
      </c>
      <c r="BS2658" t="s">
        <v>1961</v>
      </c>
      <c r="BT2658" t="b">
        <v>0</v>
      </c>
      <c r="BU2658" t="s">
        <v>3856</v>
      </c>
      <c r="BV2658" t="s">
        <v>1668</v>
      </c>
      <c r="BW2658">
        <v>12359</v>
      </c>
      <c r="BY2658">
        <v>412048</v>
      </c>
      <c r="BZ2658" s="21">
        <v>0</v>
      </c>
      <c r="CA2658">
        <v>1</v>
      </c>
      <c r="CB2658" t="b">
        <v>1</v>
      </c>
      <c r="CC2658">
        <v>0</v>
      </c>
      <c r="CD2658" t="b">
        <v>0</v>
      </c>
      <c r="CE2658" t="b">
        <v>1</v>
      </c>
      <c r="CF2658" t="b">
        <v>0</v>
      </c>
      <c r="CG2658">
        <v>2615959</v>
      </c>
      <c r="CH2658" t="s">
        <v>1681</v>
      </c>
      <c r="CI2658" s="10">
        <v>379000</v>
      </c>
      <c r="CJ2658" s="7">
        <v>38436</v>
      </c>
    </row>
    <row r="2659" spans="1:90">
      <c r="A2659">
        <v>28047794</v>
      </c>
      <c r="B2659" s="15" t="str">
        <f>HYPERLINK("http://www.redfin.com/stingray/do/printable-listing?listing-id=1572358","Subject To Inspection")</f>
        <v>Subject To Inspection</v>
      </c>
      <c r="D2659" t="s">
        <v>3089</v>
      </c>
      <c r="E2659" t="s">
        <v>3193</v>
      </c>
      <c r="F2659">
        <v>1595000</v>
      </c>
      <c r="G2659">
        <v>1938</v>
      </c>
      <c r="H2659">
        <v>4000</v>
      </c>
      <c r="I2659">
        <v>4680</v>
      </c>
      <c r="J2659">
        <v>4</v>
      </c>
      <c r="K2659">
        <v>4.5</v>
      </c>
      <c r="M2659" s="2" t="str">
        <f>HYPERLINK("http://maps.live.com/default.aspx?v=2&amp;lvl=15&amp;sp=Point.47.662737_-122.27113_4552 52nd Ave NE&amp;cp=47.662737~-122.27113","Map")</f>
        <v>Map</v>
      </c>
      <c r="N2659" s="2" t="str">
        <f>HYPERLINK("http://i-0.rfimg.us/photo/1/bigphoto/794/28047794_0.jpg","Photo")</f>
        <v>Photo</v>
      </c>
      <c r="AG2659">
        <v>47.662737</v>
      </c>
      <c r="AH2659">
        <v>-122.27113</v>
      </c>
      <c r="AI2659" t="s">
        <v>66</v>
      </c>
      <c r="AJ2659">
        <v>98105</v>
      </c>
      <c r="AN2659">
        <v>190000</v>
      </c>
      <c r="BC2659" s="22">
        <v>39526.567754629628</v>
      </c>
      <c r="BI2659" s="7">
        <v>39543</v>
      </c>
      <c r="BL2659">
        <v>31900</v>
      </c>
      <c r="BM2659">
        <v>1572358</v>
      </c>
      <c r="BN2659" t="s">
        <v>1710</v>
      </c>
      <c r="BO2659" s="17">
        <f t="shared" ca="1" si="41"/>
        <v>22.741651273150637</v>
      </c>
      <c r="BP2659" t="b">
        <v>0</v>
      </c>
      <c r="BQ2659">
        <v>1</v>
      </c>
      <c r="BR2659" t="s">
        <v>1667</v>
      </c>
      <c r="BS2659" t="s">
        <v>2455</v>
      </c>
      <c r="BT2659" t="b">
        <v>0</v>
      </c>
      <c r="BV2659" t="s">
        <v>1668</v>
      </c>
      <c r="BW2659">
        <v>4552</v>
      </c>
      <c r="BX2659" t="s">
        <v>1738</v>
      </c>
      <c r="BY2659">
        <v>122429</v>
      </c>
      <c r="BZ2659" t="s">
        <v>1672</v>
      </c>
      <c r="CA2659">
        <v>1</v>
      </c>
      <c r="CB2659" t="b">
        <v>1</v>
      </c>
      <c r="CC2659">
        <v>0</v>
      </c>
      <c r="CD2659" t="b">
        <v>0</v>
      </c>
      <c r="CE2659" t="b">
        <v>0</v>
      </c>
      <c r="CF2659" t="b">
        <v>0</v>
      </c>
      <c r="CG2659">
        <v>2701175</v>
      </c>
      <c r="CH2659" t="s">
        <v>1681</v>
      </c>
      <c r="CI2659" s="10">
        <v>1595000</v>
      </c>
      <c r="CJ2659" s="7">
        <v>36878</v>
      </c>
    </row>
    <row r="2660" spans="1:90">
      <c r="A2660">
        <v>28047824</v>
      </c>
      <c r="B2660" s="2" t="str">
        <f>HYPERLINK("http://www.redfin.com/stingray/do/printable-listing?listing-id=1577114","Active")</f>
        <v>Active</v>
      </c>
      <c r="D2660" t="s">
        <v>5204</v>
      </c>
      <c r="E2660" t="s">
        <v>5240</v>
      </c>
      <c r="F2660">
        <v>449900</v>
      </c>
      <c r="G2660">
        <v>1955</v>
      </c>
      <c r="H2660">
        <v>1520</v>
      </c>
      <c r="I2660">
        <v>7013</v>
      </c>
      <c r="J2660">
        <v>4</v>
      </c>
      <c r="K2660">
        <v>2</v>
      </c>
      <c r="M2660" s="2" t="str">
        <f>HYPERLINK("http://maps.live.com/default.aspx?v=2&amp;lvl=15&amp;sp=Point.47.598773_-122.147581_1317 144th Ave SE&amp;cp=47.598773~-122.147581","Map")</f>
        <v>Map</v>
      </c>
      <c r="N2660" s="2" t="str">
        <f>HYPERLINK("http://i-0.rfimg.us/photo/1/bigphoto/824/28047824_1.jpg","Photo")</f>
        <v>Photo</v>
      </c>
      <c r="AG2660">
        <v>47.598773000000001</v>
      </c>
      <c r="AH2660">
        <v>-122.147581</v>
      </c>
      <c r="AI2660" t="s">
        <v>369</v>
      </c>
      <c r="AJ2660">
        <v>98007</v>
      </c>
      <c r="AN2660">
        <v>345000</v>
      </c>
      <c r="BC2660" s="22">
        <v>39528.201944444445</v>
      </c>
      <c r="BI2660" s="22">
        <v>39549.294907407406</v>
      </c>
      <c r="BL2660">
        <v>8998</v>
      </c>
      <c r="BM2660">
        <v>1577114</v>
      </c>
      <c r="BN2660" t="s">
        <v>1688</v>
      </c>
      <c r="BO2660" s="17">
        <f t="shared" ca="1" si="41"/>
        <v>21.107461458334001</v>
      </c>
      <c r="BP2660" t="b">
        <v>0</v>
      </c>
      <c r="BQ2660">
        <v>1</v>
      </c>
      <c r="BR2660" t="s">
        <v>1667</v>
      </c>
      <c r="BS2660" t="s">
        <v>4969</v>
      </c>
      <c r="BT2660" t="b">
        <v>0</v>
      </c>
      <c r="BV2660" t="s">
        <v>1668</v>
      </c>
      <c r="BW2660">
        <v>1317</v>
      </c>
      <c r="BX2660" t="s">
        <v>3856</v>
      </c>
      <c r="BY2660">
        <v>427360</v>
      </c>
      <c r="BZ2660" t="s">
        <v>1704</v>
      </c>
      <c r="CA2660">
        <v>1</v>
      </c>
      <c r="CB2660" t="b">
        <v>1</v>
      </c>
      <c r="CC2660">
        <v>0</v>
      </c>
      <c r="CD2660" t="b">
        <v>0</v>
      </c>
      <c r="CE2660" t="b">
        <v>1</v>
      </c>
      <c r="CF2660" t="b">
        <v>0</v>
      </c>
      <c r="CG2660">
        <v>2359825</v>
      </c>
      <c r="CH2660" t="s">
        <v>1681</v>
      </c>
      <c r="CI2660" s="10">
        <v>449900</v>
      </c>
      <c r="CJ2660" s="7">
        <v>38448</v>
      </c>
    </row>
    <row r="2661" spans="1:90">
      <c r="A2661">
        <v>28047843</v>
      </c>
      <c r="B2661" s="15" t="str">
        <f>HYPERLINK("http://www.redfin.com/stingray/do/printable-listing?listing-id=1586258","Subject To Inspection")</f>
        <v>Subject To Inspection</v>
      </c>
      <c r="D2661" t="s">
        <v>3066</v>
      </c>
      <c r="E2661" t="s">
        <v>6422</v>
      </c>
      <c r="F2661">
        <v>599000</v>
      </c>
      <c r="G2661">
        <v>1999</v>
      </c>
      <c r="H2661">
        <v>2230</v>
      </c>
      <c r="I2661">
        <v>16697</v>
      </c>
      <c r="J2661">
        <v>4</v>
      </c>
      <c r="K2661">
        <v>2.5</v>
      </c>
      <c r="M2661" s="2" t="str">
        <f>HYPERLINK("http://maps.live.com/default.aspx?v=2&amp;lvl=15&amp;sp=Point.47.690217_-122.180099_12024 NE 100th Pl&amp;cp=47.690217~-122.180099","Map")</f>
        <v>Map</v>
      </c>
      <c r="N2661" s="2" t="str">
        <f>HYPERLINK("http://i-0.rfimg.us/photo/1/bigphoto/843/28047843_0.jpg","Photo")</f>
        <v>Photo</v>
      </c>
      <c r="AG2661">
        <v>47.690216999999997</v>
      </c>
      <c r="AH2661">
        <v>-122.180099</v>
      </c>
      <c r="AI2661" t="s">
        <v>1058</v>
      </c>
      <c r="AJ2661">
        <v>98033</v>
      </c>
      <c r="AN2661">
        <v>279800</v>
      </c>
      <c r="BC2661" s="22">
        <v>39532.557511574072</v>
      </c>
      <c r="BI2661" s="22">
        <v>39547.913935185185</v>
      </c>
      <c r="BL2661">
        <v>11980</v>
      </c>
      <c r="BM2661">
        <v>1586258</v>
      </c>
      <c r="BN2661" t="s">
        <v>1674</v>
      </c>
      <c r="BO2661" s="17">
        <f t="shared" ca="1" si="41"/>
        <v>16.75189432870684</v>
      </c>
      <c r="BP2661" t="b">
        <v>0</v>
      </c>
      <c r="BQ2661">
        <v>1</v>
      </c>
      <c r="BR2661" t="s">
        <v>1842</v>
      </c>
      <c r="BS2661" t="s">
        <v>2806</v>
      </c>
      <c r="BT2661" t="b">
        <v>0</v>
      </c>
      <c r="BU2661" t="s">
        <v>1738</v>
      </c>
      <c r="BV2661" t="s">
        <v>1668</v>
      </c>
      <c r="BW2661">
        <v>12024</v>
      </c>
      <c r="BY2661">
        <v>513583</v>
      </c>
      <c r="BZ2661" t="s">
        <v>1745</v>
      </c>
      <c r="CA2661">
        <v>1</v>
      </c>
      <c r="CB2661" t="b">
        <v>1</v>
      </c>
      <c r="CC2661">
        <v>0</v>
      </c>
      <c r="CD2661" t="b">
        <v>0</v>
      </c>
      <c r="CE2661" t="b">
        <v>1</v>
      </c>
      <c r="CF2661" t="b">
        <v>0</v>
      </c>
      <c r="CG2661">
        <v>2544115</v>
      </c>
      <c r="CH2661" t="s">
        <v>1681</v>
      </c>
      <c r="CI2661" s="10">
        <v>599000</v>
      </c>
      <c r="CJ2661" s="7">
        <v>36223</v>
      </c>
    </row>
    <row r="2662" spans="1:90">
      <c r="A2662">
        <v>28047863</v>
      </c>
      <c r="B2662" s="2" t="str">
        <f>HYPERLINK("http://www.redfin.com/stingray/do/printable-listing?listing-id=1574272","Active")</f>
        <v>Active</v>
      </c>
      <c r="D2662" t="s">
        <v>60</v>
      </c>
      <c r="E2662" t="s">
        <v>2731</v>
      </c>
      <c r="F2662">
        <v>419950</v>
      </c>
      <c r="G2662">
        <v>2008</v>
      </c>
      <c r="H2662">
        <v>1680</v>
      </c>
      <c r="I2662">
        <v>1129</v>
      </c>
      <c r="J2662">
        <v>3</v>
      </c>
      <c r="K2662">
        <v>2.5</v>
      </c>
      <c r="M2662" s="2" t="str">
        <f>HYPERLINK("http://maps.live.com/default.aspx?v=2&amp;lvl=15&amp;sp=Point.47.696564_-122.342324_1150 N 93rd St&amp;cp=47.696564~-122.342324","Map")</f>
        <v>Map</v>
      </c>
      <c r="N2662" s="2" t="str">
        <f>HYPERLINK("http://i-0.rfimg.us/photo/1/bigphoto/863/28047863_0.jpg","Photo")</f>
        <v>Photo</v>
      </c>
      <c r="AG2662">
        <v>47.696564000000002</v>
      </c>
      <c r="AH2662">
        <v>-122.342324</v>
      </c>
      <c r="AI2662" t="s">
        <v>66</v>
      </c>
      <c r="AJ2662">
        <v>98103</v>
      </c>
      <c r="AN2662">
        <v>486000</v>
      </c>
      <c r="BC2662" s="22">
        <v>39527.295960648145</v>
      </c>
      <c r="BI2662" s="22">
        <v>39549.294907407406</v>
      </c>
      <c r="BL2662">
        <v>8399</v>
      </c>
      <c r="BM2662">
        <v>1574272</v>
      </c>
      <c r="BN2662" t="s">
        <v>1678</v>
      </c>
      <c r="BO2662" s="17">
        <f t="shared" ca="1" si="41"/>
        <v>22.013445254633552</v>
      </c>
      <c r="BP2662" t="b">
        <v>0</v>
      </c>
      <c r="BQ2662">
        <v>1</v>
      </c>
      <c r="BR2662" t="s">
        <v>1686</v>
      </c>
      <c r="BS2662" t="s">
        <v>2732</v>
      </c>
      <c r="BT2662" t="b">
        <v>0</v>
      </c>
      <c r="BU2662" t="s">
        <v>1712</v>
      </c>
      <c r="BV2662" t="s">
        <v>1668</v>
      </c>
      <c r="BW2662">
        <v>1150</v>
      </c>
      <c r="BY2662">
        <v>105213</v>
      </c>
      <c r="BZ2662" s="21" t="s">
        <v>1713</v>
      </c>
      <c r="CA2662">
        <v>1</v>
      </c>
      <c r="CB2662" t="b">
        <v>1</v>
      </c>
      <c r="CC2662">
        <v>0</v>
      </c>
      <c r="CD2662" t="b">
        <v>0</v>
      </c>
      <c r="CE2662" t="b">
        <v>0</v>
      </c>
      <c r="CF2662" t="b">
        <v>0</v>
      </c>
      <c r="CG2662">
        <v>2425365</v>
      </c>
      <c r="CH2662" t="s">
        <v>1681</v>
      </c>
      <c r="CI2662" s="10">
        <v>419950</v>
      </c>
      <c r="CJ2662" s="7">
        <v>38722</v>
      </c>
    </row>
    <row r="2663" spans="1:90">
      <c r="A2663">
        <v>28047872</v>
      </c>
      <c r="B2663" s="2" t="str">
        <f>HYPERLINK("http://www.redfin.com/stingray/do/printable-listing?listing-id=1574276","Active")</f>
        <v>Active</v>
      </c>
      <c r="D2663" t="s">
        <v>60</v>
      </c>
      <c r="E2663" t="s">
        <v>2740</v>
      </c>
      <c r="F2663">
        <v>442950</v>
      </c>
      <c r="G2663">
        <v>2008</v>
      </c>
      <c r="H2663">
        <v>1770</v>
      </c>
      <c r="I2663">
        <v>1235</v>
      </c>
      <c r="J2663">
        <v>3</v>
      </c>
      <c r="K2663">
        <v>2.5</v>
      </c>
      <c r="M2663" s="2" t="str">
        <f>HYPERLINK("http://maps.live.com/default.aspx?v=2&amp;lvl=15&amp;sp=Point.47.696563_-122.342121_1154 N 93rd St&amp;cp=47.696563~-122.342121","Map")</f>
        <v>Map</v>
      </c>
      <c r="N2663" s="2" t="str">
        <f>HYPERLINK("http://i-0.rfimg.us/photo/1/bigphoto/872/28047872_0.jpg","Photo")</f>
        <v>Photo</v>
      </c>
      <c r="AG2663">
        <v>47.696562999999998</v>
      </c>
      <c r="AH2663">
        <v>-122.34212100000001</v>
      </c>
      <c r="AI2663" t="s">
        <v>66</v>
      </c>
      <c r="AJ2663">
        <v>98103</v>
      </c>
      <c r="BC2663" s="22">
        <v>39527.295972222222</v>
      </c>
      <c r="BI2663" s="22">
        <v>39549.294907407406</v>
      </c>
      <c r="BL2663">
        <v>8859</v>
      </c>
      <c r="BM2663">
        <v>1574276</v>
      </c>
      <c r="BN2663" t="s">
        <v>1678</v>
      </c>
      <c r="BO2663" s="17">
        <f t="shared" ca="1" si="41"/>
        <v>22.013433680556773</v>
      </c>
      <c r="BP2663" t="b">
        <v>0</v>
      </c>
      <c r="BQ2663">
        <v>1</v>
      </c>
      <c r="BR2663" t="s">
        <v>1686</v>
      </c>
      <c r="BS2663" t="s">
        <v>2732</v>
      </c>
      <c r="BT2663" t="b">
        <v>0</v>
      </c>
      <c r="BU2663" t="s">
        <v>1712</v>
      </c>
      <c r="BV2663" t="s">
        <v>1668</v>
      </c>
      <c r="BW2663">
        <v>1154</v>
      </c>
      <c r="BY2663">
        <v>12092722</v>
      </c>
      <c r="BZ2663" t="s">
        <v>1713</v>
      </c>
      <c r="CA2663">
        <v>1</v>
      </c>
      <c r="CB2663" t="b">
        <v>1</v>
      </c>
      <c r="CC2663">
        <v>0</v>
      </c>
      <c r="CD2663" t="b">
        <v>0</v>
      </c>
      <c r="CE2663" t="b">
        <v>0</v>
      </c>
      <c r="CF2663" t="b">
        <v>0</v>
      </c>
      <c r="CG2663">
        <v>15346274</v>
      </c>
      <c r="CH2663" t="s">
        <v>1681</v>
      </c>
      <c r="CI2663" s="10">
        <v>442950</v>
      </c>
    </row>
    <row r="2664" spans="1:90">
      <c r="A2664">
        <v>28047873</v>
      </c>
      <c r="B2664" s="2" t="str">
        <f>HYPERLINK("http://www.redfin.com/stingray/do/printable-listing?listing-id=1575215","Active")</f>
        <v>Active</v>
      </c>
      <c r="D2664" t="s">
        <v>60</v>
      </c>
      <c r="E2664" t="s">
        <v>2380</v>
      </c>
      <c r="F2664">
        <v>365000</v>
      </c>
      <c r="G2664">
        <v>1944</v>
      </c>
      <c r="H2664">
        <v>1060</v>
      </c>
      <c r="I2664">
        <v>5100</v>
      </c>
      <c r="J2664">
        <v>3</v>
      </c>
      <c r="K2664">
        <v>1.5</v>
      </c>
      <c r="M2664" s="2" t="str">
        <f>HYPERLINK("http://maps.live.com/default.aspx?v=2&amp;lvl=15&amp;sp=Point.47.69224_-122.346389_916 N 87th St&amp;cp=47.69224~-122.346389","Map")</f>
        <v>Map</v>
      </c>
      <c r="N2664" s="2" t="str">
        <f>HYPERLINK("http://i-0.rfimg.us/photo/1/bigphoto/873/28047873_0.jpg","Photo")</f>
        <v>Photo</v>
      </c>
      <c r="AG2664">
        <v>47.692239999999998</v>
      </c>
      <c r="AH2664">
        <v>-122.346389</v>
      </c>
      <c r="AI2664" t="s">
        <v>66</v>
      </c>
      <c r="AJ2664">
        <v>98103</v>
      </c>
      <c r="AN2664">
        <v>156000</v>
      </c>
      <c r="BC2664" s="22">
        <v>39527.539618055554</v>
      </c>
      <c r="BI2664" s="22">
        <v>39549.294907407406</v>
      </c>
      <c r="BL2664">
        <v>7300</v>
      </c>
      <c r="BM2664">
        <v>1575215</v>
      </c>
      <c r="BN2664" t="s">
        <v>1678</v>
      </c>
      <c r="BO2664" s="17">
        <f t="shared" ca="1" si="41"/>
        <v>21.769787962963164</v>
      </c>
      <c r="BP2664" t="b">
        <v>0</v>
      </c>
      <c r="BQ2664">
        <v>1</v>
      </c>
      <c r="BR2664" t="s">
        <v>1686</v>
      </c>
      <c r="BS2664" t="s">
        <v>1856</v>
      </c>
      <c r="BT2664" t="b">
        <v>0</v>
      </c>
      <c r="BU2664" t="s">
        <v>1712</v>
      </c>
      <c r="BV2664" t="s">
        <v>1668</v>
      </c>
      <c r="BW2664">
        <v>916</v>
      </c>
      <c r="BY2664">
        <v>99470</v>
      </c>
      <c r="BZ2664" t="s">
        <v>1713</v>
      </c>
      <c r="CA2664">
        <v>1</v>
      </c>
      <c r="CB2664" t="b">
        <v>1</v>
      </c>
      <c r="CC2664">
        <v>0</v>
      </c>
      <c r="CD2664" t="b">
        <v>0</v>
      </c>
      <c r="CE2664" t="b">
        <v>0</v>
      </c>
      <c r="CF2664" t="b">
        <v>0</v>
      </c>
      <c r="CG2664">
        <v>2924425</v>
      </c>
      <c r="CH2664" t="s">
        <v>1681</v>
      </c>
      <c r="CI2664" s="10">
        <v>365000</v>
      </c>
      <c r="CJ2664" s="7">
        <v>35915</v>
      </c>
    </row>
    <row r="2665" spans="1:90">
      <c r="A2665">
        <v>28047894</v>
      </c>
      <c r="B2665" s="2" t="str">
        <f>HYPERLINK("http://www.redfin.com/stingray/do/printable-listing?listing-id=1572413","Active")</f>
        <v>Active</v>
      </c>
      <c r="D2665" t="s">
        <v>3924</v>
      </c>
      <c r="E2665" t="s">
        <v>4078</v>
      </c>
      <c r="F2665">
        <v>485000</v>
      </c>
      <c r="G2665">
        <v>2008</v>
      </c>
      <c r="H2665">
        <v>1452</v>
      </c>
      <c r="I2665">
        <v>0</v>
      </c>
      <c r="J2665">
        <v>3</v>
      </c>
      <c r="K2665">
        <v>2.5</v>
      </c>
      <c r="M2665" s="2" t="str">
        <f>HYPERLINK("http://maps.live.com/default.aspx?v=2&amp;lvl=15&amp;sp=Point.47.61796_-122.297095_1828 27th Ave nA&amp;cp=47.61796~-122.297095","Map")</f>
        <v>Map</v>
      </c>
      <c r="N2665" s="2" t="str">
        <f>HYPERLINK("http://i-0.rfimg.us/photo/1/bigphoto/894/28047894_0.jpg","Photo")</f>
        <v>Photo</v>
      </c>
      <c r="AG2665">
        <v>47.617959999999997</v>
      </c>
      <c r="AH2665">
        <v>-122.297095</v>
      </c>
      <c r="AI2665" t="s">
        <v>66</v>
      </c>
      <c r="AJ2665">
        <v>98122</v>
      </c>
      <c r="AM2665" t="s">
        <v>1722</v>
      </c>
      <c r="BC2665" s="22">
        <v>39526.578229166669</v>
      </c>
      <c r="BI2665" s="22">
        <v>39549.294907407406</v>
      </c>
      <c r="BL2665">
        <v>9700</v>
      </c>
      <c r="BM2665">
        <v>1572413</v>
      </c>
      <c r="BN2665" t="s">
        <v>1766</v>
      </c>
      <c r="BO2665" s="17">
        <f t="shared" ca="1" si="41"/>
        <v>22.731176736109774</v>
      </c>
      <c r="BP2665" t="b">
        <v>0</v>
      </c>
      <c r="BQ2665">
        <v>1</v>
      </c>
      <c r="BR2665" t="s">
        <v>1667</v>
      </c>
      <c r="BS2665" t="s">
        <v>1751</v>
      </c>
      <c r="BT2665" t="b">
        <v>0</v>
      </c>
      <c r="BV2665" t="s">
        <v>1668</v>
      </c>
      <c r="BW2665">
        <v>1828</v>
      </c>
      <c r="BY2665">
        <v>12432810</v>
      </c>
      <c r="BZ2665" t="s">
        <v>1670</v>
      </c>
      <c r="CA2665">
        <v>1</v>
      </c>
      <c r="CB2665" t="b">
        <v>1</v>
      </c>
      <c r="CC2665">
        <v>0</v>
      </c>
      <c r="CD2665" t="b">
        <v>0</v>
      </c>
      <c r="CE2665" t="b">
        <v>0</v>
      </c>
      <c r="CF2665" t="b">
        <v>0</v>
      </c>
      <c r="CG2665">
        <v>15636558</v>
      </c>
      <c r="CH2665" t="s">
        <v>1681</v>
      </c>
      <c r="CI2665" s="10">
        <v>485000</v>
      </c>
      <c r="CL2665" t="s">
        <v>2347</v>
      </c>
    </row>
    <row r="2666" spans="1:90">
      <c r="A2666">
        <v>28047907</v>
      </c>
      <c r="B2666" s="15" t="str">
        <f>HYPERLINK("http://www.redfin.com/stingray/do/printable-listing?listing-id=1582459","Active")</f>
        <v>Active</v>
      </c>
      <c r="D2666" t="s">
        <v>5606</v>
      </c>
      <c r="E2666" t="s">
        <v>6312</v>
      </c>
      <c r="F2666">
        <v>950000</v>
      </c>
      <c r="G2666">
        <v>1960</v>
      </c>
      <c r="H2666">
        <v>2170</v>
      </c>
      <c r="I2666">
        <v>9525</v>
      </c>
      <c r="J2666">
        <v>3</v>
      </c>
      <c r="K2666">
        <v>1.75</v>
      </c>
      <c r="M2666" s="2" t="str">
        <f>HYPERLINK("http://maps.live.com/default.aspx?v=2&amp;lvl=15&amp;sp=Point.47.567877_-122.21714_4340 91st Ave SE&amp;cp=47.567877~-122.21714","Map")</f>
        <v>Map</v>
      </c>
      <c r="N2666" s="2" t="str">
        <f>HYPERLINK("http://i-0.rfimg.us/photo/1/bigphoto/907/28047907_0.jpg","Photo")</f>
        <v>Photo</v>
      </c>
      <c r="AG2666">
        <v>47.567877000000003</v>
      </c>
      <c r="AH2666">
        <v>-122.21714</v>
      </c>
      <c r="AI2666" t="s">
        <v>5139</v>
      </c>
      <c r="AJ2666">
        <v>98040</v>
      </c>
      <c r="AN2666">
        <v>523950</v>
      </c>
      <c r="BC2666" s="22">
        <v>39531.473715277774</v>
      </c>
      <c r="BI2666" s="22">
        <v>39549.294907407406</v>
      </c>
      <c r="BL2666">
        <v>19000</v>
      </c>
      <c r="BM2666">
        <v>1582459</v>
      </c>
      <c r="BN2666" t="s">
        <v>1674</v>
      </c>
      <c r="BO2666" s="17">
        <f t="shared" ca="1" si="41"/>
        <v>17.835690625004645</v>
      </c>
      <c r="BP2666" t="b">
        <v>0</v>
      </c>
      <c r="BQ2666">
        <v>2</v>
      </c>
      <c r="BR2666" t="s">
        <v>1667</v>
      </c>
      <c r="BS2666" t="s">
        <v>2818</v>
      </c>
      <c r="BT2666" t="b">
        <v>0</v>
      </c>
      <c r="BV2666" t="s">
        <v>1668</v>
      </c>
      <c r="BW2666">
        <v>4340</v>
      </c>
      <c r="BX2666" t="s">
        <v>3856</v>
      </c>
      <c r="BY2666">
        <v>256367</v>
      </c>
      <c r="BZ2666" t="s">
        <v>1745</v>
      </c>
      <c r="CA2666">
        <v>1</v>
      </c>
      <c r="CB2666" t="b">
        <v>1</v>
      </c>
      <c r="CC2666">
        <v>0</v>
      </c>
      <c r="CD2666" t="b">
        <v>0</v>
      </c>
      <c r="CE2666" t="b">
        <v>1</v>
      </c>
      <c r="CF2666" t="b">
        <v>0</v>
      </c>
      <c r="CG2666">
        <v>2701264</v>
      </c>
      <c r="CH2666" t="s">
        <v>1681</v>
      </c>
      <c r="CI2666" s="10">
        <v>950000</v>
      </c>
      <c r="CJ2666" s="7">
        <v>36677</v>
      </c>
    </row>
    <row r="2667" spans="1:90">
      <c r="A2667">
        <v>28047926</v>
      </c>
      <c r="B2667" s="2" t="str">
        <f>HYPERLINK("http://www.redfin.com/stingray/do/printable-listing?listing-id=1574555","Active")</f>
        <v>Active</v>
      </c>
      <c r="D2667" t="s">
        <v>3924</v>
      </c>
      <c r="E2667" t="s">
        <v>4181</v>
      </c>
      <c r="F2667">
        <v>469000</v>
      </c>
      <c r="G2667">
        <v>2005</v>
      </c>
      <c r="H2667">
        <v>1449</v>
      </c>
      <c r="I2667">
        <v>0</v>
      </c>
      <c r="J2667">
        <v>4</v>
      </c>
      <c r="K2667">
        <v>2.25</v>
      </c>
      <c r="M2667" s="2" t="str">
        <f>HYPERLINK("http://maps.live.com/default.aspx?v=2&amp;lvl=15&amp;sp=Point.47.61803_-122.300994_1826 24th Ave nB&amp;cp=47.61803~-122.300994","Map")</f>
        <v>Map</v>
      </c>
      <c r="N2667" s="2" t="str">
        <f>HYPERLINK("http://i-0.rfimg.us/photo/1/bigphoto/926/28047926_5.jpg","Photo")</f>
        <v>Photo</v>
      </c>
      <c r="AG2667">
        <v>47.618029999999997</v>
      </c>
      <c r="AH2667">
        <v>-122.300994</v>
      </c>
      <c r="AI2667" t="s">
        <v>66</v>
      </c>
      <c r="AJ2667">
        <v>98122</v>
      </c>
      <c r="AM2667" t="s">
        <v>1699</v>
      </c>
      <c r="BC2667" s="22">
        <v>39527.400879629633</v>
      </c>
      <c r="BI2667" s="22">
        <v>39549.294907407406</v>
      </c>
      <c r="BL2667">
        <v>9380</v>
      </c>
      <c r="BM2667">
        <v>1574555</v>
      </c>
      <c r="BN2667" t="s">
        <v>1766</v>
      </c>
      <c r="BO2667" s="17">
        <f t="shared" ca="1" si="41"/>
        <v>21.908526273145981</v>
      </c>
      <c r="BP2667" t="b">
        <v>0</v>
      </c>
      <c r="BQ2667">
        <v>1</v>
      </c>
      <c r="BR2667" t="s">
        <v>1667</v>
      </c>
      <c r="BS2667" t="s">
        <v>1740</v>
      </c>
      <c r="BT2667" t="b">
        <v>0</v>
      </c>
      <c r="BV2667" t="s">
        <v>1668</v>
      </c>
      <c r="BW2667">
        <v>1826</v>
      </c>
      <c r="BY2667">
        <v>12433105</v>
      </c>
      <c r="BZ2667" t="s">
        <v>4182</v>
      </c>
      <c r="CA2667">
        <v>1</v>
      </c>
      <c r="CB2667" t="b">
        <v>1</v>
      </c>
      <c r="CC2667">
        <v>0</v>
      </c>
      <c r="CD2667" t="b">
        <v>0</v>
      </c>
      <c r="CE2667" t="b">
        <v>0</v>
      </c>
      <c r="CF2667" t="b">
        <v>0</v>
      </c>
      <c r="CG2667">
        <v>15636853</v>
      </c>
      <c r="CH2667" t="s">
        <v>1681</v>
      </c>
      <c r="CI2667" s="10">
        <v>469000</v>
      </c>
      <c r="CL2667" t="s">
        <v>2347</v>
      </c>
    </row>
    <row r="2668" spans="1:90">
      <c r="A2668">
        <v>28047927</v>
      </c>
      <c r="B2668" s="2" t="str">
        <f>HYPERLINK("http://www.redfin.com/stingray/do/printable-listing?listing-id=1572511","Active")</f>
        <v>Active</v>
      </c>
      <c r="D2668" t="s">
        <v>3959</v>
      </c>
      <c r="E2668" t="s">
        <v>4056</v>
      </c>
      <c r="F2668">
        <v>795000</v>
      </c>
      <c r="G2668">
        <v>2007</v>
      </c>
      <c r="H2668">
        <v>2557</v>
      </c>
      <c r="I2668">
        <v>5040</v>
      </c>
      <c r="J2668">
        <v>3</v>
      </c>
      <c r="K2668">
        <v>3.5</v>
      </c>
      <c r="M2668" s="2" t="str">
        <f>HYPERLINK("http://maps.live.com/default.aspx?v=2&amp;lvl=15&amp;sp=Point.47.607366_-122.306716_605 20th Ave&amp;cp=47.607366~-122.306716","Map")</f>
        <v>Map</v>
      </c>
      <c r="N2668" s="2" t="str">
        <f>HYPERLINK("http://i-0.rfimg.us/photo/1/bigphoto/927/28047927_.jpg","Photo")</f>
        <v>Photo</v>
      </c>
      <c r="AG2668">
        <v>47.607365999999999</v>
      </c>
      <c r="AH2668">
        <v>-122.30671599999999</v>
      </c>
      <c r="AI2668" t="s">
        <v>66</v>
      </c>
      <c r="AJ2668">
        <v>98122</v>
      </c>
      <c r="AN2668">
        <v>520000</v>
      </c>
      <c r="BC2668" s="22">
        <v>39526.600590277776</v>
      </c>
      <c r="BI2668" s="22">
        <v>39549.294907407406</v>
      </c>
      <c r="BL2668">
        <v>15900</v>
      </c>
      <c r="BM2668">
        <v>1572511</v>
      </c>
      <c r="BN2668" t="s">
        <v>4054</v>
      </c>
      <c r="BO2668" s="17">
        <f t="shared" ca="1" si="41"/>
        <v>22.708815625002899</v>
      </c>
      <c r="BP2668" t="b">
        <v>0</v>
      </c>
      <c r="BQ2668">
        <v>1</v>
      </c>
      <c r="BR2668" t="s">
        <v>1667</v>
      </c>
      <c r="BS2668" t="s">
        <v>1844</v>
      </c>
      <c r="BT2668" t="b">
        <v>0</v>
      </c>
      <c r="BV2668" t="s">
        <v>1668</v>
      </c>
      <c r="BW2668">
        <v>605</v>
      </c>
      <c r="BY2668">
        <v>143585</v>
      </c>
      <c r="CA2668">
        <v>1</v>
      </c>
      <c r="CB2668" t="b">
        <v>1</v>
      </c>
      <c r="CC2668">
        <v>0</v>
      </c>
      <c r="CD2668" t="b">
        <v>0</v>
      </c>
      <c r="CE2668" t="b">
        <v>0</v>
      </c>
      <c r="CF2668" t="b">
        <v>0</v>
      </c>
      <c r="CG2668">
        <v>2636765</v>
      </c>
      <c r="CH2668" t="s">
        <v>1681</v>
      </c>
      <c r="CI2668" s="10">
        <v>795000</v>
      </c>
      <c r="CJ2668" s="7">
        <v>38828</v>
      </c>
    </row>
    <row r="2669" spans="1:90">
      <c r="A2669">
        <v>28047931</v>
      </c>
      <c r="B2669" s="2" t="str">
        <f>HYPERLINK("http://www.redfin.com/stingray/do/printable-listing?listing-id=1572451","Active")</f>
        <v>Active</v>
      </c>
      <c r="D2669" t="s">
        <v>60</v>
      </c>
      <c r="E2669" t="s">
        <v>3160</v>
      </c>
      <c r="F2669">
        <v>624950</v>
      </c>
      <c r="G2669">
        <v>1921</v>
      </c>
      <c r="H2669">
        <v>3260</v>
      </c>
      <c r="I2669">
        <v>4500</v>
      </c>
      <c r="J2669">
        <v>4</v>
      </c>
      <c r="K2669">
        <v>2.75</v>
      </c>
      <c r="M2669" s="2" t="str">
        <f>HYPERLINK("http://maps.live.com/default.aspx?v=2&amp;lvl=15&amp;sp=Point.47.673628_-122.322609_6047 6th Ave NE&amp;cp=47.673628~-122.322609","Map")</f>
        <v>Map</v>
      </c>
      <c r="N2669" s="2" t="str">
        <f>HYPERLINK("http://i-0.rfimg.us/photo/1/bigphoto/931/28047931_0.jpg","Photo")</f>
        <v>Photo</v>
      </c>
      <c r="AG2669">
        <v>47.673628000000001</v>
      </c>
      <c r="AH2669">
        <v>-122.322609</v>
      </c>
      <c r="AI2669" t="s">
        <v>66</v>
      </c>
      <c r="AJ2669">
        <v>98115</v>
      </c>
      <c r="AN2669">
        <v>456000</v>
      </c>
      <c r="BC2669" s="22">
        <v>39526.588946759257</v>
      </c>
      <c r="BI2669" s="22">
        <v>39549.294907407406</v>
      </c>
      <c r="BL2669">
        <v>12499</v>
      </c>
      <c r="BM2669">
        <v>1572451</v>
      </c>
      <c r="BN2669" t="s">
        <v>1688</v>
      </c>
      <c r="BO2669" s="17">
        <f t="shared" ca="1" si="41"/>
        <v>22.720459143522021</v>
      </c>
      <c r="BP2669" t="b">
        <v>0</v>
      </c>
      <c r="BQ2669">
        <v>1</v>
      </c>
      <c r="BR2669" t="s">
        <v>1667</v>
      </c>
      <c r="BS2669" t="s">
        <v>1739</v>
      </c>
      <c r="BT2669" t="b">
        <v>0</v>
      </c>
      <c r="BV2669" t="s">
        <v>1668</v>
      </c>
      <c r="BW2669">
        <v>6047</v>
      </c>
      <c r="BX2669" t="s">
        <v>1738</v>
      </c>
      <c r="BY2669">
        <v>305398</v>
      </c>
      <c r="BZ2669" t="s">
        <v>3161</v>
      </c>
      <c r="CA2669">
        <v>1</v>
      </c>
      <c r="CB2669" t="b">
        <v>1</v>
      </c>
      <c r="CC2669">
        <v>0</v>
      </c>
      <c r="CD2669" t="b">
        <v>0</v>
      </c>
      <c r="CE2669" t="b">
        <v>0</v>
      </c>
      <c r="CF2669" t="b">
        <v>0</v>
      </c>
      <c r="CG2669">
        <v>2983652</v>
      </c>
      <c r="CH2669" t="s">
        <v>1681</v>
      </c>
      <c r="CI2669" s="10">
        <v>624950</v>
      </c>
      <c r="CJ2669" s="7">
        <v>38446</v>
      </c>
    </row>
    <row r="2670" spans="1:90">
      <c r="A2670">
        <v>28047956</v>
      </c>
      <c r="B2670" s="2" t="str">
        <f>HYPERLINK("http://www.redfin.com/stingray/do/printable-listing?listing-id=1577280","Active")</f>
        <v>Active</v>
      </c>
      <c r="D2670" t="s">
        <v>60</v>
      </c>
      <c r="E2670" t="s">
        <v>2736</v>
      </c>
      <c r="F2670">
        <v>310000</v>
      </c>
      <c r="G2670">
        <v>2004</v>
      </c>
      <c r="H2670">
        <v>870</v>
      </c>
      <c r="I2670">
        <v>0</v>
      </c>
      <c r="J2670">
        <v>2</v>
      </c>
      <c r="K2670">
        <v>1.5</v>
      </c>
      <c r="M2670" s="2" t="str">
        <f>HYPERLINK("http://maps.live.com/default.aspx?v=2&amp;lvl=15&amp;sp=Point.47.696716_-122.341571_9310 Stone Ave N&amp;cp=47.696716~-122.341571","Map")</f>
        <v>Map</v>
      </c>
      <c r="N2670" s="2" t="str">
        <f>HYPERLINK("http://i-0.rfimg.us/photo/1/bigphoto/956/28047956_0.jpg","Photo")</f>
        <v>Photo</v>
      </c>
      <c r="AG2670">
        <v>47.696716000000002</v>
      </c>
      <c r="AH2670">
        <v>-122.341571</v>
      </c>
      <c r="AI2670" t="s">
        <v>66</v>
      </c>
      <c r="AJ2670">
        <v>98103</v>
      </c>
      <c r="BC2670" s="22">
        <v>39528.327372685184</v>
      </c>
      <c r="BI2670" s="22">
        <v>39549.294907407406</v>
      </c>
      <c r="BL2670">
        <v>6200</v>
      </c>
      <c r="BM2670">
        <v>1577280</v>
      </c>
      <c r="BN2670" t="s">
        <v>2735</v>
      </c>
      <c r="BO2670" s="17">
        <f t="shared" ca="1" si="41"/>
        <v>20.982033217595017</v>
      </c>
      <c r="BP2670" t="b">
        <v>0</v>
      </c>
      <c r="BQ2670">
        <v>1</v>
      </c>
      <c r="BR2670" t="s">
        <v>1667</v>
      </c>
      <c r="BS2670" t="s">
        <v>2719</v>
      </c>
      <c r="BT2670" t="b">
        <v>0</v>
      </c>
      <c r="BV2670" t="s">
        <v>1668</v>
      </c>
      <c r="BW2670">
        <v>9310</v>
      </c>
      <c r="BX2670" t="s">
        <v>1712</v>
      </c>
      <c r="BY2670">
        <v>12433421</v>
      </c>
      <c r="BZ2670" t="s">
        <v>1745</v>
      </c>
      <c r="CA2670">
        <v>1</v>
      </c>
      <c r="CB2670" t="b">
        <v>1</v>
      </c>
      <c r="CC2670">
        <v>0</v>
      </c>
      <c r="CD2670" t="b">
        <v>0</v>
      </c>
      <c r="CE2670" t="b">
        <v>1</v>
      </c>
      <c r="CF2670" t="b">
        <v>0</v>
      </c>
      <c r="CG2670">
        <v>15637169</v>
      </c>
      <c r="CH2670" t="s">
        <v>1681</v>
      </c>
      <c r="CI2670" s="10">
        <v>310000</v>
      </c>
    </row>
    <row r="2671" spans="1:90">
      <c r="A2671">
        <v>28047957</v>
      </c>
      <c r="B2671" s="2" t="str">
        <f>HYPERLINK("http://www.redfin.com/stingray/do/printable-listing?listing-id=1572512","Active")</f>
        <v>Active</v>
      </c>
      <c r="D2671" t="s">
        <v>3959</v>
      </c>
      <c r="E2671" t="s">
        <v>4057</v>
      </c>
      <c r="F2671">
        <v>795000</v>
      </c>
      <c r="G2671">
        <v>2007</v>
      </c>
      <c r="H2671">
        <v>2557</v>
      </c>
      <c r="I2671">
        <v>5040</v>
      </c>
      <c r="J2671">
        <v>3</v>
      </c>
      <c r="K2671">
        <v>3.5</v>
      </c>
      <c r="M2671" s="2" t="str">
        <f>HYPERLINK("http://maps.live.com/default.aspx?v=2&amp;lvl=15&amp;sp=Point.47.607571_-122.306503_607 20th Ave&amp;cp=47.607571~-122.306503","Map")</f>
        <v>Map</v>
      </c>
      <c r="N2671" s="2" t="str">
        <f>HYPERLINK("http://i-0.rfimg.us/photo/1/bigphoto/957/28047957_.jpg","Photo")</f>
        <v>Photo</v>
      </c>
      <c r="AG2671">
        <v>47.607571</v>
      </c>
      <c r="AH2671">
        <v>-122.30650300000001</v>
      </c>
      <c r="AI2671" t="s">
        <v>66</v>
      </c>
      <c r="AJ2671">
        <v>98122</v>
      </c>
      <c r="BC2671" s="22">
        <v>39526.600590277776</v>
      </c>
      <c r="BI2671" s="22">
        <v>39549.294907407406</v>
      </c>
      <c r="BL2671">
        <v>15900</v>
      </c>
      <c r="BM2671">
        <v>1572512</v>
      </c>
      <c r="BN2671" t="s">
        <v>4054</v>
      </c>
      <c r="BO2671" s="17">
        <f t="shared" ca="1" si="41"/>
        <v>22.708815625002899</v>
      </c>
      <c r="BP2671" t="b">
        <v>0</v>
      </c>
      <c r="BQ2671">
        <v>1</v>
      </c>
      <c r="BR2671" t="s">
        <v>1667</v>
      </c>
      <c r="BS2671" t="s">
        <v>1844</v>
      </c>
      <c r="BT2671" t="b">
        <v>0</v>
      </c>
      <c r="BV2671" t="s">
        <v>1668</v>
      </c>
      <c r="BW2671">
        <v>607</v>
      </c>
      <c r="BY2671">
        <v>12432818</v>
      </c>
      <c r="CA2671">
        <v>1</v>
      </c>
      <c r="CB2671" t="b">
        <v>1</v>
      </c>
      <c r="CC2671">
        <v>0</v>
      </c>
      <c r="CD2671" t="b">
        <v>0</v>
      </c>
      <c r="CE2671" t="b">
        <v>0</v>
      </c>
      <c r="CF2671" t="b">
        <v>0</v>
      </c>
      <c r="CG2671">
        <v>15636566</v>
      </c>
      <c r="CH2671" t="s">
        <v>1681</v>
      </c>
      <c r="CI2671" s="10">
        <v>795000</v>
      </c>
    </row>
    <row r="2672" spans="1:90">
      <c r="A2672">
        <v>28047997</v>
      </c>
      <c r="B2672" s="15" t="str">
        <f>HYPERLINK("http://www.redfin.com/stingray/do/printable-listing?listing-id=1572585","Subject To Inspection")</f>
        <v>Subject To Inspection</v>
      </c>
      <c r="D2672" t="s">
        <v>5565</v>
      </c>
      <c r="E2672" t="s">
        <v>5619</v>
      </c>
      <c r="F2672">
        <v>525000</v>
      </c>
      <c r="G2672">
        <v>1974</v>
      </c>
      <c r="H2672">
        <v>2290</v>
      </c>
      <c r="I2672">
        <v>8276</v>
      </c>
      <c r="J2672">
        <v>4</v>
      </c>
      <c r="K2672">
        <v>2.25</v>
      </c>
      <c r="M2672" s="2" t="str">
        <f>HYPERLINK("http://maps.live.com/default.aspx?v=2&amp;lvl=15&amp;sp=Point.47.561169_-122.177067_12103 SE 47th St&amp;cp=47.561169~-122.177067","Map")</f>
        <v>Map</v>
      </c>
      <c r="N2672" s="2" t="str">
        <f>HYPERLINK("http://i-0.rfimg.us/photo/1/bigphoto/997/28047997_2.jpg","Photo")</f>
        <v>Photo</v>
      </c>
      <c r="AG2672">
        <v>47.561169</v>
      </c>
      <c r="AH2672">
        <v>-122.17706699999999</v>
      </c>
      <c r="AI2672" t="s">
        <v>369</v>
      </c>
      <c r="AJ2672">
        <v>98006</v>
      </c>
      <c r="AN2672">
        <v>255000</v>
      </c>
      <c r="BC2672" s="22">
        <v>39526.619710648149</v>
      </c>
      <c r="BI2672" s="7">
        <v>39539</v>
      </c>
      <c r="BL2672">
        <v>10500</v>
      </c>
      <c r="BM2672">
        <v>1572585</v>
      </c>
      <c r="BN2672" t="s">
        <v>1768</v>
      </c>
      <c r="BO2672" s="17">
        <f t="shared" ca="1" si="41"/>
        <v>22.689695254630351</v>
      </c>
      <c r="BP2672" t="b">
        <v>0</v>
      </c>
      <c r="BQ2672">
        <v>1</v>
      </c>
      <c r="BR2672" t="s">
        <v>1686</v>
      </c>
      <c r="BS2672" t="s">
        <v>2453</v>
      </c>
      <c r="BT2672" t="b">
        <v>0</v>
      </c>
      <c r="BU2672" t="s">
        <v>3856</v>
      </c>
      <c r="BV2672" t="s">
        <v>1668</v>
      </c>
      <c r="BW2672">
        <v>12103</v>
      </c>
      <c r="BY2672">
        <v>413978</v>
      </c>
      <c r="BZ2672" t="s">
        <v>3832</v>
      </c>
      <c r="CA2672">
        <v>1</v>
      </c>
      <c r="CB2672" t="b">
        <v>1</v>
      </c>
      <c r="CC2672">
        <v>0</v>
      </c>
      <c r="CD2672" t="b">
        <v>0</v>
      </c>
      <c r="CE2672" t="b">
        <v>0</v>
      </c>
      <c r="CF2672" t="b">
        <v>0</v>
      </c>
      <c r="CG2672">
        <v>2740141</v>
      </c>
      <c r="CH2672" t="s">
        <v>1681</v>
      </c>
      <c r="CI2672" s="10">
        <v>525000</v>
      </c>
      <c r="CJ2672" s="7">
        <v>35992</v>
      </c>
    </row>
    <row r="2673" spans="1:89">
      <c r="A2673">
        <v>28048024</v>
      </c>
      <c r="B2673" s="15" t="str">
        <f>HYPERLINK("http://www.redfin.com/stingray/do/printable-listing?listing-id=1577281","Subject To Inspection")</f>
        <v>Subject To Inspection</v>
      </c>
      <c r="D2673" t="s">
        <v>63</v>
      </c>
      <c r="E2673" t="s">
        <v>1986</v>
      </c>
      <c r="F2673">
        <v>439000</v>
      </c>
      <c r="G2673">
        <v>1930</v>
      </c>
      <c r="H2673">
        <v>1620</v>
      </c>
      <c r="I2673">
        <v>3000</v>
      </c>
      <c r="J2673">
        <v>4</v>
      </c>
      <c r="K2673">
        <v>1</v>
      </c>
      <c r="M2673" s="2" t="str">
        <f>HYPERLINK("http://maps.live.com/default.aspx?v=2&amp;lvl=15&amp;sp=Point.47.68137_-122.362186_7220 5th Ave NW&amp;cp=47.68137~-122.362186","Map")</f>
        <v>Map</v>
      </c>
      <c r="N2673" s="2" t="str">
        <f>HYPERLINK("http://i-0.rfimg.us/photo/1/bigphoto/024/28048024_1.jpg","Photo")</f>
        <v>Photo</v>
      </c>
      <c r="AG2673">
        <v>47.681370000000001</v>
      </c>
      <c r="AH2673">
        <v>-122.36218599999999</v>
      </c>
      <c r="AI2673" t="s">
        <v>66</v>
      </c>
      <c r="AJ2673">
        <v>98117</v>
      </c>
      <c r="AN2673">
        <v>370000</v>
      </c>
      <c r="BC2673" s="22">
        <v>39528.32739583333</v>
      </c>
      <c r="BI2673" s="22">
        <v>39549.294907407406</v>
      </c>
      <c r="BL2673">
        <v>8780</v>
      </c>
      <c r="BM2673">
        <v>1577281</v>
      </c>
      <c r="BN2673" t="s">
        <v>1710</v>
      </c>
      <c r="BO2673" s="17">
        <f t="shared" ca="1" si="41"/>
        <v>20.982010185187391</v>
      </c>
      <c r="BP2673" t="b">
        <v>0</v>
      </c>
      <c r="BQ2673">
        <v>1</v>
      </c>
      <c r="BR2673" t="s">
        <v>1667</v>
      </c>
      <c r="BS2673" t="s">
        <v>1832</v>
      </c>
      <c r="BT2673" t="b">
        <v>0</v>
      </c>
      <c r="BV2673" t="s">
        <v>1668</v>
      </c>
      <c r="BW2673">
        <v>7220</v>
      </c>
      <c r="BX2673" t="s">
        <v>1669</v>
      </c>
      <c r="BY2673">
        <v>496227</v>
      </c>
      <c r="BZ2673" t="s">
        <v>1709</v>
      </c>
      <c r="CA2673">
        <v>1</v>
      </c>
      <c r="CB2673" t="b">
        <v>1</v>
      </c>
      <c r="CC2673">
        <v>0</v>
      </c>
      <c r="CD2673" t="b">
        <v>0</v>
      </c>
      <c r="CE2673" t="b">
        <v>1</v>
      </c>
      <c r="CF2673" t="b">
        <v>0</v>
      </c>
      <c r="CG2673">
        <v>2579754</v>
      </c>
      <c r="CH2673" t="s">
        <v>1681</v>
      </c>
      <c r="CI2673" s="10">
        <v>439000</v>
      </c>
      <c r="CJ2673" s="7">
        <v>38471</v>
      </c>
      <c r="CK2673" t="s">
        <v>6880</v>
      </c>
    </row>
    <row r="2674" spans="1:89">
      <c r="A2674">
        <v>28048062</v>
      </c>
      <c r="B2674" s="2" t="str">
        <f>HYPERLINK("http://www.redfin.com/stingray/do/printable-listing?listing-id=1576070","Active")</f>
        <v>Active</v>
      </c>
      <c r="D2674" t="s">
        <v>70</v>
      </c>
      <c r="E2674" t="s">
        <v>2762</v>
      </c>
      <c r="F2674">
        <v>1590000</v>
      </c>
      <c r="G2674">
        <v>2006</v>
      </c>
      <c r="H2674">
        <v>4420</v>
      </c>
      <c r="I2674">
        <v>8750</v>
      </c>
      <c r="J2674">
        <v>5</v>
      </c>
      <c r="K2674">
        <v>5</v>
      </c>
      <c r="M2674" s="2" t="str">
        <f>HYPERLINK("http://maps.live.com/default.aspx?v=2&amp;lvl=15&amp;sp=Point.47.722227_-122.366741_12725 8th Ave NW&amp;cp=47.722227~-122.366741","Map")</f>
        <v>Map</v>
      </c>
      <c r="N2674" s="2" t="str">
        <f>HYPERLINK("http://i-0.rfimg.us/photo/1/bigphoto/062/28048062_2.jpg","Photo")</f>
        <v>Photo</v>
      </c>
      <c r="AG2674">
        <v>47.722226999999997</v>
      </c>
      <c r="AH2674">
        <v>-122.366741</v>
      </c>
      <c r="AI2674" t="s">
        <v>66</v>
      </c>
      <c r="AJ2674">
        <v>98177</v>
      </c>
      <c r="AN2674">
        <v>700000</v>
      </c>
      <c r="BC2674" s="22">
        <v>39527.776724537034</v>
      </c>
      <c r="BI2674" s="7">
        <v>39534</v>
      </c>
      <c r="BL2674">
        <v>31800</v>
      </c>
      <c r="BM2674">
        <v>1576070</v>
      </c>
      <c r="BN2674" t="s">
        <v>1675</v>
      </c>
      <c r="BO2674" s="17">
        <f t="shared" ca="1" si="41"/>
        <v>21.532681365744793</v>
      </c>
      <c r="BP2674" t="b">
        <v>0</v>
      </c>
      <c r="BQ2674">
        <v>1</v>
      </c>
      <c r="BR2674" t="s">
        <v>1667</v>
      </c>
      <c r="BS2674" t="s">
        <v>1723</v>
      </c>
      <c r="BT2674" t="b">
        <v>0</v>
      </c>
      <c r="BV2674" t="s">
        <v>1668</v>
      </c>
      <c r="BW2674">
        <v>12725</v>
      </c>
      <c r="BX2674" t="s">
        <v>1669</v>
      </c>
      <c r="BY2674">
        <v>291632</v>
      </c>
      <c r="BZ2674" t="s">
        <v>2651</v>
      </c>
      <c r="CA2674">
        <v>1</v>
      </c>
      <c r="CB2674" t="b">
        <v>1</v>
      </c>
      <c r="CC2674">
        <v>0</v>
      </c>
      <c r="CD2674" t="b">
        <v>0</v>
      </c>
      <c r="CE2674" t="b">
        <v>0</v>
      </c>
      <c r="CF2674" t="b">
        <v>0</v>
      </c>
      <c r="CG2674">
        <v>2915087</v>
      </c>
      <c r="CH2674" t="s">
        <v>1681</v>
      </c>
      <c r="CI2674" s="10">
        <v>1590000</v>
      </c>
      <c r="CJ2674" s="7">
        <v>37797</v>
      </c>
    </row>
    <row r="2675" spans="1:89">
      <c r="A2675">
        <v>28048064</v>
      </c>
      <c r="B2675" s="2" t="str">
        <f>HYPERLINK("http://www.redfin.com/stingray/do/printable-listing?listing-id=1574339","Active")</f>
        <v>Active</v>
      </c>
      <c r="D2675" t="s">
        <v>55</v>
      </c>
      <c r="E2675" t="s">
        <v>1960</v>
      </c>
      <c r="F2675" s="19">
        <v>429500</v>
      </c>
      <c r="G2675">
        <v>1988</v>
      </c>
      <c r="H2675">
        <v>1470</v>
      </c>
      <c r="I2675">
        <v>7590</v>
      </c>
      <c r="J2675">
        <v>3</v>
      </c>
      <c r="K2675">
        <v>1.75</v>
      </c>
      <c r="M2675" s="2" t="str">
        <f>HYPERLINK("http://maps.live.com/default.aspx?v=2&amp;lvl=15&amp;sp=Point.47.696428_-122.361649_9208 4th Ave NW&amp;cp=47.696428~-122.361649","Map")</f>
        <v>Map</v>
      </c>
      <c r="N2675" s="2" t="str">
        <f>HYPERLINK("http://i-0.rfimg.us/photo/1/bigphoto/064/28048064_0.jpg","Photo")</f>
        <v>Photo</v>
      </c>
      <c r="AG2675">
        <v>47.696427999999997</v>
      </c>
      <c r="AH2675">
        <v>-122.361649</v>
      </c>
      <c r="AI2675" t="s">
        <v>66</v>
      </c>
      <c r="AJ2675">
        <v>98117</v>
      </c>
      <c r="AN2675">
        <v>94500</v>
      </c>
      <c r="BC2675" s="22">
        <v>39527.327314814815</v>
      </c>
      <c r="BI2675" s="22">
        <v>39549.294907407406</v>
      </c>
      <c r="BL2675">
        <v>8790</v>
      </c>
      <c r="BM2675">
        <v>1574339</v>
      </c>
      <c r="BN2675" t="s">
        <v>1776</v>
      </c>
      <c r="BO2675" s="17">
        <f t="shared" ca="1" si="41"/>
        <v>21.982091203703021</v>
      </c>
      <c r="BP2675" t="b">
        <v>0</v>
      </c>
      <c r="BQ2675">
        <v>1</v>
      </c>
      <c r="BR2675" t="s">
        <v>1667</v>
      </c>
      <c r="BS2675" t="s">
        <v>1724</v>
      </c>
      <c r="BT2675" t="b">
        <v>0</v>
      </c>
      <c r="BV2675" t="s">
        <v>1668</v>
      </c>
      <c r="BW2675">
        <v>9208</v>
      </c>
      <c r="BX2675" t="s">
        <v>1669</v>
      </c>
      <c r="BY2675">
        <v>100983</v>
      </c>
      <c r="BZ2675" t="s">
        <v>1762</v>
      </c>
      <c r="CA2675">
        <v>1</v>
      </c>
      <c r="CB2675" t="b">
        <v>1</v>
      </c>
      <c r="CC2675">
        <v>0</v>
      </c>
      <c r="CD2675" t="b">
        <v>0</v>
      </c>
      <c r="CE2675" t="b">
        <v>1</v>
      </c>
      <c r="CF2675" t="b">
        <v>0</v>
      </c>
      <c r="CG2675">
        <v>2791702</v>
      </c>
      <c r="CH2675" t="s">
        <v>1681</v>
      </c>
      <c r="CI2675" s="10">
        <v>439500</v>
      </c>
      <c r="CJ2675" s="7">
        <v>32286</v>
      </c>
    </row>
    <row r="2676" spans="1:89">
      <c r="A2676">
        <v>28048071</v>
      </c>
      <c r="B2676" s="2" t="str">
        <f>HYPERLINK("http://www.redfin.com/stingray/do/printable-listing?listing-id=1575871","Active")</f>
        <v>Active</v>
      </c>
      <c r="D2676" t="s">
        <v>218</v>
      </c>
      <c r="E2676" t="s">
        <v>3199</v>
      </c>
      <c r="F2676">
        <v>769000</v>
      </c>
      <c r="G2676">
        <v>2008</v>
      </c>
      <c r="H2676">
        <v>2450</v>
      </c>
      <c r="I2676">
        <v>0</v>
      </c>
      <c r="J2676">
        <v>3</v>
      </c>
      <c r="K2676">
        <v>2.5</v>
      </c>
      <c r="M2676" s="2" t="str">
        <f>HYPERLINK("http://maps.live.com/default.aspx?v=2&amp;lvl=15&amp;sp=Point.47.66972_-122.315403_5607 12th Ave NE&amp;cp=47.66972~-122.315403","Map")</f>
        <v>Map</v>
      </c>
      <c r="N2676" s="2" t="str">
        <f>HYPERLINK("http://i-0.rfimg.us/photo/1/bigphoto/071/28048071_1.jpg","Photo")</f>
        <v>Photo</v>
      </c>
      <c r="AG2676">
        <v>47.669719999999998</v>
      </c>
      <c r="AH2676">
        <v>-122.315403</v>
      </c>
      <c r="AI2676" t="s">
        <v>66</v>
      </c>
      <c r="AJ2676">
        <v>98105</v>
      </c>
      <c r="BC2676" s="22">
        <v>39527.68341435185</v>
      </c>
      <c r="BI2676" s="22">
        <v>39549.294907407406</v>
      </c>
      <c r="BL2676">
        <v>15380</v>
      </c>
      <c r="BM2676">
        <v>1575871</v>
      </c>
      <c r="BN2676" t="s">
        <v>2014</v>
      </c>
      <c r="BO2676" s="17">
        <f t="shared" ca="1" si="41"/>
        <v>21.625991550929029</v>
      </c>
      <c r="BP2676" t="b">
        <v>0</v>
      </c>
      <c r="BQ2676">
        <v>1</v>
      </c>
      <c r="BR2676" t="s">
        <v>1667</v>
      </c>
      <c r="BS2676" t="s">
        <v>1803</v>
      </c>
      <c r="BT2676" t="b">
        <v>0</v>
      </c>
      <c r="BV2676" t="s">
        <v>1668</v>
      </c>
      <c r="BW2676">
        <v>5607</v>
      </c>
      <c r="BX2676" t="s">
        <v>1738</v>
      </c>
      <c r="BY2676">
        <v>12317605</v>
      </c>
      <c r="BZ2676" t="s">
        <v>1704</v>
      </c>
      <c r="CA2676">
        <v>1</v>
      </c>
      <c r="CB2676" t="b">
        <v>1</v>
      </c>
      <c r="CC2676">
        <v>0</v>
      </c>
      <c r="CD2676" t="b">
        <v>0</v>
      </c>
      <c r="CE2676" t="b">
        <v>0</v>
      </c>
      <c r="CF2676" t="b">
        <v>0</v>
      </c>
      <c r="CG2676">
        <v>2528021</v>
      </c>
      <c r="CH2676" t="s">
        <v>1681</v>
      </c>
      <c r="CI2676" s="10">
        <v>769000</v>
      </c>
    </row>
    <row r="2677" spans="1:89">
      <c r="A2677">
        <v>28048127</v>
      </c>
      <c r="B2677" s="2" t="str">
        <f>HYPERLINK("http://www.redfin.com/stingray/do/printable-listing?listing-id=1572931","Active")</f>
        <v>Active</v>
      </c>
      <c r="D2677" t="s">
        <v>2850</v>
      </c>
      <c r="E2677" t="s">
        <v>4370</v>
      </c>
      <c r="F2677" s="19">
        <v>899000</v>
      </c>
      <c r="G2677">
        <v>1978</v>
      </c>
      <c r="H2677">
        <v>0</v>
      </c>
      <c r="I2677">
        <v>0</v>
      </c>
      <c r="J2677">
        <v>4</v>
      </c>
      <c r="K2677">
        <v>3</v>
      </c>
      <c r="M2677" s="2" t="str">
        <f>HYPERLINK("http://maps.live.com/default.aspx?v=2&amp;lvl=15&amp;sp=Point.47.698831_-122.207574_11004 NE 100 Ave NE&amp;cp=47.698831~-122.207574","Map")</f>
        <v>Map</v>
      </c>
      <c r="N2677" s="2" t="str">
        <f>HYPERLINK("http://i-0.rfimg.us/photo/1/bigphoto/127/28048127_2.jpg","Photo")</f>
        <v>Photo</v>
      </c>
      <c r="AG2677">
        <v>47.698830999999998</v>
      </c>
      <c r="AH2677">
        <v>-122.20757399999999</v>
      </c>
      <c r="AI2677" t="s">
        <v>1058</v>
      </c>
      <c r="AJ2677">
        <v>98033</v>
      </c>
      <c r="AN2677">
        <v>533000</v>
      </c>
      <c r="BC2677" s="22">
        <v>39526.713460648149</v>
      </c>
      <c r="BI2677" s="22">
        <v>39549.294907407406</v>
      </c>
      <c r="BL2677">
        <v>18580</v>
      </c>
      <c r="BM2677">
        <v>1572931</v>
      </c>
      <c r="BN2677" t="s">
        <v>1737</v>
      </c>
      <c r="BO2677" s="17">
        <f t="shared" ca="1" si="41"/>
        <v>22.595945254630351</v>
      </c>
      <c r="BP2677" t="b">
        <v>0</v>
      </c>
      <c r="BQ2677">
        <v>1</v>
      </c>
      <c r="BR2677" t="s">
        <v>1667</v>
      </c>
      <c r="BS2677">
        <v>100</v>
      </c>
      <c r="BT2677" t="b">
        <v>0</v>
      </c>
      <c r="BU2677" t="s">
        <v>1738</v>
      </c>
      <c r="BV2677" t="s">
        <v>1668</v>
      </c>
      <c r="BW2677">
        <v>11004</v>
      </c>
      <c r="BX2677" t="s">
        <v>1738</v>
      </c>
      <c r="BY2677">
        <v>463215</v>
      </c>
      <c r="BZ2677" t="s">
        <v>2418</v>
      </c>
      <c r="CA2677">
        <v>1</v>
      </c>
      <c r="CB2677" t="b">
        <v>1</v>
      </c>
      <c r="CC2677">
        <v>0</v>
      </c>
      <c r="CD2677" t="b">
        <v>0</v>
      </c>
      <c r="CE2677" t="b">
        <v>0</v>
      </c>
      <c r="CF2677" t="b">
        <v>0</v>
      </c>
      <c r="CG2677">
        <v>2768373</v>
      </c>
      <c r="CH2677" t="s">
        <v>1681</v>
      </c>
      <c r="CI2677" s="10">
        <v>929000</v>
      </c>
      <c r="CJ2677" s="7">
        <v>38658</v>
      </c>
    </row>
    <row r="2678" spans="1:89">
      <c r="A2678">
        <v>28048159</v>
      </c>
      <c r="B2678" s="2" t="str">
        <f>HYPERLINK("http://www.redfin.com/stingray/do/printable-listing?listing-id=1584971","Active")</f>
        <v>Active</v>
      </c>
      <c r="D2678" t="s">
        <v>5926</v>
      </c>
      <c r="E2678" t="s">
        <v>6318</v>
      </c>
      <c r="F2678">
        <v>399000</v>
      </c>
      <c r="G2678">
        <v>1979</v>
      </c>
      <c r="H2678">
        <v>1950</v>
      </c>
      <c r="I2678">
        <v>0</v>
      </c>
      <c r="J2678">
        <v>3</v>
      </c>
      <c r="K2678">
        <v>3</v>
      </c>
      <c r="M2678" s="2" t="str">
        <f>HYPERLINK("http://maps.live.com/default.aspx?v=2&amp;lvl=15&amp;sp=Point.47.517662_-122.195073_2928 Kennewick Pl NE&amp;cp=47.517662~-122.195073","Map")</f>
        <v>Map</v>
      </c>
      <c r="N2678" s="2" t="str">
        <f>HYPERLINK("http://i-0.rfimg.us/photo/1/bigphoto/159/28048159_0.jpg","Photo")</f>
        <v>Photo</v>
      </c>
      <c r="AG2678">
        <v>47.517662000000001</v>
      </c>
      <c r="AH2678">
        <v>-122.19507299999999</v>
      </c>
      <c r="AI2678" t="s">
        <v>1077</v>
      </c>
      <c r="AJ2678">
        <v>98056</v>
      </c>
      <c r="AN2678">
        <v>225000</v>
      </c>
      <c r="BC2678" s="22">
        <v>39532.170925925922</v>
      </c>
      <c r="BI2678" s="22">
        <v>39549.294907407406</v>
      </c>
      <c r="BL2678">
        <v>7980</v>
      </c>
      <c r="BM2678">
        <v>1584971</v>
      </c>
      <c r="BN2678" t="s">
        <v>1768</v>
      </c>
      <c r="BO2678" s="17">
        <f t="shared" ca="1" si="41"/>
        <v>17.138479976856615</v>
      </c>
      <c r="BP2678" t="b">
        <v>0</v>
      </c>
      <c r="BQ2678">
        <v>1</v>
      </c>
      <c r="BR2678" t="s">
        <v>1842</v>
      </c>
      <c r="BS2678" t="s">
        <v>6319</v>
      </c>
      <c r="BT2678" t="b">
        <v>0</v>
      </c>
      <c r="BV2678" t="s">
        <v>1668</v>
      </c>
      <c r="BW2678">
        <v>2928</v>
      </c>
      <c r="BX2678" t="s">
        <v>1738</v>
      </c>
      <c r="BY2678">
        <v>411379</v>
      </c>
      <c r="BZ2678" t="s">
        <v>1745</v>
      </c>
      <c r="CA2678">
        <v>1</v>
      </c>
      <c r="CB2678" t="b">
        <v>1</v>
      </c>
      <c r="CC2678">
        <v>0</v>
      </c>
      <c r="CD2678" t="b">
        <v>0</v>
      </c>
      <c r="CE2678" t="b">
        <v>1</v>
      </c>
      <c r="CF2678" t="b">
        <v>0</v>
      </c>
      <c r="CG2678">
        <v>2847432</v>
      </c>
      <c r="CH2678" t="s">
        <v>1681</v>
      </c>
      <c r="CI2678" s="10">
        <v>399000</v>
      </c>
      <c r="CJ2678" s="7">
        <v>37470</v>
      </c>
    </row>
    <row r="2679" spans="1:89">
      <c r="A2679">
        <v>28048161</v>
      </c>
      <c r="B2679" s="15" t="str">
        <f>HYPERLINK("http://www.redfin.com/stingray/do/printable-listing?listing-id=1573120","Subject To Inspection")</f>
        <v>Subject To Inspection</v>
      </c>
      <c r="D2679" t="s">
        <v>5204</v>
      </c>
      <c r="E2679" t="s">
        <v>5237</v>
      </c>
      <c r="F2679">
        <v>459950</v>
      </c>
      <c r="G2679">
        <v>1956</v>
      </c>
      <c r="H2679">
        <v>1410</v>
      </c>
      <c r="I2679">
        <v>6000</v>
      </c>
      <c r="J2679">
        <v>4</v>
      </c>
      <c r="K2679">
        <v>1.5</v>
      </c>
      <c r="M2679" s="2" t="str">
        <f>HYPERLINK("http://maps.live.com/default.aspx?v=2&amp;lvl=15&amp;sp=Point.47.600578_-122.127606_1033 159th Pl SE&amp;cp=47.600578~-122.127606","Map")</f>
        <v>Map</v>
      </c>
      <c r="N2679" s="2" t="str">
        <f>HYPERLINK("http://i-0.rfimg.us/photo/1/bigphoto/161/28048161_1.jpg","Photo")</f>
        <v>Photo</v>
      </c>
      <c r="AG2679">
        <v>47.600577999999999</v>
      </c>
      <c r="AH2679">
        <v>-122.127606</v>
      </c>
      <c r="AI2679" t="s">
        <v>369</v>
      </c>
      <c r="AJ2679">
        <v>98008</v>
      </c>
      <c r="AN2679">
        <v>300000</v>
      </c>
      <c r="BC2679" s="22">
        <v>39526.818043981482</v>
      </c>
      <c r="BI2679" s="22">
        <v>39549.294907407406</v>
      </c>
      <c r="BL2679">
        <v>9199</v>
      </c>
      <c r="BM2679">
        <v>1573120</v>
      </c>
      <c r="BN2679" t="s">
        <v>1735</v>
      </c>
      <c r="BO2679" s="17">
        <f t="shared" ca="1" si="41"/>
        <v>22.49136192129663</v>
      </c>
      <c r="BP2679" t="b">
        <v>0</v>
      </c>
      <c r="BQ2679">
        <v>1</v>
      </c>
      <c r="BR2679" t="s">
        <v>1842</v>
      </c>
      <c r="BS2679" t="s">
        <v>5238</v>
      </c>
      <c r="BT2679" t="b">
        <v>0</v>
      </c>
      <c r="BV2679" t="s">
        <v>1668</v>
      </c>
      <c r="BW2679">
        <v>1033</v>
      </c>
      <c r="BX2679" t="s">
        <v>3856</v>
      </c>
      <c r="BY2679">
        <v>425770</v>
      </c>
      <c r="BZ2679" t="s">
        <v>5239</v>
      </c>
      <c r="CA2679">
        <v>1</v>
      </c>
      <c r="CB2679" t="b">
        <v>1</v>
      </c>
      <c r="CC2679">
        <v>0</v>
      </c>
      <c r="CD2679" t="b">
        <v>0</v>
      </c>
      <c r="CE2679" t="b">
        <v>0</v>
      </c>
      <c r="CF2679" t="b">
        <v>0</v>
      </c>
      <c r="CG2679">
        <v>2914144</v>
      </c>
      <c r="CH2679" t="s">
        <v>1681</v>
      </c>
      <c r="CI2679" s="10">
        <v>459950</v>
      </c>
      <c r="CJ2679" s="7">
        <v>38191</v>
      </c>
    </row>
    <row r="2680" spans="1:89">
      <c r="A2680">
        <v>28048187</v>
      </c>
      <c r="B2680" s="2" t="str">
        <f>HYPERLINK("http://www.redfin.com/stingray/do/printable-listing?listing-id=1573209","Active")</f>
        <v>Active</v>
      </c>
      <c r="D2680" t="s">
        <v>2552</v>
      </c>
      <c r="E2680" t="s">
        <v>3496</v>
      </c>
      <c r="F2680">
        <v>525000</v>
      </c>
      <c r="G2680">
        <v>1951</v>
      </c>
      <c r="H2680">
        <v>1060</v>
      </c>
      <c r="I2680">
        <v>4400</v>
      </c>
      <c r="J2680">
        <v>2</v>
      </c>
      <c r="K2680">
        <v>1</v>
      </c>
      <c r="M2680" s="2" t="str">
        <f>HYPERLINK("http://maps.live.com/default.aspx?v=2&amp;lvl=15&amp;sp=Point.47.658203_-122.391359_4217 27th Ave W&amp;cp=47.658203~-122.391359","Map")</f>
        <v>Map</v>
      </c>
      <c r="N2680" s="2" t="str">
        <f>HYPERLINK("http://i-0.rfimg.us/photo/1/bigphoto/187/28048187_2.jpg","Photo")</f>
        <v>Photo</v>
      </c>
      <c r="AG2680">
        <v>47.658203</v>
      </c>
      <c r="AH2680">
        <v>-122.39135899999999</v>
      </c>
      <c r="AI2680" t="s">
        <v>66</v>
      </c>
      <c r="AJ2680">
        <v>98199</v>
      </c>
      <c r="AN2680">
        <v>430000</v>
      </c>
      <c r="BC2680" s="22">
        <v>39526.889988425923</v>
      </c>
      <c r="BI2680" s="22">
        <v>39549.294907407406</v>
      </c>
      <c r="BL2680">
        <v>10500</v>
      </c>
      <c r="BM2680">
        <v>1573209</v>
      </c>
      <c r="BN2680" t="s">
        <v>1674</v>
      </c>
      <c r="BO2680" s="17">
        <f t="shared" ca="1" si="41"/>
        <v>22.419417476856324</v>
      </c>
      <c r="BP2680" t="b">
        <v>0</v>
      </c>
      <c r="BQ2680">
        <v>1</v>
      </c>
      <c r="BR2680" t="s">
        <v>1667</v>
      </c>
      <c r="BS2680" t="s">
        <v>1751</v>
      </c>
      <c r="BT2680" t="b">
        <v>0</v>
      </c>
      <c r="BV2680" t="s">
        <v>1668</v>
      </c>
      <c r="BW2680">
        <v>4217</v>
      </c>
      <c r="BX2680" t="s">
        <v>2423</v>
      </c>
      <c r="BY2680">
        <v>124554</v>
      </c>
      <c r="BZ2680" t="s">
        <v>3497</v>
      </c>
      <c r="CA2680">
        <v>1</v>
      </c>
      <c r="CB2680" t="b">
        <v>1</v>
      </c>
      <c r="CC2680">
        <v>0</v>
      </c>
      <c r="CD2680" t="b">
        <v>0</v>
      </c>
      <c r="CE2680" t="b">
        <v>0</v>
      </c>
      <c r="CF2680" t="b">
        <v>0</v>
      </c>
      <c r="CG2680">
        <v>2836173</v>
      </c>
      <c r="CH2680" t="s">
        <v>1681</v>
      </c>
      <c r="CI2680" s="10">
        <v>525000</v>
      </c>
      <c r="CJ2680" s="7">
        <v>38390</v>
      </c>
    </row>
    <row r="2681" spans="1:89">
      <c r="A2681">
        <v>28048207</v>
      </c>
      <c r="B2681" s="2" t="str">
        <f>HYPERLINK("http://www.redfin.com/stingray/do/printable-listing?listing-id=1574019","Active")</f>
        <v>Active</v>
      </c>
      <c r="D2681" t="s">
        <v>194</v>
      </c>
      <c r="E2681" t="s">
        <v>2877</v>
      </c>
      <c r="F2681">
        <v>519000</v>
      </c>
      <c r="G2681">
        <v>1996</v>
      </c>
      <c r="H2681">
        <v>1750</v>
      </c>
      <c r="I2681">
        <v>5200</v>
      </c>
      <c r="J2681">
        <v>3</v>
      </c>
      <c r="K2681">
        <v>2.5</v>
      </c>
      <c r="M2681" s="2" t="str">
        <f>HYPERLINK("http://maps.live.com/default.aspx?v=2&amp;lvl=15&amp;sp=Point.47.692857_-122.303491_2317 NE 89 St&amp;cp=47.692857~-122.303491","Map")</f>
        <v>Map</v>
      </c>
      <c r="N2681" s="2" t="str">
        <f>HYPERLINK("http://i-0.rfimg.us/photo/1/bigphoto/207/28048207_1.jpg","Photo")</f>
        <v>Photo</v>
      </c>
      <c r="AG2681">
        <v>47.692856999999997</v>
      </c>
      <c r="AH2681">
        <v>-122.30349099999999</v>
      </c>
      <c r="AI2681" t="s">
        <v>66</v>
      </c>
      <c r="AJ2681">
        <v>98115</v>
      </c>
      <c r="AN2681">
        <v>189500</v>
      </c>
      <c r="BC2681" s="22">
        <v>39527.046203703707</v>
      </c>
      <c r="BI2681" s="22">
        <v>39549.294907407406</v>
      </c>
      <c r="BL2681">
        <v>10380</v>
      </c>
      <c r="BM2681">
        <v>1574019</v>
      </c>
      <c r="BN2681" t="s">
        <v>1737</v>
      </c>
      <c r="BO2681" s="17">
        <f t="shared" ca="1" si="41"/>
        <v>22.263202199072111</v>
      </c>
      <c r="BP2681" t="b">
        <v>0</v>
      </c>
      <c r="BQ2681">
        <v>1</v>
      </c>
      <c r="BR2681" t="s">
        <v>1686</v>
      </c>
      <c r="BS2681">
        <v>89</v>
      </c>
      <c r="BT2681" t="b">
        <v>0</v>
      </c>
      <c r="BU2681" t="s">
        <v>1738</v>
      </c>
      <c r="BV2681" t="s">
        <v>1668</v>
      </c>
      <c r="BW2681">
        <v>2317</v>
      </c>
      <c r="BY2681">
        <v>311250</v>
      </c>
      <c r="BZ2681" t="s">
        <v>2429</v>
      </c>
      <c r="CA2681">
        <v>1</v>
      </c>
      <c r="CB2681" t="b">
        <v>1</v>
      </c>
      <c r="CC2681">
        <v>0</v>
      </c>
      <c r="CD2681" t="b">
        <v>0</v>
      </c>
      <c r="CE2681" t="b">
        <v>0</v>
      </c>
      <c r="CF2681" t="b">
        <v>0</v>
      </c>
      <c r="CG2681">
        <v>2394331</v>
      </c>
      <c r="CH2681" t="s">
        <v>1681</v>
      </c>
      <c r="CI2681" s="10">
        <v>519000</v>
      </c>
      <c r="CJ2681" s="7">
        <v>35317</v>
      </c>
    </row>
    <row r="2682" spans="1:89">
      <c r="A2682">
        <v>28048208</v>
      </c>
      <c r="B2682" s="2" t="str">
        <f>HYPERLINK("http://www.redfin.com/stingray/do/printable-listing?listing-id=1574185","Active")</f>
        <v>Active</v>
      </c>
      <c r="D2682" t="s">
        <v>5119</v>
      </c>
      <c r="E2682" t="s">
        <v>5174</v>
      </c>
      <c r="F2682" s="19">
        <v>598500</v>
      </c>
      <c r="G2682">
        <v>2000</v>
      </c>
      <c r="H2682">
        <v>1970</v>
      </c>
      <c r="I2682">
        <v>3643</v>
      </c>
      <c r="J2682">
        <v>3</v>
      </c>
      <c r="K2682">
        <v>2.5</v>
      </c>
      <c r="M2682" s="2" t="str">
        <f>HYPERLINK("http://maps.live.com/default.aspx?v=2&amp;lvl=15&amp;sp=Point.47.588427_-122.164967_2473 132nd Ave SE&amp;cp=47.588427~-122.164967","Map")</f>
        <v>Map</v>
      </c>
      <c r="N2682" s="2" t="str">
        <f>HYPERLINK("http://i-0.rfimg.us/photo/1/bigphoto/208/28048208_1.jpg","Photo")</f>
        <v>Photo</v>
      </c>
      <c r="AG2682">
        <v>47.588427000000003</v>
      </c>
      <c r="AH2682">
        <v>-122.164967</v>
      </c>
      <c r="AI2682" t="s">
        <v>369</v>
      </c>
      <c r="AJ2682">
        <v>98005</v>
      </c>
      <c r="AN2682">
        <v>348000</v>
      </c>
      <c r="BC2682" s="22">
        <v>39527.222881944443</v>
      </c>
      <c r="BI2682" s="22">
        <v>39549.294907407406</v>
      </c>
      <c r="BL2682">
        <v>12490</v>
      </c>
      <c r="BM2682">
        <v>1574185</v>
      </c>
      <c r="BN2682" t="s">
        <v>1674</v>
      </c>
      <c r="BO2682" s="17">
        <f t="shared" ca="1" si="41"/>
        <v>22.086523958336329</v>
      </c>
      <c r="BP2682" t="b">
        <v>0</v>
      </c>
      <c r="BQ2682">
        <v>1</v>
      </c>
      <c r="BR2682" t="s">
        <v>1667</v>
      </c>
      <c r="BS2682" t="s">
        <v>4362</v>
      </c>
      <c r="BT2682" t="b">
        <v>0</v>
      </c>
      <c r="BV2682" t="s">
        <v>1668</v>
      </c>
      <c r="BW2682">
        <v>2473</v>
      </c>
      <c r="BX2682" t="s">
        <v>3856</v>
      </c>
      <c r="BY2682">
        <v>508691</v>
      </c>
      <c r="BZ2682" t="s">
        <v>5175</v>
      </c>
      <c r="CA2682">
        <v>1</v>
      </c>
      <c r="CB2682" t="b">
        <v>1</v>
      </c>
      <c r="CC2682">
        <v>0</v>
      </c>
      <c r="CD2682" t="b">
        <v>0</v>
      </c>
      <c r="CE2682" t="b">
        <v>0</v>
      </c>
      <c r="CF2682" t="b">
        <v>0</v>
      </c>
      <c r="CG2682">
        <v>2566853</v>
      </c>
      <c r="CH2682" t="s">
        <v>1681</v>
      </c>
      <c r="CI2682" s="10">
        <v>624500</v>
      </c>
      <c r="CJ2682" s="7">
        <v>37315</v>
      </c>
    </row>
    <row r="2683" spans="1:89">
      <c r="A2683">
        <v>28048218</v>
      </c>
      <c r="B2683" s="2" t="str">
        <f>HYPERLINK("http://www.redfin.com/stingray/do/printable-listing?listing-id=1574260","Active")</f>
        <v>Active</v>
      </c>
      <c r="D2683" s="19" t="s">
        <v>3691</v>
      </c>
      <c r="E2683" t="s">
        <v>3747</v>
      </c>
      <c r="F2683">
        <v>724950</v>
      </c>
      <c r="G2683">
        <v>2008</v>
      </c>
      <c r="H2683">
        <v>1785</v>
      </c>
      <c r="I2683">
        <v>0</v>
      </c>
      <c r="J2683">
        <v>3</v>
      </c>
      <c r="K2683">
        <v>2.5</v>
      </c>
      <c r="M2683" s="2" t="str">
        <f>HYPERLINK("http://maps.live.com/default.aspx?v=2&amp;lvl=15&amp;sp=Point.47.649162_-122.321301_3118 Franklin Ave E&amp;cp=47.649162~-122.321301","Map")</f>
        <v>Map</v>
      </c>
      <c r="N2683" s="2" t="str">
        <f>HYPERLINK("http://i-0.rfimg.us/photo/1/bigphoto/218/28048218_0.jpg","Photo")</f>
        <v>Photo</v>
      </c>
      <c r="AG2683">
        <v>47.649161999999997</v>
      </c>
      <c r="AH2683">
        <v>-122.32130100000001</v>
      </c>
      <c r="AI2683" t="s">
        <v>66</v>
      </c>
      <c r="AJ2683">
        <v>98102</v>
      </c>
      <c r="BC2683" s="22">
        <v>39527.285451388889</v>
      </c>
      <c r="BI2683" s="22">
        <v>39549.294907407406</v>
      </c>
      <c r="BL2683">
        <v>14499</v>
      </c>
      <c r="BM2683">
        <v>1574260</v>
      </c>
      <c r="BN2683" t="s">
        <v>1710</v>
      </c>
      <c r="BO2683" s="17">
        <f t="shared" ca="1" si="41"/>
        <v>22.023954513890203</v>
      </c>
      <c r="BP2683" t="b">
        <v>0</v>
      </c>
      <c r="BQ2683">
        <v>1</v>
      </c>
      <c r="BR2683" t="s">
        <v>1667</v>
      </c>
      <c r="BS2683" t="s">
        <v>3699</v>
      </c>
      <c r="BT2683" t="b">
        <v>0</v>
      </c>
      <c r="BV2683" t="s">
        <v>1668</v>
      </c>
      <c r="BW2683">
        <v>3118</v>
      </c>
      <c r="BX2683" t="s">
        <v>2436</v>
      </c>
      <c r="BY2683">
        <v>12429762</v>
      </c>
      <c r="BZ2683" t="s">
        <v>1741</v>
      </c>
      <c r="CA2683">
        <v>1</v>
      </c>
      <c r="CB2683" t="b">
        <v>1</v>
      </c>
      <c r="CC2683">
        <v>0</v>
      </c>
      <c r="CD2683" t="b">
        <v>0</v>
      </c>
      <c r="CE2683" t="b">
        <v>0</v>
      </c>
      <c r="CF2683" t="b">
        <v>0</v>
      </c>
      <c r="CG2683">
        <v>15633510</v>
      </c>
      <c r="CH2683" t="s">
        <v>1681</v>
      </c>
      <c r="CI2683" s="10">
        <v>724950</v>
      </c>
    </row>
    <row r="2684" spans="1:89">
      <c r="A2684">
        <v>28048222</v>
      </c>
      <c r="B2684" s="2" t="str">
        <f>HYPERLINK("http://www.redfin.com/stingray/do/printable-listing?listing-id=1576069","Active")</f>
        <v>Active</v>
      </c>
      <c r="D2684" t="s">
        <v>369</v>
      </c>
      <c r="E2684" t="s">
        <v>5684</v>
      </c>
      <c r="F2684" s="19">
        <v>629000</v>
      </c>
      <c r="G2684">
        <v>1992</v>
      </c>
      <c r="H2684">
        <v>2470</v>
      </c>
      <c r="I2684">
        <v>7410</v>
      </c>
      <c r="J2684">
        <v>3</v>
      </c>
      <c r="K2684">
        <v>2.5</v>
      </c>
      <c r="M2684" s="2" t="str">
        <f>HYPERLINK("http://maps.live.com/default.aspx?v=2&amp;lvl=15&amp;sp=Point.47.565944_-122.129809_15772 SE 44th Pl&amp;cp=47.565944~-122.129809","Map")</f>
        <v>Map</v>
      </c>
      <c r="N2684" s="2" t="str">
        <f>HYPERLINK("http://i-0.rfimg.us/photo/1/bigphoto/222/28048222_0.jpg","Photo")</f>
        <v>Photo</v>
      </c>
      <c r="AG2684">
        <v>47.565944000000002</v>
      </c>
      <c r="AH2684">
        <v>-122.12980899999999</v>
      </c>
      <c r="AI2684" t="s">
        <v>369</v>
      </c>
      <c r="AJ2684">
        <v>98006</v>
      </c>
      <c r="AN2684">
        <v>428750</v>
      </c>
      <c r="BC2684" s="22">
        <v>39527.776712962965</v>
      </c>
      <c r="BI2684" s="22">
        <v>39549.294907407406</v>
      </c>
      <c r="BL2684">
        <v>13180</v>
      </c>
      <c r="BM2684">
        <v>1576069</v>
      </c>
      <c r="BN2684" t="s">
        <v>1678</v>
      </c>
      <c r="BO2684" s="17">
        <f t="shared" ca="1" si="41"/>
        <v>21.532692939814297</v>
      </c>
      <c r="BP2684" t="b">
        <v>0</v>
      </c>
      <c r="BQ2684">
        <v>1</v>
      </c>
      <c r="BR2684" t="s">
        <v>1842</v>
      </c>
      <c r="BS2684" t="s">
        <v>3082</v>
      </c>
      <c r="BT2684" t="b">
        <v>0</v>
      </c>
      <c r="BU2684" t="s">
        <v>3856</v>
      </c>
      <c r="BV2684" t="s">
        <v>1668</v>
      </c>
      <c r="BW2684">
        <v>15772</v>
      </c>
      <c r="BY2684">
        <v>238934</v>
      </c>
      <c r="BZ2684" t="s">
        <v>1672</v>
      </c>
      <c r="CA2684">
        <v>1</v>
      </c>
      <c r="CB2684" t="b">
        <v>1</v>
      </c>
      <c r="CC2684">
        <v>0</v>
      </c>
      <c r="CD2684" t="b">
        <v>0</v>
      </c>
      <c r="CE2684" t="b">
        <v>0</v>
      </c>
      <c r="CF2684" t="b">
        <v>0</v>
      </c>
      <c r="CG2684">
        <v>2426624</v>
      </c>
      <c r="CH2684" t="s">
        <v>1681</v>
      </c>
      <c r="CI2684" s="10">
        <v>659000</v>
      </c>
      <c r="CJ2684" s="7">
        <v>37819</v>
      </c>
    </row>
    <row r="2685" spans="1:89">
      <c r="A2685">
        <v>28048224</v>
      </c>
      <c r="B2685" s="2" t="str">
        <f>HYPERLINK("http://www.redfin.com/stingray/do/printable-listing?listing-id=1574270","Active")</f>
        <v>Active</v>
      </c>
      <c r="D2685" t="s">
        <v>1058</v>
      </c>
      <c r="E2685" t="s">
        <v>4454</v>
      </c>
      <c r="F2685">
        <v>599000</v>
      </c>
      <c r="G2685">
        <v>1999</v>
      </c>
      <c r="H2685">
        <v>2190</v>
      </c>
      <c r="I2685">
        <v>5084</v>
      </c>
      <c r="J2685">
        <v>3</v>
      </c>
      <c r="K2685">
        <v>3.5</v>
      </c>
      <c r="M2685" s="2" t="str">
        <f>HYPERLINK("http://maps.live.com/default.aspx?v=2&amp;lvl=15&amp;sp=Point.47.704537_-122.188399_11426 NE 116th Pl&amp;cp=47.704537~-122.188399","Map")</f>
        <v>Map</v>
      </c>
      <c r="N2685" s="2" t="str">
        <f>HYPERLINK("http://i-0.rfimg.us/photo/1/bigphoto/224/28048224_0.jpg","Photo")</f>
        <v>Photo</v>
      </c>
      <c r="AG2685">
        <v>47.704537000000002</v>
      </c>
      <c r="AH2685">
        <v>-122.188399</v>
      </c>
      <c r="AI2685" t="s">
        <v>1058</v>
      </c>
      <c r="AJ2685">
        <v>98034</v>
      </c>
      <c r="BC2685" s="22">
        <v>39527.295937499999</v>
      </c>
      <c r="BI2685" s="22">
        <v>39549.294907407406</v>
      </c>
      <c r="BL2685">
        <v>11980</v>
      </c>
      <c r="BM2685">
        <v>1574270</v>
      </c>
      <c r="BN2685" t="s">
        <v>1688</v>
      </c>
      <c r="BO2685" s="17">
        <f t="shared" ca="1" si="41"/>
        <v>22.013468402779836</v>
      </c>
      <c r="BP2685" t="b">
        <v>0</v>
      </c>
      <c r="BQ2685">
        <v>1</v>
      </c>
      <c r="BR2685" t="s">
        <v>1842</v>
      </c>
      <c r="BS2685" t="s">
        <v>4441</v>
      </c>
      <c r="BT2685" t="b">
        <v>0</v>
      </c>
      <c r="BU2685" t="s">
        <v>1738</v>
      </c>
      <c r="BV2685" t="s">
        <v>1668</v>
      </c>
      <c r="BW2685">
        <v>11426</v>
      </c>
      <c r="BY2685">
        <v>12432800</v>
      </c>
      <c r="BZ2685" t="s">
        <v>1672</v>
      </c>
      <c r="CA2685">
        <v>1</v>
      </c>
      <c r="CB2685" t="b">
        <v>1</v>
      </c>
      <c r="CC2685">
        <v>0</v>
      </c>
      <c r="CD2685" t="b">
        <v>0</v>
      </c>
      <c r="CE2685" t="b">
        <v>0</v>
      </c>
      <c r="CF2685" t="b">
        <v>0</v>
      </c>
      <c r="CG2685">
        <v>15636548</v>
      </c>
      <c r="CH2685" t="s">
        <v>1681</v>
      </c>
      <c r="CI2685" s="10">
        <v>599000</v>
      </c>
    </row>
    <row r="2686" spans="1:89">
      <c r="A2686">
        <v>28048255</v>
      </c>
      <c r="B2686" s="2" t="str">
        <f>HYPERLINK("http://www.redfin.com/stingray/do/printable-listing?listing-id=1574405","Active")</f>
        <v>Active</v>
      </c>
      <c r="D2686" t="s">
        <v>5153</v>
      </c>
      <c r="E2686" t="s">
        <v>5331</v>
      </c>
      <c r="F2686" s="19">
        <v>474950</v>
      </c>
      <c r="G2686">
        <v>1954</v>
      </c>
      <c r="H2686">
        <v>1450</v>
      </c>
      <c r="I2686">
        <v>11326</v>
      </c>
      <c r="J2686">
        <v>3</v>
      </c>
      <c r="K2686">
        <v>1.75</v>
      </c>
      <c r="M2686" s="2" t="str">
        <f>HYPERLINK("http://maps.live.com/default.aspx?v=2&amp;lvl=15&amp;sp=Point.47.573277_-122.132386_4044 156th Ave SE&amp;cp=47.573277~-122.132386","Map")</f>
        <v>Map</v>
      </c>
      <c r="N2686" s="2" t="str">
        <f>HYPERLINK("http://i-0.rfimg.us/photo/1/bigphoto/255/28048255_1.jpg","Photo")</f>
        <v>Photo</v>
      </c>
      <c r="AG2686">
        <v>47.573276999999997</v>
      </c>
      <c r="AH2686">
        <v>-122.132386</v>
      </c>
      <c r="AI2686" t="s">
        <v>369</v>
      </c>
      <c r="AJ2686">
        <v>98006</v>
      </c>
      <c r="AN2686">
        <v>365000</v>
      </c>
      <c r="BC2686" s="22">
        <v>39527.358749999999</v>
      </c>
      <c r="BI2686" s="22">
        <v>39549.294907407406</v>
      </c>
      <c r="BL2686">
        <v>9599</v>
      </c>
      <c r="BM2686">
        <v>1574405</v>
      </c>
      <c r="BN2686" t="s">
        <v>1737</v>
      </c>
      <c r="BO2686" s="17">
        <f t="shared" ca="1" si="41"/>
        <v>21.950655902779545</v>
      </c>
      <c r="BP2686" t="b">
        <v>0</v>
      </c>
      <c r="BQ2686">
        <v>1</v>
      </c>
      <c r="BR2686" t="s">
        <v>1667</v>
      </c>
      <c r="BS2686" t="s">
        <v>5332</v>
      </c>
      <c r="BT2686" t="b">
        <v>0</v>
      </c>
      <c r="BV2686" t="s">
        <v>1668</v>
      </c>
      <c r="BW2686">
        <v>4044</v>
      </c>
      <c r="BX2686" t="s">
        <v>3856</v>
      </c>
      <c r="BY2686">
        <v>233966</v>
      </c>
      <c r="BZ2686" t="s">
        <v>1679</v>
      </c>
      <c r="CA2686">
        <v>1</v>
      </c>
      <c r="CB2686" t="b">
        <v>1</v>
      </c>
      <c r="CC2686">
        <v>0</v>
      </c>
      <c r="CD2686" t="b">
        <v>0</v>
      </c>
      <c r="CE2686" t="b">
        <v>0</v>
      </c>
      <c r="CF2686" t="b">
        <v>0</v>
      </c>
      <c r="CG2686">
        <v>2633550</v>
      </c>
      <c r="CH2686" t="s">
        <v>1681</v>
      </c>
      <c r="CI2686" s="10">
        <v>479950</v>
      </c>
      <c r="CJ2686" s="7">
        <v>39195</v>
      </c>
    </row>
    <row r="2687" spans="1:89">
      <c r="A2687">
        <v>28048301</v>
      </c>
      <c r="B2687" s="2" t="str">
        <f>HYPERLINK("http://www.redfin.com/stingray/do/printable-listing?listing-id=1574527","Active")</f>
        <v>Active</v>
      </c>
      <c r="D2687" t="s">
        <v>5113</v>
      </c>
      <c r="E2687" t="s">
        <v>5231</v>
      </c>
      <c r="F2687">
        <v>547500</v>
      </c>
      <c r="G2687">
        <v>1966</v>
      </c>
      <c r="H2687">
        <v>0</v>
      </c>
      <c r="I2687">
        <v>8424</v>
      </c>
      <c r="J2687">
        <v>3</v>
      </c>
      <c r="K2687">
        <v>1.75</v>
      </c>
      <c r="M2687" s="2" t="str">
        <f>HYPERLINK("http://maps.live.com/default.aspx?v=2&amp;lvl=15&amp;sp=Point.47.623313_-122.10113_1430 179th Pl NE&amp;cp=47.623313~-122.10113","Map")</f>
        <v>Map</v>
      </c>
      <c r="N2687" s="2" t="str">
        <f>HYPERLINK("http://i-0.rfimg.us/photo/1/bigphoto/301/28048301_0.jpg","Photo")</f>
        <v>Photo</v>
      </c>
      <c r="AG2687">
        <v>47.623313000000003</v>
      </c>
      <c r="AH2687">
        <v>-122.10113</v>
      </c>
      <c r="AI2687" t="s">
        <v>369</v>
      </c>
      <c r="AJ2687">
        <v>98008</v>
      </c>
      <c r="AN2687">
        <v>345000</v>
      </c>
      <c r="BC2687" s="22">
        <v>39527.390173611115</v>
      </c>
      <c r="BI2687" s="22">
        <v>39549.294907407406</v>
      </c>
      <c r="BL2687">
        <v>10950</v>
      </c>
      <c r="BM2687">
        <v>1574527</v>
      </c>
      <c r="BN2687" t="s">
        <v>1674</v>
      </c>
      <c r="BO2687" s="17">
        <f t="shared" ca="1" si="41"/>
        <v>21.91923229166423</v>
      </c>
      <c r="BP2687" t="b">
        <v>0</v>
      </c>
      <c r="BQ2687">
        <v>1</v>
      </c>
      <c r="BR2687" t="s">
        <v>1842</v>
      </c>
      <c r="BS2687" t="s">
        <v>5232</v>
      </c>
      <c r="BT2687" t="b">
        <v>0</v>
      </c>
      <c r="BV2687" t="s">
        <v>1668</v>
      </c>
      <c r="BW2687">
        <v>1430</v>
      </c>
      <c r="BX2687" t="s">
        <v>1738</v>
      </c>
      <c r="BY2687">
        <v>502057</v>
      </c>
      <c r="BZ2687" t="s">
        <v>1672</v>
      </c>
      <c r="CA2687">
        <v>1</v>
      </c>
      <c r="CB2687" t="b">
        <v>1</v>
      </c>
      <c r="CC2687">
        <v>0</v>
      </c>
      <c r="CD2687" t="b">
        <v>0</v>
      </c>
      <c r="CE2687" t="b">
        <v>0</v>
      </c>
      <c r="CF2687" t="b">
        <v>0</v>
      </c>
      <c r="CG2687">
        <v>2588954</v>
      </c>
      <c r="CH2687" t="s">
        <v>1681</v>
      </c>
      <c r="CI2687" s="10">
        <v>547500</v>
      </c>
      <c r="CJ2687" s="7">
        <v>38015</v>
      </c>
    </row>
    <row r="2688" spans="1:89">
      <c r="A2688">
        <v>28048316</v>
      </c>
      <c r="B2688" s="2" t="str">
        <f>HYPERLINK("http://www.redfin.com/stingray/do/printable-listing?listing-id=1574712","Active")</f>
        <v>Active</v>
      </c>
      <c r="D2688" t="s">
        <v>3249</v>
      </c>
      <c r="E2688" t="s">
        <v>3256</v>
      </c>
      <c r="F2688">
        <v>465000</v>
      </c>
      <c r="G2688">
        <v>2008</v>
      </c>
      <c r="H2688">
        <v>0</v>
      </c>
      <c r="I2688">
        <v>0</v>
      </c>
      <c r="J2688">
        <v>2</v>
      </c>
      <c r="K2688">
        <v>1.5</v>
      </c>
      <c r="M2688" s="2" t="str">
        <f>HYPERLINK("http://maps.live.com/default.aspx?v=2&amp;lvl=15&amp;sp=Point.47.647037_-122.359509_114 W Florentia St nA&amp;cp=47.647037~-122.359509","Map")</f>
        <v>Map</v>
      </c>
      <c r="N2688" s="2" t="str">
        <f>HYPERLINK("http://i-0.rfimg.us/photo/1/bigphoto/316/28048316_0.jpg","Photo")</f>
        <v>Photo</v>
      </c>
      <c r="AG2688">
        <v>47.647036999999997</v>
      </c>
      <c r="AH2688">
        <v>-122.359509</v>
      </c>
      <c r="AI2688" t="s">
        <v>66</v>
      </c>
      <c r="AJ2688">
        <v>98119</v>
      </c>
      <c r="AM2688" t="s">
        <v>1722</v>
      </c>
      <c r="BC2688" s="22">
        <v>39527.442812499998</v>
      </c>
      <c r="BI2688" s="22">
        <v>39549.294907407406</v>
      </c>
      <c r="BL2688">
        <v>9300</v>
      </c>
      <c r="BM2688">
        <v>1574712</v>
      </c>
      <c r="BN2688" t="s">
        <v>1685</v>
      </c>
      <c r="BO2688" s="17">
        <f t="shared" ca="1" si="41"/>
        <v>21.866593402781291</v>
      </c>
      <c r="BP2688" t="b">
        <v>0</v>
      </c>
      <c r="BQ2688">
        <v>1</v>
      </c>
      <c r="BR2688" t="s">
        <v>1686</v>
      </c>
      <c r="BS2688" t="s">
        <v>3255</v>
      </c>
      <c r="BT2688" t="b">
        <v>0</v>
      </c>
      <c r="BU2688" t="s">
        <v>2423</v>
      </c>
      <c r="BV2688" t="s">
        <v>1668</v>
      </c>
      <c r="BW2688">
        <v>114</v>
      </c>
      <c r="BY2688">
        <v>12433127</v>
      </c>
      <c r="BZ2688" t="s">
        <v>1672</v>
      </c>
      <c r="CA2688">
        <v>1</v>
      </c>
      <c r="CB2688" t="b">
        <v>1</v>
      </c>
      <c r="CC2688">
        <v>0</v>
      </c>
      <c r="CD2688" t="b">
        <v>0</v>
      </c>
      <c r="CE2688" t="b">
        <v>0</v>
      </c>
      <c r="CF2688" t="b">
        <v>0</v>
      </c>
      <c r="CG2688">
        <v>15636875</v>
      </c>
      <c r="CH2688" t="s">
        <v>1681</v>
      </c>
      <c r="CI2688" s="10">
        <v>465000</v>
      </c>
    </row>
    <row r="2689" spans="1:90">
      <c r="A2689">
        <v>28048331</v>
      </c>
      <c r="B2689" s="2" t="str">
        <f>HYPERLINK("http://www.redfin.com/stingray/do/printable-listing?listing-id=1574766","Active")</f>
        <v>Active</v>
      </c>
      <c r="D2689" t="s">
        <v>3066</v>
      </c>
      <c r="E2689" t="s">
        <v>4678</v>
      </c>
      <c r="F2689">
        <v>679000</v>
      </c>
      <c r="G2689">
        <v>2002</v>
      </c>
      <c r="H2689">
        <v>2680</v>
      </c>
      <c r="I2689">
        <v>6665</v>
      </c>
      <c r="J2689">
        <v>4</v>
      </c>
      <c r="K2689">
        <v>2.5</v>
      </c>
      <c r="M2689" s="2" t="str">
        <f>HYPERLINK("http://maps.live.com/default.aspx?v=2&amp;lvl=15&amp;sp=Point.47.692336_-122.174648_12429 NE 103rd Pl&amp;cp=47.692336~-122.174648","Map")</f>
        <v>Map</v>
      </c>
      <c r="N2689" s="2" t="str">
        <f>HYPERLINK("http://i-0.rfimg.us/photo/1/bigphoto/331/28048331_1.jpg","Photo")</f>
        <v>Photo</v>
      </c>
      <c r="AG2689">
        <v>47.692335999999997</v>
      </c>
      <c r="AH2689">
        <v>-122.174648</v>
      </c>
      <c r="AI2689" t="s">
        <v>1058</v>
      </c>
      <c r="AJ2689">
        <v>98033</v>
      </c>
      <c r="AN2689">
        <v>347500</v>
      </c>
      <c r="BC2689" s="22">
        <v>39527.4528125</v>
      </c>
      <c r="BI2689" s="22">
        <v>39549.294907407406</v>
      </c>
      <c r="BL2689">
        <v>13580</v>
      </c>
      <c r="BM2689">
        <v>1574766</v>
      </c>
      <c r="BN2689" t="s">
        <v>1688</v>
      </c>
      <c r="BO2689" s="17">
        <f t="shared" ca="1" si="41"/>
        <v>21.856593402779254</v>
      </c>
      <c r="BP2689" t="b">
        <v>0</v>
      </c>
      <c r="BQ2689">
        <v>1</v>
      </c>
      <c r="BR2689" t="s">
        <v>1842</v>
      </c>
      <c r="BS2689" t="s">
        <v>2691</v>
      </c>
      <c r="BT2689" t="b">
        <v>0</v>
      </c>
      <c r="BU2689" t="s">
        <v>1738</v>
      </c>
      <c r="BV2689" t="s">
        <v>1668</v>
      </c>
      <c r="BW2689">
        <v>12429</v>
      </c>
      <c r="BY2689">
        <v>513106</v>
      </c>
      <c r="BZ2689" t="s">
        <v>1704</v>
      </c>
      <c r="CA2689">
        <v>1</v>
      </c>
      <c r="CB2689" t="b">
        <v>1</v>
      </c>
      <c r="CC2689">
        <v>0</v>
      </c>
      <c r="CD2689" t="b">
        <v>0</v>
      </c>
      <c r="CE2689" t="b">
        <v>0</v>
      </c>
      <c r="CF2689" t="b">
        <v>0</v>
      </c>
      <c r="CG2689">
        <v>2511262</v>
      </c>
      <c r="CH2689" t="s">
        <v>1681</v>
      </c>
      <c r="CI2689" s="10">
        <v>679000</v>
      </c>
      <c r="CJ2689" s="7">
        <v>37559</v>
      </c>
    </row>
    <row r="2690" spans="1:90">
      <c r="A2690">
        <v>28048341</v>
      </c>
      <c r="B2690" s="15" t="str">
        <f>HYPERLINK("http://www.redfin.com/stingray/do/printable-listing?listing-id=1581907","Subject To Inspection")</f>
        <v>Subject To Inspection</v>
      </c>
      <c r="D2690" t="s">
        <v>192</v>
      </c>
      <c r="E2690" t="s">
        <v>6276</v>
      </c>
      <c r="F2690">
        <v>574950</v>
      </c>
      <c r="G2690">
        <v>1992</v>
      </c>
      <c r="H2690">
        <v>1870</v>
      </c>
      <c r="I2690">
        <v>6510</v>
      </c>
      <c r="J2690">
        <v>3</v>
      </c>
      <c r="K2690">
        <v>2.5</v>
      </c>
      <c r="M2690" s="2" t="str">
        <f>HYPERLINK("http://maps.live.com/default.aspx?v=2&amp;lvl=15&amp;sp=Point.47.693757_-122.309088_1709 NE 90th St&amp;cp=47.693757~-122.309088","Map")</f>
        <v>Map</v>
      </c>
      <c r="N2690" s="2" t="str">
        <f>HYPERLINK("http://i-0.rfimg.us/photo/1/bigphoto/341/28048341_0.jpg","Photo")</f>
        <v>Photo</v>
      </c>
      <c r="AG2690">
        <v>47.693756999999998</v>
      </c>
      <c r="AH2690">
        <v>-122.309088</v>
      </c>
      <c r="AI2690" t="s">
        <v>66</v>
      </c>
      <c r="AJ2690">
        <v>98115</v>
      </c>
      <c r="AN2690">
        <v>299000</v>
      </c>
      <c r="BC2690" s="22">
        <v>39531.348379629628</v>
      </c>
      <c r="BI2690" s="22">
        <v>39549.294907407406</v>
      </c>
      <c r="BL2690">
        <v>11499</v>
      </c>
      <c r="BM2690">
        <v>1581907</v>
      </c>
      <c r="BN2690" t="s">
        <v>4018</v>
      </c>
      <c r="BO2690" s="17">
        <f t="shared" ref="BO2690:BO2753" ca="1" si="42">NOW()-BC2690</f>
        <v>17.961026273151219</v>
      </c>
      <c r="BP2690" t="b">
        <v>0</v>
      </c>
      <c r="BQ2690">
        <v>1</v>
      </c>
      <c r="BR2690" t="s">
        <v>1686</v>
      </c>
      <c r="BS2690" t="s">
        <v>1761</v>
      </c>
      <c r="BT2690" t="b">
        <v>0</v>
      </c>
      <c r="BU2690" t="s">
        <v>1738</v>
      </c>
      <c r="BV2690" t="s">
        <v>1668</v>
      </c>
      <c r="BW2690">
        <v>1709</v>
      </c>
      <c r="BY2690">
        <v>107834</v>
      </c>
      <c r="BZ2690" t="s">
        <v>1672</v>
      </c>
      <c r="CA2690">
        <v>1</v>
      </c>
      <c r="CB2690" t="b">
        <v>1</v>
      </c>
      <c r="CC2690">
        <v>0</v>
      </c>
      <c r="CD2690" t="b">
        <v>0</v>
      </c>
      <c r="CE2690" t="b">
        <v>1</v>
      </c>
      <c r="CF2690" t="b">
        <v>0</v>
      </c>
      <c r="CG2690">
        <v>2492013</v>
      </c>
      <c r="CH2690" t="s">
        <v>1681</v>
      </c>
      <c r="CI2690" s="10">
        <v>574950</v>
      </c>
      <c r="CJ2690" s="7">
        <v>36865</v>
      </c>
    </row>
    <row r="2691" spans="1:90">
      <c r="A2691">
        <v>28048403</v>
      </c>
      <c r="B2691" s="2" t="str">
        <f>HYPERLINK("http://www.redfin.com/stingray/do/printable-listing?listing-id=1574796","Active")</f>
        <v>Active</v>
      </c>
      <c r="D2691" t="s">
        <v>3249</v>
      </c>
      <c r="E2691" t="s">
        <v>3615</v>
      </c>
      <c r="F2691">
        <v>1249000</v>
      </c>
      <c r="G2691">
        <v>1928</v>
      </c>
      <c r="H2691">
        <v>0</v>
      </c>
      <c r="I2691">
        <v>0</v>
      </c>
      <c r="J2691">
        <v>3</v>
      </c>
      <c r="K2691">
        <v>1.5</v>
      </c>
      <c r="M2691" s="2" t="str">
        <f>HYPERLINK("http://maps.live.com/default.aspx?v=2&amp;lvl=15&amp;sp=Point.47.641116_-122.370997_2512 11th Ave W&amp;cp=47.641116~-122.370997","Map")</f>
        <v>Map</v>
      </c>
      <c r="N2691" s="2" t="str">
        <f>HYPERLINK("http://i-0.rfimg.us/photo/1/bigphoto/403/28048403_0.jpg","Photo")</f>
        <v>Photo</v>
      </c>
      <c r="AG2691">
        <v>47.641115999999997</v>
      </c>
      <c r="AH2691">
        <v>-122.370997</v>
      </c>
      <c r="AI2691" t="s">
        <v>66</v>
      </c>
      <c r="AJ2691">
        <v>98119</v>
      </c>
      <c r="AN2691">
        <v>285000</v>
      </c>
      <c r="BC2691" s="22">
        <v>39527.463738425926</v>
      </c>
      <c r="BI2691" s="22">
        <v>39549.294907407406</v>
      </c>
      <c r="BL2691">
        <v>24980</v>
      </c>
      <c r="BM2691">
        <v>1574796</v>
      </c>
      <c r="BN2691" t="s">
        <v>1685</v>
      </c>
      <c r="BO2691" s="17">
        <f t="shared" ca="1" si="42"/>
        <v>21.845667476853123</v>
      </c>
      <c r="BP2691" t="b">
        <v>0</v>
      </c>
      <c r="BQ2691">
        <v>1</v>
      </c>
      <c r="BR2691" t="s">
        <v>1667</v>
      </c>
      <c r="BS2691" t="s">
        <v>1792</v>
      </c>
      <c r="BT2691" t="b">
        <v>0</v>
      </c>
      <c r="BV2691" t="s">
        <v>1668</v>
      </c>
      <c r="BW2691">
        <v>2512</v>
      </c>
      <c r="BX2691" t="s">
        <v>2423</v>
      </c>
      <c r="BY2691">
        <v>129583</v>
      </c>
      <c r="BZ2691" t="s">
        <v>1713</v>
      </c>
      <c r="CA2691">
        <v>1</v>
      </c>
      <c r="CB2691" t="b">
        <v>1</v>
      </c>
      <c r="CC2691">
        <v>0</v>
      </c>
      <c r="CD2691" t="b">
        <v>0</v>
      </c>
      <c r="CE2691" t="b">
        <v>0</v>
      </c>
      <c r="CF2691" t="b">
        <v>0</v>
      </c>
      <c r="CG2691">
        <v>2978184</v>
      </c>
      <c r="CH2691" t="s">
        <v>1681</v>
      </c>
      <c r="CI2691" s="10">
        <v>1249000</v>
      </c>
      <c r="CJ2691" s="7">
        <v>33578</v>
      </c>
    </row>
    <row r="2692" spans="1:90">
      <c r="A2692">
        <v>28048404</v>
      </c>
      <c r="B2692" s="2" t="str">
        <f>HYPERLINK("http://www.redfin.com/stingray/do/printable-listing?listing-id=1578925","Active")</f>
        <v>Active</v>
      </c>
      <c r="D2692" t="s">
        <v>1238</v>
      </c>
      <c r="E2692" t="s">
        <v>3686</v>
      </c>
      <c r="F2692">
        <v>925000</v>
      </c>
      <c r="G2692">
        <v>1910</v>
      </c>
      <c r="H2692">
        <v>3880</v>
      </c>
      <c r="I2692">
        <v>4560</v>
      </c>
      <c r="J2692">
        <v>6</v>
      </c>
      <c r="K2692">
        <v>3</v>
      </c>
      <c r="M2692" s="2" t="str">
        <f>HYPERLINK("http://maps.live.com/default.aspx?v=2&amp;lvl=15&amp;sp=Point.47.641808_-122.320947_2412 Broadway Ave E&amp;cp=47.641808~-122.320947","Map")</f>
        <v>Map</v>
      </c>
      <c r="N2692" s="2" t="str">
        <f>HYPERLINK("http://i-0.rfimg.us/photo/1/bigphoto/404/28048404_0.jpg","Photo")</f>
        <v>Photo</v>
      </c>
      <c r="AG2692">
        <v>47.641807999999997</v>
      </c>
      <c r="AH2692">
        <v>-122.320947</v>
      </c>
      <c r="AI2692" t="s">
        <v>66</v>
      </c>
      <c r="AJ2692">
        <v>98102</v>
      </c>
      <c r="AN2692">
        <v>839000</v>
      </c>
      <c r="BC2692" s="22">
        <v>39528.661956018521</v>
      </c>
      <c r="BI2692" s="22">
        <v>39549.294907407406</v>
      </c>
      <c r="BL2692">
        <v>18500</v>
      </c>
      <c r="BM2692">
        <v>1578925</v>
      </c>
      <c r="BN2692" t="s">
        <v>1674</v>
      </c>
      <c r="BO2692" s="17">
        <f t="shared" ca="1" si="42"/>
        <v>20.647449884258094</v>
      </c>
      <c r="BP2692" t="b">
        <v>0</v>
      </c>
      <c r="BQ2692">
        <v>1</v>
      </c>
      <c r="BR2692" t="s">
        <v>1667</v>
      </c>
      <c r="BS2692" t="s">
        <v>3687</v>
      </c>
      <c r="BT2692" t="b">
        <v>0</v>
      </c>
      <c r="BV2692" t="s">
        <v>1668</v>
      </c>
      <c r="BW2692">
        <v>2412</v>
      </c>
      <c r="BX2692" t="s">
        <v>2436</v>
      </c>
      <c r="BY2692">
        <v>137285</v>
      </c>
      <c r="BZ2692" t="s">
        <v>1762</v>
      </c>
      <c r="CA2692">
        <v>1</v>
      </c>
      <c r="CB2692" t="b">
        <v>1</v>
      </c>
      <c r="CC2692">
        <v>0</v>
      </c>
      <c r="CD2692" t="b">
        <v>0</v>
      </c>
      <c r="CE2692" t="b">
        <v>1</v>
      </c>
      <c r="CF2692" t="b">
        <v>0</v>
      </c>
      <c r="CG2692">
        <v>2518796</v>
      </c>
      <c r="CH2692" t="s">
        <v>1681</v>
      </c>
      <c r="CI2692" s="10">
        <v>925000</v>
      </c>
      <c r="CJ2692" s="7">
        <v>38792</v>
      </c>
    </row>
    <row r="2693" spans="1:90">
      <c r="A2693">
        <v>28048428</v>
      </c>
      <c r="B2693" s="2" t="str">
        <f>HYPERLINK("http://www.redfin.com/stingray/do/printable-listing?listing-id=1577247","Active")</f>
        <v>Active</v>
      </c>
      <c r="D2693" t="s">
        <v>3249</v>
      </c>
      <c r="E2693" t="s">
        <v>3616</v>
      </c>
      <c r="F2693">
        <v>524950</v>
      </c>
      <c r="G2693">
        <v>1924</v>
      </c>
      <c r="H2693">
        <v>0</v>
      </c>
      <c r="I2693">
        <v>0</v>
      </c>
      <c r="J2693">
        <v>2</v>
      </c>
      <c r="K2693">
        <v>1</v>
      </c>
      <c r="M2693" s="2" t="str">
        <f>HYPERLINK("http://maps.live.com/default.aspx?v=2&amp;lvl=15&amp;sp=Point.47.640309_-122.372311_2256 12th Ave W&amp;cp=47.640309~-122.372311","Map")</f>
        <v>Map</v>
      </c>
      <c r="N2693" s="2" t="str">
        <f>HYPERLINK("http://i-0.rfimg.us/photo/1/bigphoto/428/28048428_0.jpg","Photo")</f>
        <v>Photo</v>
      </c>
      <c r="AG2693">
        <v>47.640309000000002</v>
      </c>
      <c r="AH2693">
        <v>-122.372311</v>
      </c>
      <c r="AI2693" t="s">
        <v>66</v>
      </c>
      <c r="AJ2693">
        <v>98119</v>
      </c>
      <c r="AN2693">
        <v>346200</v>
      </c>
      <c r="BC2693" s="22">
        <v>39528.317037037035</v>
      </c>
      <c r="BI2693" s="22">
        <v>39549.294907407406</v>
      </c>
      <c r="BL2693">
        <v>10499</v>
      </c>
      <c r="BM2693">
        <v>1577247</v>
      </c>
      <c r="BN2693" t="s">
        <v>1700</v>
      </c>
      <c r="BO2693" s="17">
        <f t="shared" ca="1" si="42"/>
        <v>20.992368865743629</v>
      </c>
      <c r="BP2693" t="b">
        <v>0</v>
      </c>
      <c r="BQ2693">
        <v>1</v>
      </c>
      <c r="BR2693" t="s">
        <v>1667</v>
      </c>
      <c r="BS2693" t="s">
        <v>1803</v>
      </c>
      <c r="BT2693" t="b">
        <v>0</v>
      </c>
      <c r="BV2693" t="s">
        <v>1668</v>
      </c>
      <c r="BW2693">
        <v>2256</v>
      </c>
      <c r="BX2693" t="s">
        <v>2423</v>
      </c>
      <c r="BY2693">
        <v>129964</v>
      </c>
      <c r="BZ2693" t="s">
        <v>1672</v>
      </c>
      <c r="CA2693">
        <v>1</v>
      </c>
      <c r="CB2693" t="b">
        <v>1</v>
      </c>
      <c r="CC2693">
        <v>0</v>
      </c>
      <c r="CD2693" t="b">
        <v>0</v>
      </c>
      <c r="CE2693" t="b">
        <v>1</v>
      </c>
      <c r="CF2693" t="b">
        <v>0</v>
      </c>
      <c r="CG2693">
        <v>2491917</v>
      </c>
      <c r="CH2693" t="s">
        <v>1681</v>
      </c>
      <c r="CI2693" s="10">
        <v>524950</v>
      </c>
      <c r="CJ2693" s="7">
        <v>37824</v>
      </c>
    </row>
    <row r="2694" spans="1:90">
      <c r="A2694">
        <v>28048481</v>
      </c>
      <c r="B2694" s="2" t="str">
        <f>HYPERLINK("http://www.redfin.com/stingray/do/printable-listing?listing-id=1585080","Active")</f>
        <v>Active</v>
      </c>
      <c r="D2694" t="s">
        <v>1023</v>
      </c>
      <c r="E2694" t="s">
        <v>2293</v>
      </c>
      <c r="F2694" s="19">
        <v>1475000</v>
      </c>
      <c r="G2694">
        <v>1988</v>
      </c>
      <c r="H2694">
        <v>3370</v>
      </c>
      <c r="I2694">
        <v>7920</v>
      </c>
      <c r="J2694">
        <v>4</v>
      </c>
      <c r="K2694">
        <v>3.25</v>
      </c>
      <c r="M2694" s="2" t="str">
        <f>HYPERLINK("http://maps.live.com/default.aspx?v=2&amp;lvl=15&amp;sp=Point.47.677267_-122.403068_3524 NW 67th St&amp;cp=47.677267~-122.403068","Map")</f>
        <v>Map</v>
      </c>
      <c r="N2694" s="2" t="str">
        <f>HYPERLINK("http://i-0.rfimg.us/photo/1/bigphoto/481/28048481_2.jpg","Photo")</f>
        <v>Photo</v>
      </c>
      <c r="AG2694">
        <v>47.677267000000001</v>
      </c>
      <c r="AH2694">
        <v>-122.403068</v>
      </c>
      <c r="AI2694" t="s">
        <v>66</v>
      </c>
      <c r="AJ2694">
        <v>98117</v>
      </c>
      <c r="AN2694">
        <v>452500</v>
      </c>
      <c r="BC2694" s="22">
        <v>39532.296030092592</v>
      </c>
      <c r="BI2694" s="22">
        <v>39549.294907407406</v>
      </c>
      <c r="BL2694">
        <v>31500</v>
      </c>
      <c r="BM2694">
        <v>1585080</v>
      </c>
      <c r="BN2694" t="s">
        <v>1725</v>
      </c>
      <c r="BO2694" s="17">
        <f t="shared" ca="1" si="42"/>
        <v>17.013375810187426</v>
      </c>
      <c r="BP2694" t="b">
        <v>0</v>
      </c>
      <c r="BQ2694">
        <v>1</v>
      </c>
      <c r="BR2694" t="s">
        <v>1686</v>
      </c>
      <c r="BS2694" t="s">
        <v>1864</v>
      </c>
      <c r="BT2694" t="b">
        <v>0</v>
      </c>
      <c r="BU2694" t="s">
        <v>1669</v>
      </c>
      <c r="BV2694" t="s">
        <v>1668</v>
      </c>
      <c r="BW2694">
        <v>3524</v>
      </c>
      <c r="BY2694">
        <v>290151</v>
      </c>
      <c r="BZ2694" t="s">
        <v>2294</v>
      </c>
      <c r="CA2694">
        <v>1</v>
      </c>
      <c r="CB2694" t="b">
        <v>1</v>
      </c>
      <c r="CC2694">
        <v>0</v>
      </c>
      <c r="CD2694" t="b">
        <v>0</v>
      </c>
      <c r="CE2694" t="b">
        <v>1</v>
      </c>
      <c r="CF2694" t="b">
        <v>0</v>
      </c>
      <c r="CG2694">
        <v>2789303</v>
      </c>
      <c r="CH2694" t="s">
        <v>1681</v>
      </c>
      <c r="CI2694" s="10">
        <v>1575000</v>
      </c>
      <c r="CJ2694" s="7">
        <v>35642</v>
      </c>
      <c r="CL2694" t="s">
        <v>2300</v>
      </c>
    </row>
    <row r="2695" spans="1:90">
      <c r="A2695">
        <v>28048498</v>
      </c>
      <c r="B2695" s="2" t="str">
        <f>HYPERLINK("http://www.redfin.com/stingray/do/printable-listing?listing-id=1578883","Active")</f>
        <v>Active</v>
      </c>
      <c r="D2695" t="s">
        <v>1023</v>
      </c>
      <c r="E2695" t="s">
        <v>2053</v>
      </c>
      <c r="F2695">
        <v>1250500</v>
      </c>
      <c r="G2695">
        <v>2005</v>
      </c>
      <c r="H2695">
        <v>4199</v>
      </c>
      <c r="I2695">
        <v>5040</v>
      </c>
      <c r="J2695">
        <v>4</v>
      </c>
      <c r="K2695">
        <v>3.5</v>
      </c>
      <c r="M2695" s="2" t="str">
        <f>HYPERLINK("http://maps.live.com/default.aspx?v=2&amp;lvl=15&amp;sp=Point.47.675588_-122.400567_3249 NW 65th St&amp;cp=47.675588~-122.400567","Map")</f>
        <v>Map</v>
      </c>
      <c r="N2695" s="2" t="str">
        <f>HYPERLINK("http://i-0.rfimg.us/photo/1/bigphoto/498/28048498_0.jpg","Photo")</f>
        <v>Photo</v>
      </c>
      <c r="AG2695">
        <v>47.675587999999998</v>
      </c>
      <c r="AH2695">
        <v>-122.400567</v>
      </c>
      <c r="AI2695" t="s">
        <v>66</v>
      </c>
      <c r="AJ2695">
        <v>98117</v>
      </c>
      <c r="AN2695">
        <v>430000</v>
      </c>
      <c r="BC2695" s="22">
        <v>39528.652118055557</v>
      </c>
      <c r="BI2695" s="22">
        <v>39549.294907407406</v>
      </c>
      <c r="BL2695">
        <v>25010</v>
      </c>
      <c r="BM2695">
        <v>1578883</v>
      </c>
      <c r="BN2695" t="s">
        <v>1671</v>
      </c>
      <c r="BO2695" s="17">
        <f t="shared" ca="1" si="42"/>
        <v>20.657287962960254</v>
      </c>
      <c r="BP2695" t="b">
        <v>0</v>
      </c>
      <c r="BQ2695">
        <v>1</v>
      </c>
      <c r="BR2695" t="s">
        <v>1686</v>
      </c>
      <c r="BS2695" t="s">
        <v>1708</v>
      </c>
      <c r="BT2695" t="b">
        <v>0</v>
      </c>
      <c r="BU2695" t="s">
        <v>1669</v>
      </c>
      <c r="BV2695" t="s">
        <v>1668</v>
      </c>
      <c r="BW2695">
        <v>3249</v>
      </c>
      <c r="BY2695">
        <v>161821</v>
      </c>
      <c r="BZ2695" t="s">
        <v>1672</v>
      </c>
      <c r="CA2695">
        <v>1</v>
      </c>
      <c r="CB2695" t="b">
        <v>1</v>
      </c>
      <c r="CC2695">
        <v>0</v>
      </c>
      <c r="CD2695" t="b">
        <v>0</v>
      </c>
      <c r="CE2695" t="b">
        <v>1</v>
      </c>
      <c r="CF2695" t="b">
        <v>0</v>
      </c>
      <c r="CG2695">
        <v>2890190</v>
      </c>
      <c r="CH2695" t="s">
        <v>1681</v>
      </c>
      <c r="CI2695" s="10">
        <v>1250500</v>
      </c>
      <c r="CJ2695" s="7">
        <v>38230</v>
      </c>
    </row>
    <row r="2696" spans="1:90">
      <c r="A2696">
        <v>28048514</v>
      </c>
      <c r="B2696" s="2" t="str">
        <f>HYPERLINK("http://www.redfin.com/stingray/do/printable-listing?listing-id=1575320","Active")</f>
        <v>Active</v>
      </c>
      <c r="D2696" t="s">
        <v>3066</v>
      </c>
      <c r="E2696" t="s">
        <v>4679</v>
      </c>
      <c r="F2696">
        <v>829950</v>
      </c>
      <c r="G2696">
        <v>2005</v>
      </c>
      <c r="H2696">
        <v>3200</v>
      </c>
      <c r="I2696">
        <v>7201</v>
      </c>
      <c r="J2696">
        <v>5</v>
      </c>
      <c r="K2696">
        <v>3</v>
      </c>
      <c r="M2696" s="2" t="str">
        <f>HYPERLINK("http://maps.live.com/default.aspx?v=2&amp;lvl=15&amp;sp=Point.47.690346_-122.172895_10032 126th Ave NE&amp;cp=47.690346~-122.172895","Map")</f>
        <v>Map</v>
      </c>
      <c r="N2696" s="2" t="str">
        <f>HYPERLINK("http://i-0.rfimg.us/photo/1/bigphoto/514/28048514_2.jpg","Photo")</f>
        <v>Photo</v>
      </c>
      <c r="AG2696">
        <v>47.690345999999998</v>
      </c>
      <c r="AH2696">
        <v>-122.172895</v>
      </c>
      <c r="AI2696" t="s">
        <v>1058</v>
      </c>
      <c r="AJ2696">
        <v>98033</v>
      </c>
      <c r="AN2696">
        <v>699900</v>
      </c>
      <c r="BC2696" s="22">
        <v>39527.567835648151</v>
      </c>
      <c r="BI2696" s="22">
        <v>39549.294907407406</v>
      </c>
      <c r="BL2696">
        <v>16599</v>
      </c>
      <c r="BM2696">
        <v>1575320</v>
      </c>
      <c r="BN2696" t="s">
        <v>1688</v>
      </c>
      <c r="BO2696" s="17">
        <f t="shared" ca="1" si="42"/>
        <v>21.741570254627732</v>
      </c>
      <c r="BP2696" t="b">
        <v>0</v>
      </c>
      <c r="BQ2696">
        <v>1</v>
      </c>
      <c r="BR2696" t="s">
        <v>1667</v>
      </c>
      <c r="BS2696" t="s">
        <v>4544</v>
      </c>
      <c r="BT2696" t="b">
        <v>0</v>
      </c>
      <c r="BV2696" t="s">
        <v>1668</v>
      </c>
      <c r="BW2696">
        <v>10032</v>
      </c>
      <c r="BX2696" t="s">
        <v>1738</v>
      </c>
      <c r="BY2696">
        <v>513304</v>
      </c>
      <c r="BZ2696" t="s">
        <v>4680</v>
      </c>
      <c r="CA2696">
        <v>1</v>
      </c>
      <c r="CB2696" t="b">
        <v>1</v>
      </c>
      <c r="CC2696">
        <v>0</v>
      </c>
      <c r="CD2696" t="b">
        <v>0</v>
      </c>
      <c r="CE2696" t="b">
        <v>0</v>
      </c>
      <c r="CF2696" t="b">
        <v>0</v>
      </c>
      <c r="CG2696">
        <v>2967111</v>
      </c>
      <c r="CH2696" t="s">
        <v>1681</v>
      </c>
      <c r="CI2696" s="10">
        <v>829950</v>
      </c>
      <c r="CJ2696" s="7">
        <v>38533</v>
      </c>
    </row>
    <row r="2697" spans="1:90">
      <c r="A2697">
        <v>28048515</v>
      </c>
      <c r="B2697" s="15" t="str">
        <f>HYPERLINK("http://www.redfin.com/stingray/do/printable-listing?listing-id=1578053","Subject To Inspection")</f>
        <v>Subject To Inspection</v>
      </c>
      <c r="D2697" t="s">
        <v>63</v>
      </c>
      <c r="E2697" t="s">
        <v>2051</v>
      </c>
      <c r="F2697">
        <v>685000</v>
      </c>
      <c r="G2697">
        <v>1955</v>
      </c>
      <c r="H2697">
        <v>2500</v>
      </c>
      <c r="I2697">
        <v>5010</v>
      </c>
      <c r="J2697">
        <v>4</v>
      </c>
      <c r="K2697">
        <v>1.75</v>
      </c>
      <c r="M2697" s="2" t="str">
        <f>HYPERLINK("http://maps.live.com/default.aspx?v=2&amp;lvl=15&amp;sp=Point.47.684307_-122.39341_7541 28th Ave NW&amp;cp=47.684307~-122.39341","Map")</f>
        <v>Map</v>
      </c>
      <c r="N2697" s="2" t="str">
        <f>HYPERLINK("http://i-0.rfimg.us/photo/1/bigphoto/515/28048515_0.jpg","Photo")</f>
        <v>Photo</v>
      </c>
      <c r="AG2697">
        <v>47.684306999999997</v>
      </c>
      <c r="AH2697">
        <v>-122.39341</v>
      </c>
      <c r="AI2697" t="s">
        <v>66</v>
      </c>
      <c r="AJ2697">
        <v>98117</v>
      </c>
      <c r="AN2697">
        <v>435000</v>
      </c>
      <c r="BC2697" s="22">
        <v>39528.495335648149</v>
      </c>
      <c r="BI2697" s="7">
        <v>39543</v>
      </c>
      <c r="BL2697">
        <v>13700</v>
      </c>
      <c r="BM2697">
        <v>1578053</v>
      </c>
      <c r="BN2697" t="s">
        <v>1685</v>
      </c>
      <c r="BO2697" s="17">
        <f t="shared" ca="1" si="42"/>
        <v>20.814070370368427</v>
      </c>
      <c r="BP2697" t="b">
        <v>0</v>
      </c>
      <c r="BQ2697">
        <v>1</v>
      </c>
      <c r="BR2697" t="s">
        <v>1667</v>
      </c>
      <c r="BS2697" t="s">
        <v>1760</v>
      </c>
      <c r="BT2697" t="b">
        <v>0</v>
      </c>
      <c r="BV2697" t="s">
        <v>1668</v>
      </c>
      <c r="BW2697">
        <v>7541</v>
      </c>
      <c r="BX2697" t="s">
        <v>1669</v>
      </c>
      <c r="BY2697">
        <v>165742</v>
      </c>
      <c r="BZ2697" t="s">
        <v>1672</v>
      </c>
      <c r="CA2697">
        <v>1</v>
      </c>
      <c r="CB2697" t="b">
        <v>1</v>
      </c>
      <c r="CC2697">
        <v>0</v>
      </c>
      <c r="CD2697" t="b">
        <v>0</v>
      </c>
      <c r="CE2697" t="b">
        <v>1</v>
      </c>
      <c r="CF2697" t="b">
        <v>0</v>
      </c>
      <c r="CG2697">
        <v>2799178</v>
      </c>
      <c r="CH2697" t="s">
        <v>1681</v>
      </c>
      <c r="CI2697" s="10">
        <v>685000</v>
      </c>
      <c r="CJ2697" s="7">
        <v>39164</v>
      </c>
    </row>
    <row r="2698" spans="1:90">
      <c r="A2698">
        <v>28048546</v>
      </c>
      <c r="B2698" s="2" t="str">
        <f>HYPERLINK("http://www.redfin.com/stingray/do/printable-listing?listing-id=1575319","Active")</f>
        <v>Active</v>
      </c>
      <c r="D2698" t="s">
        <v>3066</v>
      </c>
      <c r="E2698" t="s">
        <v>4697</v>
      </c>
      <c r="F2698">
        <v>1077000</v>
      </c>
      <c r="G2698">
        <v>2008</v>
      </c>
      <c r="H2698">
        <v>3790</v>
      </c>
      <c r="I2698">
        <v>8371</v>
      </c>
      <c r="J2698">
        <v>5</v>
      </c>
      <c r="K2698">
        <v>3.5</v>
      </c>
      <c r="M2698" s="2" t="str">
        <f>HYPERLINK("http://maps.live.com/default.aspx?v=2&amp;lvl=15&amp;sp=Point.47.679015_-122.15188_14018 NE 85 Ct&amp;cp=47.679015~-122.15188","Map")</f>
        <v>Map</v>
      </c>
      <c r="N2698" s="2" t="str">
        <f>HYPERLINK("http://i-0.rfimg.us/photo/1/bigphoto/546/28048546_0.jpg","Photo")</f>
        <v>Photo</v>
      </c>
      <c r="AG2698">
        <v>47.679015</v>
      </c>
      <c r="AH2698">
        <v>-122.15188000000001</v>
      </c>
      <c r="AI2698" t="s">
        <v>4363</v>
      </c>
      <c r="AJ2698">
        <v>98052</v>
      </c>
      <c r="BC2698" s="22">
        <v>39527.567777777775</v>
      </c>
      <c r="BI2698" s="22">
        <v>39549.294907407406</v>
      </c>
      <c r="BL2698">
        <v>21540</v>
      </c>
      <c r="BM2698">
        <v>1575319</v>
      </c>
      <c r="BN2698" t="s">
        <v>1768</v>
      </c>
      <c r="BO2698" s="17">
        <f t="shared" ca="1" si="42"/>
        <v>21.741628125004354</v>
      </c>
      <c r="BP2698" t="b">
        <v>0</v>
      </c>
      <c r="BQ2698">
        <v>1</v>
      </c>
      <c r="BR2698" t="s">
        <v>3768</v>
      </c>
      <c r="BS2698">
        <v>85</v>
      </c>
      <c r="BT2698" t="b">
        <v>0</v>
      </c>
      <c r="BU2698" t="s">
        <v>1738</v>
      </c>
      <c r="BV2698" t="s">
        <v>1668</v>
      </c>
      <c r="BW2698">
        <v>14018</v>
      </c>
      <c r="BY2698">
        <v>12433185</v>
      </c>
      <c r="BZ2698" t="s">
        <v>1801</v>
      </c>
      <c r="CA2698">
        <v>1</v>
      </c>
      <c r="CB2698" t="b">
        <v>1</v>
      </c>
      <c r="CC2698">
        <v>0</v>
      </c>
      <c r="CD2698" t="b">
        <v>0</v>
      </c>
      <c r="CE2698" t="b">
        <v>0</v>
      </c>
      <c r="CF2698" t="b">
        <v>0</v>
      </c>
      <c r="CG2698">
        <v>15636933</v>
      </c>
      <c r="CH2698" t="s">
        <v>1681</v>
      </c>
      <c r="CI2698" s="10">
        <v>1077000</v>
      </c>
    </row>
    <row r="2699" spans="1:90">
      <c r="A2699">
        <v>28048590</v>
      </c>
      <c r="B2699" s="2" t="str">
        <f>HYPERLINK("http://www.redfin.com/stingray/do/printable-listing?listing-id=1576166","Active")</f>
        <v>Active</v>
      </c>
      <c r="D2699" t="s">
        <v>109</v>
      </c>
      <c r="E2699" t="s">
        <v>3310</v>
      </c>
      <c r="F2699">
        <v>895000</v>
      </c>
      <c r="G2699">
        <v>1909</v>
      </c>
      <c r="H2699">
        <v>0</v>
      </c>
      <c r="I2699">
        <v>0</v>
      </c>
      <c r="J2699">
        <v>3</v>
      </c>
      <c r="K2699">
        <v>2.5</v>
      </c>
      <c r="M2699" s="2" t="str">
        <f>HYPERLINK("http://maps.live.com/default.aspx?v=2&amp;lvl=15&amp;sp=Point.47.652141_-122.334115_3703 Meridian Ave N&amp;cp=47.652141~-122.334115","Map")</f>
        <v>Map</v>
      </c>
      <c r="N2699" s="2" t="str">
        <f>HYPERLINK("http://i-0.rfimg.us/photo/1/bigphoto/590/28048590_0.jpg","Photo")</f>
        <v>Photo</v>
      </c>
      <c r="AG2699">
        <v>47.652141</v>
      </c>
      <c r="AH2699">
        <v>-122.334115</v>
      </c>
      <c r="AI2699" t="s">
        <v>66</v>
      </c>
      <c r="AJ2699">
        <v>98103</v>
      </c>
      <c r="AN2699">
        <v>930000</v>
      </c>
      <c r="BC2699" s="22">
        <v>39527.838622685187</v>
      </c>
      <c r="BI2699" s="22">
        <v>39549.294907407406</v>
      </c>
      <c r="BL2699">
        <v>17900</v>
      </c>
      <c r="BM2699">
        <v>1576166</v>
      </c>
      <c r="BN2699" t="s">
        <v>1702</v>
      </c>
      <c r="BO2699" s="17">
        <f t="shared" ca="1" si="42"/>
        <v>21.470783217591816</v>
      </c>
      <c r="BP2699" t="b">
        <v>0</v>
      </c>
      <c r="BQ2699">
        <v>1</v>
      </c>
      <c r="BR2699" t="s">
        <v>1667</v>
      </c>
      <c r="BS2699" t="s">
        <v>2413</v>
      </c>
      <c r="BT2699" t="b">
        <v>0</v>
      </c>
      <c r="BV2699" t="s">
        <v>1668</v>
      </c>
      <c r="BW2699">
        <v>3703</v>
      </c>
      <c r="BX2699" t="s">
        <v>1712</v>
      </c>
      <c r="BY2699">
        <v>119860</v>
      </c>
      <c r="BZ2699" t="s">
        <v>1713</v>
      </c>
      <c r="CA2699">
        <v>1</v>
      </c>
      <c r="CB2699" t="b">
        <v>1</v>
      </c>
      <c r="CC2699">
        <v>0</v>
      </c>
      <c r="CD2699" t="b">
        <v>0</v>
      </c>
      <c r="CE2699" t="b">
        <v>1</v>
      </c>
      <c r="CF2699" t="b">
        <v>0</v>
      </c>
      <c r="CG2699">
        <v>2671991</v>
      </c>
      <c r="CH2699" t="s">
        <v>1681</v>
      </c>
      <c r="CI2699" s="10">
        <v>895000</v>
      </c>
      <c r="CJ2699" s="7">
        <v>38960</v>
      </c>
      <c r="CL2699" t="s">
        <v>2204</v>
      </c>
    </row>
    <row r="2700" spans="1:90">
      <c r="A2700">
        <v>28048596</v>
      </c>
      <c r="B2700" s="2" t="str">
        <f>HYPERLINK("http://www.redfin.com/stingray/do/printable-listing?listing-id=1575414","Active")</f>
        <v>Active</v>
      </c>
      <c r="D2700" t="s">
        <v>3249</v>
      </c>
      <c r="E2700" t="s">
        <v>4316</v>
      </c>
      <c r="F2700">
        <v>419950</v>
      </c>
      <c r="G2700">
        <v>1996</v>
      </c>
      <c r="H2700">
        <v>0</v>
      </c>
      <c r="I2700">
        <v>10850</v>
      </c>
      <c r="J2700">
        <v>2</v>
      </c>
      <c r="K2700">
        <v>2.25</v>
      </c>
      <c r="M2700" s="2" t="str">
        <f>HYPERLINK("http://maps.live.com/default.aspx?v=2&amp;lvl=15&amp;sp=Point.47.630042_-122.345203_1219 6th Ave N&amp;cp=47.630042~-122.345203","Map")</f>
        <v>Map</v>
      </c>
      <c r="N2700" s="2" t="str">
        <f>HYPERLINK("http://i-0.rfimg.us/photo/1/bigphoto/596/28048596_0.jpg","Photo")</f>
        <v>Photo</v>
      </c>
      <c r="AG2700">
        <v>47.630042000000003</v>
      </c>
      <c r="AH2700">
        <v>-122.345203</v>
      </c>
      <c r="AI2700" t="s">
        <v>66</v>
      </c>
      <c r="AJ2700">
        <v>98109</v>
      </c>
      <c r="BC2700" s="22">
        <v>39527.589837962965</v>
      </c>
      <c r="BI2700" s="22">
        <v>39546.925937499997</v>
      </c>
      <c r="BL2700">
        <v>8399</v>
      </c>
      <c r="BM2700">
        <v>1575414</v>
      </c>
      <c r="BN2700" t="s">
        <v>1685</v>
      </c>
      <c r="BO2700" s="17">
        <f t="shared" ca="1" si="42"/>
        <v>21.719567939813714</v>
      </c>
      <c r="BP2700" t="b">
        <v>0</v>
      </c>
      <c r="BQ2700">
        <v>1</v>
      </c>
      <c r="BR2700" t="s">
        <v>1667</v>
      </c>
      <c r="BS2700" t="s">
        <v>1739</v>
      </c>
      <c r="BT2700" t="b">
        <v>0</v>
      </c>
      <c r="BV2700" t="s">
        <v>1668</v>
      </c>
      <c r="BW2700">
        <v>1219</v>
      </c>
      <c r="BX2700" t="s">
        <v>1712</v>
      </c>
      <c r="BY2700">
        <v>2094295</v>
      </c>
      <c r="BZ2700" t="s">
        <v>1672</v>
      </c>
      <c r="CA2700">
        <v>1</v>
      </c>
      <c r="CB2700" t="b">
        <v>1</v>
      </c>
      <c r="CC2700">
        <v>0</v>
      </c>
      <c r="CD2700" t="b">
        <v>0</v>
      </c>
      <c r="CE2700" t="b">
        <v>0</v>
      </c>
      <c r="CF2700" t="b">
        <v>0</v>
      </c>
      <c r="CG2700">
        <v>2949066</v>
      </c>
      <c r="CH2700" t="s">
        <v>1681</v>
      </c>
      <c r="CI2700" s="10">
        <v>419950</v>
      </c>
    </row>
    <row r="2701" spans="1:90">
      <c r="A2701">
        <v>28048608</v>
      </c>
      <c r="B2701" s="2" t="str">
        <f>HYPERLINK("http://www.redfin.com/stingray/do/printable-listing?listing-id=1578051","Active")</f>
        <v>Active</v>
      </c>
      <c r="D2701" t="s">
        <v>5191</v>
      </c>
      <c r="E2701" t="s">
        <v>5687</v>
      </c>
      <c r="F2701">
        <v>985000</v>
      </c>
      <c r="G2701">
        <v>1962</v>
      </c>
      <c r="H2701">
        <v>2900</v>
      </c>
      <c r="I2701">
        <v>8605</v>
      </c>
      <c r="J2701">
        <v>4</v>
      </c>
      <c r="K2701">
        <v>2.5</v>
      </c>
      <c r="M2701" s="2" t="str">
        <f>HYPERLINK("http://maps.live.com/default.aspx?v=2&amp;lvl=15&amp;sp=Point.47.563104_-122.156822_4581 137th Ave SE&amp;cp=47.563104~-122.156822","Map")</f>
        <v>Map</v>
      </c>
      <c r="N2701" s="2" t="str">
        <f>HYPERLINK("http://i-0.rfimg.us/photo/1/bigphoto/608/28048608_2.jpg","Photo")</f>
        <v>Photo</v>
      </c>
      <c r="AG2701">
        <v>47.563104000000003</v>
      </c>
      <c r="AH2701">
        <v>-122.15682200000001</v>
      </c>
      <c r="AI2701" t="s">
        <v>369</v>
      </c>
      <c r="AJ2701">
        <v>98006</v>
      </c>
      <c r="BC2701" s="22">
        <v>39528.495335648149</v>
      </c>
      <c r="BI2701" s="22">
        <v>39546.925937499997</v>
      </c>
      <c r="BL2701">
        <v>19700</v>
      </c>
      <c r="BM2701">
        <v>1578051</v>
      </c>
      <c r="BN2701" t="s">
        <v>2136</v>
      </c>
      <c r="BO2701" s="17">
        <f t="shared" ca="1" si="42"/>
        <v>20.814070254629769</v>
      </c>
      <c r="BP2701" t="b">
        <v>0</v>
      </c>
      <c r="BQ2701">
        <v>1</v>
      </c>
      <c r="BR2701" t="s">
        <v>1667</v>
      </c>
      <c r="BS2701" t="s">
        <v>3855</v>
      </c>
      <c r="BT2701" t="b">
        <v>0</v>
      </c>
      <c r="BV2701" t="s">
        <v>1668</v>
      </c>
      <c r="BW2701">
        <v>4581</v>
      </c>
      <c r="BX2701" t="s">
        <v>3856</v>
      </c>
      <c r="BY2701">
        <v>238530</v>
      </c>
      <c r="BZ2701" t="s">
        <v>1730</v>
      </c>
      <c r="CA2701">
        <v>1</v>
      </c>
      <c r="CB2701" t="b">
        <v>1</v>
      </c>
      <c r="CC2701">
        <v>0</v>
      </c>
      <c r="CD2701" t="b">
        <v>0</v>
      </c>
      <c r="CE2701" t="b">
        <v>1</v>
      </c>
      <c r="CF2701" t="b">
        <v>0</v>
      </c>
      <c r="CG2701">
        <v>2702749</v>
      </c>
      <c r="CH2701" t="s">
        <v>1681</v>
      </c>
      <c r="CI2701" s="10">
        <v>985000</v>
      </c>
    </row>
    <row r="2702" spans="1:90">
      <c r="A2702">
        <v>28048649</v>
      </c>
      <c r="B2702" s="15" t="str">
        <f>HYPERLINK("http://www.redfin.com/stingray/do/printable-listing?listing-id=1578459","Subject To Inspection")</f>
        <v>Subject To Inspection</v>
      </c>
      <c r="D2702" t="s">
        <v>63</v>
      </c>
      <c r="E2702" t="s">
        <v>2048</v>
      </c>
      <c r="F2702">
        <v>624950</v>
      </c>
      <c r="G2702">
        <v>2002</v>
      </c>
      <c r="H2702">
        <v>2100</v>
      </c>
      <c r="I2702">
        <v>5100</v>
      </c>
      <c r="J2702">
        <v>3</v>
      </c>
      <c r="K2702">
        <v>2</v>
      </c>
      <c r="M2702" s="2" t="str">
        <f>HYPERLINK("http://maps.live.com/default.aspx?v=2&amp;lvl=15&amp;sp=Point.47.676328_-122.379645_6512 18th Ave NW&amp;cp=47.676328~-122.379645","Map")</f>
        <v>Map</v>
      </c>
      <c r="N2702" s="2" t="str">
        <f>HYPERLINK("http://i-0.rfimg.us/photo/1/bigphoto/649/28048649_1.jpg","Photo")</f>
        <v>Photo</v>
      </c>
      <c r="AG2702">
        <v>47.676327999999998</v>
      </c>
      <c r="AH2702">
        <v>-122.379645</v>
      </c>
      <c r="AI2702" t="s">
        <v>66</v>
      </c>
      <c r="AJ2702">
        <v>98117</v>
      </c>
      <c r="AN2702">
        <v>403000</v>
      </c>
      <c r="BC2702" s="22">
        <v>39528.568483796298</v>
      </c>
      <c r="BI2702" s="7">
        <v>39538</v>
      </c>
      <c r="BL2702">
        <v>12499</v>
      </c>
      <c r="BM2702">
        <v>1578459</v>
      </c>
      <c r="BN2702" t="s">
        <v>1678</v>
      </c>
      <c r="BO2702" s="17">
        <f t="shared" ca="1" si="42"/>
        <v>20.740922222219524</v>
      </c>
      <c r="BP2702" t="b">
        <v>0</v>
      </c>
      <c r="BQ2702">
        <v>1</v>
      </c>
      <c r="BR2702" t="s">
        <v>1667</v>
      </c>
      <c r="BS2702" t="s">
        <v>1909</v>
      </c>
      <c r="BT2702" t="b">
        <v>0</v>
      </c>
      <c r="BV2702" t="s">
        <v>1668</v>
      </c>
      <c r="BW2702">
        <v>6512</v>
      </c>
      <c r="BX2702" t="s">
        <v>1669</v>
      </c>
      <c r="BY2702">
        <v>166732</v>
      </c>
      <c r="BZ2702" t="s">
        <v>1836</v>
      </c>
      <c r="CA2702">
        <v>1</v>
      </c>
      <c r="CB2702" t="b">
        <v>1</v>
      </c>
      <c r="CC2702">
        <v>0</v>
      </c>
      <c r="CD2702" t="b">
        <v>0</v>
      </c>
      <c r="CE2702" t="b">
        <v>1</v>
      </c>
      <c r="CF2702" t="b">
        <v>0</v>
      </c>
      <c r="CG2702">
        <v>2538264</v>
      </c>
      <c r="CH2702" t="s">
        <v>1681</v>
      </c>
      <c r="CI2702" s="10">
        <v>624950</v>
      </c>
      <c r="CJ2702" s="7">
        <v>37869</v>
      </c>
    </row>
    <row r="2703" spans="1:90">
      <c r="A2703">
        <v>28048662</v>
      </c>
      <c r="B2703" s="2" t="str">
        <f>HYPERLINK("http://www.redfin.com/stingray/do/printable-listing?listing-id=1575514","Active")</f>
        <v>Active</v>
      </c>
      <c r="D2703" t="s">
        <v>1058</v>
      </c>
      <c r="E2703" t="s">
        <v>4395</v>
      </c>
      <c r="F2703">
        <v>1250000</v>
      </c>
      <c r="G2703">
        <v>1977</v>
      </c>
      <c r="H2703">
        <v>2970</v>
      </c>
      <c r="I2703">
        <v>27036</v>
      </c>
      <c r="J2703">
        <v>4</v>
      </c>
      <c r="K2703">
        <v>3</v>
      </c>
      <c r="M2703" s="2" t="str">
        <f>HYPERLINK("http://maps.live.com/default.aspx?v=2&amp;lvl=15&amp;sp=Point.47.701151_-122.236022_7836 NE 112th St&amp;cp=47.701151~-122.236022","Map")</f>
        <v>Map</v>
      </c>
      <c r="N2703" s="2" t="str">
        <f>HYPERLINK("http://i-0.rfimg.us/photo/1/bigphoto/662/28048662_0.jpg","Photo")</f>
        <v>Photo</v>
      </c>
      <c r="AG2703">
        <v>47.701151000000003</v>
      </c>
      <c r="AH2703">
        <v>-122.23602200000001</v>
      </c>
      <c r="AI2703" t="s">
        <v>1058</v>
      </c>
      <c r="AJ2703">
        <v>98034</v>
      </c>
      <c r="AN2703">
        <v>420000</v>
      </c>
      <c r="BC2703" s="22">
        <v>39527.614386574074</v>
      </c>
      <c r="BI2703" s="22">
        <v>39549.294907407406</v>
      </c>
      <c r="BL2703">
        <v>25000</v>
      </c>
      <c r="BM2703">
        <v>1575514</v>
      </c>
      <c r="BN2703" t="s">
        <v>2136</v>
      </c>
      <c r="BO2703" s="17">
        <f t="shared" ca="1" si="42"/>
        <v>21.695019328704802</v>
      </c>
      <c r="BP2703" t="b">
        <v>0</v>
      </c>
      <c r="BQ2703">
        <v>1</v>
      </c>
      <c r="BR2703" t="s">
        <v>1686</v>
      </c>
      <c r="BS2703" t="s">
        <v>4382</v>
      </c>
      <c r="BT2703" t="b">
        <v>0</v>
      </c>
      <c r="BU2703" t="s">
        <v>1738</v>
      </c>
      <c r="BV2703" t="s">
        <v>1668</v>
      </c>
      <c r="BW2703">
        <v>7836</v>
      </c>
      <c r="BY2703">
        <v>281395</v>
      </c>
      <c r="BZ2703" t="s">
        <v>1672</v>
      </c>
      <c r="CA2703">
        <v>1</v>
      </c>
      <c r="CB2703" t="b">
        <v>1</v>
      </c>
      <c r="CC2703">
        <v>0</v>
      </c>
      <c r="CD2703" t="b">
        <v>0</v>
      </c>
      <c r="CE2703" t="b">
        <v>0</v>
      </c>
      <c r="CF2703" t="b">
        <v>0</v>
      </c>
      <c r="CG2703">
        <v>2899719</v>
      </c>
      <c r="CH2703" t="s">
        <v>1681</v>
      </c>
      <c r="CI2703" s="10">
        <v>1250000</v>
      </c>
      <c r="CJ2703" s="7">
        <v>37036</v>
      </c>
    </row>
    <row r="2704" spans="1:90">
      <c r="A2704">
        <v>28048698</v>
      </c>
      <c r="B2704" s="2" t="str">
        <f>HYPERLINK("http://www.redfin.com/stingray/do/printable-listing?listing-id=1575642","Active")</f>
        <v>Active</v>
      </c>
      <c r="D2704" t="s">
        <v>3959</v>
      </c>
      <c r="E2704" t="s">
        <v>4198</v>
      </c>
      <c r="F2704">
        <v>385000</v>
      </c>
      <c r="G2704">
        <v>2001</v>
      </c>
      <c r="H2704">
        <v>1260</v>
      </c>
      <c r="I2704">
        <v>1307</v>
      </c>
      <c r="J2704">
        <v>2</v>
      </c>
      <c r="K2704">
        <v>2.5</v>
      </c>
      <c r="M2704" s="2" t="str">
        <f>HYPERLINK("http://maps.live.com/default.aspx?v=2&amp;lvl=15&amp;sp=Point.47.603045_-122.312695_158 15th Ave nA&amp;cp=47.603045~-122.312695","Map")</f>
        <v>Map</v>
      </c>
      <c r="N2704" s="2" t="str">
        <f>HYPERLINK("http://i-0.rfimg.us/photo/1/bigphoto/698/28048698_4.jpg","Photo")</f>
        <v>Photo</v>
      </c>
      <c r="AG2704">
        <v>47.603045000000002</v>
      </c>
      <c r="AH2704">
        <v>-122.31269500000001</v>
      </c>
      <c r="AI2704" t="s">
        <v>66</v>
      </c>
      <c r="AJ2704">
        <v>98122</v>
      </c>
      <c r="AM2704" t="s">
        <v>1722</v>
      </c>
      <c r="BC2704" s="22">
        <v>39527.643194444441</v>
      </c>
      <c r="BI2704" s="22">
        <v>39549.294907407406</v>
      </c>
      <c r="BL2704">
        <v>7700</v>
      </c>
      <c r="BM2704">
        <v>1575642</v>
      </c>
      <c r="BN2704" t="s">
        <v>1812</v>
      </c>
      <c r="BO2704" s="17">
        <f t="shared" ca="1" si="42"/>
        <v>21.666211458337784</v>
      </c>
      <c r="BP2704" t="b">
        <v>0</v>
      </c>
      <c r="BQ2704">
        <v>1</v>
      </c>
      <c r="BR2704" t="s">
        <v>1667</v>
      </c>
      <c r="BS2704" t="s">
        <v>1838</v>
      </c>
      <c r="BT2704" t="b">
        <v>0</v>
      </c>
      <c r="BV2704" t="s">
        <v>1668</v>
      </c>
      <c r="BW2704">
        <v>158</v>
      </c>
      <c r="BY2704">
        <v>12433209</v>
      </c>
      <c r="BZ2704" t="s">
        <v>2015</v>
      </c>
      <c r="CA2704">
        <v>1</v>
      </c>
      <c r="CB2704" t="b">
        <v>1</v>
      </c>
      <c r="CC2704">
        <v>0</v>
      </c>
      <c r="CD2704" t="b">
        <v>0</v>
      </c>
      <c r="CE2704" t="b">
        <v>0</v>
      </c>
      <c r="CF2704" t="b">
        <v>0</v>
      </c>
      <c r="CG2704">
        <v>15636957</v>
      </c>
      <c r="CH2704" t="s">
        <v>1681</v>
      </c>
      <c r="CI2704" s="10">
        <v>385000</v>
      </c>
      <c r="CL2704" s="19" t="s">
        <v>6865</v>
      </c>
    </row>
    <row r="2705" spans="1:88">
      <c r="A2705">
        <v>28048756</v>
      </c>
      <c r="B2705" s="2" t="str">
        <f>HYPERLINK("http://www.redfin.com/stingray/do/printable-listing?listing-id=1575821","Active")</f>
        <v>Active</v>
      </c>
      <c r="D2705" t="s">
        <v>1058</v>
      </c>
      <c r="E2705" t="s">
        <v>4482</v>
      </c>
      <c r="F2705">
        <v>595000</v>
      </c>
      <c r="G2705">
        <v>1962</v>
      </c>
      <c r="H2705">
        <v>2750</v>
      </c>
      <c r="I2705">
        <v>7150</v>
      </c>
      <c r="J2705">
        <v>6</v>
      </c>
      <c r="K2705">
        <v>3</v>
      </c>
      <c r="M2705" s="2" t="str">
        <f>HYPERLINK("http://maps.live.com/default.aspx?v=2&amp;lvl=15&amp;sp=Point.47.720114_-122.206997_10000 NE 133rd Pl&amp;cp=47.720114~-122.206997","Map")</f>
        <v>Map</v>
      </c>
      <c r="N2705" s="2" t="str">
        <f>HYPERLINK("http://i-0.rfimg.us/photo/1/bigphoto/756/28048756_0.jpg","Photo")</f>
        <v>Photo</v>
      </c>
      <c r="AG2705">
        <v>47.720114000000002</v>
      </c>
      <c r="AH2705">
        <v>-122.206997</v>
      </c>
      <c r="AI2705" t="s">
        <v>1058</v>
      </c>
      <c r="AJ2705">
        <v>98037</v>
      </c>
      <c r="AN2705">
        <v>416250</v>
      </c>
      <c r="BC2705" s="22">
        <v>39527.673935185187</v>
      </c>
      <c r="BI2705" s="22">
        <v>39549.294907407406</v>
      </c>
      <c r="BL2705">
        <v>11900</v>
      </c>
      <c r="BM2705">
        <v>1575821</v>
      </c>
      <c r="BN2705" t="s">
        <v>1775</v>
      </c>
      <c r="BO2705" s="17">
        <f t="shared" ca="1" si="42"/>
        <v>21.635470717592398</v>
      </c>
      <c r="BP2705" t="b">
        <v>0</v>
      </c>
      <c r="BQ2705">
        <v>1</v>
      </c>
      <c r="BR2705" t="s">
        <v>1842</v>
      </c>
      <c r="BS2705" t="s">
        <v>4416</v>
      </c>
      <c r="BT2705" t="b">
        <v>0</v>
      </c>
      <c r="BU2705" t="s">
        <v>1738</v>
      </c>
      <c r="BV2705" t="s">
        <v>1668</v>
      </c>
      <c r="BW2705">
        <v>10000</v>
      </c>
      <c r="BY2705">
        <v>456995</v>
      </c>
      <c r="BZ2705" s="21">
        <v>0</v>
      </c>
      <c r="CA2705">
        <v>1</v>
      </c>
      <c r="CB2705" t="b">
        <v>1</v>
      </c>
      <c r="CC2705">
        <v>0</v>
      </c>
      <c r="CD2705" t="b">
        <v>0</v>
      </c>
      <c r="CE2705" t="b">
        <v>0</v>
      </c>
      <c r="CF2705" t="b">
        <v>0</v>
      </c>
      <c r="CG2705">
        <v>2671844</v>
      </c>
      <c r="CH2705" t="s">
        <v>1681</v>
      </c>
      <c r="CI2705" s="10">
        <v>595000</v>
      </c>
      <c r="CJ2705" s="7">
        <v>39213</v>
      </c>
    </row>
    <row r="2706" spans="1:88">
      <c r="A2706">
        <v>28048773</v>
      </c>
      <c r="B2706" s="2" t="str">
        <f>HYPERLINK("http://www.redfin.com/stingray/do/printable-listing?listing-id=1583055","Active")</f>
        <v>Active</v>
      </c>
      <c r="D2706" t="s">
        <v>1058</v>
      </c>
      <c r="E2706" t="s">
        <v>6304</v>
      </c>
      <c r="F2706">
        <v>899990</v>
      </c>
      <c r="G2706">
        <v>2007</v>
      </c>
      <c r="H2706">
        <v>3750</v>
      </c>
      <c r="I2706">
        <v>9037</v>
      </c>
      <c r="J2706">
        <v>3</v>
      </c>
      <c r="K2706">
        <v>2.5</v>
      </c>
      <c r="M2706" s="2" t="str">
        <f>HYPERLINK("http://maps.live.com/default.aspx?v=2&amp;lvl=15&amp;sp=Point.47.703716_-122.192703_11509 111th Pl NE&amp;cp=47.703716~-122.192703","Map")</f>
        <v>Map</v>
      </c>
      <c r="N2706" s="2" t="str">
        <f>HYPERLINK("http://i-0.rfimg.us/photo/1/bigphoto/773/28048773_1.jpg","Photo")</f>
        <v>Photo</v>
      </c>
      <c r="AG2706">
        <v>47.703716</v>
      </c>
      <c r="AH2706">
        <v>-122.19270299999999</v>
      </c>
      <c r="AI2706" t="s">
        <v>1058</v>
      </c>
      <c r="AJ2706">
        <v>98034</v>
      </c>
      <c r="BC2706" s="22">
        <v>39531.558275462965</v>
      </c>
      <c r="BI2706" s="22">
        <v>39549.294907407406</v>
      </c>
      <c r="BL2706">
        <v>18000</v>
      </c>
      <c r="BM2706">
        <v>1583055</v>
      </c>
      <c r="BN2706" t="s">
        <v>1768</v>
      </c>
      <c r="BO2706" s="17">
        <f t="shared" ca="1" si="42"/>
        <v>17.751130439814006</v>
      </c>
      <c r="BP2706" t="b">
        <v>0</v>
      </c>
      <c r="BQ2706">
        <v>1</v>
      </c>
      <c r="BR2706" t="s">
        <v>1842</v>
      </c>
      <c r="BS2706" t="s">
        <v>4388</v>
      </c>
      <c r="BT2706" t="b">
        <v>0</v>
      </c>
      <c r="BV2706" t="s">
        <v>1668</v>
      </c>
      <c r="BW2706">
        <v>11509</v>
      </c>
      <c r="BX2706" t="s">
        <v>1738</v>
      </c>
      <c r="BY2706">
        <v>12385071</v>
      </c>
      <c r="BZ2706" t="s">
        <v>1704</v>
      </c>
      <c r="CA2706">
        <v>1</v>
      </c>
      <c r="CB2706" t="b">
        <v>1</v>
      </c>
      <c r="CC2706">
        <v>0</v>
      </c>
      <c r="CD2706" t="b">
        <v>0</v>
      </c>
      <c r="CE2706" t="b">
        <v>1</v>
      </c>
      <c r="CF2706" t="b">
        <v>0</v>
      </c>
      <c r="CG2706">
        <v>15588819</v>
      </c>
      <c r="CH2706" t="s">
        <v>1681</v>
      </c>
      <c r="CI2706" s="10">
        <v>899990</v>
      </c>
    </row>
    <row r="2707" spans="1:88">
      <c r="A2707">
        <v>28048787</v>
      </c>
      <c r="B2707" s="2" t="str">
        <f>HYPERLINK("http://www.redfin.com/stingray/do/printable-listing?listing-id=1578310","Active")</f>
        <v>Active</v>
      </c>
      <c r="D2707" t="s">
        <v>4663</v>
      </c>
      <c r="E2707" t="s">
        <v>4774</v>
      </c>
      <c r="F2707">
        <v>497000</v>
      </c>
      <c r="G2707">
        <v>1951</v>
      </c>
      <c r="H2707">
        <v>1680</v>
      </c>
      <c r="I2707">
        <v>12894</v>
      </c>
      <c r="J2707">
        <v>3</v>
      </c>
      <c r="K2707">
        <v>1</v>
      </c>
      <c r="M2707" s="2" t="str">
        <f>HYPERLINK("http://maps.live.com/default.aspx?v=2&amp;lvl=15&amp;sp=Point.47.66788_-122.172323_12525 NE 70th St&amp;cp=47.66788~-122.172323","Map")</f>
        <v>Map</v>
      </c>
      <c r="N2707" s="2" t="str">
        <f>HYPERLINK("http://i-0.rfimg.us/photo/1/bigphoto/787/28048787_1.jpg","Photo")</f>
        <v>Photo</v>
      </c>
      <c r="AG2707">
        <v>47.667879999999997</v>
      </c>
      <c r="AH2707">
        <v>-122.17232300000001</v>
      </c>
      <c r="AI2707" t="s">
        <v>1058</v>
      </c>
      <c r="AJ2707">
        <v>98033</v>
      </c>
      <c r="AN2707">
        <v>417990</v>
      </c>
      <c r="BC2707" s="22">
        <v>39528.535995370374</v>
      </c>
      <c r="BI2707" s="22">
        <v>39549.294907407406</v>
      </c>
      <c r="BL2707">
        <v>9940</v>
      </c>
      <c r="BM2707">
        <v>1578310</v>
      </c>
      <c r="BN2707" t="s">
        <v>1735</v>
      </c>
      <c r="BO2707" s="17">
        <f t="shared" ca="1" si="42"/>
        <v>20.773410532405251</v>
      </c>
      <c r="BP2707" t="b">
        <v>0</v>
      </c>
      <c r="BQ2707">
        <v>1</v>
      </c>
      <c r="BR2707" t="s">
        <v>1686</v>
      </c>
      <c r="BS2707" t="s">
        <v>1703</v>
      </c>
      <c r="BT2707" t="b">
        <v>0</v>
      </c>
      <c r="BU2707" t="s">
        <v>1738</v>
      </c>
      <c r="BV2707" t="s">
        <v>1668</v>
      </c>
      <c r="BW2707">
        <v>12525</v>
      </c>
      <c r="BY2707">
        <v>515836</v>
      </c>
      <c r="BZ2707" t="s">
        <v>1677</v>
      </c>
      <c r="CA2707">
        <v>1</v>
      </c>
      <c r="CB2707" t="b">
        <v>1</v>
      </c>
      <c r="CC2707">
        <v>0</v>
      </c>
      <c r="CD2707" t="b">
        <v>0</v>
      </c>
      <c r="CE2707" t="b">
        <v>1</v>
      </c>
      <c r="CF2707" t="b">
        <v>0</v>
      </c>
      <c r="CG2707">
        <v>2669117</v>
      </c>
      <c r="CH2707" t="s">
        <v>1681</v>
      </c>
      <c r="CI2707" s="10">
        <v>497000</v>
      </c>
      <c r="CJ2707" s="7">
        <v>39037</v>
      </c>
    </row>
    <row r="2708" spans="1:88">
      <c r="A2708">
        <v>28048796</v>
      </c>
      <c r="B2708" s="2" t="str">
        <f>HYPERLINK("http://www.redfin.com/stingray/do/printable-listing?listing-id=1578744","Active")</f>
        <v>Active</v>
      </c>
      <c r="D2708" t="s">
        <v>99</v>
      </c>
      <c r="E2708" t="s">
        <v>2010</v>
      </c>
      <c r="F2708">
        <v>389950</v>
      </c>
      <c r="G2708">
        <v>1942</v>
      </c>
      <c r="H2708">
        <v>960</v>
      </c>
      <c r="I2708">
        <v>4920</v>
      </c>
      <c r="J2708">
        <v>3</v>
      </c>
      <c r="K2708">
        <v>1</v>
      </c>
      <c r="M2708" s="2" t="str">
        <f>HYPERLINK("http://maps.live.com/default.aspx?v=2&amp;lvl=15&amp;sp=Point.47.69457_-122.362302_9007 4th Ave NW&amp;cp=47.69457~-122.362302","Map")</f>
        <v>Map</v>
      </c>
      <c r="N2708" s="2" t="str">
        <f>HYPERLINK("http://i-0.rfimg.us/photo/1/bigphoto/796/28048796_1.jpg","Photo")</f>
        <v>Photo</v>
      </c>
      <c r="AG2708">
        <v>47.694569999999999</v>
      </c>
      <c r="AH2708">
        <v>-122.362302</v>
      </c>
      <c r="AI2708" t="s">
        <v>66</v>
      </c>
      <c r="AJ2708">
        <v>98117</v>
      </c>
      <c r="AN2708">
        <v>229950</v>
      </c>
      <c r="BC2708" s="22">
        <v>39528.621967592589</v>
      </c>
      <c r="BI2708" s="22">
        <v>39549.294907407406</v>
      </c>
      <c r="BL2708">
        <v>7799</v>
      </c>
      <c r="BM2708">
        <v>1578744</v>
      </c>
      <c r="BN2708" t="s">
        <v>1735</v>
      </c>
      <c r="BO2708" s="17">
        <f t="shared" ca="1" si="42"/>
        <v>20.687438425928121</v>
      </c>
      <c r="BP2708" t="b">
        <v>0</v>
      </c>
      <c r="BQ2708">
        <v>1</v>
      </c>
      <c r="BR2708" t="s">
        <v>1667</v>
      </c>
      <c r="BS2708" t="s">
        <v>1724</v>
      </c>
      <c r="BT2708" t="b">
        <v>0</v>
      </c>
      <c r="BV2708" t="s">
        <v>1668</v>
      </c>
      <c r="BW2708">
        <v>9007</v>
      </c>
      <c r="BX2708" t="s">
        <v>1669</v>
      </c>
      <c r="BY2708">
        <v>99945</v>
      </c>
      <c r="BZ2708" t="s">
        <v>1748</v>
      </c>
      <c r="CA2708">
        <v>1</v>
      </c>
      <c r="CB2708" t="b">
        <v>1</v>
      </c>
      <c r="CC2708">
        <v>0</v>
      </c>
      <c r="CD2708" t="b">
        <v>0</v>
      </c>
      <c r="CE2708" t="b">
        <v>1</v>
      </c>
      <c r="CF2708" t="b">
        <v>0</v>
      </c>
      <c r="CG2708">
        <v>2484638</v>
      </c>
      <c r="CH2708" t="s">
        <v>1681</v>
      </c>
      <c r="CI2708" s="10">
        <v>389950</v>
      </c>
      <c r="CJ2708" s="7">
        <v>38331</v>
      </c>
    </row>
    <row r="2709" spans="1:88">
      <c r="A2709">
        <v>28048839</v>
      </c>
      <c r="B2709" s="2" t="str">
        <f>HYPERLINK("http://www.redfin.com/stingray/do/printable-listing?listing-id=1576151","Active")</f>
        <v>Active</v>
      </c>
      <c r="D2709" t="s">
        <v>5191</v>
      </c>
      <c r="E2709" t="s">
        <v>5335</v>
      </c>
      <c r="F2709">
        <v>1150000</v>
      </c>
      <c r="G2709">
        <v>1977</v>
      </c>
      <c r="H2709">
        <v>4050</v>
      </c>
      <c r="I2709">
        <v>15232</v>
      </c>
      <c r="J2709">
        <v>5</v>
      </c>
      <c r="K2709">
        <v>3</v>
      </c>
      <c r="M2709" s="2" t="str">
        <f>HYPERLINK("http://maps.live.com/default.aspx?v=2&amp;lvl=15&amp;sp=Point.47.568091_-122.156753_13820 SE 44th St&amp;cp=47.568091~-122.156753","Map")</f>
        <v>Map</v>
      </c>
      <c r="N2709" s="2" t="str">
        <f>HYPERLINK("http://i-0.rfimg.us/photo/1/bigphoto/839/28048839_0.jpg","Photo")</f>
        <v>Photo</v>
      </c>
      <c r="AG2709">
        <v>47.568091000000003</v>
      </c>
      <c r="AH2709">
        <v>-122.15675299999999</v>
      </c>
      <c r="AI2709" t="s">
        <v>369</v>
      </c>
      <c r="AJ2709">
        <v>98006</v>
      </c>
      <c r="BC2709" s="22">
        <v>39527.827893518515</v>
      </c>
      <c r="BI2709" s="22">
        <v>39549.294907407406</v>
      </c>
      <c r="BL2709">
        <v>23000</v>
      </c>
      <c r="BM2709">
        <v>1576151</v>
      </c>
      <c r="BN2709" t="s">
        <v>1775</v>
      </c>
      <c r="BO2709" s="17">
        <f t="shared" ca="1" si="42"/>
        <v>21.481512384263624</v>
      </c>
      <c r="BP2709" t="b">
        <v>0</v>
      </c>
      <c r="BQ2709">
        <v>1</v>
      </c>
      <c r="BR2709" t="s">
        <v>1686</v>
      </c>
      <c r="BS2709" t="s">
        <v>3082</v>
      </c>
      <c r="BT2709" t="b">
        <v>0</v>
      </c>
      <c r="BU2709" t="s">
        <v>3856</v>
      </c>
      <c r="BV2709" t="s">
        <v>1668</v>
      </c>
      <c r="BW2709">
        <v>13820</v>
      </c>
      <c r="BY2709">
        <v>240157</v>
      </c>
      <c r="BZ2709" s="21">
        <v>0</v>
      </c>
      <c r="CA2709">
        <v>1</v>
      </c>
      <c r="CB2709" t="b">
        <v>1</v>
      </c>
      <c r="CC2709">
        <v>0</v>
      </c>
      <c r="CD2709" t="b">
        <v>0</v>
      </c>
      <c r="CE2709" t="b">
        <v>1</v>
      </c>
      <c r="CF2709" t="b">
        <v>0</v>
      </c>
      <c r="CG2709">
        <v>2757484</v>
      </c>
      <c r="CH2709" t="s">
        <v>1681</v>
      </c>
      <c r="CI2709" s="10">
        <v>1150000</v>
      </c>
    </row>
    <row r="2710" spans="1:88">
      <c r="A2710">
        <v>28048841</v>
      </c>
      <c r="B2710" s="2" t="str">
        <f>HYPERLINK("http://www.redfin.com/stingray/do/printable-listing?listing-id=1576137","Active")</f>
        <v>Active</v>
      </c>
      <c r="D2710" t="s">
        <v>3061</v>
      </c>
      <c r="E2710" t="s">
        <v>4437</v>
      </c>
      <c r="F2710">
        <v>525000</v>
      </c>
      <c r="G2710">
        <v>1978</v>
      </c>
      <c r="H2710">
        <v>1830</v>
      </c>
      <c r="I2710">
        <v>7350</v>
      </c>
      <c r="J2710">
        <v>4</v>
      </c>
      <c r="K2710">
        <v>2.25</v>
      </c>
      <c r="M2710" s="2" t="str">
        <f>HYPERLINK("http://maps.live.com/default.aspx?v=2&amp;lvl=15&amp;sp=Point.47.717702_-122.163282_13220 NE 130th Pl&amp;cp=47.717702~-122.163282","Map")</f>
        <v>Map</v>
      </c>
      <c r="N2710" s="2" t="str">
        <f>HYPERLINK("http://i-0.rfimg.us/photo/1/bigphoto/841/28048841_1.jpg","Photo")</f>
        <v>Photo</v>
      </c>
      <c r="AG2710">
        <v>47.717702000000003</v>
      </c>
      <c r="AH2710">
        <v>-122.163282</v>
      </c>
      <c r="AI2710" t="s">
        <v>1058</v>
      </c>
      <c r="AJ2710">
        <v>98034</v>
      </c>
      <c r="BC2710" s="22">
        <v>39527.818020833336</v>
      </c>
      <c r="BI2710" s="22">
        <v>39549.294907407406</v>
      </c>
      <c r="BL2710">
        <v>10500</v>
      </c>
      <c r="BM2710">
        <v>1576137</v>
      </c>
      <c r="BN2710" t="s">
        <v>1674</v>
      </c>
      <c r="BO2710" s="17">
        <f t="shared" ca="1" si="42"/>
        <v>21.491385069442913</v>
      </c>
      <c r="BP2710" t="b">
        <v>0</v>
      </c>
      <c r="BQ2710">
        <v>1</v>
      </c>
      <c r="BR2710" t="s">
        <v>1842</v>
      </c>
      <c r="BS2710" t="s">
        <v>2964</v>
      </c>
      <c r="BT2710" t="b">
        <v>0</v>
      </c>
      <c r="BU2710" t="s">
        <v>1738</v>
      </c>
      <c r="BV2710" t="s">
        <v>1668</v>
      </c>
      <c r="BW2710">
        <v>13220</v>
      </c>
      <c r="BY2710">
        <v>513419</v>
      </c>
      <c r="BZ2710" t="s">
        <v>1781</v>
      </c>
      <c r="CA2710">
        <v>1</v>
      </c>
      <c r="CB2710" t="b">
        <v>1</v>
      </c>
      <c r="CC2710">
        <v>0</v>
      </c>
      <c r="CD2710" t="b">
        <v>0</v>
      </c>
      <c r="CE2710" t="b">
        <v>0</v>
      </c>
      <c r="CF2710" t="b">
        <v>0</v>
      </c>
      <c r="CG2710">
        <v>2815587</v>
      </c>
      <c r="CH2710" t="s">
        <v>1681</v>
      </c>
      <c r="CI2710" s="10">
        <v>525000</v>
      </c>
    </row>
    <row r="2711" spans="1:88">
      <c r="A2711">
        <v>28048863</v>
      </c>
      <c r="B2711" s="2" t="str">
        <f>HYPERLINK("http://www.redfin.com/stingray/do/printable-listing?listing-id=1577642","Active")</f>
        <v>Active</v>
      </c>
      <c r="D2711" t="s">
        <v>4378</v>
      </c>
      <c r="E2711" t="s">
        <v>4377</v>
      </c>
      <c r="F2711">
        <v>1125000</v>
      </c>
      <c r="G2711">
        <v>1936</v>
      </c>
      <c r="H2711">
        <v>1200</v>
      </c>
      <c r="I2711">
        <v>13503</v>
      </c>
      <c r="J2711">
        <v>2</v>
      </c>
      <c r="K2711">
        <v>1.75</v>
      </c>
      <c r="M2711" s="2" t="str">
        <f>HYPERLINK("http://maps.live.com/default.aspx?v=2&amp;lvl=15&amp;sp=Point.47.698639_-122.233061_8185 NE Juanita Dr&amp;cp=47.698639~-122.233061","Map")</f>
        <v>Map</v>
      </c>
      <c r="N2711" s="2" t="str">
        <f>HYPERLINK("http://i-0.rfimg.us/photo/1/bigphoto/863/28048863_1.jpg","Photo")</f>
        <v>Photo</v>
      </c>
      <c r="AG2711">
        <v>47.698639</v>
      </c>
      <c r="AH2711">
        <v>-122.23306100000001</v>
      </c>
      <c r="AI2711" t="s">
        <v>1058</v>
      </c>
      <c r="AJ2711">
        <v>98034</v>
      </c>
      <c r="BC2711" s="22">
        <v>39528.400740740741</v>
      </c>
      <c r="BI2711" s="22">
        <v>39549.294907407406</v>
      </c>
      <c r="BL2711">
        <v>22500</v>
      </c>
      <c r="BM2711">
        <v>1577642</v>
      </c>
      <c r="BN2711" t="s">
        <v>4376</v>
      </c>
      <c r="BO2711" s="17">
        <f t="shared" ca="1" si="42"/>
        <v>20.908665162038233</v>
      </c>
      <c r="BP2711" t="b">
        <v>0</v>
      </c>
      <c r="BQ2711">
        <v>1</v>
      </c>
      <c r="BR2711" t="s">
        <v>1816</v>
      </c>
      <c r="BS2711" t="s">
        <v>2850</v>
      </c>
      <c r="BT2711" t="b">
        <v>0</v>
      </c>
      <c r="BU2711" t="s">
        <v>1738</v>
      </c>
      <c r="BV2711" t="s">
        <v>1668</v>
      </c>
      <c r="BW2711">
        <v>8185</v>
      </c>
      <c r="BY2711">
        <v>281637</v>
      </c>
      <c r="BZ2711" t="s">
        <v>1748</v>
      </c>
      <c r="CA2711">
        <v>1</v>
      </c>
      <c r="CB2711" t="b">
        <v>1</v>
      </c>
      <c r="CC2711">
        <v>0</v>
      </c>
      <c r="CD2711" t="b">
        <v>0</v>
      </c>
      <c r="CE2711" t="b">
        <v>1</v>
      </c>
      <c r="CF2711" t="b">
        <v>0</v>
      </c>
      <c r="CG2711">
        <v>2361039</v>
      </c>
      <c r="CH2711" t="s">
        <v>1681</v>
      </c>
      <c r="CI2711" s="10">
        <v>1125000</v>
      </c>
    </row>
    <row r="2712" spans="1:88">
      <c r="A2712">
        <v>28048872</v>
      </c>
      <c r="B2712" s="2" t="str">
        <f>HYPERLINK("http://www.redfin.com/stingray/do/printable-listing?listing-id=1576332","Active")</f>
        <v>Active</v>
      </c>
      <c r="D2712" t="s">
        <v>3066</v>
      </c>
      <c r="E2712" t="s">
        <v>4698</v>
      </c>
      <c r="F2712">
        <v>569950</v>
      </c>
      <c r="G2712">
        <v>1973</v>
      </c>
      <c r="H2712">
        <v>0</v>
      </c>
      <c r="I2712">
        <v>0</v>
      </c>
      <c r="J2712">
        <v>5</v>
      </c>
      <c r="K2712">
        <v>3.5</v>
      </c>
      <c r="M2712" s="2" t="str">
        <f>HYPERLINK("http://maps.live.com/default.aspx?v=2&amp;lvl=15&amp;sp=Point.47.675783_-122.155766_8010 138th Ave NE&amp;cp=47.675783~-122.155766","Map")</f>
        <v>Map</v>
      </c>
      <c r="N2712" s="2" t="str">
        <f>HYPERLINK("http://i-0.rfimg.us/photo/1/bigphoto/872/28048872_0.jpg","Photo")</f>
        <v>Photo</v>
      </c>
      <c r="AG2712">
        <v>47.675783000000003</v>
      </c>
      <c r="AH2712">
        <v>-122.155766</v>
      </c>
      <c r="AI2712" t="s">
        <v>4363</v>
      </c>
      <c r="AJ2712">
        <v>98052</v>
      </c>
      <c r="AN2712">
        <v>485000</v>
      </c>
      <c r="BC2712" s="22">
        <v>39527.869340277779</v>
      </c>
      <c r="BI2712" s="22">
        <v>39549.294907407406</v>
      </c>
      <c r="BL2712">
        <v>11399</v>
      </c>
      <c r="BM2712">
        <v>1576332</v>
      </c>
      <c r="BN2712" t="s">
        <v>1737</v>
      </c>
      <c r="BO2712" s="17">
        <f t="shared" ca="1" si="42"/>
        <v>21.440065624999988</v>
      </c>
      <c r="BP2712" t="b">
        <v>0</v>
      </c>
      <c r="BQ2712">
        <v>1</v>
      </c>
      <c r="BR2712" t="s">
        <v>1667</v>
      </c>
      <c r="BS2712" t="s">
        <v>4421</v>
      </c>
      <c r="BT2712" t="b">
        <v>0</v>
      </c>
      <c r="BV2712" t="s">
        <v>1668</v>
      </c>
      <c r="BW2712">
        <v>8010</v>
      </c>
      <c r="BX2712" t="s">
        <v>1738</v>
      </c>
      <c r="BY2712">
        <v>514236</v>
      </c>
      <c r="BZ2712" t="s">
        <v>1747</v>
      </c>
      <c r="CA2712">
        <v>1</v>
      </c>
      <c r="CB2712" t="b">
        <v>1</v>
      </c>
      <c r="CC2712">
        <v>0</v>
      </c>
      <c r="CD2712" t="b">
        <v>0</v>
      </c>
      <c r="CE2712" t="b">
        <v>1</v>
      </c>
      <c r="CF2712" t="b">
        <v>0</v>
      </c>
      <c r="CG2712">
        <v>2823976</v>
      </c>
      <c r="CH2712" t="s">
        <v>1681</v>
      </c>
      <c r="CI2712" s="10">
        <v>569950</v>
      </c>
      <c r="CJ2712" s="7">
        <v>38747</v>
      </c>
    </row>
    <row r="2713" spans="1:88">
      <c r="A2713">
        <v>28048882</v>
      </c>
      <c r="B2713" s="2" t="str">
        <f>HYPERLINK("http://www.redfin.com/stingray/do/printable-listing?listing-id=1576369","Active")</f>
        <v>Active</v>
      </c>
      <c r="D2713" t="s">
        <v>3066</v>
      </c>
      <c r="E2713" t="s">
        <v>4688</v>
      </c>
      <c r="F2713">
        <v>998000</v>
      </c>
      <c r="G2713">
        <v>2007</v>
      </c>
      <c r="H2713">
        <v>3236</v>
      </c>
      <c r="I2713">
        <v>7397</v>
      </c>
      <c r="J2713">
        <v>4</v>
      </c>
      <c r="K2713">
        <v>2.75</v>
      </c>
      <c r="M2713" s="2" t="str">
        <f>HYPERLINK("http://maps.live.com/default.aspx?v=2&amp;lvl=15&amp;sp=Point.47.68469_-122.167301_9227 130 Ave NE&amp;cp=47.68469~-122.167301","Map")</f>
        <v>Map</v>
      </c>
      <c r="N2713" s="2" t="str">
        <f>HYPERLINK("http://i-0.rfimg.us/photo/1/bigphoto/882/28048882_1.jpg","Photo")</f>
        <v>Photo</v>
      </c>
      <c r="AG2713">
        <v>47.684690000000003</v>
      </c>
      <c r="AH2713">
        <v>-122.16730099999999</v>
      </c>
      <c r="AI2713" t="s">
        <v>1058</v>
      </c>
      <c r="AJ2713">
        <v>98033</v>
      </c>
      <c r="AN2713">
        <v>935000</v>
      </c>
      <c r="BC2713" s="22">
        <v>39527.900740740741</v>
      </c>
      <c r="BI2713" s="22">
        <v>39549.294907407406</v>
      </c>
      <c r="BL2713">
        <v>19960</v>
      </c>
      <c r="BM2713">
        <v>1576369</v>
      </c>
      <c r="BN2713" t="s">
        <v>1688</v>
      </c>
      <c r="BO2713" s="17">
        <f t="shared" ca="1" si="42"/>
        <v>21.408665162038233</v>
      </c>
      <c r="BP2713" t="b">
        <v>0</v>
      </c>
      <c r="BQ2713">
        <v>1</v>
      </c>
      <c r="BR2713" t="s">
        <v>1667</v>
      </c>
      <c r="BS2713">
        <v>130</v>
      </c>
      <c r="BT2713" t="b">
        <v>0</v>
      </c>
      <c r="BV2713" t="s">
        <v>1668</v>
      </c>
      <c r="BW2713">
        <v>9227</v>
      </c>
      <c r="BX2713" t="s">
        <v>1738</v>
      </c>
      <c r="BY2713">
        <v>511905</v>
      </c>
      <c r="BZ2713" t="s">
        <v>4689</v>
      </c>
      <c r="CA2713">
        <v>1</v>
      </c>
      <c r="CB2713" t="b">
        <v>1</v>
      </c>
      <c r="CC2713">
        <v>0</v>
      </c>
      <c r="CD2713" t="b">
        <v>0</v>
      </c>
      <c r="CE2713" t="b">
        <v>1</v>
      </c>
      <c r="CF2713" t="b">
        <v>0</v>
      </c>
      <c r="CG2713">
        <v>2589821</v>
      </c>
      <c r="CH2713" t="s">
        <v>1681</v>
      </c>
      <c r="CI2713" s="10">
        <v>998000</v>
      </c>
      <c r="CJ2713" s="7">
        <v>38492</v>
      </c>
    </row>
    <row r="2714" spans="1:88">
      <c r="A2714">
        <v>28048889</v>
      </c>
      <c r="B2714" s="2" t="str">
        <f>HYPERLINK("http://www.redfin.com/stingray/do/printable-listing?listing-id=1579273","Active")</f>
        <v>Active</v>
      </c>
      <c r="D2714" t="s">
        <v>5586</v>
      </c>
      <c r="E2714" t="s">
        <v>5585</v>
      </c>
      <c r="F2714">
        <v>749000</v>
      </c>
      <c r="G2714">
        <v>1989</v>
      </c>
      <c r="H2714">
        <v>2700</v>
      </c>
      <c r="I2714">
        <v>15027</v>
      </c>
      <c r="J2714">
        <v>4</v>
      </c>
      <c r="K2714">
        <v>2.5</v>
      </c>
      <c r="M2714" s="2" t="str">
        <f>HYPERLINK("http://maps.live.com/default.aspx?v=2&amp;lvl=15&amp;sp=Point.47.542273_-122.138568_6590 152nd Ave SE&amp;cp=47.542273~-122.138568","Map")</f>
        <v>Map</v>
      </c>
      <c r="N2714" s="2" t="str">
        <f>HYPERLINK("http://i-0.rfimg.us/photo/1/bigphoto/889/28048889_0.jpg","Photo")</f>
        <v>Photo</v>
      </c>
      <c r="AG2714">
        <v>47.542273000000002</v>
      </c>
      <c r="AH2714">
        <v>-122.13856800000001</v>
      </c>
      <c r="AI2714" t="s">
        <v>369</v>
      </c>
      <c r="AJ2714">
        <v>98006</v>
      </c>
      <c r="AN2714">
        <v>729000</v>
      </c>
      <c r="BC2714" s="22">
        <v>39528.848564814813</v>
      </c>
      <c r="BI2714" s="22">
        <v>39549.294907407406</v>
      </c>
      <c r="BL2714">
        <v>14980</v>
      </c>
      <c r="BM2714">
        <v>1579273</v>
      </c>
      <c r="BN2714" t="s">
        <v>1737</v>
      </c>
      <c r="BO2714" s="17">
        <f t="shared" ca="1" si="42"/>
        <v>20.460841087966401</v>
      </c>
      <c r="BP2714" t="b">
        <v>0</v>
      </c>
      <c r="BQ2714">
        <v>1</v>
      </c>
      <c r="BR2714" t="s">
        <v>1667</v>
      </c>
      <c r="BS2714" t="s">
        <v>4752</v>
      </c>
      <c r="BT2714" t="b">
        <v>0</v>
      </c>
      <c r="BV2714" t="s">
        <v>1668</v>
      </c>
      <c r="BW2714">
        <v>6590</v>
      </c>
      <c r="BX2714" t="s">
        <v>3856</v>
      </c>
      <c r="BY2714">
        <v>236980</v>
      </c>
      <c r="BZ2714" t="s">
        <v>1745</v>
      </c>
      <c r="CA2714">
        <v>1</v>
      </c>
      <c r="CB2714" t="b">
        <v>1</v>
      </c>
      <c r="CC2714">
        <v>0</v>
      </c>
      <c r="CD2714" t="b">
        <v>0</v>
      </c>
      <c r="CE2714" t="b">
        <v>1</v>
      </c>
      <c r="CF2714" t="b">
        <v>0</v>
      </c>
      <c r="CG2714">
        <v>2546521</v>
      </c>
      <c r="CH2714" t="s">
        <v>1681</v>
      </c>
      <c r="CI2714" s="10">
        <v>749000</v>
      </c>
      <c r="CJ2714" s="7">
        <v>38603</v>
      </c>
    </row>
    <row r="2715" spans="1:88">
      <c r="A2715">
        <v>28048907</v>
      </c>
      <c r="B2715" s="2" t="str">
        <f>HYPERLINK("http://www.redfin.com/stingray/do/printable-listing?listing-id=1577200","Active")</f>
        <v>Active</v>
      </c>
      <c r="D2715" t="s">
        <v>4611</v>
      </c>
      <c r="E2715" t="s">
        <v>5313</v>
      </c>
      <c r="F2715" s="19">
        <v>434950</v>
      </c>
      <c r="G2715">
        <v>1968</v>
      </c>
      <c r="H2715">
        <v>1522</v>
      </c>
      <c r="I2715">
        <v>7900</v>
      </c>
      <c r="J2715">
        <v>4</v>
      </c>
      <c r="K2715">
        <v>1.75</v>
      </c>
      <c r="M2715" s="2" t="str">
        <f>HYPERLINK("http://maps.live.com/default.aspx?v=2&amp;lvl=15&amp;sp=Point.47.622354_-122.107557_17400 NE 14th St&amp;cp=47.622354~-122.107557","Map")</f>
        <v>Map</v>
      </c>
      <c r="N2715" s="2" t="str">
        <f>HYPERLINK("http://i-0.rfimg.us/photo/1/bigphoto/907/28048907_0.jpg","Photo")</f>
        <v>Photo</v>
      </c>
      <c r="AG2715">
        <v>47.622354000000001</v>
      </c>
      <c r="AH2715">
        <v>-122.107557</v>
      </c>
      <c r="AI2715" t="s">
        <v>369</v>
      </c>
      <c r="AJ2715">
        <v>98008</v>
      </c>
      <c r="AN2715">
        <v>370000</v>
      </c>
      <c r="BC2715" s="22">
        <v>39528.288576388892</v>
      </c>
      <c r="BI2715" s="22">
        <v>39549.294907407406</v>
      </c>
      <c r="BL2715">
        <v>9300</v>
      </c>
      <c r="BM2715">
        <v>1577200</v>
      </c>
      <c r="BN2715" t="s">
        <v>1737</v>
      </c>
      <c r="BO2715" s="17">
        <f t="shared" ca="1" si="42"/>
        <v>21.020829513887293</v>
      </c>
      <c r="BP2715" t="b">
        <v>0</v>
      </c>
      <c r="BQ2715">
        <v>1</v>
      </c>
      <c r="BR2715" t="s">
        <v>1686</v>
      </c>
      <c r="BS2715" t="s">
        <v>1900</v>
      </c>
      <c r="BT2715" t="b">
        <v>0</v>
      </c>
      <c r="BU2715" t="s">
        <v>1738</v>
      </c>
      <c r="BV2715" t="s">
        <v>1668</v>
      </c>
      <c r="BW2715">
        <v>17400</v>
      </c>
      <c r="BY2715">
        <v>504856</v>
      </c>
      <c r="BZ2715" t="s">
        <v>1743</v>
      </c>
      <c r="CA2715">
        <v>1</v>
      </c>
      <c r="CB2715" t="b">
        <v>1</v>
      </c>
      <c r="CC2715">
        <v>0</v>
      </c>
      <c r="CD2715" t="b">
        <v>0</v>
      </c>
      <c r="CE2715" t="b">
        <v>1</v>
      </c>
      <c r="CF2715" t="b">
        <v>0</v>
      </c>
      <c r="CG2715">
        <v>2462951</v>
      </c>
      <c r="CH2715" t="s">
        <v>1681</v>
      </c>
      <c r="CI2715" s="10">
        <v>465000</v>
      </c>
      <c r="CJ2715" s="7">
        <v>38426</v>
      </c>
    </row>
    <row r="2716" spans="1:88">
      <c r="A2716">
        <v>28048922</v>
      </c>
      <c r="B2716" s="2" t="str">
        <f>HYPERLINK("http://www.redfin.com/stingray/do/printable-listing?listing-id=1577321","Active")</f>
        <v>Active</v>
      </c>
      <c r="D2716" t="s">
        <v>3066</v>
      </c>
      <c r="E2716" t="s">
        <v>4699</v>
      </c>
      <c r="F2716">
        <v>724950</v>
      </c>
      <c r="G2716">
        <v>1998</v>
      </c>
      <c r="H2716">
        <v>2800</v>
      </c>
      <c r="I2716">
        <v>8092</v>
      </c>
      <c r="J2716">
        <v>4</v>
      </c>
      <c r="K2716">
        <v>2.5</v>
      </c>
      <c r="M2716" s="2" t="str">
        <f>HYPERLINK("http://maps.live.com/default.aspx?v=2&amp;lvl=15&amp;sp=Point.47.676784_-122.166317_8205 131 Ave NE&amp;cp=47.676784~-122.166317","Map")</f>
        <v>Map</v>
      </c>
      <c r="N2716" s="2" t="str">
        <f>HYPERLINK("http://i-0.rfimg.us/photo/1/bigphoto/922/28048922_1.jpg","Photo")</f>
        <v>Photo</v>
      </c>
      <c r="AG2716">
        <v>47.676783999999998</v>
      </c>
      <c r="AH2716">
        <v>-122.16631700000001</v>
      </c>
      <c r="AI2716" t="s">
        <v>1058</v>
      </c>
      <c r="AJ2716">
        <v>98033</v>
      </c>
      <c r="AN2716">
        <v>485000</v>
      </c>
      <c r="BC2716" s="22">
        <v>39528.33766203704</v>
      </c>
      <c r="BI2716" s="22">
        <v>39549.294907407406</v>
      </c>
      <c r="BL2716">
        <v>14499</v>
      </c>
      <c r="BM2716">
        <v>1577321</v>
      </c>
      <c r="BN2716" t="s">
        <v>2203</v>
      </c>
      <c r="BO2716" s="17">
        <f t="shared" ca="1" si="42"/>
        <v>20.971743865738972</v>
      </c>
      <c r="BP2716" t="b">
        <v>0</v>
      </c>
      <c r="BQ2716">
        <v>1</v>
      </c>
      <c r="BR2716" t="s">
        <v>1667</v>
      </c>
      <c r="BS2716">
        <v>131</v>
      </c>
      <c r="BT2716" t="b">
        <v>0</v>
      </c>
      <c r="BV2716" t="s">
        <v>1668</v>
      </c>
      <c r="BW2716">
        <v>8205</v>
      </c>
      <c r="BX2716" t="s">
        <v>1738</v>
      </c>
      <c r="BY2716">
        <v>516098</v>
      </c>
      <c r="BZ2716" t="s">
        <v>1756</v>
      </c>
      <c r="CA2716">
        <v>1</v>
      </c>
      <c r="CB2716" t="b">
        <v>1</v>
      </c>
      <c r="CC2716">
        <v>0</v>
      </c>
      <c r="CD2716" t="b">
        <v>0</v>
      </c>
      <c r="CE2716" t="b">
        <v>1</v>
      </c>
      <c r="CF2716" t="b">
        <v>0</v>
      </c>
      <c r="CG2716">
        <v>2502781</v>
      </c>
      <c r="CH2716" t="s">
        <v>1681</v>
      </c>
      <c r="CI2716" s="10">
        <v>724950</v>
      </c>
      <c r="CJ2716" s="7">
        <v>37839</v>
      </c>
    </row>
    <row r="2717" spans="1:88">
      <c r="A2717">
        <v>28048941</v>
      </c>
      <c r="B2717" s="2" t="str">
        <f>HYPERLINK("http://www.redfin.com/stingray/do/printable-listing?listing-id=1577344","Active")</f>
        <v>Active</v>
      </c>
      <c r="D2717" t="s">
        <v>3066</v>
      </c>
      <c r="E2717" t="s">
        <v>4778</v>
      </c>
      <c r="F2717" s="19">
        <v>445550</v>
      </c>
      <c r="G2717">
        <v>1967</v>
      </c>
      <c r="H2717">
        <v>2049</v>
      </c>
      <c r="I2717">
        <v>7587</v>
      </c>
      <c r="J2717">
        <v>3</v>
      </c>
      <c r="K2717">
        <v>2.5</v>
      </c>
      <c r="M2717" s="2" t="str">
        <f>HYPERLINK("http://maps.live.com/default.aspx?v=2&amp;lvl=15&amp;sp=Point.47.669487_-122.156496_13705 NE 72nd Pl&amp;cp=47.669487~-122.156496","Map")</f>
        <v>Map</v>
      </c>
      <c r="N2717" s="2" t="str">
        <f>HYPERLINK("http://i-0.rfimg.us/photo/1/bigphoto/941/28048941_0.jpg","Photo")</f>
        <v>Photo</v>
      </c>
      <c r="AG2717">
        <v>47.669486999999997</v>
      </c>
      <c r="AH2717">
        <v>-122.156496</v>
      </c>
      <c r="AI2717" t="s">
        <v>4363</v>
      </c>
      <c r="AJ2717">
        <v>98052</v>
      </c>
      <c r="AN2717">
        <v>370000</v>
      </c>
      <c r="BC2717" s="22">
        <v>39528.348564814813</v>
      </c>
      <c r="BI2717" s="22">
        <v>39549.294907407406</v>
      </c>
      <c r="BL2717">
        <v>9580</v>
      </c>
      <c r="BM2717">
        <v>1577344</v>
      </c>
      <c r="BN2717" t="s">
        <v>1737</v>
      </c>
      <c r="BO2717" s="17">
        <f t="shared" ca="1" si="42"/>
        <v>20.960841087966401</v>
      </c>
      <c r="BP2717" t="b">
        <v>0</v>
      </c>
      <c r="BQ2717">
        <v>1</v>
      </c>
      <c r="BR2717" t="s">
        <v>1842</v>
      </c>
      <c r="BS2717" t="s">
        <v>2632</v>
      </c>
      <c r="BT2717" t="b">
        <v>0</v>
      </c>
      <c r="BU2717" t="s">
        <v>1738</v>
      </c>
      <c r="BV2717" t="s">
        <v>1668</v>
      </c>
      <c r="BW2717">
        <v>13705</v>
      </c>
      <c r="BY2717">
        <v>516374</v>
      </c>
      <c r="BZ2717" t="s">
        <v>1762</v>
      </c>
      <c r="CA2717">
        <v>1</v>
      </c>
      <c r="CB2717" t="b">
        <v>1</v>
      </c>
      <c r="CC2717">
        <v>0</v>
      </c>
      <c r="CD2717" t="b">
        <v>0</v>
      </c>
      <c r="CE2717" t="b">
        <v>1</v>
      </c>
      <c r="CF2717" t="b">
        <v>0</v>
      </c>
      <c r="CG2717">
        <v>2588953</v>
      </c>
      <c r="CH2717" t="s">
        <v>1681</v>
      </c>
      <c r="CI2717" s="10">
        <v>479000</v>
      </c>
      <c r="CJ2717" s="7">
        <v>38442</v>
      </c>
    </row>
    <row r="2718" spans="1:88">
      <c r="A2718">
        <v>28048945</v>
      </c>
      <c r="B2718" s="15" t="str">
        <f>HYPERLINK("http://www.redfin.com/stingray/do/printable-listing?listing-id=1579226","Subject To Inspection")</f>
        <v>Subject To Inspection</v>
      </c>
      <c r="D2718" t="s">
        <v>369</v>
      </c>
      <c r="E2718" t="s">
        <v>5246</v>
      </c>
      <c r="F2718">
        <v>479900</v>
      </c>
      <c r="G2718">
        <v>1960</v>
      </c>
      <c r="H2718">
        <v>1843</v>
      </c>
      <c r="I2718">
        <v>6600</v>
      </c>
      <c r="J2718">
        <v>4</v>
      </c>
      <c r="K2718">
        <v>1.75</v>
      </c>
      <c r="M2718" s="2" t="str">
        <f>HYPERLINK("http://maps.live.com/default.aspx?v=2&amp;lvl=15&amp;sp=Point.47.606052_-122.135183_15426 SE 4th Pl&amp;cp=47.606052~-122.135183","Map")</f>
        <v>Map</v>
      </c>
      <c r="N2718" s="2" t="str">
        <f>HYPERLINK("http://i-0.rfimg.us/photo/1/bigphoto/945/28048945_0.jpg","Photo")</f>
        <v>Photo</v>
      </c>
      <c r="AG2718">
        <v>47.606051999999998</v>
      </c>
      <c r="AH2718">
        <v>-122.135183</v>
      </c>
      <c r="AI2718" t="s">
        <v>369</v>
      </c>
      <c r="AJ2718">
        <v>98007</v>
      </c>
      <c r="AN2718">
        <v>165000</v>
      </c>
      <c r="BC2718" s="22">
        <v>39528.797500000001</v>
      </c>
      <c r="BI2718" s="7">
        <v>39542</v>
      </c>
      <c r="BL2718">
        <v>9598</v>
      </c>
      <c r="BM2718">
        <v>1579226</v>
      </c>
      <c r="BN2718" t="s">
        <v>1768</v>
      </c>
      <c r="BO2718" s="17">
        <f t="shared" ca="1" si="42"/>
        <v>20.511905902778381</v>
      </c>
      <c r="BP2718" t="b">
        <v>0</v>
      </c>
      <c r="BQ2718">
        <v>1</v>
      </c>
      <c r="BR2718" t="s">
        <v>1842</v>
      </c>
      <c r="BS2718" t="s">
        <v>1724</v>
      </c>
      <c r="BT2718" t="b">
        <v>0</v>
      </c>
      <c r="BU2718" t="s">
        <v>3856</v>
      </c>
      <c r="BV2718" t="s">
        <v>1668</v>
      </c>
      <c r="BW2718">
        <v>15426</v>
      </c>
      <c r="BY2718">
        <v>426563</v>
      </c>
      <c r="BZ2718" t="s">
        <v>1672</v>
      </c>
      <c r="CA2718">
        <v>1</v>
      </c>
      <c r="CB2718" t="b">
        <v>1</v>
      </c>
      <c r="CC2718">
        <v>0</v>
      </c>
      <c r="CD2718" t="b">
        <v>0</v>
      </c>
      <c r="CE2718" t="b">
        <v>1</v>
      </c>
      <c r="CF2718" t="b">
        <v>0</v>
      </c>
      <c r="CG2718">
        <v>2388737</v>
      </c>
      <c r="CH2718" t="s">
        <v>1681</v>
      </c>
      <c r="CI2718" s="10">
        <v>479900</v>
      </c>
      <c r="CJ2718" s="7">
        <v>38918</v>
      </c>
    </row>
    <row r="2719" spans="1:88">
      <c r="A2719">
        <v>28048985</v>
      </c>
      <c r="B2719" s="2" t="str">
        <f>HYPERLINK("http://www.redfin.com/stingray/do/printable-listing?listing-id=1577595","Active")</f>
        <v>Active</v>
      </c>
      <c r="D2719" t="s">
        <v>63</v>
      </c>
      <c r="E2719" t="s">
        <v>2050</v>
      </c>
      <c r="F2719">
        <v>1975000</v>
      </c>
      <c r="G2719">
        <v>1964</v>
      </c>
      <c r="H2719">
        <v>0</v>
      </c>
      <c r="I2719">
        <v>0</v>
      </c>
      <c r="J2719">
        <v>0</v>
      </c>
      <c r="K2719">
        <v>0</v>
      </c>
      <c r="M2719" s="2" t="str">
        <f>HYPERLINK("http://maps.live.com/default.aspx?v=2&amp;lvl=15&amp;sp=Point.47.680668_-122.385195_7002 23rd Ave NW&amp;cp=47.680668~-122.385195","Map")</f>
        <v>Map</v>
      </c>
      <c r="N2719" s="2" t="str">
        <f>HYPERLINK("http://i-0.rfimg.us/photo/1/bigphoto/985/28048985_0.jpg","Photo")</f>
        <v>Photo</v>
      </c>
      <c r="AG2719">
        <v>47.680667999999997</v>
      </c>
      <c r="AH2719">
        <v>-122.385195</v>
      </c>
      <c r="AI2719" t="s">
        <v>66</v>
      </c>
      <c r="AJ2719">
        <v>98117</v>
      </c>
      <c r="BC2719" s="22">
        <v>39528.390115740738</v>
      </c>
      <c r="BI2719" s="22">
        <v>39549.294907407406</v>
      </c>
      <c r="BL2719">
        <v>39500</v>
      </c>
      <c r="BM2719">
        <v>1577595</v>
      </c>
      <c r="BN2719" t="s">
        <v>2049</v>
      </c>
      <c r="BO2719" s="17">
        <f t="shared" ca="1" si="42"/>
        <v>20.91929027777951</v>
      </c>
      <c r="BP2719" t="b">
        <v>0</v>
      </c>
      <c r="BQ2719">
        <v>1</v>
      </c>
      <c r="BR2719" t="s">
        <v>1667</v>
      </c>
      <c r="BS2719" t="s">
        <v>1839</v>
      </c>
      <c r="BT2719" t="b">
        <v>0</v>
      </c>
      <c r="BV2719" t="s">
        <v>1668</v>
      </c>
      <c r="BW2719">
        <v>7002</v>
      </c>
      <c r="BX2719" t="s">
        <v>1669</v>
      </c>
      <c r="BY2719">
        <v>12433444</v>
      </c>
      <c r="BZ2719" s="21">
        <v>0</v>
      </c>
      <c r="CA2719">
        <v>1</v>
      </c>
      <c r="CB2719" t="b">
        <v>1</v>
      </c>
      <c r="CC2719">
        <v>0</v>
      </c>
      <c r="CD2719" t="b">
        <v>0</v>
      </c>
      <c r="CE2719" t="b">
        <v>1</v>
      </c>
      <c r="CF2719" t="b">
        <v>0</v>
      </c>
      <c r="CG2719">
        <v>15637192</v>
      </c>
      <c r="CH2719" t="s">
        <v>1681</v>
      </c>
      <c r="CI2719" s="10">
        <v>1975000</v>
      </c>
    </row>
    <row r="2720" spans="1:88">
      <c r="A2720">
        <v>28048992</v>
      </c>
      <c r="B2720" s="2" t="str">
        <f>HYPERLINK("http://www.redfin.com/stingray/do/printable-listing?listing-id=1577690","Active")</f>
        <v>Active</v>
      </c>
      <c r="D2720" t="s">
        <v>4401</v>
      </c>
      <c r="E2720" t="s">
        <v>4438</v>
      </c>
      <c r="F2720">
        <v>375000</v>
      </c>
      <c r="G2720">
        <v>1965</v>
      </c>
      <c r="H2720">
        <v>3600</v>
      </c>
      <c r="I2720">
        <v>8960</v>
      </c>
      <c r="J2720">
        <v>7</v>
      </c>
      <c r="K2720">
        <v>3</v>
      </c>
      <c r="M2720" s="2" t="str">
        <f>HYPERLINK("http://maps.live.com/default.aspx?v=2&amp;lvl=15&amp;sp=Point.47.724797_-122.188498_13839 115th Ave NE&amp;cp=47.724797~-122.188498","Map")</f>
        <v>Map</v>
      </c>
      <c r="N2720" s="2" t="str">
        <f>HYPERLINK("http://i-0.rfimg.us/photo/1/bigphoto/992/28048992_1.jpg","Photo")</f>
        <v>Photo</v>
      </c>
      <c r="AG2720">
        <v>47.724797000000002</v>
      </c>
      <c r="AH2720">
        <v>-122.188498</v>
      </c>
      <c r="AI2720" t="s">
        <v>1058</v>
      </c>
      <c r="AJ2720">
        <v>98034</v>
      </c>
      <c r="AN2720">
        <v>383476</v>
      </c>
      <c r="BC2720" s="22">
        <v>39528.410995370374</v>
      </c>
      <c r="BI2720" s="7">
        <v>39539</v>
      </c>
      <c r="BL2720">
        <v>7500</v>
      </c>
      <c r="BM2720">
        <v>1577690</v>
      </c>
      <c r="BN2720" t="s">
        <v>1768</v>
      </c>
      <c r="BO2720" s="17">
        <f t="shared" ca="1" si="42"/>
        <v>20.898410532405251</v>
      </c>
      <c r="BP2720" t="b">
        <v>0</v>
      </c>
      <c r="BQ2720">
        <v>1</v>
      </c>
      <c r="BR2720" t="s">
        <v>1667</v>
      </c>
      <c r="BS2720" t="s">
        <v>4439</v>
      </c>
      <c r="BT2720" t="b">
        <v>0</v>
      </c>
      <c r="BV2720" t="s">
        <v>1668</v>
      </c>
      <c r="BW2720">
        <v>13839</v>
      </c>
      <c r="BX2720" t="s">
        <v>1738</v>
      </c>
      <c r="BY2720">
        <v>453974</v>
      </c>
      <c r="BZ2720" t="s">
        <v>3670</v>
      </c>
      <c r="CA2720">
        <v>1</v>
      </c>
      <c r="CB2720" t="b">
        <v>1</v>
      </c>
      <c r="CC2720">
        <v>0</v>
      </c>
      <c r="CD2720" t="b">
        <v>1</v>
      </c>
      <c r="CE2720" t="b">
        <v>1</v>
      </c>
      <c r="CF2720" t="b">
        <v>0</v>
      </c>
      <c r="CG2720">
        <v>2677088</v>
      </c>
      <c r="CH2720" t="s">
        <v>1681</v>
      </c>
      <c r="CI2720" s="10">
        <v>375000</v>
      </c>
      <c r="CJ2720" s="7">
        <v>39489</v>
      </c>
    </row>
    <row r="2721" spans="1:88">
      <c r="A2721">
        <v>28048993</v>
      </c>
      <c r="B2721" s="2" t="str">
        <f>HYPERLINK("http://www.redfin.com/stingray/do/printable-listing?listing-id=1577645","Contingent")</f>
        <v>Contingent</v>
      </c>
      <c r="D2721" t="s">
        <v>4611</v>
      </c>
      <c r="E2721" t="s">
        <v>4645</v>
      </c>
      <c r="F2721" s="19">
        <v>829950</v>
      </c>
      <c r="G2721">
        <v>2008</v>
      </c>
      <c r="H2721">
        <v>3144</v>
      </c>
      <c r="I2721">
        <v>0</v>
      </c>
      <c r="J2721">
        <v>4</v>
      </c>
      <c r="K2721">
        <v>2.5</v>
      </c>
      <c r="M2721" s="2" t="str">
        <f>HYPERLINK("http://maps.live.com/default.aspx?v=2&amp;lvl=15&amp;sp=adr.7239 NE 145th Ct NE (Unable to map),98052","Map")</f>
        <v>Map</v>
      </c>
      <c r="N2721" s="2" t="str">
        <f>HYPERLINK("http://i-0.rfimg.us/photo/1/bigphoto/993/28048993_0.jpg","Photo")</f>
        <v>Photo</v>
      </c>
      <c r="AI2721" t="s">
        <v>4363</v>
      </c>
      <c r="AJ2721">
        <v>98052</v>
      </c>
      <c r="BC2721" s="22">
        <v>39528.400763888887</v>
      </c>
      <c r="BI2721" s="22">
        <v>39549.294907407406</v>
      </c>
      <c r="BL2721">
        <v>16439</v>
      </c>
      <c r="BM2721">
        <v>1577645</v>
      </c>
      <c r="BN2721" t="s">
        <v>1688</v>
      </c>
      <c r="BO2721" s="17">
        <f t="shared" ca="1" si="42"/>
        <v>20.908642013891949</v>
      </c>
      <c r="BP2721" t="b">
        <v>0</v>
      </c>
      <c r="BQ2721">
        <v>2</v>
      </c>
      <c r="BR2721" t="s">
        <v>3768</v>
      </c>
      <c r="BS2721" t="s">
        <v>4646</v>
      </c>
      <c r="BT2721" t="b">
        <v>0</v>
      </c>
      <c r="BU2721" t="s">
        <v>1738</v>
      </c>
      <c r="BV2721" t="s">
        <v>1668</v>
      </c>
      <c r="BW2721">
        <v>7239</v>
      </c>
      <c r="BX2721" t="s">
        <v>1738</v>
      </c>
      <c r="BY2721">
        <v>0</v>
      </c>
      <c r="BZ2721" s="21">
        <v>0</v>
      </c>
      <c r="CA2721">
        <v>1</v>
      </c>
      <c r="CB2721" t="b">
        <v>1</v>
      </c>
      <c r="CC2721">
        <v>0</v>
      </c>
      <c r="CD2721" t="b">
        <v>0</v>
      </c>
      <c r="CE2721" t="b">
        <v>1</v>
      </c>
      <c r="CF2721" t="b">
        <v>0</v>
      </c>
      <c r="CG2721" t="s">
        <v>1870</v>
      </c>
      <c r="CH2721" t="s">
        <v>1681</v>
      </c>
      <c r="CI2721" s="10">
        <v>821950</v>
      </c>
    </row>
    <row r="2722" spans="1:88">
      <c r="A2722">
        <v>28048994</v>
      </c>
      <c r="B2722" s="2" t="str">
        <f>HYPERLINK("http://www.redfin.com/stingray/do/printable-listing?listing-id=1577641","Active")</f>
        <v>Active</v>
      </c>
      <c r="D2722" t="s">
        <v>4378</v>
      </c>
      <c r="E2722" t="s">
        <v>4399</v>
      </c>
      <c r="F2722">
        <v>1100000</v>
      </c>
      <c r="G2722">
        <v>1984</v>
      </c>
      <c r="H2722">
        <v>3100</v>
      </c>
      <c r="I2722">
        <v>14248</v>
      </c>
      <c r="J2722">
        <v>4</v>
      </c>
      <c r="K2722">
        <v>3.5</v>
      </c>
      <c r="M2722" s="2" t="str">
        <f>HYPERLINK("http://maps.live.com/default.aspx?v=2&amp;lvl=15&amp;sp=Point.47.701255_-122.227258_8533 NE Juanita Dr&amp;cp=47.701255~-122.227258","Map")</f>
        <v>Map</v>
      </c>
      <c r="N2722" s="2" t="str">
        <f>HYPERLINK("http://i-0.rfimg.us/photo/1/bigphoto/994/28048994_1.jpg","Photo")</f>
        <v>Photo</v>
      </c>
      <c r="AG2722">
        <v>47.701255000000003</v>
      </c>
      <c r="AH2722">
        <v>-122.22725800000001</v>
      </c>
      <c r="AI2722" t="s">
        <v>1058</v>
      </c>
      <c r="AJ2722">
        <v>98034</v>
      </c>
      <c r="AN2722">
        <v>227500</v>
      </c>
      <c r="BC2722" s="22">
        <v>39528.400729166664</v>
      </c>
      <c r="BI2722" s="22">
        <v>39549.294907407406</v>
      </c>
      <c r="BL2722">
        <v>22000</v>
      </c>
      <c r="BM2722">
        <v>1577641</v>
      </c>
      <c r="BN2722" t="s">
        <v>1674</v>
      </c>
      <c r="BO2722" s="17">
        <f t="shared" ca="1" si="42"/>
        <v>20.908676736115012</v>
      </c>
      <c r="BP2722" t="b">
        <v>0</v>
      </c>
      <c r="BQ2722">
        <v>1</v>
      </c>
      <c r="BR2722" t="s">
        <v>1816</v>
      </c>
      <c r="BS2722" t="s">
        <v>2850</v>
      </c>
      <c r="BT2722" t="b">
        <v>0</v>
      </c>
      <c r="BU2722" t="s">
        <v>1738</v>
      </c>
      <c r="BV2722" t="s">
        <v>1668</v>
      </c>
      <c r="BW2722">
        <v>8533</v>
      </c>
      <c r="BY2722">
        <v>280369</v>
      </c>
      <c r="BZ2722" t="s">
        <v>1709</v>
      </c>
      <c r="CA2722">
        <v>1</v>
      </c>
      <c r="CB2722" t="b">
        <v>1</v>
      </c>
      <c r="CC2722">
        <v>0</v>
      </c>
      <c r="CD2722" t="b">
        <v>0</v>
      </c>
      <c r="CE2722" t="b">
        <v>1</v>
      </c>
      <c r="CF2722" t="b">
        <v>0</v>
      </c>
      <c r="CG2722">
        <v>2602968</v>
      </c>
      <c r="CH2722" t="s">
        <v>1681</v>
      </c>
      <c r="CI2722" s="10">
        <v>1100000</v>
      </c>
      <c r="CJ2722" s="7">
        <v>34152</v>
      </c>
    </row>
    <row r="2723" spans="1:88">
      <c r="A2723">
        <v>28049010</v>
      </c>
      <c r="B2723" s="15" t="str">
        <f>HYPERLINK("http://www.redfin.com/stingray/do/printable-listing?listing-id=1578052","Subject To Inspection")</f>
        <v>Subject To Inspection</v>
      </c>
      <c r="D2723" t="s">
        <v>2845</v>
      </c>
      <c r="E2723" t="s">
        <v>2844</v>
      </c>
      <c r="F2723">
        <v>900000</v>
      </c>
      <c r="G2723">
        <v>1985</v>
      </c>
      <c r="H2723">
        <v>3330</v>
      </c>
      <c r="I2723">
        <v>10753</v>
      </c>
      <c r="J2723">
        <v>3</v>
      </c>
      <c r="K2723">
        <v>2.5</v>
      </c>
      <c r="M2723" s="2" t="str">
        <f>HYPERLINK("http://maps.live.com/default.aspx?v=2&amp;lvl=15&amp;sp=Point.47.693548_-122.279177_4560 NE 89th St&amp;cp=47.693548~-122.279177","Map")</f>
        <v>Map</v>
      </c>
      <c r="N2723" s="2" t="str">
        <f>HYPERLINK("http://i-0.rfimg.us/photo/1/bigphoto/010/28049010_0.jpg","Photo")</f>
        <v>Photo</v>
      </c>
      <c r="AG2723">
        <v>47.693548</v>
      </c>
      <c r="AH2723">
        <v>-122.279177</v>
      </c>
      <c r="AI2723" t="s">
        <v>66</v>
      </c>
      <c r="AJ2723">
        <v>98115</v>
      </c>
      <c r="AN2723">
        <v>299000</v>
      </c>
      <c r="BC2723" s="22">
        <v>39528.495335648149</v>
      </c>
      <c r="BI2723" s="22">
        <v>39546.925937499997</v>
      </c>
      <c r="BL2723">
        <v>18000</v>
      </c>
      <c r="BM2723">
        <v>1578052</v>
      </c>
      <c r="BN2723" t="s">
        <v>1674</v>
      </c>
      <c r="BO2723" s="17">
        <f t="shared" ca="1" si="42"/>
        <v>20.814070254629769</v>
      </c>
      <c r="BP2723" t="b">
        <v>0</v>
      </c>
      <c r="BQ2723">
        <v>1</v>
      </c>
      <c r="BR2723" t="s">
        <v>1686</v>
      </c>
      <c r="BS2723" t="s">
        <v>2741</v>
      </c>
      <c r="BT2723" t="b">
        <v>0</v>
      </c>
      <c r="BU2723" t="s">
        <v>1738</v>
      </c>
      <c r="BV2723" t="s">
        <v>1668</v>
      </c>
      <c r="BW2723">
        <v>4560</v>
      </c>
      <c r="BY2723">
        <v>321237</v>
      </c>
      <c r="BZ2723" t="s">
        <v>1670</v>
      </c>
      <c r="CA2723">
        <v>1</v>
      </c>
      <c r="CB2723" t="b">
        <v>1</v>
      </c>
      <c r="CC2723">
        <v>0</v>
      </c>
      <c r="CD2723" t="b">
        <v>0</v>
      </c>
      <c r="CE2723" t="b">
        <v>1</v>
      </c>
      <c r="CF2723" t="b">
        <v>0</v>
      </c>
      <c r="CG2723">
        <v>2643619</v>
      </c>
      <c r="CH2723" t="s">
        <v>1681</v>
      </c>
      <c r="CI2723" s="10">
        <v>900000</v>
      </c>
      <c r="CJ2723" s="7">
        <v>31548</v>
      </c>
    </row>
    <row r="2724" spans="1:88">
      <c r="A2724">
        <v>28049018</v>
      </c>
      <c r="B2724" s="2" t="str">
        <f>HYPERLINK("http://www.redfin.com/stingray/do/printable-listing?listing-id=1585042","Active")</f>
        <v>Active</v>
      </c>
      <c r="D2724" t="s">
        <v>3071</v>
      </c>
      <c r="E2724" t="s">
        <v>6408</v>
      </c>
      <c r="F2724">
        <v>535000</v>
      </c>
      <c r="G2724">
        <v>1975</v>
      </c>
      <c r="H2724">
        <v>2260</v>
      </c>
      <c r="I2724">
        <v>8214</v>
      </c>
      <c r="J2724">
        <v>4</v>
      </c>
      <c r="K2724">
        <v>2.75</v>
      </c>
      <c r="M2724" s="2" t="str">
        <f>HYPERLINK("http://maps.live.com/default.aspx?v=2&amp;lvl=15&amp;sp=Point.47.721574_-122.215852_9316 NE 136th St&amp;cp=47.721574~-122.215852","Map")</f>
        <v>Map</v>
      </c>
      <c r="N2724" s="2" t="str">
        <f>HYPERLINK("http://i-0.rfimg.us/photo/1/bigphoto/018/28049018_0.jpg","Photo")</f>
        <v>Photo</v>
      </c>
      <c r="AG2724">
        <v>47.721573999999997</v>
      </c>
      <c r="AH2724">
        <v>-122.215852</v>
      </c>
      <c r="AI2724" t="s">
        <v>1058</v>
      </c>
      <c r="AJ2724">
        <v>98034</v>
      </c>
      <c r="AN2724">
        <v>440000</v>
      </c>
      <c r="BC2724" s="22">
        <v>39532.275150462963</v>
      </c>
      <c r="BI2724" s="22">
        <v>39549.294907407406</v>
      </c>
      <c r="BL2724">
        <v>10700</v>
      </c>
      <c r="BM2724">
        <v>1585042</v>
      </c>
      <c r="BN2724" t="s">
        <v>1725</v>
      </c>
      <c r="BO2724" s="17">
        <f t="shared" ca="1" si="42"/>
        <v>17.034255439815752</v>
      </c>
      <c r="BP2724" t="b">
        <v>0</v>
      </c>
      <c r="BQ2724">
        <v>1</v>
      </c>
      <c r="BR2724" t="s">
        <v>1686</v>
      </c>
      <c r="BS2724" t="s">
        <v>4403</v>
      </c>
      <c r="BT2724" t="b">
        <v>0</v>
      </c>
      <c r="BU2724" t="s">
        <v>1738</v>
      </c>
      <c r="BV2724" t="s">
        <v>1668</v>
      </c>
      <c r="BW2724">
        <v>9316</v>
      </c>
      <c r="BY2724">
        <v>278393</v>
      </c>
      <c r="BZ2724" t="s">
        <v>1672</v>
      </c>
      <c r="CA2724">
        <v>1</v>
      </c>
      <c r="CB2724" t="b">
        <v>1</v>
      </c>
      <c r="CC2724">
        <v>0</v>
      </c>
      <c r="CD2724" t="b">
        <v>0</v>
      </c>
      <c r="CE2724" t="b">
        <v>1</v>
      </c>
      <c r="CF2724" t="b">
        <v>0</v>
      </c>
      <c r="CG2724">
        <v>2942695</v>
      </c>
      <c r="CH2724" t="s">
        <v>1681</v>
      </c>
      <c r="CI2724" s="10">
        <v>535000</v>
      </c>
      <c r="CJ2724" s="7">
        <v>38756</v>
      </c>
    </row>
    <row r="2725" spans="1:88">
      <c r="A2725">
        <v>28049020</v>
      </c>
      <c r="B2725" s="2" t="str">
        <f>HYPERLINK("http://www.redfin.com/stingray/do/printable-listing?listing-id=1578778","Active")</f>
        <v>Active</v>
      </c>
      <c r="D2725" t="s">
        <v>5490</v>
      </c>
      <c r="E2725" t="s">
        <v>5908</v>
      </c>
      <c r="F2725" s="19">
        <v>1099988</v>
      </c>
      <c r="G2725">
        <v>2005</v>
      </c>
      <c r="H2725">
        <v>0</v>
      </c>
      <c r="I2725">
        <v>7789</v>
      </c>
      <c r="J2725">
        <v>4</v>
      </c>
      <c r="K2725">
        <v>3.75</v>
      </c>
      <c r="M2725" s="2" t="str">
        <f>HYPERLINK("http://maps.live.com/default.aspx?v=2&amp;lvl=15&amp;sp=Point.47.539727724336_-122.11920648216_16620 SE 70th St&amp;cp=47.539727724336~-122.11920648216","Map")</f>
        <v>Map</v>
      </c>
      <c r="N2725" s="2" t="str">
        <f>HYPERLINK("http://i-0.rfimg.us/photo/1/bigphoto/020/28049020_2.jpg","Photo")</f>
        <v>Photo</v>
      </c>
      <c r="AG2725">
        <v>47.539727724335997</v>
      </c>
      <c r="AH2725">
        <v>-122.11920648216</v>
      </c>
      <c r="AI2725" t="s">
        <v>369</v>
      </c>
      <c r="AJ2725">
        <v>98006</v>
      </c>
      <c r="AN2725">
        <v>914990</v>
      </c>
      <c r="BC2725" s="22">
        <v>39528.63144675926</v>
      </c>
      <c r="BI2725" s="22">
        <v>39549.294907407406</v>
      </c>
      <c r="BL2725">
        <v>21999</v>
      </c>
      <c r="BM2725">
        <v>1578778</v>
      </c>
      <c r="BN2725" t="s">
        <v>1737</v>
      </c>
      <c r="BO2725" s="17">
        <f t="shared" ca="1" si="42"/>
        <v>20.677959143518819</v>
      </c>
      <c r="BP2725" t="b">
        <v>0</v>
      </c>
      <c r="BQ2725">
        <v>1</v>
      </c>
      <c r="BR2725" t="s">
        <v>1686</v>
      </c>
      <c r="BS2725" t="s">
        <v>1703</v>
      </c>
      <c r="BT2725" t="b">
        <v>0</v>
      </c>
      <c r="BU2725" t="s">
        <v>3856</v>
      </c>
      <c r="BV2725" t="s">
        <v>1668</v>
      </c>
      <c r="BW2725">
        <v>16620</v>
      </c>
      <c r="BY2725">
        <v>2072903</v>
      </c>
      <c r="BZ2725" t="s">
        <v>5909</v>
      </c>
      <c r="CA2725">
        <v>1</v>
      </c>
      <c r="CB2725" t="b">
        <v>1</v>
      </c>
      <c r="CC2725">
        <v>0</v>
      </c>
      <c r="CD2725" t="b">
        <v>0</v>
      </c>
      <c r="CE2725" t="b">
        <v>1</v>
      </c>
      <c r="CF2725" t="b">
        <v>0</v>
      </c>
      <c r="CG2725">
        <v>2579391</v>
      </c>
      <c r="CH2725" t="s">
        <v>1681</v>
      </c>
      <c r="CI2725" s="10">
        <v>1099950</v>
      </c>
      <c r="CJ2725" s="7">
        <v>38744</v>
      </c>
    </row>
    <row r="2726" spans="1:88">
      <c r="A2726">
        <v>28049027</v>
      </c>
      <c r="B2726" s="2" t="str">
        <f>HYPERLINK("http://www.redfin.com/stingray/do/printable-listing?listing-id=1577727","Active")</f>
        <v>Active</v>
      </c>
      <c r="D2726" t="s">
        <v>2552</v>
      </c>
      <c r="E2726" t="s">
        <v>3370</v>
      </c>
      <c r="F2726">
        <v>1197000</v>
      </c>
      <c r="G2726">
        <v>1937</v>
      </c>
      <c r="H2726">
        <v>2470</v>
      </c>
      <c r="I2726">
        <v>4815</v>
      </c>
      <c r="J2726">
        <v>4</v>
      </c>
      <c r="K2726">
        <v>1.75</v>
      </c>
      <c r="M2726" s="2" t="str">
        <f>HYPERLINK("http://maps.live.com/default.aspx?v=2&amp;lvl=15&amp;sp=Point.47.641684_-122.410517_2471 42nd Ave W&amp;cp=47.641684~-122.410517","Map")</f>
        <v>Map</v>
      </c>
      <c r="N2726" s="2" t="str">
        <f>HYPERLINK("http://i-0.rfimg.us/photo/1/bigphoto/027/28049027_.jpg","Photo")</f>
        <v>Photo</v>
      </c>
      <c r="AG2726">
        <v>47.641683999999998</v>
      </c>
      <c r="AH2726">
        <v>-122.410517</v>
      </c>
      <c r="AI2726" t="s">
        <v>66</v>
      </c>
      <c r="AJ2726">
        <v>98199</v>
      </c>
      <c r="BC2726" s="22">
        <v>39528.422858796293</v>
      </c>
      <c r="BI2726" s="22">
        <v>39549.294907407406</v>
      </c>
      <c r="BL2726">
        <v>23940</v>
      </c>
      <c r="BM2726">
        <v>1577727</v>
      </c>
      <c r="BN2726" t="s">
        <v>1678</v>
      </c>
      <c r="BO2726" s="17">
        <f t="shared" ca="1" si="42"/>
        <v>20.886547106485523</v>
      </c>
      <c r="BP2726" t="b">
        <v>0</v>
      </c>
      <c r="BQ2726">
        <v>1</v>
      </c>
      <c r="BR2726" t="s">
        <v>1667</v>
      </c>
      <c r="BS2726" t="s">
        <v>3371</v>
      </c>
      <c r="BT2726" t="b">
        <v>0</v>
      </c>
      <c r="BV2726" t="s">
        <v>1668</v>
      </c>
      <c r="BW2726">
        <v>2471</v>
      </c>
      <c r="BX2726" t="s">
        <v>2423</v>
      </c>
      <c r="BY2726">
        <v>126396</v>
      </c>
      <c r="BZ2726" t="s">
        <v>1672</v>
      </c>
      <c r="CA2726">
        <v>1</v>
      </c>
      <c r="CB2726" t="b">
        <v>1</v>
      </c>
      <c r="CC2726">
        <v>0</v>
      </c>
      <c r="CD2726" t="b">
        <v>1</v>
      </c>
      <c r="CE2726" t="b">
        <v>1</v>
      </c>
      <c r="CF2726" t="b">
        <v>0</v>
      </c>
      <c r="CG2726">
        <v>2860409</v>
      </c>
      <c r="CH2726" t="s">
        <v>1681</v>
      </c>
      <c r="CI2726" s="10">
        <v>1197000</v>
      </c>
    </row>
    <row r="2727" spans="1:88">
      <c r="A2727">
        <v>28049030</v>
      </c>
      <c r="B2727" s="2" t="str">
        <f>HYPERLINK("http://www.redfin.com/stingray/do/printable-listing?listing-id=1577733","Active")</f>
        <v>Active</v>
      </c>
      <c r="D2727" t="s">
        <v>100</v>
      </c>
      <c r="E2727" t="s">
        <v>3353</v>
      </c>
      <c r="F2727">
        <v>425000</v>
      </c>
      <c r="G2727">
        <v>1900</v>
      </c>
      <c r="H2727">
        <v>1278</v>
      </c>
      <c r="I2727">
        <v>0</v>
      </c>
      <c r="J2727">
        <v>3</v>
      </c>
      <c r="K2727">
        <v>1</v>
      </c>
      <c r="M2727" s="2" t="str">
        <f>HYPERLINK("http://maps.live.com/default.aspx?v=2&amp;lvl=15&amp;sp=Point.47.659437_-122.349633_716 N 43rd St&amp;cp=47.659437~-122.349633","Map")</f>
        <v>Map</v>
      </c>
      <c r="N2727" s="2" t="str">
        <f>HYPERLINK("http://i-0.rfimg.us/photo/1/bigphoto/030/28049030_0.jpg","Photo")</f>
        <v>Photo</v>
      </c>
      <c r="AG2727">
        <v>47.659436999999997</v>
      </c>
      <c r="AH2727">
        <v>-122.349633</v>
      </c>
      <c r="AI2727" t="s">
        <v>66</v>
      </c>
      <c r="AJ2727">
        <v>98103</v>
      </c>
      <c r="BC2727" s="22">
        <v>39528.422974537039</v>
      </c>
      <c r="BI2727" s="22">
        <v>39549.294907407406</v>
      </c>
      <c r="BL2727">
        <v>8500</v>
      </c>
      <c r="BM2727">
        <v>1577733</v>
      </c>
      <c r="BN2727" t="s">
        <v>3171</v>
      </c>
      <c r="BO2727" s="17">
        <f t="shared" ca="1" si="42"/>
        <v>20.886431365739554</v>
      </c>
      <c r="BP2727" t="b">
        <v>0</v>
      </c>
      <c r="BQ2727">
        <v>1</v>
      </c>
      <c r="BR2727" t="s">
        <v>1686</v>
      </c>
      <c r="BS2727" t="s">
        <v>3134</v>
      </c>
      <c r="BT2727" t="b">
        <v>0</v>
      </c>
      <c r="BU2727" t="s">
        <v>1712</v>
      </c>
      <c r="BV2727" t="s">
        <v>1668</v>
      </c>
      <c r="BW2727">
        <v>716</v>
      </c>
      <c r="BY2727">
        <v>2093784</v>
      </c>
      <c r="BZ2727" t="s">
        <v>1701</v>
      </c>
      <c r="CA2727">
        <v>1</v>
      </c>
      <c r="CB2727" t="b">
        <v>1</v>
      </c>
      <c r="CC2727">
        <v>0</v>
      </c>
      <c r="CD2727" t="b">
        <v>0</v>
      </c>
      <c r="CE2727" t="b">
        <v>1</v>
      </c>
      <c r="CF2727" t="b">
        <v>0</v>
      </c>
      <c r="CG2727">
        <v>2947293</v>
      </c>
      <c r="CH2727" t="s">
        <v>1681</v>
      </c>
      <c r="CI2727" s="10">
        <v>425000</v>
      </c>
    </row>
    <row r="2728" spans="1:88">
      <c r="A2728">
        <v>28049124</v>
      </c>
      <c r="B2728" s="2" t="str">
        <f>HYPERLINK("http://www.redfin.com/stingray/do/printable-listing?listing-id=1577916","Active")</f>
        <v>Active</v>
      </c>
      <c r="D2728" t="s">
        <v>190</v>
      </c>
      <c r="E2728" t="s">
        <v>3169</v>
      </c>
      <c r="F2728" s="19">
        <v>249000</v>
      </c>
      <c r="G2728">
        <v>1900</v>
      </c>
      <c r="H2728">
        <v>510</v>
      </c>
      <c r="I2728">
        <v>2368</v>
      </c>
      <c r="J2728">
        <v>1</v>
      </c>
      <c r="K2728">
        <v>1</v>
      </c>
      <c r="M2728" s="2" t="str">
        <f>HYPERLINK("http://maps.live.com/default.aspx?v=2&amp;lvl=15&amp;sp=Point.47.679682_-122.312274_7009 15th Ave NE&amp;cp=47.679682~-122.312274","Map")</f>
        <v>Map</v>
      </c>
      <c r="N2728" s="2" t="str">
        <f>HYPERLINK("http://i-0.rfimg.us/photo/1/bigphoto/124/28049124_0.jpg","Photo")</f>
        <v>Photo</v>
      </c>
      <c r="AG2728">
        <v>47.679682</v>
      </c>
      <c r="AH2728">
        <v>-122.312274</v>
      </c>
      <c r="AI2728" t="s">
        <v>66</v>
      </c>
      <c r="AJ2728">
        <v>98115</v>
      </c>
      <c r="BC2728" s="22">
        <v>39528.463738425926</v>
      </c>
      <c r="BI2728" s="22">
        <v>39549.294907407406</v>
      </c>
      <c r="BL2728">
        <v>5070</v>
      </c>
      <c r="BM2728">
        <v>1577916</v>
      </c>
      <c r="BN2728" t="s">
        <v>1939</v>
      </c>
      <c r="BO2728" s="17">
        <f t="shared" ca="1" si="42"/>
        <v>20.845667476853123</v>
      </c>
      <c r="BP2728" t="b">
        <v>0</v>
      </c>
      <c r="BQ2728">
        <v>1</v>
      </c>
      <c r="BR2728" t="s">
        <v>1667</v>
      </c>
      <c r="BS2728" t="s">
        <v>1838</v>
      </c>
      <c r="BT2728" t="b">
        <v>0</v>
      </c>
      <c r="BV2728" t="s">
        <v>1668</v>
      </c>
      <c r="BW2728">
        <v>7009</v>
      </c>
      <c r="BX2728" t="s">
        <v>1738</v>
      </c>
      <c r="BY2728">
        <v>310780</v>
      </c>
      <c r="BZ2728" t="s">
        <v>1684</v>
      </c>
      <c r="CA2728">
        <v>1</v>
      </c>
      <c r="CB2728" t="b">
        <v>1</v>
      </c>
      <c r="CC2728">
        <v>0</v>
      </c>
      <c r="CD2728" t="b">
        <v>1</v>
      </c>
      <c r="CE2728" t="b">
        <v>1</v>
      </c>
      <c r="CF2728" t="b">
        <v>0</v>
      </c>
      <c r="CG2728">
        <v>2478923</v>
      </c>
      <c r="CH2728" t="s">
        <v>1681</v>
      </c>
      <c r="CI2728" s="10">
        <v>269000</v>
      </c>
    </row>
    <row r="2729" spans="1:88">
      <c r="A2729">
        <v>28049174</v>
      </c>
      <c r="B2729" s="2" t="str">
        <f>HYPERLINK("http://www.redfin.com/stingray/do/printable-listing?listing-id=1578081","Active")</f>
        <v>Active</v>
      </c>
      <c r="D2729" t="s">
        <v>4611</v>
      </c>
      <c r="E2729" t="s">
        <v>4933</v>
      </c>
      <c r="F2729">
        <v>625000</v>
      </c>
      <c r="G2729">
        <v>1982</v>
      </c>
      <c r="H2729">
        <v>2460</v>
      </c>
      <c r="I2729">
        <v>7002</v>
      </c>
      <c r="J2729">
        <v>4</v>
      </c>
      <c r="K2729">
        <v>2</v>
      </c>
      <c r="M2729" s="2" t="str">
        <f>HYPERLINK("http://maps.live.com/default.aspx?v=2&amp;lvl=15&amp;sp=Point.47.663215_-122.1528_14009 NE 63rd Ct&amp;cp=47.663215~-122.1528","Map")</f>
        <v>Map</v>
      </c>
      <c r="N2729" s="2" t="str">
        <f>HYPERLINK("http://i-0.rfimg.us/photo/1/bigphoto/174/28049174_0.jpg","Photo")</f>
        <v>Photo</v>
      </c>
      <c r="AG2729">
        <v>47.663215000000001</v>
      </c>
      <c r="AH2729">
        <v>-122.1528</v>
      </c>
      <c r="AI2729" t="s">
        <v>4363</v>
      </c>
      <c r="AJ2729">
        <v>98052</v>
      </c>
      <c r="AN2729">
        <v>119950</v>
      </c>
      <c r="BC2729" s="22">
        <v>39528.506261574075</v>
      </c>
      <c r="BI2729" s="22">
        <v>39549.294907407406</v>
      </c>
      <c r="BL2729">
        <v>12500</v>
      </c>
      <c r="BM2729">
        <v>1578081</v>
      </c>
      <c r="BN2729" t="s">
        <v>1674</v>
      </c>
      <c r="BO2729" s="17">
        <f t="shared" ca="1" si="42"/>
        <v>20.803144328703638</v>
      </c>
      <c r="BP2729" t="b">
        <v>0</v>
      </c>
      <c r="BQ2729">
        <v>1</v>
      </c>
      <c r="BR2729" t="s">
        <v>3768</v>
      </c>
      <c r="BS2729" t="s">
        <v>2529</v>
      </c>
      <c r="BT2729" t="b">
        <v>0</v>
      </c>
      <c r="BU2729" t="s">
        <v>1738</v>
      </c>
      <c r="BV2729" t="s">
        <v>1668</v>
      </c>
      <c r="BW2729">
        <v>14009</v>
      </c>
      <c r="BY2729">
        <v>516814</v>
      </c>
      <c r="BZ2729" t="s">
        <v>1672</v>
      </c>
      <c r="CA2729">
        <v>1</v>
      </c>
      <c r="CB2729" t="b">
        <v>1</v>
      </c>
      <c r="CC2729">
        <v>0</v>
      </c>
      <c r="CD2729" t="b">
        <v>0</v>
      </c>
      <c r="CE2729" t="b">
        <v>1</v>
      </c>
      <c r="CF2729" t="b">
        <v>0</v>
      </c>
      <c r="CG2729">
        <v>2558062</v>
      </c>
      <c r="CH2729" t="s">
        <v>1681</v>
      </c>
      <c r="CI2729" s="10">
        <v>625000</v>
      </c>
      <c r="CJ2729" s="7">
        <v>30582</v>
      </c>
    </row>
    <row r="2730" spans="1:88">
      <c r="A2730">
        <v>28049188</v>
      </c>
      <c r="B2730" s="2" t="str">
        <f>HYPERLINK("http://www.redfin.com/stingray/do/printable-listing?listing-id=1578088","Active")</f>
        <v>Active</v>
      </c>
      <c r="D2730" t="s">
        <v>4777</v>
      </c>
      <c r="E2730" t="s">
        <v>4775</v>
      </c>
      <c r="F2730">
        <v>765950</v>
      </c>
      <c r="G2730">
        <v>1989</v>
      </c>
      <c r="H2730">
        <v>2500</v>
      </c>
      <c r="I2730">
        <v>7083</v>
      </c>
      <c r="J2730">
        <v>4</v>
      </c>
      <c r="K2730">
        <v>2.5</v>
      </c>
      <c r="M2730" s="2" t="str">
        <f>HYPERLINK("http://maps.live.com/default.aspx?v=2&amp;lvl=15&amp;sp=Point.47.66953_-122.191998_929 6th Pl S&amp;cp=47.66953~-122.191998","Map")</f>
        <v>Map</v>
      </c>
      <c r="N2730" s="2" t="str">
        <f>HYPERLINK("http://i-0.rfimg.us/photo/1/bigphoto/188/28049188_2.jpg","Photo")</f>
        <v>Photo</v>
      </c>
      <c r="AG2730">
        <v>47.669530000000002</v>
      </c>
      <c r="AH2730">
        <v>-122.191998</v>
      </c>
      <c r="AI2730" t="s">
        <v>1058</v>
      </c>
      <c r="AJ2730">
        <v>98033</v>
      </c>
      <c r="AN2730">
        <v>194000</v>
      </c>
      <c r="BC2730" s="22">
        <v>39528.506354166668</v>
      </c>
      <c r="BI2730" s="22">
        <v>39549.294907407406</v>
      </c>
      <c r="BL2730">
        <v>15319</v>
      </c>
      <c r="BM2730">
        <v>1578088</v>
      </c>
      <c r="BN2730" t="s">
        <v>4149</v>
      </c>
      <c r="BO2730" s="17">
        <f t="shared" ca="1" si="42"/>
        <v>20.803051736111229</v>
      </c>
      <c r="BP2730" t="b">
        <v>0</v>
      </c>
      <c r="BQ2730">
        <v>1</v>
      </c>
      <c r="BR2730" t="s">
        <v>1842</v>
      </c>
      <c r="BS2730" t="s">
        <v>1739</v>
      </c>
      <c r="BT2730" t="b">
        <v>0</v>
      </c>
      <c r="BV2730" t="s">
        <v>1668</v>
      </c>
      <c r="BW2730">
        <v>929</v>
      </c>
      <c r="BX2730" t="s">
        <v>1881</v>
      </c>
      <c r="BY2730">
        <v>461544</v>
      </c>
      <c r="BZ2730" t="s">
        <v>4776</v>
      </c>
      <c r="CA2730">
        <v>1</v>
      </c>
      <c r="CB2730" t="b">
        <v>1</v>
      </c>
      <c r="CC2730">
        <v>0</v>
      </c>
      <c r="CD2730" t="b">
        <v>0</v>
      </c>
      <c r="CE2730" t="b">
        <v>1</v>
      </c>
      <c r="CF2730" t="b">
        <v>0</v>
      </c>
      <c r="CG2730">
        <v>2627139</v>
      </c>
      <c r="CH2730" t="s">
        <v>1681</v>
      </c>
      <c r="CI2730" s="10">
        <v>765950</v>
      </c>
      <c r="CJ2730" s="7">
        <v>33417</v>
      </c>
    </row>
    <row r="2731" spans="1:88">
      <c r="A2731">
        <v>28049193</v>
      </c>
      <c r="B2731" s="15" t="str">
        <f>HYPERLINK("http://www.redfin.com/stingray/do/printable-listing?listing-id=1584063","Subject To Inspection")</f>
        <v>Subject To Inspection</v>
      </c>
      <c r="D2731" t="s">
        <v>5191</v>
      </c>
      <c r="E2731" t="s">
        <v>6315</v>
      </c>
      <c r="F2731">
        <v>925000</v>
      </c>
      <c r="G2731">
        <v>1985</v>
      </c>
      <c r="H2731">
        <v>4020</v>
      </c>
      <c r="I2731">
        <v>9453</v>
      </c>
      <c r="J2731">
        <v>3</v>
      </c>
      <c r="K2731">
        <v>2.5</v>
      </c>
      <c r="M2731" s="2" t="str">
        <f>HYPERLINK("http://maps.live.com/default.aspx?v=2&amp;lvl=15&amp;sp=Point.47.551545_-122.143452_14755 SE 56th St&amp;cp=47.551545~-122.143452","Map")</f>
        <v>Map</v>
      </c>
      <c r="N2731" s="2" t="str">
        <f>HYPERLINK("http://i-0.rfimg.us/photo/1/bigphoto/193/28049193_4.jpg","Photo")</f>
        <v>Photo</v>
      </c>
      <c r="AG2731">
        <v>47.551544999999997</v>
      </c>
      <c r="AH2731">
        <v>-122.143452</v>
      </c>
      <c r="AI2731" t="s">
        <v>369</v>
      </c>
      <c r="AJ2731">
        <v>98006</v>
      </c>
      <c r="AN2731">
        <v>691950</v>
      </c>
      <c r="BC2731" s="22">
        <v>39531.807083333333</v>
      </c>
      <c r="BI2731" s="22">
        <v>39549.294907407406</v>
      </c>
      <c r="BL2731">
        <v>18500</v>
      </c>
      <c r="BM2731">
        <v>1584063</v>
      </c>
      <c r="BN2731" t="s">
        <v>1768</v>
      </c>
      <c r="BO2731" s="17">
        <f t="shared" ca="1" si="42"/>
        <v>17.502322569445823</v>
      </c>
      <c r="BP2731" t="b">
        <v>0</v>
      </c>
      <c r="BQ2731">
        <v>1</v>
      </c>
      <c r="BR2731" t="s">
        <v>1686</v>
      </c>
      <c r="BS2731" t="s">
        <v>2467</v>
      </c>
      <c r="BT2731" t="b">
        <v>0</v>
      </c>
      <c r="BU2731" t="s">
        <v>3856</v>
      </c>
      <c r="BV2731" t="s">
        <v>1668</v>
      </c>
      <c r="BW2731">
        <v>14755</v>
      </c>
      <c r="BY2731">
        <v>239218</v>
      </c>
      <c r="BZ2731" t="s">
        <v>6316</v>
      </c>
      <c r="CA2731">
        <v>1</v>
      </c>
      <c r="CB2731" t="b">
        <v>1</v>
      </c>
      <c r="CC2731">
        <v>0</v>
      </c>
      <c r="CD2731" t="b">
        <v>0</v>
      </c>
      <c r="CE2731" t="b">
        <v>1</v>
      </c>
      <c r="CF2731" t="b">
        <v>0</v>
      </c>
      <c r="CG2731">
        <v>2350083</v>
      </c>
      <c r="CH2731" t="s">
        <v>1681</v>
      </c>
      <c r="CI2731" s="10">
        <v>925000</v>
      </c>
      <c r="CJ2731" s="7">
        <v>37938</v>
      </c>
    </row>
    <row r="2732" spans="1:88">
      <c r="A2732">
        <v>28049205</v>
      </c>
      <c r="B2732" s="2" t="str">
        <f>HYPERLINK("http://www.redfin.com/stingray/do/printable-listing?listing-id=1578701","Active")</f>
        <v>Active</v>
      </c>
      <c r="D2732" t="s">
        <v>3885</v>
      </c>
      <c r="E2732" t="s">
        <v>5689</v>
      </c>
      <c r="F2732">
        <v>749950</v>
      </c>
      <c r="G2732">
        <v>2003</v>
      </c>
      <c r="H2732">
        <v>3350</v>
      </c>
      <c r="I2732">
        <v>6289</v>
      </c>
      <c r="J2732">
        <v>4</v>
      </c>
      <c r="K2732">
        <v>3</v>
      </c>
      <c r="M2732" s="2" t="str">
        <f>HYPERLINK("http://maps.live.com/default.aspx?v=2&amp;lvl=15&amp;sp=Point.47.536162_-122.156778_7419 137 Pl SE&amp;cp=47.536162~-122.156778","Map")</f>
        <v>Map</v>
      </c>
      <c r="N2732" s="2" t="str">
        <f>HYPERLINK("http://i-0.rfimg.us/photo/1/bigphoto/205/28049205_1.jpg","Photo")</f>
        <v>Photo</v>
      </c>
      <c r="AG2732">
        <v>47.536161999999997</v>
      </c>
      <c r="AH2732">
        <v>-122.156778</v>
      </c>
      <c r="AI2732" t="s">
        <v>3885</v>
      </c>
      <c r="AJ2732">
        <v>98059</v>
      </c>
      <c r="AN2732">
        <v>569950</v>
      </c>
      <c r="BC2732" s="22">
        <v>39528.611041666663</v>
      </c>
      <c r="BI2732" s="22">
        <v>39549.294907407406</v>
      </c>
      <c r="BL2732">
        <v>14999</v>
      </c>
      <c r="BM2732">
        <v>1578701</v>
      </c>
      <c r="BN2732" t="s">
        <v>1688</v>
      </c>
      <c r="BO2732" s="17">
        <f t="shared" ca="1" si="42"/>
        <v>20.698364236115594</v>
      </c>
      <c r="BP2732" t="b">
        <v>0</v>
      </c>
      <c r="BQ2732">
        <v>1</v>
      </c>
      <c r="BR2732" t="s">
        <v>1842</v>
      </c>
      <c r="BS2732">
        <v>137</v>
      </c>
      <c r="BT2732" t="b">
        <v>0</v>
      </c>
      <c r="BV2732" t="s">
        <v>1668</v>
      </c>
      <c r="BW2732">
        <v>7419</v>
      </c>
      <c r="BX2732" t="s">
        <v>3856</v>
      </c>
      <c r="BY2732">
        <v>413799</v>
      </c>
      <c r="BZ2732" t="s">
        <v>5690</v>
      </c>
      <c r="CA2732">
        <v>1</v>
      </c>
      <c r="CB2732" t="b">
        <v>1</v>
      </c>
      <c r="CC2732">
        <v>0</v>
      </c>
      <c r="CD2732" t="b">
        <v>0</v>
      </c>
      <c r="CE2732" t="b">
        <v>1</v>
      </c>
      <c r="CF2732" t="b">
        <v>0</v>
      </c>
      <c r="CG2732">
        <v>2826866</v>
      </c>
      <c r="CH2732" t="s">
        <v>1681</v>
      </c>
      <c r="CI2732" s="10">
        <v>749950</v>
      </c>
      <c r="CJ2732" s="7">
        <v>37833</v>
      </c>
    </row>
    <row r="2733" spans="1:88">
      <c r="A2733">
        <v>28049252</v>
      </c>
      <c r="B2733" s="15" t="str">
        <f>HYPERLINK("http://www.redfin.com/stingray/do/printable-listing?listing-id=1578346","Subject To Inspection")</f>
        <v>Subject To Inspection</v>
      </c>
      <c r="D2733" t="s">
        <v>207</v>
      </c>
      <c r="E2733" t="s">
        <v>3132</v>
      </c>
      <c r="F2733">
        <v>649000</v>
      </c>
      <c r="G2733">
        <v>1987</v>
      </c>
      <c r="H2733">
        <v>1700</v>
      </c>
      <c r="I2733">
        <v>5393</v>
      </c>
      <c r="J2733">
        <v>3</v>
      </c>
      <c r="K2733">
        <v>2.25</v>
      </c>
      <c r="M2733" s="2" t="str">
        <f>HYPERLINK("http://maps.live.com/default.aspx?v=2&amp;lvl=15&amp;sp=Point.47.664413_-122.288344_4831 37th Ave NE&amp;cp=47.664413~-122.288344","Map")</f>
        <v>Map</v>
      </c>
      <c r="N2733" s="2" t="str">
        <f>HYPERLINK("http://i-0.rfimg.us/photo/1/bigphoto/252/28049252_0.jpg","Photo")</f>
        <v>Photo</v>
      </c>
      <c r="AG2733">
        <v>47.664413000000003</v>
      </c>
      <c r="AH2733">
        <v>-122.288344</v>
      </c>
      <c r="AI2733" t="s">
        <v>66</v>
      </c>
      <c r="AJ2733">
        <v>98105</v>
      </c>
      <c r="AN2733">
        <v>74110</v>
      </c>
      <c r="BC2733" s="22">
        <v>39528.546817129631</v>
      </c>
      <c r="BI2733" s="7">
        <v>39541</v>
      </c>
      <c r="BL2733">
        <v>12980</v>
      </c>
      <c r="BM2733">
        <v>1578346</v>
      </c>
      <c r="BN2733" t="s">
        <v>1710</v>
      </c>
      <c r="BO2733" s="17">
        <f t="shared" ca="1" si="42"/>
        <v>20.762588773148309</v>
      </c>
      <c r="BP2733" t="b">
        <v>0</v>
      </c>
      <c r="BQ2733">
        <v>1</v>
      </c>
      <c r="BR2733" t="s">
        <v>1667</v>
      </c>
      <c r="BS2733" t="s">
        <v>2192</v>
      </c>
      <c r="BT2733" t="b">
        <v>0</v>
      </c>
      <c r="BV2733" t="s">
        <v>1668</v>
      </c>
      <c r="BW2733">
        <v>4831</v>
      </c>
      <c r="BX2733" t="s">
        <v>1738</v>
      </c>
      <c r="BY2733">
        <v>313676</v>
      </c>
      <c r="BZ2733" t="s">
        <v>1925</v>
      </c>
      <c r="CA2733">
        <v>1</v>
      </c>
      <c r="CB2733" t="b">
        <v>1</v>
      </c>
      <c r="CC2733">
        <v>0</v>
      </c>
      <c r="CD2733" t="b">
        <v>0</v>
      </c>
      <c r="CE2733" t="b">
        <v>1</v>
      </c>
      <c r="CF2733" t="b">
        <v>0</v>
      </c>
      <c r="CG2733">
        <v>2647015</v>
      </c>
      <c r="CH2733" t="s">
        <v>1681</v>
      </c>
      <c r="CI2733" s="10">
        <v>649000</v>
      </c>
      <c r="CJ2733" s="7">
        <v>36713</v>
      </c>
    </row>
    <row r="2734" spans="1:88">
      <c r="A2734">
        <v>28049281</v>
      </c>
      <c r="B2734" s="2" t="str">
        <f>HYPERLINK("http://www.redfin.com/stingray/do/printable-listing?listing-id=1578467","Active")</f>
        <v>Active</v>
      </c>
      <c r="D2734" t="s">
        <v>63</v>
      </c>
      <c r="E2734" t="s">
        <v>2542</v>
      </c>
      <c r="F2734">
        <v>550000</v>
      </c>
      <c r="G2734">
        <v>1900</v>
      </c>
      <c r="H2734">
        <v>2010</v>
      </c>
      <c r="I2734">
        <v>3900</v>
      </c>
      <c r="J2734">
        <v>3</v>
      </c>
      <c r="K2734">
        <v>1.75</v>
      </c>
      <c r="M2734" s="2" t="str">
        <f>HYPERLINK("http://maps.live.com/default.aspx?v=2&amp;lvl=15&amp;sp=Point.47.671062_-122.37859_1552 NW 58 St&amp;cp=47.671062~-122.37859","Map")</f>
        <v>Map</v>
      </c>
      <c r="N2734" s="2" t="str">
        <f>HYPERLINK("http://i-0.rfimg.us/photo/1/bigphoto/281/28049281_0.jpg","Photo")</f>
        <v>Photo</v>
      </c>
      <c r="AG2734">
        <v>47.671061999999999</v>
      </c>
      <c r="AH2734">
        <v>-122.37859</v>
      </c>
      <c r="AI2734" t="s">
        <v>66</v>
      </c>
      <c r="AJ2734">
        <v>98107</v>
      </c>
      <c r="AN2734">
        <v>173630</v>
      </c>
      <c r="BC2734" s="22">
        <v>39528.56858796296</v>
      </c>
      <c r="BI2734" s="22">
        <v>39545.917314814818</v>
      </c>
      <c r="BL2734">
        <v>11000</v>
      </c>
      <c r="BM2734">
        <v>1578467</v>
      </c>
      <c r="BN2734" t="s">
        <v>1718</v>
      </c>
      <c r="BO2734" s="17">
        <f t="shared" ca="1" si="42"/>
        <v>20.740818055557611</v>
      </c>
      <c r="BP2734" t="b">
        <v>0</v>
      </c>
      <c r="BQ2734">
        <v>1</v>
      </c>
      <c r="BR2734" t="s">
        <v>1686</v>
      </c>
      <c r="BS2734">
        <v>58</v>
      </c>
      <c r="BT2734" t="b">
        <v>0</v>
      </c>
      <c r="BU2734" t="s">
        <v>1669</v>
      </c>
      <c r="BV2734" t="s">
        <v>1668</v>
      </c>
      <c r="BW2734">
        <v>1552</v>
      </c>
      <c r="BY2734">
        <v>493671</v>
      </c>
      <c r="BZ2734" s="21">
        <v>0</v>
      </c>
      <c r="CA2734">
        <v>1</v>
      </c>
      <c r="CB2734" t="b">
        <v>1</v>
      </c>
      <c r="CC2734">
        <v>0</v>
      </c>
      <c r="CD2734" t="b">
        <v>0</v>
      </c>
      <c r="CE2734" t="b">
        <v>1</v>
      </c>
      <c r="CF2734" t="b">
        <v>0</v>
      </c>
      <c r="CG2734">
        <v>2644264</v>
      </c>
      <c r="CH2734" t="s">
        <v>1681</v>
      </c>
      <c r="CI2734" s="10">
        <v>550000</v>
      </c>
      <c r="CJ2734" s="7">
        <v>35913</v>
      </c>
    </row>
    <row r="2735" spans="1:88">
      <c r="A2735">
        <v>28049295</v>
      </c>
      <c r="B2735" s="2" t="str">
        <f>HYPERLINK("http://www.redfin.com/stingray/do/printable-listing?listing-id=1578460","Active")</f>
        <v>Active</v>
      </c>
      <c r="D2735" t="s">
        <v>5204</v>
      </c>
      <c r="E2735" t="s">
        <v>5242</v>
      </c>
      <c r="F2735">
        <v>549900</v>
      </c>
      <c r="G2735">
        <v>1958</v>
      </c>
      <c r="H2735">
        <v>2500</v>
      </c>
      <c r="I2735">
        <v>7488</v>
      </c>
      <c r="J2735">
        <v>4</v>
      </c>
      <c r="K2735">
        <v>2.5</v>
      </c>
      <c r="M2735" s="2" t="str">
        <f>HYPERLINK("http://maps.live.com/default.aspx?v=2&amp;lvl=15&amp;sp=Point.47.607391_-122.122632_16217 SE 2nd St&amp;cp=47.607391~-122.122632","Map")</f>
        <v>Map</v>
      </c>
      <c r="N2735" s="2" t="str">
        <f>HYPERLINK("http://i-0.rfimg.us/photo/1/bigphoto/295/28049295_0.jpg","Photo")</f>
        <v>Photo</v>
      </c>
      <c r="AG2735">
        <v>47.607391</v>
      </c>
      <c r="AH2735">
        <v>-122.122632</v>
      </c>
      <c r="AI2735" t="s">
        <v>369</v>
      </c>
      <c r="AJ2735">
        <v>98008</v>
      </c>
      <c r="AN2735">
        <v>468000</v>
      </c>
      <c r="BC2735" s="22">
        <v>39528.568506944444</v>
      </c>
      <c r="BI2735" s="22">
        <v>39549.294907407406</v>
      </c>
      <c r="BL2735">
        <v>10998</v>
      </c>
      <c r="BM2735">
        <v>1578460</v>
      </c>
      <c r="BN2735" t="s">
        <v>1737</v>
      </c>
      <c r="BO2735" s="17">
        <f t="shared" ca="1" si="42"/>
        <v>20.740898958334583</v>
      </c>
      <c r="BP2735" t="b">
        <v>0</v>
      </c>
      <c r="BQ2735">
        <v>1</v>
      </c>
      <c r="BR2735" t="s">
        <v>1686</v>
      </c>
      <c r="BS2735" t="s">
        <v>1958</v>
      </c>
      <c r="BT2735" t="b">
        <v>0</v>
      </c>
      <c r="BU2735" t="s">
        <v>3856</v>
      </c>
      <c r="BV2735" t="s">
        <v>1668</v>
      </c>
      <c r="BW2735">
        <v>16217</v>
      </c>
      <c r="BY2735">
        <v>426328</v>
      </c>
      <c r="BZ2735" t="s">
        <v>1676</v>
      </c>
      <c r="CA2735">
        <v>1</v>
      </c>
      <c r="CB2735" t="b">
        <v>1</v>
      </c>
      <c r="CC2735">
        <v>0</v>
      </c>
      <c r="CD2735" t="b">
        <v>0</v>
      </c>
      <c r="CE2735" t="b">
        <v>1</v>
      </c>
      <c r="CF2735" t="b">
        <v>0</v>
      </c>
      <c r="CG2735">
        <v>2700952</v>
      </c>
      <c r="CH2735" t="s">
        <v>1681</v>
      </c>
      <c r="CI2735" s="10">
        <v>549900</v>
      </c>
      <c r="CJ2735" s="7">
        <v>38821</v>
      </c>
    </row>
    <row r="2736" spans="1:88">
      <c r="A2736">
        <v>28049341</v>
      </c>
      <c r="B2736" s="2" t="str">
        <f>HYPERLINK("http://www.redfin.com/stingray/do/printable-listing?listing-id=1578547","Active")</f>
        <v>Active</v>
      </c>
      <c r="D2736" t="s">
        <v>3681</v>
      </c>
      <c r="E2736" t="s">
        <v>3758</v>
      </c>
      <c r="F2736">
        <v>649950</v>
      </c>
      <c r="G2736">
        <v>1921</v>
      </c>
      <c r="H2736">
        <v>2716</v>
      </c>
      <c r="I2736">
        <v>4192</v>
      </c>
      <c r="J2736">
        <v>9</v>
      </c>
      <c r="K2736">
        <v>2.5</v>
      </c>
      <c r="M2736" s="2" t="str">
        <f>HYPERLINK("http://maps.live.com/default.aspx?v=2&amp;lvl=15&amp;sp=Point.47.642956_-122.303236_2209 E Roanoke St&amp;cp=47.642956~-122.303236","Map")</f>
        <v>Map</v>
      </c>
      <c r="N2736" s="2" t="str">
        <f>HYPERLINK("http://i-0.rfimg.us/photo/1/bigphoto/341/28049341_1.jpg","Photo")</f>
        <v>Photo</v>
      </c>
      <c r="AG2736">
        <v>47.642955999999998</v>
      </c>
      <c r="AH2736">
        <v>-122.303236</v>
      </c>
      <c r="AI2736" t="s">
        <v>66</v>
      </c>
      <c r="AJ2736">
        <v>98112</v>
      </c>
      <c r="AN2736">
        <v>500000</v>
      </c>
      <c r="BC2736" s="22">
        <v>39528.589849537035</v>
      </c>
      <c r="BI2736" s="22">
        <v>39549.294907407406</v>
      </c>
      <c r="BL2736">
        <v>12999</v>
      </c>
      <c r="BM2736">
        <v>1578547</v>
      </c>
      <c r="BN2736" t="s">
        <v>2494</v>
      </c>
      <c r="BO2736" s="17">
        <f t="shared" ca="1" si="42"/>
        <v>20.719556365744211</v>
      </c>
      <c r="BP2736" t="b">
        <v>0</v>
      </c>
      <c r="BQ2736">
        <v>1</v>
      </c>
      <c r="BR2736" t="s">
        <v>1686</v>
      </c>
      <c r="BS2736" t="s">
        <v>3759</v>
      </c>
      <c r="BT2736" t="b">
        <v>0</v>
      </c>
      <c r="BU2736" t="s">
        <v>2436</v>
      </c>
      <c r="BV2736" t="s">
        <v>1668</v>
      </c>
      <c r="BW2736">
        <v>2209</v>
      </c>
      <c r="BY2736">
        <v>138568</v>
      </c>
      <c r="BZ2736" t="s">
        <v>3760</v>
      </c>
      <c r="CA2736">
        <v>1</v>
      </c>
      <c r="CB2736" t="b">
        <v>1</v>
      </c>
      <c r="CC2736">
        <v>0</v>
      </c>
      <c r="CD2736" t="b">
        <v>0</v>
      </c>
      <c r="CE2736" t="b">
        <v>1</v>
      </c>
      <c r="CF2736" t="b">
        <v>0</v>
      </c>
      <c r="CG2736">
        <v>2739632</v>
      </c>
      <c r="CH2736" t="s">
        <v>1681</v>
      </c>
      <c r="CI2736" s="10">
        <v>649950</v>
      </c>
      <c r="CJ2736" s="7">
        <v>38534</v>
      </c>
    </row>
    <row r="2737" spans="1:90">
      <c r="A2737">
        <v>28049357</v>
      </c>
      <c r="B2737" s="15" t="str">
        <f>HYPERLINK("http://www.redfin.com/stingray/do/printable-listing?listing-id=1580971","Subject To Inspection")</f>
        <v>Subject To Inspection</v>
      </c>
      <c r="D2737" t="s">
        <v>5565</v>
      </c>
      <c r="E2737" t="s">
        <v>6261</v>
      </c>
      <c r="F2737">
        <v>499950</v>
      </c>
      <c r="G2737">
        <v>1958</v>
      </c>
      <c r="H2737">
        <v>2320</v>
      </c>
      <c r="I2737">
        <v>21954</v>
      </c>
      <c r="J2737">
        <v>5</v>
      </c>
      <c r="K2737">
        <v>3</v>
      </c>
      <c r="M2737" s="2" t="str">
        <f>HYPERLINK("http://maps.live.com/default.aspx?v=2&amp;lvl=15&amp;sp=Point.47.558864_-122.181264_5009 119th Ave SE&amp;cp=47.558864~-122.181264","Map")</f>
        <v>Map</v>
      </c>
      <c r="N2737" s="2" t="str">
        <f>HYPERLINK("http://i-0.rfimg.us/photo/1/bigphoto/357/28049357_1.jpg","Photo")</f>
        <v>Photo</v>
      </c>
      <c r="AG2737">
        <v>47.558864</v>
      </c>
      <c r="AH2737">
        <v>-122.181264</v>
      </c>
      <c r="AI2737" t="s">
        <v>369</v>
      </c>
      <c r="AJ2737">
        <v>98006</v>
      </c>
      <c r="BC2737" s="22">
        <v>39530.410451388889</v>
      </c>
      <c r="BI2737" s="22">
        <v>39549.294907407406</v>
      </c>
      <c r="BL2737">
        <v>9999</v>
      </c>
      <c r="BM2737">
        <v>1580971</v>
      </c>
      <c r="BN2737" t="s">
        <v>1775</v>
      </c>
      <c r="BO2737" s="17">
        <f t="shared" ca="1" si="42"/>
        <v>18.898954513890203</v>
      </c>
      <c r="BP2737" t="b">
        <v>0</v>
      </c>
      <c r="BQ2737">
        <v>1</v>
      </c>
      <c r="BR2737" t="s">
        <v>1667</v>
      </c>
      <c r="BS2737" t="s">
        <v>4573</v>
      </c>
      <c r="BT2737" t="b">
        <v>0</v>
      </c>
      <c r="BV2737" t="s">
        <v>1668</v>
      </c>
      <c r="BW2737">
        <v>5009</v>
      </c>
      <c r="BX2737" t="s">
        <v>3856</v>
      </c>
      <c r="BY2737">
        <v>416195</v>
      </c>
      <c r="BZ2737" t="s">
        <v>1704</v>
      </c>
      <c r="CA2737">
        <v>1</v>
      </c>
      <c r="CB2737" t="b">
        <v>1</v>
      </c>
      <c r="CC2737">
        <v>0</v>
      </c>
      <c r="CD2737" t="b">
        <v>0</v>
      </c>
      <c r="CE2737" t="b">
        <v>1</v>
      </c>
      <c r="CF2737" t="b">
        <v>0</v>
      </c>
      <c r="CG2737">
        <v>2566485</v>
      </c>
      <c r="CH2737" t="s">
        <v>1681</v>
      </c>
      <c r="CI2737" s="10">
        <v>499950</v>
      </c>
      <c r="CL2737" t="s">
        <v>6596</v>
      </c>
    </row>
    <row r="2738" spans="1:90">
      <c r="A2738">
        <v>28049382</v>
      </c>
      <c r="B2738" s="2" t="str">
        <f>HYPERLINK("http://www.redfin.com/stingray/do/printable-listing?listing-id=1582542","Active")</f>
        <v>Active</v>
      </c>
      <c r="D2738" t="s">
        <v>70</v>
      </c>
      <c r="E2738" t="s">
        <v>6274</v>
      </c>
      <c r="F2738">
        <v>349777</v>
      </c>
      <c r="G2738">
        <v>1928</v>
      </c>
      <c r="H2738">
        <v>1790</v>
      </c>
      <c r="I2738">
        <v>6593</v>
      </c>
      <c r="J2738">
        <v>1</v>
      </c>
      <c r="K2738">
        <v>1</v>
      </c>
      <c r="M2738" s="2" t="str">
        <f>HYPERLINK("http://maps.live.com/default.aspx?v=2&amp;lvl=15&amp;sp=Point.47.716257_-122.353819_12006 Phinney Ave N&amp;cp=47.716257~-122.353819","Map")</f>
        <v>Map</v>
      </c>
      <c r="N2738" s="2" t="str">
        <f>HYPERLINK("http://i-0.rfimg.us/photo/1/bigphoto/382/28049382_0.jpg","Photo")</f>
        <v>Photo</v>
      </c>
      <c r="AG2738">
        <v>47.716256999999999</v>
      </c>
      <c r="AH2738">
        <v>-122.353819</v>
      </c>
      <c r="AI2738" t="s">
        <v>66</v>
      </c>
      <c r="AJ2738">
        <v>98133</v>
      </c>
      <c r="BC2738" s="22">
        <v>39531.495775462965</v>
      </c>
      <c r="BI2738" s="22">
        <v>39549.294907407406</v>
      </c>
      <c r="BL2738">
        <v>6996</v>
      </c>
      <c r="BM2738">
        <v>1582542</v>
      </c>
      <c r="BN2738" t="s">
        <v>1725</v>
      </c>
      <c r="BO2738" s="17">
        <f t="shared" ca="1" si="42"/>
        <v>17.813630439814006</v>
      </c>
      <c r="BP2738" t="b">
        <v>0</v>
      </c>
      <c r="BQ2738">
        <v>1</v>
      </c>
      <c r="BR2738" t="s">
        <v>1667</v>
      </c>
      <c r="BS2738" t="s">
        <v>2475</v>
      </c>
      <c r="BT2738" t="b">
        <v>0</v>
      </c>
      <c r="BV2738" t="s">
        <v>1668</v>
      </c>
      <c r="BW2738">
        <v>12006</v>
      </c>
      <c r="BX2738" t="s">
        <v>1712</v>
      </c>
      <c r="BY2738">
        <v>97563</v>
      </c>
      <c r="BZ2738" s="21">
        <v>0</v>
      </c>
      <c r="CA2738">
        <v>1</v>
      </c>
      <c r="CB2738" t="b">
        <v>1</v>
      </c>
      <c r="CC2738">
        <v>0</v>
      </c>
      <c r="CD2738" t="b">
        <v>0</v>
      </c>
      <c r="CE2738" t="b">
        <v>1</v>
      </c>
      <c r="CF2738" t="b">
        <v>0</v>
      </c>
      <c r="CG2738">
        <v>2688231</v>
      </c>
      <c r="CH2738" t="s">
        <v>1681</v>
      </c>
      <c r="CI2738" s="10">
        <v>349777</v>
      </c>
    </row>
    <row r="2739" spans="1:90">
      <c r="A2739">
        <v>28049384</v>
      </c>
      <c r="B2739" s="2" t="str">
        <f>HYPERLINK("http://www.redfin.com/stingray/do/printable-listing?listing-id=1578933","Active")</f>
        <v>Active</v>
      </c>
      <c r="D2739" t="s">
        <v>4777</v>
      </c>
      <c r="E2739" t="s">
        <v>4953</v>
      </c>
      <c r="F2739">
        <v>1245000</v>
      </c>
      <c r="G2739">
        <v>2008</v>
      </c>
      <c r="H2739">
        <v>3876</v>
      </c>
      <c r="I2739">
        <v>0</v>
      </c>
      <c r="J2739">
        <v>4</v>
      </c>
      <c r="K2739">
        <v>3.5</v>
      </c>
      <c r="M2739" s="2" t="str">
        <f>HYPERLINK("http://maps.live.com/default.aspx?v=2&amp;lvl=15&amp;sp=Point.47.650867_-122.196095_4544 108th Ave NE&amp;cp=47.650867~-122.196095","Map")</f>
        <v>Map</v>
      </c>
      <c r="N2739" s="2" t="str">
        <f>HYPERLINK("http://i-0.rfimg.us/photo/1/bigphoto/384/28049384_0.jpg","Photo")</f>
        <v>Photo</v>
      </c>
      <c r="AG2739">
        <v>47.650866999999998</v>
      </c>
      <c r="AH2739">
        <v>-122.196095</v>
      </c>
      <c r="AI2739" t="s">
        <v>1058</v>
      </c>
      <c r="AJ2739">
        <v>98033</v>
      </c>
      <c r="AM2739" t="s">
        <v>1975</v>
      </c>
      <c r="BC2739" s="22">
        <v>39528.672372685185</v>
      </c>
      <c r="BI2739" s="22">
        <v>39549.294907407406</v>
      </c>
      <c r="BL2739">
        <v>24900</v>
      </c>
      <c r="BM2739">
        <v>1578933</v>
      </c>
      <c r="BN2739" t="s">
        <v>1735</v>
      </c>
      <c r="BO2739" s="17">
        <f t="shared" ca="1" si="42"/>
        <v>20.637033217593853</v>
      </c>
      <c r="BP2739" t="b">
        <v>0</v>
      </c>
      <c r="BQ2739">
        <v>1</v>
      </c>
      <c r="BR2739" t="s">
        <v>1667</v>
      </c>
      <c r="BS2739" t="s">
        <v>4355</v>
      </c>
      <c r="BT2739" t="b">
        <v>0</v>
      </c>
      <c r="BV2739" t="s">
        <v>1668</v>
      </c>
      <c r="BW2739">
        <v>4544</v>
      </c>
      <c r="BX2739" t="s">
        <v>1738</v>
      </c>
      <c r="BY2739">
        <v>12433591</v>
      </c>
      <c r="BZ2739" s="21">
        <v>0</v>
      </c>
      <c r="CA2739">
        <v>1</v>
      </c>
      <c r="CB2739" t="b">
        <v>1</v>
      </c>
      <c r="CC2739">
        <v>0</v>
      </c>
      <c r="CD2739" t="b">
        <v>0</v>
      </c>
      <c r="CE2739" t="b">
        <v>1</v>
      </c>
      <c r="CF2739" t="b">
        <v>0</v>
      </c>
      <c r="CG2739">
        <v>15637339</v>
      </c>
      <c r="CH2739" t="s">
        <v>1681</v>
      </c>
      <c r="CI2739" s="10">
        <v>1245000</v>
      </c>
    </row>
    <row r="2740" spans="1:90">
      <c r="A2740">
        <v>28049385</v>
      </c>
      <c r="B2740" s="2" t="str">
        <f>HYPERLINK("http://www.redfin.com/stingray/do/printable-listing?listing-id=1578743","Active")</f>
        <v>Active</v>
      </c>
      <c r="D2740" t="s">
        <v>3064</v>
      </c>
      <c r="E2740" t="s">
        <v>4878</v>
      </c>
      <c r="F2740">
        <v>795000</v>
      </c>
      <c r="G2740">
        <v>1971</v>
      </c>
      <c r="H2740">
        <v>3180</v>
      </c>
      <c r="I2740">
        <v>0</v>
      </c>
      <c r="J2740">
        <v>4</v>
      </c>
      <c r="K2740">
        <v>3</v>
      </c>
      <c r="M2740" s="2" t="str">
        <f>HYPERLINK("http://maps.live.com/default.aspx?v=2&amp;lvl=15&amp;sp=Point.47.684003_-122.189055_11225 NE 92 St&amp;cp=47.684003~-122.189055","Map")</f>
        <v>Map</v>
      </c>
      <c r="N2740" s="2" t="str">
        <f>HYPERLINK("http://i-0.rfimg.us/photo/1/bigphoto/385/28049385_3.jpg","Photo")</f>
        <v>Photo</v>
      </c>
      <c r="AG2740">
        <v>47.684002999999997</v>
      </c>
      <c r="AH2740">
        <v>-122.189055</v>
      </c>
      <c r="AI2740" t="s">
        <v>1058</v>
      </c>
      <c r="AJ2740">
        <v>98033</v>
      </c>
      <c r="AN2740">
        <v>157500</v>
      </c>
      <c r="BC2740" s="22">
        <v>39528.621967592589</v>
      </c>
      <c r="BI2740" s="22">
        <v>39549.294907407406</v>
      </c>
      <c r="BL2740">
        <v>15900</v>
      </c>
      <c r="BM2740">
        <v>1578743</v>
      </c>
      <c r="BN2740" t="s">
        <v>1798</v>
      </c>
      <c r="BO2740" s="17">
        <f t="shared" ca="1" si="42"/>
        <v>20.687438310189464</v>
      </c>
      <c r="BP2740" t="b">
        <v>0</v>
      </c>
      <c r="BQ2740">
        <v>1</v>
      </c>
      <c r="BR2740" t="s">
        <v>1686</v>
      </c>
      <c r="BS2740">
        <v>92</v>
      </c>
      <c r="BT2740" t="b">
        <v>0</v>
      </c>
      <c r="BU2740" t="s">
        <v>1738</v>
      </c>
      <c r="BV2740" t="s">
        <v>1668</v>
      </c>
      <c r="BW2740">
        <v>11225</v>
      </c>
      <c r="BY2740">
        <v>463245</v>
      </c>
      <c r="BZ2740" t="s">
        <v>4879</v>
      </c>
      <c r="CA2740">
        <v>1</v>
      </c>
      <c r="CB2740" t="b">
        <v>1</v>
      </c>
      <c r="CC2740">
        <v>0</v>
      </c>
      <c r="CD2740" t="b">
        <v>0</v>
      </c>
      <c r="CE2740" t="b">
        <v>1</v>
      </c>
      <c r="CF2740" t="b">
        <v>0</v>
      </c>
      <c r="CG2740">
        <v>2639410</v>
      </c>
      <c r="CH2740" t="s">
        <v>1681</v>
      </c>
      <c r="CI2740" s="10">
        <v>795000</v>
      </c>
      <c r="CJ2740" s="7">
        <v>34094</v>
      </c>
    </row>
    <row r="2741" spans="1:90">
      <c r="A2741">
        <v>28049392</v>
      </c>
      <c r="B2741" s="2" t="str">
        <f>HYPERLINK("http://www.redfin.com/stingray/do/printable-listing?listing-id=1578927","Active")</f>
        <v>Active</v>
      </c>
      <c r="D2741" t="s">
        <v>63</v>
      </c>
      <c r="E2741" t="s">
        <v>2007</v>
      </c>
      <c r="F2741" s="19">
        <v>450000</v>
      </c>
      <c r="G2741">
        <v>1925</v>
      </c>
      <c r="H2741">
        <v>1500</v>
      </c>
      <c r="I2741">
        <v>5000</v>
      </c>
      <c r="J2741">
        <v>2</v>
      </c>
      <c r="K2741">
        <v>1</v>
      </c>
      <c r="M2741" s="2" t="str">
        <f>HYPERLINK("http://maps.live.com/default.aspx?v=2&amp;lvl=15&amp;sp=Point.47.678502_-122.397736_3047 NW 69th ST&amp;cp=47.678502~-122.397736","Map")</f>
        <v>Map</v>
      </c>
      <c r="N2741" s="2" t="str">
        <f>HYPERLINK("http://i-0.rfimg.us/photo/1/bigphoto/392/28049392_0.jpg","Photo")</f>
        <v>Photo</v>
      </c>
      <c r="AG2741">
        <v>47.678502000000002</v>
      </c>
      <c r="AH2741">
        <v>-122.39773599999999</v>
      </c>
      <c r="AI2741" t="s">
        <v>66</v>
      </c>
      <c r="AJ2741">
        <v>98117</v>
      </c>
      <c r="AN2741">
        <v>523000</v>
      </c>
      <c r="BC2741" s="22">
        <v>39528.661979166667</v>
      </c>
      <c r="BI2741" s="22">
        <v>39549.294907407406</v>
      </c>
      <c r="BL2741">
        <v>10000</v>
      </c>
      <c r="BM2741">
        <v>1578927</v>
      </c>
      <c r="BN2741" t="s">
        <v>2006</v>
      </c>
      <c r="BO2741" s="17">
        <f t="shared" ca="1" si="42"/>
        <v>20.647426851850469</v>
      </c>
      <c r="BP2741" t="b">
        <v>0</v>
      </c>
      <c r="BQ2741">
        <v>1</v>
      </c>
      <c r="BR2741" t="s">
        <v>2008</v>
      </c>
      <c r="BS2741" t="s">
        <v>1916</v>
      </c>
      <c r="BT2741" t="b">
        <v>0</v>
      </c>
      <c r="BU2741" t="s">
        <v>1669</v>
      </c>
      <c r="BV2741" t="s">
        <v>1668</v>
      </c>
      <c r="BW2741">
        <v>3047</v>
      </c>
      <c r="BY2741">
        <v>165843</v>
      </c>
      <c r="BZ2741" t="s">
        <v>1762</v>
      </c>
      <c r="CA2741">
        <v>1</v>
      </c>
      <c r="CB2741" t="b">
        <v>1</v>
      </c>
      <c r="CC2741">
        <v>0</v>
      </c>
      <c r="CD2741" t="b">
        <v>0</v>
      </c>
      <c r="CE2741" t="b">
        <v>1</v>
      </c>
      <c r="CF2741" t="b">
        <v>0</v>
      </c>
      <c r="CG2741">
        <v>2817994</v>
      </c>
      <c r="CH2741" t="s">
        <v>1681</v>
      </c>
      <c r="CI2741" s="10">
        <v>500000</v>
      </c>
      <c r="CJ2741" s="7">
        <v>39171</v>
      </c>
    </row>
    <row r="2742" spans="1:90">
      <c r="A2742">
        <v>28049409</v>
      </c>
      <c r="B2742" s="2" t="str">
        <f>HYPERLINK("http://www.redfin.com/stingray/do/printable-listing?listing-id=1578779","Active")</f>
        <v>Active</v>
      </c>
      <c r="D2742" t="s">
        <v>100</v>
      </c>
      <c r="E2742" t="s">
        <v>3647</v>
      </c>
      <c r="F2742">
        <v>479999</v>
      </c>
      <c r="G2742">
        <v>2008</v>
      </c>
      <c r="H2742">
        <v>1625</v>
      </c>
      <c r="I2742">
        <v>0</v>
      </c>
      <c r="J2742">
        <v>2</v>
      </c>
      <c r="K2742">
        <v>1.5</v>
      </c>
      <c r="M2742" s="2" t="str">
        <f>HYPERLINK("http://maps.live.com/default.aspx?v=2&amp;lvl=15&amp;sp=Point.47.658381_-122.349795_4220 Fremont Ave N nA&amp;cp=47.658381~-122.349795","Map")</f>
        <v>Map</v>
      </c>
      <c r="N2742" s="2" t="str">
        <f>HYPERLINK("http://i-0.rfimg.us/photo/1/bigphoto/409/28049409_0.jpg","Photo")</f>
        <v>Photo</v>
      </c>
      <c r="AG2742">
        <v>47.658380999999999</v>
      </c>
      <c r="AH2742">
        <v>-122.349795</v>
      </c>
      <c r="AI2742" t="s">
        <v>66</v>
      </c>
      <c r="AJ2742">
        <v>98103</v>
      </c>
      <c r="AM2742" t="s">
        <v>1722</v>
      </c>
      <c r="BC2742" s="22">
        <v>39528.631458333337</v>
      </c>
      <c r="BI2742" s="22">
        <v>39549.294907407406</v>
      </c>
      <c r="BL2742">
        <v>9600</v>
      </c>
      <c r="BM2742">
        <v>1578779</v>
      </c>
      <c r="BN2742" t="s">
        <v>1688</v>
      </c>
      <c r="BO2742" s="17">
        <f t="shared" ca="1" si="42"/>
        <v>20.67794756944204</v>
      </c>
      <c r="BP2742" t="b">
        <v>0</v>
      </c>
      <c r="BQ2742">
        <v>1</v>
      </c>
      <c r="BR2742" t="s">
        <v>1667</v>
      </c>
      <c r="BS2742" t="s">
        <v>100</v>
      </c>
      <c r="BT2742" t="b">
        <v>0</v>
      </c>
      <c r="BV2742" t="s">
        <v>1668</v>
      </c>
      <c r="BW2742">
        <v>4220</v>
      </c>
      <c r="BX2742" t="s">
        <v>1712</v>
      </c>
      <c r="BY2742">
        <v>12433581</v>
      </c>
      <c r="BZ2742" s="21">
        <v>0</v>
      </c>
      <c r="CA2742">
        <v>1</v>
      </c>
      <c r="CB2742" t="b">
        <v>1</v>
      </c>
      <c r="CC2742">
        <v>0</v>
      </c>
      <c r="CD2742" t="b">
        <v>0</v>
      </c>
      <c r="CE2742" t="b">
        <v>1</v>
      </c>
      <c r="CF2742" t="b">
        <v>0</v>
      </c>
      <c r="CG2742">
        <v>15637329</v>
      </c>
      <c r="CH2742" t="s">
        <v>1681</v>
      </c>
      <c r="CI2742" s="10">
        <v>479999</v>
      </c>
    </row>
    <row r="2743" spans="1:90">
      <c r="A2743">
        <v>28049421</v>
      </c>
      <c r="B2743" s="2" t="str">
        <f>HYPERLINK("http://www.redfin.com/stingray/do/printable-listing?listing-id=1578844","Active")</f>
        <v>Active</v>
      </c>
      <c r="D2743" t="s">
        <v>5490</v>
      </c>
      <c r="E2743" t="s">
        <v>5694</v>
      </c>
      <c r="F2743">
        <v>739950</v>
      </c>
      <c r="G2743">
        <v>2008</v>
      </c>
      <c r="H2743">
        <v>2590</v>
      </c>
      <c r="I2743">
        <v>6000</v>
      </c>
      <c r="J2743">
        <v>4</v>
      </c>
      <c r="K2743">
        <v>2.5</v>
      </c>
      <c r="M2743" s="2" t="str">
        <f>HYPERLINK("http://maps.live.com/default.aspx?v=2&amp;lvl=15&amp;sp=Point.47.557488_-122.123103_5085 164th Ave SE&amp;cp=47.557488~-122.123103","Map")</f>
        <v>Map</v>
      </c>
      <c r="N2743" s="2" t="str">
        <f>HYPERLINK("http://i-0.rfimg.us/photo/1/bigphoto/421/28049421_1.jpg","Photo")</f>
        <v>Photo</v>
      </c>
      <c r="AG2743">
        <v>47.557487999999999</v>
      </c>
      <c r="AH2743">
        <v>-122.123103</v>
      </c>
      <c r="AI2743" t="s">
        <v>369</v>
      </c>
      <c r="AJ2743">
        <v>98006</v>
      </c>
      <c r="BC2743" s="22">
        <v>39528.64203703704</v>
      </c>
      <c r="BI2743" s="22">
        <v>39549.294907407406</v>
      </c>
      <c r="BL2743">
        <v>14799</v>
      </c>
      <c r="BM2743">
        <v>1578844</v>
      </c>
      <c r="BN2743" t="s">
        <v>5691</v>
      </c>
      <c r="BO2743" s="17">
        <f t="shared" ca="1" si="42"/>
        <v>20.667368865739263</v>
      </c>
      <c r="BP2743" t="b">
        <v>0</v>
      </c>
      <c r="BQ2743">
        <v>1</v>
      </c>
      <c r="BR2743" t="s">
        <v>1667</v>
      </c>
      <c r="BS2743" t="s">
        <v>5306</v>
      </c>
      <c r="BT2743" t="b">
        <v>0</v>
      </c>
      <c r="BV2743" t="s">
        <v>1668</v>
      </c>
      <c r="BW2743">
        <v>5085</v>
      </c>
      <c r="BX2743" t="s">
        <v>3856</v>
      </c>
      <c r="BY2743">
        <v>12433585</v>
      </c>
      <c r="BZ2743" t="s">
        <v>3119</v>
      </c>
      <c r="CA2743">
        <v>1</v>
      </c>
      <c r="CB2743" t="b">
        <v>1</v>
      </c>
      <c r="CC2743">
        <v>0</v>
      </c>
      <c r="CD2743" t="b">
        <v>0</v>
      </c>
      <c r="CE2743" t="b">
        <v>1</v>
      </c>
      <c r="CF2743" t="b">
        <v>0</v>
      </c>
      <c r="CG2743">
        <v>15637333</v>
      </c>
      <c r="CH2743" t="s">
        <v>1681</v>
      </c>
      <c r="CI2743" s="10">
        <v>739950</v>
      </c>
    </row>
    <row r="2744" spans="1:90">
      <c r="A2744">
        <v>28049423</v>
      </c>
      <c r="B2744" s="2" t="str">
        <f>HYPERLINK("http://www.redfin.com/stingray/do/printable-listing?listing-id=1578958","Active")</f>
        <v>Active</v>
      </c>
      <c r="D2744" t="s">
        <v>4777</v>
      </c>
      <c r="E2744" t="s">
        <v>4954</v>
      </c>
      <c r="F2744">
        <v>1238000</v>
      </c>
      <c r="G2744">
        <v>2008</v>
      </c>
      <c r="H2744">
        <v>3585</v>
      </c>
      <c r="I2744">
        <v>9000</v>
      </c>
      <c r="J2744">
        <v>4</v>
      </c>
      <c r="K2744">
        <v>3.5</v>
      </c>
      <c r="M2744" s="2" t="str">
        <f>HYPERLINK("http://maps.live.com/default.aspx?v=2&amp;lvl=15&amp;sp=Point.47.650889_-122.196095_4548 108th Ave NE&amp;cp=47.650889~-122.196095","Map")</f>
        <v>Map</v>
      </c>
      <c r="N2744" s="2" t="str">
        <f>HYPERLINK("http://i-0.rfimg.us/photo/1/bigphoto/423/28049423_0.jpg","Photo")</f>
        <v>Photo</v>
      </c>
      <c r="AG2744">
        <v>47.650888999999999</v>
      </c>
      <c r="AH2744">
        <v>-122.196095</v>
      </c>
      <c r="AI2744" t="s">
        <v>1058</v>
      </c>
      <c r="AJ2744">
        <v>98033</v>
      </c>
      <c r="AM2744" t="s">
        <v>3918</v>
      </c>
      <c r="BC2744" s="22">
        <v>39528.673078703701</v>
      </c>
      <c r="BI2744" s="22">
        <v>39549.294907407406</v>
      </c>
      <c r="BL2744">
        <v>24760</v>
      </c>
      <c r="BM2744">
        <v>1578958</v>
      </c>
      <c r="BN2744" t="s">
        <v>1735</v>
      </c>
      <c r="BO2744" s="17">
        <f t="shared" ca="1" si="42"/>
        <v>20.636327199077641</v>
      </c>
      <c r="BP2744" t="b">
        <v>0</v>
      </c>
      <c r="BQ2744">
        <v>1</v>
      </c>
      <c r="BR2744" t="s">
        <v>1667</v>
      </c>
      <c r="BS2744" t="s">
        <v>4355</v>
      </c>
      <c r="BT2744" t="b">
        <v>0</v>
      </c>
      <c r="BV2744" t="s">
        <v>1668</v>
      </c>
      <c r="BW2744">
        <v>4548</v>
      </c>
      <c r="BX2744" t="s">
        <v>1738</v>
      </c>
      <c r="BY2744">
        <v>12433592</v>
      </c>
      <c r="BZ2744" s="21">
        <v>0</v>
      </c>
      <c r="CA2744">
        <v>1</v>
      </c>
      <c r="CB2744" t="b">
        <v>1</v>
      </c>
      <c r="CC2744">
        <v>0</v>
      </c>
      <c r="CD2744" t="b">
        <v>0</v>
      </c>
      <c r="CE2744" t="b">
        <v>1</v>
      </c>
      <c r="CF2744" t="b">
        <v>0</v>
      </c>
      <c r="CG2744">
        <v>15637340</v>
      </c>
      <c r="CH2744" t="s">
        <v>1681</v>
      </c>
      <c r="CI2744" s="10">
        <v>1238000</v>
      </c>
    </row>
    <row r="2745" spans="1:90">
      <c r="A2745">
        <v>28049424</v>
      </c>
      <c r="B2745" s="15" t="str">
        <f>HYPERLINK("http://www.redfin.com/stingray/do/printable-listing?listing-id=1581906","Subject To Inspection")</f>
        <v>Subject To Inspection</v>
      </c>
      <c r="D2745" t="s">
        <v>3089</v>
      </c>
      <c r="E2745" t="s">
        <v>6297</v>
      </c>
      <c r="F2745">
        <v>1497500</v>
      </c>
      <c r="G2745">
        <v>1946</v>
      </c>
      <c r="H2745">
        <v>3370</v>
      </c>
      <c r="I2745">
        <v>8700</v>
      </c>
      <c r="J2745">
        <v>4</v>
      </c>
      <c r="K2745">
        <v>3.5</v>
      </c>
      <c r="M2745" s="2" t="str">
        <f>HYPERLINK("http://maps.live.com/default.aspx?v=2&amp;lvl=15&amp;sp=Point.47.651095_-122.277941_3150 W Laurelhurst Dr NE&amp;cp=47.651095~-122.277941","Map")</f>
        <v>Map</v>
      </c>
      <c r="N2745" s="2" t="str">
        <f>HYPERLINK("http://i-0.rfimg.us/photo/1/bigphoto/424/28049424_2.jpg","Photo")</f>
        <v>Photo</v>
      </c>
      <c r="AG2745">
        <v>47.651094999999998</v>
      </c>
      <c r="AH2745">
        <v>-122.277941</v>
      </c>
      <c r="AI2745" t="s">
        <v>66</v>
      </c>
      <c r="AJ2745">
        <v>98105</v>
      </c>
      <c r="AN2745">
        <v>615000</v>
      </c>
      <c r="BC2745" s="22">
        <v>39531.348379629628</v>
      </c>
      <c r="BI2745" s="22">
        <v>39549.294907407406</v>
      </c>
      <c r="BL2745">
        <v>29950</v>
      </c>
      <c r="BM2745">
        <v>1581906</v>
      </c>
      <c r="BN2745" t="s">
        <v>2985</v>
      </c>
      <c r="BO2745" s="17">
        <f t="shared" ca="1" si="42"/>
        <v>17.961026273151219</v>
      </c>
      <c r="BP2745" t="b">
        <v>0</v>
      </c>
      <c r="BQ2745">
        <v>1</v>
      </c>
      <c r="BR2745" t="s">
        <v>1816</v>
      </c>
      <c r="BS2745" t="s">
        <v>3089</v>
      </c>
      <c r="BT2745" t="b">
        <v>0</v>
      </c>
      <c r="BU2745" t="s">
        <v>2423</v>
      </c>
      <c r="BV2745" t="s">
        <v>1668</v>
      </c>
      <c r="BW2745">
        <v>3150</v>
      </c>
      <c r="BX2745" t="s">
        <v>1738</v>
      </c>
      <c r="BY2745">
        <v>122541</v>
      </c>
      <c r="BZ2745" t="s">
        <v>6298</v>
      </c>
      <c r="CA2745">
        <v>1</v>
      </c>
      <c r="CB2745" t="b">
        <v>1</v>
      </c>
      <c r="CC2745">
        <v>0</v>
      </c>
      <c r="CD2745" t="b">
        <v>0</v>
      </c>
      <c r="CE2745" t="b">
        <v>1</v>
      </c>
      <c r="CF2745" t="b">
        <v>0</v>
      </c>
      <c r="CG2745">
        <v>2604658</v>
      </c>
      <c r="CH2745" t="s">
        <v>1681</v>
      </c>
      <c r="CI2745" s="10">
        <v>1497500</v>
      </c>
      <c r="CJ2745" s="7">
        <v>33781</v>
      </c>
    </row>
    <row r="2746" spans="1:90">
      <c r="A2746">
        <v>28049430</v>
      </c>
      <c r="B2746" s="15" t="str">
        <f>HYPERLINK("http://www.redfin.com/stingray/do/printable-listing?listing-id=1578877","Subject To Inspection")</f>
        <v>Subject To Inspection</v>
      </c>
      <c r="D2746" t="s">
        <v>5139</v>
      </c>
      <c r="E2746" t="s">
        <v>5189</v>
      </c>
      <c r="F2746">
        <v>825000</v>
      </c>
      <c r="G2746">
        <v>1958</v>
      </c>
      <c r="H2746">
        <v>0</v>
      </c>
      <c r="I2746">
        <v>10800</v>
      </c>
      <c r="J2746">
        <v>5</v>
      </c>
      <c r="K2746">
        <v>2.75</v>
      </c>
      <c r="M2746" s="2" t="str">
        <f>HYPERLINK("http://maps.live.com/default.aspx?v=2&amp;lvl=15&amp;sp=Point.47.586483_-122.242018_7225 SE 27th St&amp;cp=47.586483~-122.242018","Map")</f>
        <v>Map</v>
      </c>
      <c r="N2746" s="2" t="str">
        <f>HYPERLINK("http://i-0.rfimg.us/photo/1/bigphoto/430/28049430_.jpg","Photo")</f>
        <v>Photo</v>
      </c>
      <c r="AG2746">
        <v>47.586483000000001</v>
      </c>
      <c r="AH2746">
        <v>-122.242018</v>
      </c>
      <c r="AI2746" t="s">
        <v>5139</v>
      </c>
      <c r="AJ2746">
        <v>98040</v>
      </c>
      <c r="BC2746" s="22">
        <v>39528.652071759258</v>
      </c>
      <c r="BI2746" s="22">
        <v>39545.917314814818</v>
      </c>
      <c r="BL2746">
        <v>16500</v>
      </c>
      <c r="BM2746">
        <v>1578877</v>
      </c>
      <c r="BN2746" t="s">
        <v>1674</v>
      </c>
      <c r="BO2746" s="17">
        <f t="shared" ca="1" si="42"/>
        <v>20.657334143521439</v>
      </c>
      <c r="BP2746" t="b">
        <v>0</v>
      </c>
      <c r="BQ2746">
        <v>1</v>
      </c>
      <c r="BR2746" t="s">
        <v>1686</v>
      </c>
      <c r="BS2746" t="s">
        <v>1751</v>
      </c>
      <c r="BT2746" t="b">
        <v>0</v>
      </c>
      <c r="BU2746" t="s">
        <v>3856</v>
      </c>
      <c r="BV2746" t="s">
        <v>1668</v>
      </c>
      <c r="BW2746">
        <v>7225</v>
      </c>
      <c r="BY2746">
        <v>258124</v>
      </c>
      <c r="BZ2746" t="s">
        <v>1801</v>
      </c>
      <c r="CA2746">
        <v>1</v>
      </c>
      <c r="CB2746" t="b">
        <v>1</v>
      </c>
      <c r="CC2746">
        <v>0</v>
      </c>
      <c r="CD2746" t="b">
        <v>0</v>
      </c>
      <c r="CE2746" t="b">
        <v>1</v>
      </c>
      <c r="CF2746" t="b">
        <v>0</v>
      </c>
      <c r="CG2746">
        <v>2701467</v>
      </c>
      <c r="CH2746" t="s">
        <v>1681</v>
      </c>
      <c r="CI2746" s="10">
        <v>825000</v>
      </c>
    </row>
    <row r="2747" spans="1:90">
      <c r="A2747">
        <v>28049439</v>
      </c>
      <c r="B2747" s="2" t="str">
        <f>HYPERLINK("http://www.redfin.com/stingray/do/printable-listing?listing-id=1578959","Active")</f>
        <v>Active</v>
      </c>
      <c r="D2747" t="s">
        <v>4777</v>
      </c>
      <c r="E2747" t="s">
        <v>4955</v>
      </c>
      <c r="F2747">
        <v>1230000</v>
      </c>
      <c r="G2747">
        <v>2008</v>
      </c>
      <c r="H2747">
        <v>3605</v>
      </c>
      <c r="I2747">
        <v>0</v>
      </c>
      <c r="J2747">
        <v>4</v>
      </c>
      <c r="K2747">
        <v>3.5</v>
      </c>
      <c r="M2747" s="2" t="str">
        <f>HYPERLINK("http://maps.live.com/default.aspx?v=2&amp;lvl=15&amp;sp=Point.47.650931_-122.196095_4556 108th Ave NE&amp;cp=47.650931~-122.196095","Map")</f>
        <v>Map</v>
      </c>
      <c r="N2747" s="2" t="str">
        <f>HYPERLINK("http://i-0.rfimg.us/photo/1/bigphoto/439/28049439_0.jpg","Photo")</f>
        <v>Photo</v>
      </c>
      <c r="AG2747">
        <v>47.650931</v>
      </c>
      <c r="AH2747">
        <v>-122.196095</v>
      </c>
      <c r="AI2747" t="s">
        <v>1058</v>
      </c>
      <c r="AJ2747">
        <v>98033</v>
      </c>
      <c r="AM2747" t="s">
        <v>3841</v>
      </c>
      <c r="BC2747" s="22">
        <v>39528.673078703701</v>
      </c>
      <c r="BI2747" s="22">
        <v>39549.294907407406</v>
      </c>
      <c r="BL2747">
        <v>24600</v>
      </c>
      <c r="BM2747">
        <v>1578959</v>
      </c>
      <c r="BN2747" t="s">
        <v>1735</v>
      </c>
      <c r="BO2747" s="17">
        <f t="shared" ca="1" si="42"/>
        <v>20.636327199077641</v>
      </c>
      <c r="BP2747" t="b">
        <v>0</v>
      </c>
      <c r="BQ2747">
        <v>1</v>
      </c>
      <c r="BR2747" t="s">
        <v>1667</v>
      </c>
      <c r="BS2747" t="s">
        <v>4355</v>
      </c>
      <c r="BT2747" t="b">
        <v>0</v>
      </c>
      <c r="BV2747" t="s">
        <v>1668</v>
      </c>
      <c r="BW2747">
        <v>4556</v>
      </c>
      <c r="BX2747" t="s">
        <v>1738</v>
      </c>
      <c r="BY2747">
        <v>12433593</v>
      </c>
      <c r="BZ2747" s="21">
        <v>0</v>
      </c>
      <c r="CA2747">
        <v>1</v>
      </c>
      <c r="CB2747" t="b">
        <v>1</v>
      </c>
      <c r="CC2747">
        <v>0</v>
      </c>
      <c r="CD2747" t="b">
        <v>0</v>
      </c>
      <c r="CE2747" t="b">
        <v>1</v>
      </c>
      <c r="CF2747" t="b">
        <v>0</v>
      </c>
      <c r="CG2747">
        <v>15637341</v>
      </c>
      <c r="CH2747" t="s">
        <v>1681</v>
      </c>
      <c r="CI2747" s="10">
        <v>1230000</v>
      </c>
    </row>
    <row r="2748" spans="1:90">
      <c r="A2748">
        <v>28049462</v>
      </c>
      <c r="B2748" s="2" t="str">
        <f>HYPERLINK("http://www.redfin.com/stingray/do/printable-listing?listing-id=1578960","Active")</f>
        <v>Active</v>
      </c>
      <c r="D2748" t="s">
        <v>100</v>
      </c>
      <c r="E2748" t="s">
        <v>2645</v>
      </c>
      <c r="F2748">
        <v>549900</v>
      </c>
      <c r="G2748">
        <v>2008</v>
      </c>
      <c r="H2748">
        <v>1799</v>
      </c>
      <c r="I2748">
        <v>0</v>
      </c>
      <c r="J2748">
        <v>3</v>
      </c>
      <c r="K2748">
        <v>3.5</v>
      </c>
      <c r="M2748" s="2" t="str">
        <f>HYPERLINK("http://maps.live.com/default.aspx?v=2&amp;lvl=15&amp;sp=Point.47.664521_-122.350847_612 N 49 St&amp;cp=47.664521~-122.350847","Map")</f>
        <v>Map</v>
      </c>
      <c r="N2748" s="2" t="str">
        <f>HYPERLINK("http://i-0.rfimg.us/photo/1/bigphoto/462/28049462_1.jpg","Photo")</f>
        <v>Photo</v>
      </c>
      <c r="AG2748">
        <v>47.664521000000001</v>
      </c>
      <c r="AH2748">
        <v>-122.350847</v>
      </c>
      <c r="AI2748" t="s">
        <v>66</v>
      </c>
      <c r="AJ2748">
        <v>98103</v>
      </c>
      <c r="AN2748">
        <v>664745</v>
      </c>
      <c r="BC2748" s="22">
        <v>39528.673078703701</v>
      </c>
      <c r="BI2748" s="22">
        <v>39549.294907407406</v>
      </c>
      <c r="BL2748">
        <v>10998</v>
      </c>
      <c r="BM2748">
        <v>1578960</v>
      </c>
      <c r="BN2748" t="s">
        <v>1766</v>
      </c>
      <c r="BO2748" s="17">
        <f t="shared" ca="1" si="42"/>
        <v>20.636327314816299</v>
      </c>
      <c r="BP2748" t="b">
        <v>0</v>
      </c>
      <c r="BQ2748">
        <v>1</v>
      </c>
      <c r="BR2748" t="s">
        <v>1686</v>
      </c>
      <c r="BS2748">
        <v>49</v>
      </c>
      <c r="BT2748" t="b">
        <v>0</v>
      </c>
      <c r="BU2748" t="s">
        <v>1712</v>
      </c>
      <c r="BV2748" t="s">
        <v>1668</v>
      </c>
      <c r="BW2748">
        <v>612</v>
      </c>
      <c r="BY2748">
        <v>299777</v>
      </c>
      <c r="BZ2748" t="s">
        <v>2646</v>
      </c>
      <c r="CA2748">
        <v>1</v>
      </c>
      <c r="CB2748" t="b">
        <v>1</v>
      </c>
      <c r="CC2748">
        <v>0</v>
      </c>
      <c r="CD2748" t="b">
        <v>0</v>
      </c>
      <c r="CE2748" t="b">
        <v>1</v>
      </c>
      <c r="CF2748" t="b">
        <v>0</v>
      </c>
      <c r="CG2748">
        <v>2428384</v>
      </c>
      <c r="CH2748" t="s">
        <v>1681</v>
      </c>
      <c r="CI2748" s="10">
        <v>549900</v>
      </c>
      <c r="CJ2748" s="7">
        <v>39405</v>
      </c>
    </row>
    <row r="2749" spans="1:90">
      <c r="A2749">
        <v>28049469</v>
      </c>
      <c r="B2749" s="2" t="str">
        <f>HYPERLINK("http://www.redfin.com/stingray/do/printable-listing?listing-id=1578991","Active")</f>
        <v>Active</v>
      </c>
      <c r="D2749" t="s">
        <v>100</v>
      </c>
      <c r="E2749" t="s">
        <v>3354</v>
      </c>
      <c r="F2749">
        <v>529900</v>
      </c>
      <c r="G2749">
        <v>2008</v>
      </c>
      <c r="H2749">
        <v>1801</v>
      </c>
      <c r="I2749">
        <v>0</v>
      </c>
      <c r="J2749">
        <v>2</v>
      </c>
      <c r="K2749">
        <v>2.5</v>
      </c>
      <c r="M2749" s="2" t="str">
        <f>HYPERLINK("http://maps.live.com/default.aspx?v=2&amp;lvl=15&amp;sp=Point.47.657997_-122.350877_4218 Evanston Ave N nA&amp;cp=47.657997~-122.350877","Map")</f>
        <v>Map</v>
      </c>
      <c r="N2749" s="2" t="str">
        <f>HYPERLINK("http://i-0.rfimg.us/photo/1/bigphoto/469/28049469_0.jpg","Photo")</f>
        <v>Photo</v>
      </c>
      <c r="AG2749">
        <v>47.657997000000002</v>
      </c>
      <c r="AH2749">
        <v>-122.350877</v>
      </c>
      <c r="AI2749" t="s">
        <v>66</v>
      </c>
      <c r="AJ2749">
        <v>98103</v>
      </c>
      <c r="AM2749" t="s">
        <v>1722</v>
      </c>
      <c r="BC2749" s="22">
        <v>39528.681979166664</v>
      </c>
      <c r="BI2749" s="22">
        <v>39549.294907407406</v>
      </c>
      <c r="BL2749">
        <v>10598</v>
      </c>
      <c r="BM2749">
        <v>1578991</v>
      </c>
      <c r="BN2749" t="s">
        <v>1766</v>
      </c>
      <c r="BO2749" s="17">
        <f t="shared" ca="1" si="42"/>
        <v>20.627426736115012</v>
      </c>
      <c r="BP2749" t="b">
        <v>0</v>
      </c>
      <c r="BQ2749">
        <v>1</v>
      </c>
      <c r="BR2749" t="s">
        <v>1667</v>
      </c>
      <c r="BS2749" t="s">
        <v>2487</v>
      </c>
      <c r="BT2749" t="b">
        <v>0</v>
      </c>
      <c r="BV2749" t="s">
        <v>1668</v>
      </c>
      <c r="BW2749">
        <v>4218</v>
      </c>
      <c r="BX2749" t="s">
        <v>1712</v>
      </c>
      <c r="BY2749">
        <v>12433597</v>
      </c>
      <c r="BZ2749" t="s">
        <v>1743</v>
      </c>
      <c r="CA2749">
        <v>1</v>
      </c>
      <c r="CB2749" t="b">
        <v>1</v>
      </c>
      <c r="CC2749">
        <v>0</v>
      </c>
      <c r="CD2749" t="b">
        <v>0</v>
      </c>
      <c r="CE2749" t="b">
        <v>1</v>
      </c>
      <c r="CF2749" t="b">
        <v>0</v>
      </c>
      <c r="CG2749">
        <v>15637345</v>
      </c>
      <c r="CH2749" t="s">
        <v>1681</v>
      </c>
      <c r="CI2749" s="10">
        <v>529900</v>
      </c>
    </row>
    <row r="2750" spans="1:90">
      <c r="A2750">
        <v>28049473</v>
      </c>
      <c r="B2750" s="2" t="str">
        <f>HYPERLINK("http://www.redfin.com/stingray/do/printable-listing?listing-id=1578990","Active")</f>
        <v>Active</v>
      </c>
      <c r="D2750" t="s">
        <v>4777</v>
      </c>
      <c r="E2750" t="s">
        <v>4956</v>
      </c>
      <c r="F2750">
        <v>1220000</v>
      </c>
      <c r="G2750">
        <v>2008</v>
      </c>
      <c r="H2750">
        <v>3487</v>
      </c>
      <c r="I2750">
        <v>0</v>
      </c>
      <c r="J2750">
        <v>4</v>
      </c>
      <c r="K2750">
        <v>3.5</v>
      </c>
      <c r="M2750" s="2" t="str">
        <f>HYPERLINK("http://maps.live.com/default.aspx?v=2&amp;lvl=15&amp;sp=Point.47.65091_-122.196095_4552 108th Ave NE&amp;cp=47.65091~-122.196095","Map")</f>
        <v>Map</v>
      </c>
      <c r="N2750" s="2" t="str">
        <f>HYPERLINK("http://i-0.rfimg.us/photo/1/bigphoto/473/28049473_0.jpg","Photo")</f>
        <v>Photo</v>
      </c>
      <c r="AG2750">
        <v>47.650910000000003</v>
      </c>
      <c r="AH2750">
        <v>-122.196095</v>
      </c>
      <c r="AI2750" t="s">
        <v>1058</v>
      </c>
      <c r="AJ2750">
        <v>98033</v>
      </c>
      <c r="AM2750" t="s">
        <v>3903</v>
      </c>
      <c r="BC2750" s="22">
        <v>39528.681979166664</v>
      </c>
      <c r="BI2750" s="22">
        <v>39549.294907407406</v>
      </c>
      <c r="BL2750">
        <v>24400</v>
      </c>
      <c r="BM2750">
        <v>1578990</v>
      </c>
      <c r="BN2750" t="s">
        <v>1735</v>
      </c>
      <c r="BO2750" s="17">
        <f t="shared" ca="1" si="42"/>
        <v>20.627426736115012</v>
      </c>
      <c r="BP2750" t="b">
        <v>0</v>
      </c>
      <c r="BQ2750">
        <v>1</v>
      </c>
      <c r="BR2750" t="s">
        <v>1667</v>
      </c>
      <c r="BS2750" t="s">
        <v>4355</v>
      </c>
      <c r="BT2750" t="b">
        <v>0</v>
      </c>
      <c r="BV2750" t="s">
        <v>1668</v>
      </c>
      <c r="BW2750">
        <v>4552</v>
      </c>
      <c r="BX2750" t="s">
        <v>1738</v>
      </c>
      <c r="BY2750">
        <v>12433596</v>
      </c>
      <c r="BZ2750" s="21">
        <v>0</v>
      </c>
      <c r="CA2750">
        <v>1</v>
      </c>
      <c r="CB2750" t="b">
        <v>1</v>
      </c>
      <c r="CC2750">
        <v>0</v>
      </c>
      <c r="CD2750" t="b">
        <v>0</v>
      </c>
      <c r="CE2750" t="b">
        <v>1</v>
      </c>
      <c r="CF2750" t="b">
        <v>0</v>
      </c>
      <c r="CG2750">
        <v>15637344</v>
      </c>
      <c r="CH2750" t="s">
        <v>1681</v>
      </c>
      <c r="CI2750" s="10">
        <v>1220000</v>
      </c>
    </row>
    <row r="2751" spans="1:90">
      <c r="A2751">
        <v>28049476</v>
      </c>
      <c r="B2751" s="2" t="str">
        <f>HYPERLINK("http://www.redfin.com/stingray/do/printable-listing?listing-id=1578993","Active")</f>
        <v>Active</v>
      </c>
      <c r="D2751" t="s">
        <v>1077</v>
      </c>
      <c r="E2751" t="s">
        <v>6033</v>
      </c>
      <c r="F2751">
        <v>499950</v>
      </c>
      <c r="G2751">
        <v>2007</v>
      </c>
      <c r="H2751">
        <v>2476</v>
      </c>
      <c r="I2751">
        <v>5822</v>
      </c>
      <c r="J2751">
        <v>4</v>
      </c>
      <c r="K2751">
        <v>2.5</v>
      </c>
      <c r="M2751" s="2" t="str">
        <f>HYPERLINK("http://maps.live.com/default.aspx?v=2&amp;lvl=15&amp;sp=Point.47.498_-122.1865_4028 NE 9th Pl&amp;cp=47.498~-122.1865","Map")</f>
        <v>Map</v>
      </c>
      <c r="N2751" s="2" t="str">
        <f>HYPERLINK("http://i-0.rfimg.us/photo/1/bigphoto/476/28049476_0.jpg","Photo")</f>
        <v>Photo</v>
      </c>
      <c r="AG2751">
        <v>47.497999999999998</v>
      </c>
      <c r="AH2751">
        <v>-122.1865</v>
      </c>
      <c r="AI2751" t="s">
        <v>1077</v>
      </c>
      <c r="AJ2751">
        <v>98056</v>
      </c>
      <c r="BC2751" s="22">
        <v>39528.68241898148</v>
      </c>
      <c r="BI2751" s="22">
        <v>39549.294907407406</v>
      </c>
      <c r="BL2751">
        <v>9999</v>
      </c>
      <c r="BM2751">
        <v>1578993</v>
      </c>
      <c r="BN2751" t="s">
        <v>2590</v>
      </c>
      <c r="BO2751" s="17">
        <f t="shared" ca="1" si="42"/>
        <v>20.626986921299249</v>
      </c>
      <c r="BP2751" t="b">
        <v>0</v>
      </c>
      <c r="BQ2751">
        <v>1</v>
      </c>
      <c r="BR2751" t="s">
        <v>1842</v>
      </c>
      <c r="BS2751" t="s">
        <v>1785</v>
      </c>
      <c r="BT2751" t="b">
        <v>0</v>
      </c>
      <c r="BU2751" t="s">
        <v>1738</v>
      </c>
      <c r="BV2751" t="s">
        <v>1668</v>
      </c>
      <c r="BW2751">
        <v>4028</v>
      </c>
      <c r="BY2751">
        <v>12384756</v>
      </c>
      <c r="BZ2751" s="21">
        <v>0</v>
      </c>
      <c r="CA2751">
        <v>1</v>
      </c>
      <c r="CB2751" t="b">
        <v>1</v>
      </c>
      <c r="CC2751">
        <v>0</v>
      </c>
      <c r="CD2751" t="b">
        <v>0</v>
      </c>
      <c r="CE2751" t="b">
        <v>1</v>
      </c>
      <c r="CF2751" t="b">
        <v>0</v>
      </c>
      <c r="CG2751">
        <v>15588502</v>
      </c>
      <c r="CH2751" t="s">
        <v>1681</v>
      </c>
      <c r="CI2751" s="10">
        <v>499950</v>
      </c>
    </row>
    <row r="2752" spans="1:90">
      <c r="A2752">
        <v>28049501</v>
      </c>
      <c r="B2752" s="2" t="str">
        <f>HYPERLINK("http://www.redfin.com/stingray/do/printable-listing?listing-id=1579054","Active")</f>
        <v>Active</v>
      </c>
      <c r="D2752" t="s">
        <v>1077</v>
      </c>
      <c r="E2752" t="s">
        <v>6032</v>
      </c>
      <c r="F2752">
        <v>489950</v>
      </c>
      <c r="G2752">
        <v>2007</v>
      </c>
      <c r="H2752">
        <v>2476</v>
      </c>
      <c r="I2752">
        <v>6019</v>
      </c>
      <c r="J2752">
        <v>4</v>
      </c>
      <c r="K2752">
        <v>2.5</v>
      </c>
      <c r="M2752" s="2" t="str">
        <f>HYPERLINK("http://maps.live.com/default.aspx?v=2&amp;lvl=15&amp;sp=Point.47.498_-122.1865_3927 NE 9th Pl&amp;cp=47.498~-122.1865","Map")</f>
        <v>Map</v>
      </c>
      <c r="N2752" s="2" t="str">
        <f>HYPERLINK("http://i-0.rfimg.us/photo/1/bigphoto/501/28049501_0.jpg","Photo")</f>
        <v>Photo</v>
      </c>
      <c r="AG2752">
        <v>47.497999999999998</v>
      </c>
      <c r="AH2752">
        <v>-122.1865</v>
      </c>
      <c r="AI2752" t="s">
        <v>1077</v>
      </c>
      <c r="AJ2752">
        <v>98056</v>
      </c>
      <c r="BC2752" s="22">
        <v>39528.702847222223</v>
      </c>
      <c r="BI2752" s="22">
        <v>39549.294907407406</v>
      </c>
      <c r="BL2752">
        <v>9799</v>
      </c>
      <c r="BM2752">
        <v>1579054</v>
      </c>
      <c r="BN2752" t="s">
        <v>2590</v>
      </c>
      <c r="BO2752" s="17">
        <f t="shared" ca="1" si="42"/>
        <v>20.606558680556191</v>
      </c>
      <c r="BP2752" t="b">
        <v>0</v>
      </c>
      <c r="BQ2752">
        <v>1</v>
      </c>
      <c r="BR2752" t="s">
        <v>1842</v>
      </c>
      <c r="BS2752" t="s">
        <v>1785</v>
      </c>
      <c r="BT2752" t="b">
        <v>0</v>
      </c>
      <c r="BU2752" t="s">
        <v>1738</v>
      </c>
      <c r="BV2752" t="s">
        <v>1668</v>
      </c>
      <c r="BW2752">
        <v>3927</v>
      </c>
      <c r="BY2752">
        <v>12384754</v>
      </c>
      <c r="BZ2752" t="s">
        <v>1672</v>
      </c>
      <c r="CA2752">
        <v>1</v>
      </c>
      <c r="CB2752" t="b">
        <v>1</v>
      </c>
      <c r="CC2752">
        <v>0</v>
      </c>
      <c r="CD2752" t="b">
        <v>0</v>
      </c>
      <c r="CE2752" t="b">
        <v>0</v>
      </c>
      <c r="CF2752" t="b">
        <v>0</v>
      </c>
      <c r="CG2752">
        <v>15588692</v>
      </c>
      <c r="CH2752" t="s">
        <v>1681</v>
      </c>
      <c r="CI2752" s="10">
        <v>489950</v>
      </c>
    </row>
    <row r="2753" spans="1:90">
      <c r="A2753">
        <v>28049517</v>
      </c>
      <c r="B2753" s="15" t="str">
        <f>HYPERLINK("http://www.redfin.com/stingray/do/printable-listing?listing-id=1579933","Subject To Inspection")</f>
        <v>Subject To Inspection</v>
      </c>
      <c r="D2753" t="s">
        <v>3249</v>
      </c>
      <c r="E2753" t="s">
        <v>3618</v>
      </c>
      <c r="F2753">
        <v>699900</v>
      </c>
      <c r="G2753">
        <v>1956</v>
      </c>
      <c r="H2753">
        <v>2220</v>
      </c>
      <c r="I2753">
        <v>4230</v>
      </c>
      <c r="J2753">
        <v>3</v>
      </c>
      <c r="K2753">
        <v>1.75</v>
      </c>
      <c r="M2753" s="2" t="str">
        <f>HYPERLINK("http://maps.live.com/default.aspx?v=2&amp;lvl=15&amp;sp=Point.47.647754_-122.369775_839 W Etruria St&amp;cp=47.647754~-122.369775","Map")</f>
        <v>Map</v>
      </c>
      <c r="N2753" s="2" t="str">
        <f>HYPERLINK("http://i-0.rfimg.us/photo/1/bigphoto/517/28049517_1.jpg","Photo")</f>
        <v>Photo</v>
      </c>
      <c r="AG2753">
        <v>47.647753999999999</v>
      </c>
      <c r="AH2753">
        <v>-122.369775</v>
      </c>
      <c r="AI2753" t="s">
        <v>66</v>
      </c>
      <c r="AJ2753">
        <v>98119</v>
      </c>
      <c r="AN2753">
        <v>625000</v>
      </c>
      <c r="BC2753" s="22">
        <v>39529.254907407405</v>
      </c>
      <c r="BI2753" s="22">
        <v>39549.294907407406</v>
      </c>
      <c r="BL2753">
        <v>13998</v>
      </c>
      <c r="BM2753">
        <v>1579933</v>
      </c>
      <c r="BN2753" t="s">
        <v>1766</v>
      </c>
      <c r="BO2753" s="17">
        <f t="shared" ca="1" si="42"/>
        <v>20.054498495373991</v>
      </c>
      <c r="BP2753" t="b">
        <v>0</v>
      </c>
      <c r="BQ2753">
        <v>1</v>
      </c>
      <c r="BR2753" t="s">
        <v>1686</v>
      </c>
      <c r="BS2753" t="s">
        <v>3268</v>
      </c>
      <c r="BT2753" t="b">
        <v>0</v>
      </c>
      <c r="BU2753" t="s">
        <v>2423</v>
      </c>
      <c r="BV2753" t="s">
        <v>1668</v>
      </c>
      <c r="BW2753">
        <v>839</v>
      </c>
      <c r="BY2753">
        <v>129886</v>
      </c>
      <c r="BZ2753" t="s">
        <v>1704</v>
      </c>
      <c r="CA2753">
        <v>1</v>
      </c>
      <c r="CB2753" t="b">
        <v>1</v>
      </c>
      <c r="CC2753">
        <v>0</v>
      </c>
      <c r="CD2753" t="b">
        <v>0</v>
      </c>
      <c r="CE2753" t="b">
        <v>1</v>
      </c>
      <c r="CF2753" t="b">
        <v>0</v>
      </c>
      <c r="CG2753">
        <v>2406056</v>
      </c>
      <c r="CH2753" t="s">
        <v>1681</v>
      </c>
      <c r="CI2753" s="10">
        <v>699900</v>
      </c>
      <c r="CJ2753" s="7">
        <v>38868</v>
      </c>
    </row>
    <row r="2754" spans="1:90">
      <c r="A2754">
        <v>28049530</v>
      </c>
      <c r="B2754" s="2" t="str">
        <f>HYPERLINK("http://www.redfin.com/stingray/do/printable-listing?listing-id=1579205","Active")</f>
        <v>Active</v>
      </c>
      <c r="D2754" t="s">
        <v>5191</v>
      </c>
      <c r="E2754" t="s">
        <v>5190</v>
      </c>
      <c r="F2754">
        <v>749900</v>
      </c>
      <c r="G2754">
        <v>1987</v>
      </c>
      <c r="H2754">
        <v>2588</v>
      </c>
      <c r="I2754">
        <v>22580</v>
      </c>
      <c r="J2754">
        <v>4</v>
      </c>
      <c r="K2754">
        <v>2.5</v>
      </c>
      <c r="M2754" s="2" t="str">
        <f>HYPERLINK("http://maps.live.com/default.aspx?v=2&amp;lvl=15&amp;sp=Point.47.571153_-122.153098_14008 SE 42nd St&amp;cp=47.571153~-122.153098","Map")</f>
        <v>Map</v>
      </c>
      <c r="N2754" s="2" t="str">
        <f>HYPERLINK("http://i-0.rfimg.us/photo/1/bigphoto/530/28049530_0.jpg","Photo")</f>
        <v>Photo</v>
      </c>
      <c r="AG2754">
        <v>47.571153000000002</v>
      </c>
      <c r="AH2754">
        <v>-122.153098</v>
      </c>
      <c r="AI2754" t="s">
        <v>369</v>
      </c>
      <c r="AJ2754">
        <v>98006</v>
      </c>
      <c r="AN2754">
        <v>310000</v>
      </c>
      <c r="BC2754" s="22">
        <v>39528.776608796295</v>
      </c>
      <c r="BI2754" s="7">
        <v>39535</v>
      </c>
      <c r="BL2754">
        <v>14998</v>
      </c>
      <c r="BM2754">
        <v>1579205</v>
      </c>
      <c r="BN2754" t="s">
        <v>1735</v>
      </c>
      <c r="BO2754" s="17">
        <f t="shared" ref="BO2754:BO2817" ca="1" si="43">NOW()-BC2754</f>
        <v>20.532797106483486</v>
      </c>
      <c r="BP2754" t="b">
        <v>0</v>
      </c>
      <c r="BQ2754">
        <v>1</v>
      </c>
      <c r="BR2754" t="s">
        <v>1686</v>
      </c>
      <c r="BS2754" t="s">
        <v>3371</v>
      </c>
      <c r="BT2754" t="b">
        <v>0</v>
      </c>
      <c r="BU2754" t="s">
        <v>3856</v>
      </c>
      <c r="BV2754" t="s">
        <v>1668</v>
      </c>
      <c r="BW2754">
        <v>14008</v>
      </c>
      <c r="BY2754">
        <v>240886</v>
      </c>
      <c r="BZ2754" t="s">
        <v>1672</v>
      </c>
      <c r="CA2754">
        <v>1</v>
      </c>
      <c r="CB2754" t="b">
        <v>1</v>
      </c>
      <c r="CC2754">
        <v>0</v>
      </c>
      <c r="CD2754" t="b">
        <v>0</v>
      </c>
      <c r="CE2754" t="b">
        <v>1</v>
      </c>
      <c r="CF2754" t="b">
        <v>0</v>
      </c>
      <c r="CG2754">
        <v>2932380</v>
      </c>
      <c r="CH2754" t="s">
        <v>1681</v>
      </c>
      <c r="CI2754" s="10">
        <v>749900</v>
      </c>
      <c r="CJ2754" s="7">
        <v>35185</v>
      </c>
    </row>
    <row r="2755" spans="1:90">
      <c r="A2755">
        <v>28049534</v>
      </c>
      <c r="B2755" s="15" t="str">
        <f>HYPERLINK("http://www.redfin.com/stingray/do/printable-listing?listing-id=1579227","Subject To Inspection")</f>
        <v>Subject To Inspection</v>
      </c>
      <c r="D2755" t="s">
        <v>100</v>
      </c>
      <c r="E2755" t="s">
        <v>3292</v>
      </c>
      <c r="F2755">
        <v>515000</v>
      </c>
      <c r="G2755">
        <v>2008</v>
      </c>
      <c r="H2755">
        <v>1350</v>
      </c>
      <c r="I2755">
        <v>0</v>
      </c>
      <c r="J2755">
        <v>3</v>
      </c>
      <c r="K2755">
        <v>2.75</v>
      </c>
      <c r="M2755" s="2" t="str">
        <f>HYPERLINK("http://maps.live.com/default.aspx?v=2&amp;lvl=15&amp;sp=Point.47.653723_-122.356268_3634 Palatine Ave N&amp;cp=47.653723~-122.356268","Map")</f>
        <v>Map</v>
      </c>
      <c r="N2755" s="2" t="str">
        <f>HYPERLINK("http://i-0.rfimg.us/photo/1/bigphoto/534/28049534_0.jpg","Photo")</f>
        <v>Photo</v>
      </c>
      <c r="AG2755">
        <v>47.653722999999999</v>
      </c>
      <c r="AH2755">
        <v>-122.356268</v>
      </c>
      <c r="AI2755" t="s">
        <v>66</v>
      </c>
      <c r="AJ2755">
        <v>98103</v>
      </c>
      <c r="AN2755">
        <v>725000</v>
      </c>
      <c r="BC2755" s="22">
        <v>39528.797500000001</v>
      </c>
      <c r="BI2755" s="22">
        <v>39549.294907407406</v>
      </c>
      <c r="BL2755">
        <v>10300</v>
      </c>
      <c r="BM2755">
        <v>1579227</v>
      </c>
      <c r="BN2755" t="s">
        <v>1737</v>
      </c>
      <c r="BO2755" s="17">
        <f t="shared" ca="1" si="43"/>
        <v>20.511905902778381</v>
      </c>
      <c r="BP2755" t="b">
        <v>0</v>
      </c>
      <c r="BQ2755">
        <v>1</v>
      </c>
      <c r="BR2755" t="s">
        <v>1667</v>
      </c>
      <c r="BS2755" t="s">
        <v>2605</v>
      </c>
      <c r="BT2755" t="b">
        <v>0</v>
      </c>
      <c r="BV2755" t="s">
        <v>1668</v>
      </c>
      <c r="BW2755">
        <v>3634</v>
      </c>
      <c r="BX2755" t="s">
        <v>1712</v>
      </c>
      <c r="BY2755">
        <v>302720</v>
      </c>
      <c r="BZ2755" t="s">
        <v>1701</v>
      </c>
      <c r="CA2755">
        <v>1</v>
      </c>
      <c r="CB2755" t="b">
        <v>1</v>
      </c>
      <c r="CC2755">
        <v>0</v>
      </c>
      <c r="CD2755" t="b">
        <v>0</v>
      </c>
      <c r="CE2755" t="b">
        <v>0</v>
      </c>
      <c r="CF2755" t="b">
        <v>0</v>
      </c>
      <c r="CG2755">
        <v>2454723</v>
      </c>
      <c r="CH2755" t="s">
        <v>1681</v>
      </c>
      <c r="CI2755" s="10">
        <v>515000</v>
      </c>
      <c r="CJ2755" s="7">
        <v>38936</v>
      </c>
    </row>
    <row r="2756" spans="1:90">
      <c r="A2756">
        <v>28049558</v>
      </c>
      <c r="B2756" s="15" t="str">
        <f>HYPERLINK("http://www.redfin.com/stingray/do/printable-listing?listing-id=1579301","Subject To Inspection")</f>
        <v>Subject To Inspection</v>
      </c>
      <c r="D2756" t="s">
        <v>100</v>
      </c>
      <c r="E2756" t="s">
        <v>3553</v>
      </c>
      <c r="F2756">
        <v>529000</v>
      </c>
      <c r="G2756">
        <v>1946</v>
      </c>
      <c r="H2756">
        <v>0</v>
      </c>
      <c r="I2756">
        <v>5600</v>
      </c>
      <c r="J2756">
        <v>2</v>
      </c>
      <c r="K2756">
        <v>1</v>
      </c>
      <c r="M2756" s="2" t="str">
        <f>HYPERLINK("http://maps.live.com/default.aspx?v=2&amp;lvl=15&amp;sp=Point.47.656096_-122.351521_4021 Evanston Ave N&amp;cp=47.656096~-122.351521","Map")</f>
        <v>Map</v>
      </c>
      <c r="N2756" s="2" t="str">
        <f>HYPERLINK("http://i-0.rfimg.us/photo/1/bigphoto/558/28049558_1.jpg","Photo")</f>
        <v>Photo</v>
      </c>
      <c r="AG2756">
        <v>47.656095999999998</v>
      </c>
      <c r="AH2756">
        <v>-122.35152100000001</v>
      </c>
      <c r="AI2756" t="s">
        <v>66</v>
      </c>
      <c r="AJ2756">
        <v>98103</v>
      </c>
      <c r="AN2756">
        <v>139950</v>
      </c>
      <c r="BC2756" s="22">
        <v>39528.890115740738</v>
      </c>
      <c r="BI2756" s="22">
        <v>39545.917314814818</v>
      </c>
      <c r="BL2756">
        <v>10580</v>
      </c>
      <c r="BM2756">
        <v>1579301</v>
      </c>
      <c r="BN2756" t="s">
        <v>1768</v>
      </c>
      <c r="BO2756" s="17">
        <f t="shared" ca="1" si="43"/>
        <v>20.419290162040852</v>
      </c>
      <c r="BP2756" t="b">
        <v>0</v>
      </c>
      <c r="BQ2756">
        <v>1</v>
      </c>
      <c r="BR2756" t="s">
        <v>1667</v>
      </c>
      <c r="BS2756" t="s">
        <v>2487</v>
      </c>
      <c r="BT2756" t="b">
        <v>0</v>
      </c>
      <c r="BV2756" t="s">
        <v>1668</v>
      </c>
      <c r="BW2756">
        <v>4021</v>
      </c>
      <c r="BX2756" t="s">
        <v>1712</v>
      </c>
      <c r="BY2756">
        <v>302986</v>
      </c>
      <c r="BZ2756" t="s">
        <v>1704</v>
      </c>
      <c r="CA2756">
        <v>1</v>
      </c>
      <c r="CB2756" t="b">
        <v>1</v>
      </c>
      <c r="CC2756">
        <v>0</v>
      </c>
      <c r="CD2756" t="b">
        <v>0</v>
      </c>
      <c r="CE2756" t="b">
        <v>1</v>
      </c>
      <c r="CF2756" t="b">
        <v>0</v>
      </c>
      <c r="CG2756">
        <v>2666960</v>
      </c>
      <c r="CH2756" t="s">
        <v>1681</v>
      </c>
      <c r="CI2756" s="10">
        <v>529000</v>
      </c>
      <c r="CJ2756" s="7">
        <v>35146</v>
      </c>
    </row>
    <row r="2757" spans="1:90">
      <c r="A2757">
        <v>28049584</v>
      </c>
      <c r="B2757" s="2" t="str">
        <f>HYPERLINK("http://www.redfin.com/stingray/do/printable-listing?listing-id=1579943","Active")</f>
        <v>Active</v>
      </c>
      <c r="D2757" t="s">
        <v>3685</v>
      </c>
      <c r="E2757" t="s">
        <v>3722</v>
      </c>
      <c r="F2757">
        <v>1099000</v>
      </c>
      <c r="G2757">
        <v>1902</v>
      </c>
      <c r="H2757">
        <v>2600</v>
      </c>
      <c r="I2757">
        <v>0</v>
      </c>
      <c r="J2757">
        <v>3</v>
      </c>
      <c r="K2757">
        <v>2.5</v>
      </c>
      <c r="M2757" s="2" t="str">
        <f>HYPERLINK("http://maps.live.com/default.aspx?v=2&amp;lvl=15&amp;sp=Point.47.632331_-122.284472_1501 38 Ave E&amp;cp=47.632331~-122.284472","Map")</f>
        <v>Map</v>
      </c>
      <c r="N2757" s="2" t="str">
        <f>HYPERLINK("http://i-0.rfimg.us/photo/1/bigphoto/584/28049584_1.jpg","Photo")</f>
        <v>Photo</v>
      </c>
      <c r="AG2757">
        <v>47.632331000000001</v>
      </c>
      <c r="AH2757">
        <v>-122.28447199999999</v>
      </c>
      <c r="AI2757" t="s">
        <v>66</v>
      </c>
      <c r="AJ2757">
        <v>98112</v>
      </c>
      <c r="AN2757">
        <v>600000</v>
      </c>
      <c r="BC2757" s="22">
        <v>39529.285497685189</v>
      </c>
      <c r="BI2757" s="22">
        <v>39549.294907407406</v>
      </c>
      <c r="BL2757">
        <v>21980</v>
      </c>
      <c r="BM2757">
        <v>1579943</v>
      </c>
      <c r="BN2757" t="s">
        <v>1715</v>
      </c>
      <c r="BO2757" s="17">
        <f t="shared" ca="1" si="43"/>
        <v>20.02390821759036</v>
      </c>
      <c r="BP2757" t="b">
        <v>0</v>
      </c>
      <c r="BQ2757">
        <v>1</v>
      </c>
      <c r="BR2757" t="s">
        <v>1667</v>
      </c>
      <c r="BS2757">
        <v>38</v>
      </c>
      <c r="BT2757" t="b">
        <v>0</v>
      </c>
      <c r="BV2757" t="s">
        <v>1668</v>
      </c>
      <c r="BW2757">
        <v>1501</v>
      </c>
      <c r="BX2757" t="s">
        <v>2436</v>
      </c>
      <c r="BY2757">
        <v>139428</v>
      </c>
      <c r="BZ2757" t="s">
        <v>2065</v>
      </c>
      <c r="CA2757">
        <v>1</v>
      </c>
      <c r="CB2757" t="b">
        <v>1</v>
      </c>
      <c r="CC2757">
        <v>0</v>
      </c>
      <c r="CD2757" t="b">
        <v>0</v>
      </c>
      <c r="CE2757" t="b">
        <v>1</v>
      </c>
      <c r="CF2757" t="b">
        <v>0</v>
      </c>
      <c r="CG2757">
        <v>2593075</v>
      </c>
      <c r="CH2757" t="s">
        <v>1681</v>
      </c>
      <c r="CI2757" s="10">
        <v>1099000</v>
      </c>
      <c r="CJ2757" s="7">
        <v>37417</v>
      </c>
    </row>
    <row r="2758" spans="1:90">
      <c r="A2758">
        <v>28049588</v>
      </c>
      <c r="B2758" s="2" t="str">
        <f>HYPERLINK("http://www.redfin.com/stingray/do/printable-listing?listing-id=1580119","Active")</f>
        <v>Active</v>
      </c>
      <c r="D2758" t="s">
        <v>99</v>
      </c>
      <c r="E2758" t="s">
        <v>2060</v>
      </c>
      <c r="F2758">
        <v>430000</v>
      </c>
      <c r="G2758">
        <v>1937</v>
      </c>
      <c r="H2758">
        <v>1360</v>
      </c>
      <c r="I2758">
        <v>8100</v>
      </c>
      <c r="J2758">
        <v>3</v>
      </c>
      <c r="K2758">
        <v>1</v>
      </c>
      <c r="M2758" s="2" t="str">
        <f>HYPERLINK("http://maps.live.com/default.aspx?v=2&amp;lvl=15&amp;sp=Point.47.697393_-122.376397_9246 15th Ave NW&amp;cp=47.697393~-122.376397","Map")</f>
        <v>Map</v>
      </c>
      <c r="N2758" s="2" t="str">
        <f>HYPERLINK("http://i-0.rfimg.us/photo/1/bigphoto/588/28049588_.jpg","Photo")</f>
        <v>Photo</v>
      </c>
      <c r="AG2758">
        <v>47.697392999999998</v>
      </c>
      <c r="AH2758">
        <v>-122.376397</v>
      </c>
      <c r="AI2758" t="s">
        <v>66</v>
      </c>
      <c r="AJ2758">
        <v>98117</v>
      </c>
      <c r="AN2758">
        <v>342000</v>
      </c>
      <c r="BC2758" s="22">
        <v>39529.442129629628</v>
      </c>
      <c r="BI2758" s="7">
        <v>39534</v>
      </c>
      <c r="BL2758">
        <v>8600</v>
      </c>
      <c r="BM2758">
        <v>1580119</v>
      </c>
      <c r="BN2758" t="s">
        <v>1725</v>
      </c>
      <c r="BO2758" s="17">
        <f t="shared" ca="1" si="43"/>
        <v>19.867276388889877</v>
      </c>
      <c r="BP2758" t="b">
        <v>0</v>
      </c>
      <c r="BQ2758">
        <v>1</v>
      </c>
      <c r="BR2758" t="s">
        <v>1667</v>
      </c>
      <c r="BS2758" t="s">
        <v>1838</v>
      </c>
      <c r="BT2758" t="b">
        <v>0</v>
      </c>
      <c r="BV2758" t="s">
        <v>1668</v>
      </c>
      <c r="BW2758">
        <v>9246</v>
      </c>
      <c r="BX2758" t="s">
        <v>1669</v>
      </c>
      <c r="BY2758">
        <v>95884</v>
      </c>
      <c r="BZ2758" t="s">
        <v>1762</v>
      </c>
      <c r="CA2758">
        <v>1</v>
      </c>
      <c r="CB2758" t="b">
        <v>1</v>
      </c>
      <c r="CC2758">
        <v>0</v>
      </c>
      <c r="CD2758" t="b">
        <v>0</v>
      </c>
      <c r="CE2758" t="b">
        <v>1</v>
      </c>
      <c r="CF2758" t="b">
        <v>0</v>
      </c>
      <c r="CG2758">
        <v>2681382</v>
      </c>
      <c r="CH2758" t="s">
        <v>1681</v>
      </c>
      <c r="CI2758" s="10">
        <v>430000</v>
      </c>
      <c r="CJ2758" s="7">
        <v>38329</v>
      </c>
      <c r="CK2758" t="s">
        <v>2275</v>
      </c>
      <c r="CL2758" t="s">
        <v>2204</v>
      </c>
    </row>
    <row r="2759" spans="1:90">
      <c r="A2759">
        <v>28049605</v>
      </c>
      <c r="B2759" s="2" t="str">
        <f>HYPERLINK("http://www.redfin.com/stingray/do/printable-listing?listing-id=1579972","Active")</f>
        <v>Active</v>
      </c>
      <c r="D2759" t="s">
        <v>1115</v>
      </c>
      <c r="E2759" t="s">
        <v>3086</v>
      </c>
      <c r="F2759">
        <v>1248000</v>
      </c>
      <c r="G2759">
        <v>2008</v>
      </c>
      <c r="H2759">
        <v>3816</v>
      </c>
      <c r="I2759">
        <v>0</v>
      </c>
      <c r="J2759">
        <v>5</v>
      </c>
      <c r="K2759">
        <v>3.5</v>
      </c>
      <c r="M2759" s="2" t="str">
        <f>HYPERLINK("http://maps.live.com/default.aspx?v=2&amp;lvl=15&amp;sp=Point.47.676926_-122.268695_6500 55th Ave NE&amp;cp=47.676926~-122.268695","Map")</f>
        <v>Map</v>
      </c>
      <c r="N2759" s="2" t="str">
        <f>HYPERLINK("http://i-0.rfimg.us/photo/1/bigphoto/605/28049605_0.jpg","Photo")</f>
        <v>Photo</v>
      </c>
      <c r="AG2759">
        <v>47.676926000000002</v>
      </c>
      <c r="AH2759">
        <v>-122.26869499999999</v>
      </c>
      <c r="AI2759" t="s">
        <v>66</v>
      </c>
      <c r="AJ2759">
        <v>98115</v>
      </c>
      <c r="BC2759" s="22">
        <v>39529.337766203702</v>
      </c>
      <c r="BI2759" s="22">
        <v>39549.294907407406</v>
      </c>
      <c r="BL2759">
        <v>24960</v>
      </c>
      <c r="BM2759">
        <v>1579972</v>
      </c>
      <c r="BN2759" t="s">
        <v>1710</v>
      </c>
      <c r="BO2759" s="17">
        <f t="shared" ca="1" si="43"/>
        <v>19.971639699077059</v>
      </c>
      <c r="BP2759" t="b">
        <v>0</v>
      </c>
      <c r="BQ2759">
        <v>1</v>
      </c>
      <c r="BR2759" t="s">
        <v>1667</v>
      </c>
      <c r="BS2759" t="s">
        <v>2514</v>
      </c>
      <c r="BT2759" t="b">
        <v>0</v>
      </c>
      <c r="BV2759" t="s">
        <v>1668</v>
      </c>
      <c r="BW2759">
        <v>6500</v>
      </c>
      <c r="BX2759" t="s">
        <v>1738</v>
      </c>
      <c r="BY2759">
        <v>12303885</v>
      </c>
      <c r="BZ2759" t="s">
        <v>1672</v>
      </c>
      <c r="CA2759">
        <v>1</v>
      </c>
      <c r="CB2759" t="b">
        <v>1</v>
      </c>
      <c r="CC2759">
        <v>0</v>
      </c>
      <c r="CD2759" t="b">
        <v>0</v>
      </c>
      <c r="CE2759" t="b">
        <v>1</v>
      </c>
      <c r="CF2759" t="b">
        <v>0</v>
      </c>
      <c r="CG2759">
        <v>10533304</v>
      </c>
      <c r="CH2759" t="s">
        <v>1681</v>
      </c>
      <c r="CI2759" s="10">
        <v>1248000</v>
      </c>
    </row>
    <row r="2760" spans="1:90">
      <c r="A2760">
        <v>28049625</v>
      </c>
      <c r="B2760" s="2" t="str">
        <f>HYPERLINK("http://www.redfin.com/stingray/do/printable-listing?listing-id=1585532","Active")</f>
        <v>Active</v>
      </c>
      <c r="D2760" t="s">
        <v>5776</v>
      </c>
      <c r="E2760" t="s">
        <v>6456</v>
      </c>
      <c r="F2760">
        <v>585000</v>
      </c>
      <c r="G2760">
        <v>1974</v>
      </c>
      <c r="H2760">
        <v>1610</v>
      </c>
      <c r="I2760">
        <v>5401</v>
      </c>
      <c r="J2760">
        <v>3</v>
      </c>
      <c r="K2760">
        <v>2.5</v>
      </c>
      <c r="M2760" s="2" t="str">
        <f>HYPERLINK("http://maps.live.com/default.aspx?v=2&amp;lvl=15&amp;sp=Point.47.517473_-122.206904_2820 N Burnett Ave&amp;cp=47.517473~-122.206904","Map")</f>
        <v>Map</v>
      </c>
      <c r="N2760" s="2" t="str">
        <f>HYPERLINK("http://i-0.rfimg.us/photo/1/bigphoto/625/28049625_0.jpg","Photo")</f>
        <v>Photo</v>
      </c>
      <c r="AG2760">
        <v>47.517473000000003</v>
      </c>
      <c r="AH2760">
        <v>-122.20690399999999</v>
      </c>
      <c r="AI2760" t="s">
        <v>1077</v>
      </c>
      <c r="AJ2760">
        <v>98056</v>
      </c>
      <c r="AN2760">
        <v>450000</v>
      </c>
      <c r="BC2760" s="22">
        <v>39532.422974537039</v>
      </c>
      <c r="BI2760" s="22">
        <v>39549.294907407406</v>
      </c>
      <c r="BL2760">
        <v>11700</v>
      </c>
      <c r="BM2760">
        <v>1585532</v>
      </c>
      <c r="BN2760" t="s">
        <v>3092</v>
      </c>
      <c r="BO2760" s="17">
        <f t="shared" ca="1" si="43"/>
        <v>16.886431365739554</v>
      </c>
      <c r="BP2760" t="b">
        <v>0</v>
      </c>
      <c r="BQ2760">
        <v>1</v>
      </c>
      <c r="BR2760" t="s">
        <v>1667</v>
      </c>
      <c r="BS2760" t="s">
        <v>6457</v>
      </c>
      <c r="BT2760" t="b">
        <v>0</v>
      </c>
      <c r="BU2760" t="s">
        <v>1712</v>
      </c>
      <c r="BV2760" t="s">
        <v>1668</v>
      </c>
      <c r="BW2760">
        <v>2820</v>
      </c>
      <c r="BY2760">
        <v>408862</v>
      </c>
      <c r="BZ2760" t="s">
        <v>1676</v>
      </c>
      <c r="CA2760">
        <v>1</v>
      </c>
      <c r="CB2760" t="b">
        <v>1</v>
      </c>
      <c r="CC2760">
        <v>0</v>
      </c>
      <c r="CD2760" t="b">
        <v>0</v>
      </c>
      <c r="CE2760" t="b">
        <v>1</v>
      </c>
      <c r="CF2760" t="b">
        <v>0</v>
      </c>
      <c r="CG2760">
        <v>2670880</v>
      </c>
      <c r="CH2760" t="s">
        <v>1681</v>
      </c>
      <c r="CI2760" s="10">
        <v>585000</v>
      </c>
      <c r="CJ2760" s="7">
        <v>39175</v>
      </c>
      <c r="CL2760" s="19" t="s">
        <v>6758</v>
      </c>
    </row>
    <row r="2761" spans="1:90">
      <c r="A2761">
        <v>28049660</v>
      </c>
      <c r="B2761" s="15" t="str">
        <f>HYPERLINK("http://www.redfin.com/stingray/do/printable-listing?listing-id=1580100","Subject To Inspection")</f>
        <v>Subject To Inspection</v>
      </c>
      <c r="D2761" t="s">
        <v>3929</v>
      </c>
      <c r="E2761" t="s">
        <v>6034</v>
      </c>
      <c r="F2761">
        <v>424980</v>
      </c>
      <c r="G2761">
        <v>1999</v>
      </c>
      <c r="H2761">
        <v>2020</v>
      </c>
      <c r="I2761">
        <v>6417</v>
      </c>
      <c r="J2761">
        <v>4</v>
      </c>
      <c r="K2761">
        <v>2.5</v>
      </c>
      <c r="M2761" s="2" t="str">
        <f>HYPERLINK("http://maps.live.com/default.aspx?v=2&amp;lvl=15&amp;sp=Point.47.497951080308_-122.15231967175_5001 NE 9th Pl&amp;cp=47.497951080308~-122.15231967175","Map")</f>
        <v>Map</v>
      </c>
      <c r="N2761" s="2" t="str">
        <f>HYPERLINK("http://i-0.rfimg.us/photo/1/bigphoto/660/28049660_1.jpg","Photo")</f>
        <v>Photo</v>
      </c>
      <c r="AG2761">
        <v>47.497951080307999</v>
      </c>
      <c r="AH2761">
        <v>-122.15231967175001</v>
      </c>
      <c r="AI2761" t="s">
        <v>1077</v>
      </c>
      <c r="AJ2761">
        <v>98059</v>
      </c>
      <c r="AN2761">
        <v>242000</v>
      </c>
      <c r="BC2761" s="22">
        <v>39529.431423611109</v>
      </c>
      <c r="BI2761" s="22">
        <v>39549.294907407406</v>
      </c>
      <c r="BL2761">
        <v>8500</v>
      </c>
      <c r="BM2761">
        <v>1580100</v>
      </c>
      <c r="BN2761" t="s">
        <v>1773</v>
      </c>
      <c r="BO2761" s="17">
        <f t="shared" ca="1" si="43"/>
        <v>19.877982291669468</v>
      </c>
      <c r="BP2761" t="b">
        <v>0</v>
      </c>
      <c r="BQ2761">
        <v>1</v>
      </c>
      <c r="BR2761" t="s">
        <v>1842</v>
      </c>
      <c r="BS2761" t="s">
        <v>1785</v>
      </c>
      <c r="BT2761" t="b">
        <v>0</v>
      </c>
      <c r="BU2761" t="s">
        <v>1738</v>
      </c>
      <c r="BV2761" t="s">
        <v>1668</v>
      </c>
      <c r="BW2761">
        <v>5001</v>
      </c>
      <c r="BY2761">
        <v>243634</v>
      </c>
      <c r="BZ2761" t="s">
        <v>1704</v>
      </c>
      <c r="CA2761">
        <v>1</v>
      </c>
      <c r="CB2761" t="b">
        <v>1</v>
      </c>
      <c r="CC2761">
        <v>0</v>
      </c>
      <c r="CD2761" t="b">
        <v>0</v>
      </c>
      <c r="CE2761" t="b">
        <v>1</v>
      </c>
      <c r="CF2761" t="b">
        <v>0</v>
      </c>
      <c r="CG2761">
        <v>2706942</v>
      </c>
      <c r="CH2761" t="s">
        <v>1681</v>
      </c>
      <c r="CI2761" s="10">
        <v>424980</v>
      </c>
      <c r="CJ2761" s="7">
        <v>36356</v>
      </c>
    </row>
    <row r="2762" spans="1:90">
      <c r="A2762">
        <v>28049669</v>
      </c>
      <c r="B2762" s="2" t="str">
        <f>HYPERLINK("http://www.redfin.com/stingray/do/printable-listing?listing-id=1580137","Active")</f>
        <v>Active</v>
      </c>
      <c r="D2762" t="s">
        <v>5216</v>
      </c>
      <c r="E2762" t="s">
        <v>5314</v>
      </c>
      <c r="F2762">
        <v>499950</v>
      </c>
      <c r="G2762">
        <v>1963</v>
      </c>
      <c r="H2762">
        <v>1530</v>
      </c>
      <c r="I2762">
        <v>7841</v>
      </c>
      <c r="J2762">
        <v>3</v>
      </c>
      <c r="K2762">
        <v>1.75</v>
      </c>
      <c r="M2762" s="2" t="str">
        <f>HYPERLINK("http://maps.live.com/default.aspx?v=2&amp;lvl=15&amp;sp=Point.47.621171_-122.11283_1275 170th Ave NE&amp;cp=47.621171~-122.11283","Map")</f>
        <v>Map</v>
      </c>
      <c r="N2762" s="2" t="str">
        <f>HYPERLINK("http://i-0.rfimg.us/photo/1/bigphoto/669/28049669_.jpg","Photo")</f>
        <v>Photo</v>
      </c>
      <c r="AG2762">
        <v>47.621170999999997</v>
      </c>
      <c r="AH2762">
        <v>-122.11283</v>
      </c>
      <c r="AI2762" t="s">
        <v>369</v>
      </c>
      <c r="AJ2762">
        <v>98008</v>
      </c>
      <c r="AN2762">
        <v>82500</v>
      </c>
      <c r="BC2762" s="22">
        <v>39529.452303240738</v>
      </c>
      <c r="BI2762" s="22">
        <v>39549.294907407406</v>
      </c>
      <c r="BL2762">
        <v>9999</v>
      </c>
      <c r="BM2762">
        <v>1580137</v>
      </c>
      <c r="BN2762" t="s">
        <v>1735</v>
      </c>
      <c r="BO2762" s="17">
        <f t="shared" ca="1" si="43"/>
        <v>19.857102662041143</v>
      </c>
      <c r="BP2762" t="b">
        <v>0</v>
      </c>
      <c r="BQ2762">
        <v>1</v>
      </c>
      <c r="BR2762" t="s">
        <v>1667</v>
      </c>
      <c r="BS2762" t="s">
        <v>5302</v>
      </c>
      <c r="BT2762" t="b">
        <v>0</v>
      </c>
      <c r="BV2762" t="s">
        <v>1668</v>
      </c>
      <c r="BW2762">
        <v>1275</v>
      </c>
      <c r="BX2762" t="s">
        <v>1738</v>
      </c>
      <c r="BY2762">
        <v>500972</v>
      </c>
      <c r="BZ2762" t="s">
        <v>6448</v>
      </c>
      <c r="CA2762">
        <v>1</v>
      </c>
      <c r="CB2762" t="b">
        <v>1</v>
      </c>
      <c r="CC2762">
        <v>0</v>
      </c>
      <c r="CD2762" t="b">
        <v>0</v>
      </c>
      <c r="CE2762" t="b">
        <v>1</v>
      </c>
      <c r="CF2762" t="b">
        <v>0</v>
      </c>
      <c r="CG2762">
        <v>2344282</v>
      </c>
      <c r="CH2762" t="s">
        <v>1681</v>
      </c>
      <c r="CI2762" s="10">
        <v>499950</v>
      </c>
      <c r="CJ2762" s="7">
        <v>30560</v>
      </c>
    </row>
    <row r="2763" spans="1:90">
      <c r="A2763">
        <v>28049676</v>
      </c>
      <c r="B2763" s="2" t="str">
        <f>HYPERLINK("http://www.redfin.com/stingray/do/printable-listing?listing-id=1580176","Active")</f>
        <v>Active</v>
      </c>
      <c r="D2763" t="s">
        <v>60</v>
      </c>
      <c r="E2763" t="s">
        <v>2807</v>
      </c>
      <c r="F2763" s="19">
        <v>332000</v>
      </c>
      <c r="G2763">
        <v>2005</v>
      </c>
      <c r="H2763">
        <v>1430</v>
      </c>
      <c r="I2763">
        <v>1176</v>
      </c>
      <c r="J2763">
        <v>2</v>
      </c>
      <c r="K2763">
        <v>2.5</v>
      </c>
      <c r="M2763" s="2" t="str">
        <f>HYPERLINK("http://maps.live.com/default.aspx?v=2&amp;lvl=15&amp;sp=Point.47.699249_-122.341003_9557 Interlake Ave N&amp;cp=47.699249~-122.341003","Map")</f>
        <v>Map</v>
      </c>
      <c r="N2763" s="2" t="str">
        <f>HYPERLINK("http://i-0.rfimg.us/photo/1/bigphoto/676/28049676_0.jpg","Photo")</f>
        <v>Photo</v>
      </c>
      <c r="AG2763">
        <v>47.699249000000002</v>
      </c>
      <c r="AH2763">
        <v>-122.341003</v>
      </c>
      <c r="AI2763" t="s">
        <v>66</v>
      </c>
      <c r="AJ2763">
        <v>98103</v>
      </c>
      <c r="BC2763" s="22">
        <v>39529.473391203705</v>
      </c>
      <c r="BI2763" s="22">
        <v>39549.294907407406</v>
      </c>
      <c r="BL2763">
        <v>6840</v>
      </c>
      <c r="BM2763">
        <v>1580176</v>
      </c>
      <c r="BN2763" t="s">
        <v>2766</v>
      </c>
      <c r="BO2763" s="17">
        <f t="shared" ca="1" si="43"/>
        <v>19.83601469907444</v>
      </c>
      <c r="BP2763" t="b">
        <v>0</v>
      </c>
      <c r="BQ2763">
        <v>1</v>
      </c>
      <c r="BR2763" t="s">
        <v>1667</v>
      </c>
      <c r="BS2763" t="s">
        <v>2378</v>
      </c>
      <c r="BT2763" t="b">
        <v>0</v>
      </c>
      <c r="BV2763" t="s">
        <v>1668</v>
      </c>
      <c r="BW2763">
        <v>9557</v>
      </c>
      <c r="BX2763" t="s">
        <v>1712</v>
      </c>
      <c r="BY2763">
        <v>12433718</v>
      </c>
      <c r="BZ2763" t="s">
        <v>1743</v>
      </c>
      <c r="CA2763">
        <v>1</v>
      </c>
      <c r="CB2763" t="b">
        <v>1</v>
      </c>
      <c r="CC2763">
        <v>0</v>
      </c>
      <c r="CD2763" t="b">
        <v>0</v>
      </c>
      <c r="CE2763" t="b">
        <v>1</v>
      </c>
      <c r="CF2763" t="b">
        <v>0</v>
      </c>
      <c r="CG2763">
        <v>15637466</v>
      </c>
      <c r="CH2763" t="s">
        <v>1681</v>
      </c>
      <c r="CI2763" s="10">
        <v>342000</v>
      </c>
    </row>
    <row r="2764" spans="1:90">
      <c r="A2764">
        <v>28049716</v>
      </c>
      <c r="B2764" s="2" t="str">
        <f>HYPERLINK("http://www.redfin.com/stingray/do/printable-listing?listing-id=1582539","Active")</f>
        <v>Active</v>
      </c>
      <c r="D2764" t="s">
        <v>5139</v>
      </c>
      <c r="E2764" t="s">
        <v>6314</v>
      </c>
      <c r="F2764">
        <v>1199000</v>
      </c>
      <c r="G2764">
        <v>1974</v>
      </c>
      <c r="H2764">
        <v>3150</v>
      </c>
      <c r="I2764">
        <v>14352</v>
      </c>
      <c r="J2764">
        <v>5</v>
      </c>
      <c r="K2764">
        <v>2.25</v>
      </c>
      <c r="M2764" s="2" t="str">
        <f>HYPERLINK("http://maps.live.com/default.aspx?v=2&amp;lvl=15&amp;sp=Point.47.554883_-122.212117_9412 SE 54th St&amp;cp=47.554883~-122.212117","Map")</f>
        <v>Map</v>
      </c>
      <c r="N2764" s="2" t="str">
        <f>HYPERLINK("http://i-0.rfimg.us/photo/1/bigphoto/716/28049716_1.jpg","Photo")</f>
        <v>Photo</v>
      </c>
      <c r="AG2764">
        <v>47.554882999999997</v>
      </c>
      <c r="AH2764">
        <v>-122.21211700000001</v>
      </c>
      <c r="AI2764" t="s">
        <v>5139</v>
      </c>
      <c r="AJ2764">
        <v>98040</v>
      </c>
      <c r="BC2764" s="22">
        <v>39531.495752314811</v>
      </c>
      <c r="BI2764" s="22">
        <v>39549.294907407406</v>
      </c>
      <c r="BL2764">
        <v>23980</v>
      </c>
      <c r="BM2764">
        <v>1582539</v>
      </c>
      <c r="BN2764" t="s">
        <v>1674</v>
      </c>
      <c r="BO2764" s="17">
        <f t="shared" ca="1" si="43"/>
        <v>17.813653587967565</v>
      </c>
      <c r="BP2764" t="b">
        <v>0</v>
      </c>
      <c r="BQ2764">
        <v>1</v>
      </c>
      <c r="BR2764" t="s">
        <v>1686</v>
      </c>
      <c r="BS2764" t="s">
        <v>2585</v>
      </c>
      <c r="BT2764" t="b">
        <v>0</v>
      </c>
      <c r="BU2764" t="s">
        <v>3856</v>
      </c>
      <c r="BV2764" t="s">
        <v>1668</v>
      </c>
      <c r="BW2764">
        <v>9412</v>
      </c>
      <c r="BY2764">
        <v>257009</v>
      </c>
      <c r="BZ2764" t="s">
        <v>2865</v>
      </c>
      <c r="CA2764">
        <v>1</v>
      </c>
      <c r="CB2764" t="b">
        <v>1</v>
      </c>
      <c r="CC2764">
        <v>0</v>
      </c>
      <c r="CD2764" t="b">
        <v>0</v>
      </c>
      <c r="CE2764" t="b">
        <v>1</v>
      </c>
      <c r="CF2764" t="b">
        <v>0</v>
      </c>
      <c r="CG2764">
        <v>2626455</v>
      </c>
      <c r="CH2764" t="s">
        <v>1681</v>
      </c>
      <c r="CI2764" s="10">
        <v>1199000</v>
      </c>
    </row>
    <row r="2765" spans="1:90">
      <c r="A2765">
        <v>28049718</v>
      </c>
      <c r="B2765" s="15" t="str">
        <f>HYPERLINK("http://www.redfin.com/stingray/do/printable-listing?listing-id=1581648","Active")</f>
        <v>Active</v>
      </c>
      <c r="D2765" t="s">
        <v>1115</v>
      </c>
      <c r="E2765" t="s">
        <v>6263</v>
      </c>
      <c r="F2765">
        <v>779000</v>
      </c>
      <c r="G2765">
        <v>1946</v>
      </c>
      <c r="H2765">
        <v>2780</v>
      </c>
      <c r="I2765">
        <v>6360</v>
      </c>
      <c r="J2765">
        <v>3</v>
      </c>
      <c r="K2765">
        <v>2</v>
      </c>
      <c r="M2765" s="2" t="str">
        <f>HYPERLINK("http://maps.live.com/default.aspx?v=2&amp;lvl=15&amp;sp=Point.47.681299_-122.274682_7301 50 Ave NE&amp;cp=47.681299~-122.274682","Map")</f>
        <v>Map</v>
      </c>
      <c r="N2765" s="2" t="str">
        <f>HYPERLINK("http://i-0.rfimg.us/photo/1/bigphoto/718/28049718_1.jpg","Photo")</f>
        <v>Photo</v>
      </c>
      <c r="AG2765">
        <v>47.681299000000003</v>
      </c>
      <c r="AH2765">
        <v>-122.274682</v>
      </c>
      <c r="AI2765" t="s">
        <v>66</v>
      </c>
      <c r="AJ2765">
        <v>98115</v>
      </c>
      <c r="AN2765">
        <v>507500</v>
      </c>
      <c r="BC2765" s="22">
        <v>39531.046087962961</v>
      </c>
      <c r="BI2765" s="22">
        <v>39549.294907407406</v>
      </c>
      <c r="BL2765">
        <v>15580</v>
      </c>
      <c r="BM2765">
        <v>1581648</v>
      </c>
      <c r="BN2765" t="s">
        <v>1710</v>
      </c>
      <c r="BO2765" s="17">
        <f t="shared" ca="1" si="43"/>
        <v>18.26331793981808</v>
      </c>
      <c r="BP2765" t="b">
        <v>0</v>
      </c>
      <c r="BQ2765">
        <v>1</v>
      </c>
      <c r="BR2765" t="s">
        <v>1667</v>
      </c>
      <c r="BS2765">
        <v>50</v>
      </c>
      <c r="BT2765" t="b">
        <v>0</v>
      </c>
      <c r="BV2765" t="s">
        <v>1668</v>
      </c>
      <c r="BW2765">
        <v>7301</v>
      </c>
      <c r="BX2765" t="s">
        <v>1738</v>
      </c>
      <c r="BY2765">
        <v>321623</v>
      </c>
      <c r="BZ2765" t="s">
        <v>1709</v>
      </c>
      <c r="CA2765">
        <v>1</v>
      </c>
      <c r="CB2765" t="b">
        <v>1</v>
      </c>
      <c r="CC2765">
        <v>0</v>
      </c>
      <c r="CD2765" t="b">
        <v>0</v>
      </c>
      <c r="CE2765" t="b">
        <v>1</v>
      </c>
      <c r="CF2765" t="b">
        <v>0</v>
      </c>
      <c r="CG2765">
        <v>2716647</v>
      </c>
      <c r="CH2765" t="s">
        <v>1681</v>
      </c>
      <c r="CI2765" s="10">
        <v>779000</v>
      </c>
      <c r="CJ2765" s="7">
        <v>37077</v>
      </c>
    </row>
    <row r="2766" spans="1:90">
      <c r="A2766">
        <v>28049722</v>
      </c>
      <c r="B2766" s="2" t="str">
        <f>HYPERLINK("http://www.redfin.com/stingray/do/printable-listing?listing-id=1585797","Active")</f>
        <v>Active</v>
      </c>
      <c r="D2766" t="s">
        <v>3704</v>
      </c>
      <c r="E2766" t="s">
        <v>6363</v>
      </c>
      <c r="F2766" s="19">
        <v>499950</v>
      </c>
      <c r="G2766">
        <v>2003</v>
      </c>
      <c r="H2766">
        <v>920</v>
      </c>
      <c r="I2766">
        <v>0</v>
      </c>
      <c r="J2766">
        <v>2</v>
      </c>
      <c r="K2766">
        <v>1.5</v>
      </c>
      <c r="M2766" s="2" t="str">
        <f>HYPERLINK("http://maps.live.com/default.aspx?v=2&amp;lvl=15&amp;sp=Point.47.622304_-122.318695_420 Federal Ave E&amp;cp=47.622304~-122.318695","Map")</f>
        <v>Map</v>
      </c>
      <c r="N2766" s="2" t="str">
        <f>HYPERLINK("http://i-0.rfimg.us/photo/1/bigphoto/722/28049722_2.jpg","Photo")</f>
        <v>Photo</v>
      </c>
      <c r="AG2766">
        <v>47.622304</v>
      </c>
      <c r="AH2766">
        <v>-122.31869500000001</v>
      </c>
      <c r="AI2766" t="s">
        <v>66</v>
      </c>
      <c r="AJ2766">
        <v>98102</v>
      </c>
      <c r="BC2766" s="22">
        <v>39532.486319444448</v>
      </c>
      <c r="BI2766" s="22">
        <v>39549.294907407406</v>
      </c>
      <c r="BL2766">
        <v>10199</v>
      </c>
      <c r="BM2766">
        <v>1585797</v>
      </c>
      <c r="BN2766" t="s">
        <v>1737</v>
      </c>
      <c r="BO2766" s="17">
        <f t="shared" ca="1" si="43"/>
        <v>16.82308645833109</v>
      </c>
      <c r="BP2766" t="b">
        <v>0</v>
      </c>
      <c r="BQ2766">
        <v>1</v>
      </c>
      <c r="BR2766" t="s">
        <v>1667</v>
      </c>
      <c r="BS2766" t="s">
        <v>3724</v>
      </c>
      <c r="BT2766" t="b">
        <v>0</v>
      </c>
      <c r="BV2766" t="s">
        <v>1668</v>
      </c>
      <c r="BW2766">
        <v>420</v>
      </c>
      <c r="BX2766" t="s">
        <v>2436</v>
      </c>
      <c r="BY2766">
        <v>12434271</v>
      </c>
      <c r="BZ2766" t="s">
        <v>6364</v>
      </c>
      <c r="CA2766">
        <v>1</v>
      </c>
      <c r="CB2766" t="b">
        <v>1</v>
      </c>
      <c r="CC2766">
        <v>0</v>
      </c>
      <c r="CD2766" t="b">
        <v>0</v>
      </c>
      <c r="CE2766" t="b">
        <v>1</v>
      </c>
      <c r="CF2766" t="b">
        <v>0</v>
      </c>
      <c r="CG2766">
        <v>15638019</v>
      </c>
      <c r="CH2766" t="s">
        <v>1681</v>
      </c>
      <c r="CI2766" s="10">
        <v>509950</v>
      </c>
    </row>
    <row r="2767" spans="1:90">
      <c r="A2767">
        <v>28049725</v>
      </c>
      <c r="B2767" s="2" t="str">
        <f>HYPERLINK("http://www.redfin.com/stingray/do/printable-listing?listing-id=1580369","Active")</f>
        <v>Active</v>
      </c>
      <c r="D2767" t="s">
        <v>63</v>
      </c>
      <c r="E2767" t="s">
        <v>2543</v>
      </c>
      <c r="F2767">
        <v>879000</v>
      </c>
      <c r="G2767">
        <v>2001</v>
      </c>
      <c r="H2767">
        <v>2290</v>
      </c>
      <c r="I2767">
        <v>2569</v>
      </c>
      <c r="J2767">
        <v>5</v>
      </c>
      <c r="K2767">
        <v>3</v>
      </c>
      <c r="M2767" s="2" t="str">
        <f>HYPERLINK("http://maps.live.com/default.aspx?v=2&amp;lvl=15&amp;sp=Point.47.675063_-122.388732_2423 NW 64th&amp;cp=47.675063~-122.388732","Map")</f>
        <v>Map</v>
      </c>
      <c r="N2767" s="2" t="str">
        <f>HYPERLINK("http://i-0.rfimg.us/photo/1/bigphoto/725/28049725_1.jpg","Photo")</f>
        <v>Photo</v>
      </c>
      <c r="AG2767">
        <v>47.675063000000002</v>
      </c>
      <c r="AH2767">
        <v>-122.388732</v>
      </c>
      <c r="AI2767" t="s">
        <v>66</v>
      </c>
      <c r="AJ2767">
        <v>98107</v>
      </c>
      <c r="AN2767">
        <v>127500</v>
      </c>
      <c r="BC2767" s="22">
        <v>39529.556712962964</v>
      </c>
      <c r="BI2767" s="22">
        <v>39549.294907407406</v>
      </c>
      <c r="BL2767">
        <v>17580</v>
      </c>
      <c r="BM2767">
        <v>1580369</v>
      </c>
      <c r="BN2767" t="s">
        <v>1829</v>
      </c>
      <c r="BO2767" s="17">
        <f t="shared" ca="1" si="43"/>
        <v>19.752693055554118</v>
      </c>
      <c r="BP2767" t="b">
        <v>0</v>
      </c>
      <c r="BQ2767">
        <v>1</v>
      </c>
      <c r="BS2767" t="s">
        <v>2405</v>
      </c>
      <c r="BT2767" t="b">
        <v>0</v>
      </c>
      <c r="BU2767" t="s">
        <v>1669</v>
      </c>
      <c r="BV2767" t="s">
        <v>1668</v>
      </c>
      <c r="BW2767">
        <v>2423</v>
      </c>
      <c r="BY2767">
        <v>162523</v>
      </c>
      <c r="BZ2767" t="s">
        <v>1704</v>
      </c>
      <c r="CA2767">
        <v>1</v>
      </c>
      <c r="CB2767" t="b">
        <v>1</v>
      </c>
      <c r="CC2767">
        <v>0</v>
      </c>
      <c r="CD2767" t="b">
        <v>0</v>
      </c>
      <c r="CE2767" t="b">
        <v>1</v>
      </c>
      <c r="CF2767" t="b">
        <v>0</v>
      </c>
      <c r="CG2767">
        <v>2466305</v>
      </c>
      <c r="CH2767" t="s">
        <v>1681</v>
      </c>
      <c r="CI2767" s="10">
        <v>879000</v>
      </c>
      <c r="CJ2767" s="7">
        <v>35740</v>
      </c>
    </row>
    <row r="2768" spans="1:90">
      <c r="A2768">
        <v>28049732</v>
      </c>
      <c r="B2768" s="2" t="str">
        <f>HYPERLINK("http://www.redfin.com/stingray/do/printable-listing?listing-id=1585416","Active")</f>
        <v>Active</v>
      </c>
      <c r="D2768" t="s">
        <v>6367</v>
      </c>
      <c r="E2768" t="s">
        <v>6365</v>
      </c>
      <c r="F2768">
        <v>719900</v>
      </c>
      <c r="G2768">
        <v>2008</v>
      </c>
      <c r="H2768">
        <v>3009</v>
      </c>
      <c r="I2768">
        <v>0</v>
      </c>
      <c r="J2768">
        <v>3</v>
      </c>
      <c r="K2768">
        <v>3</v>
      </c>
      <c r="M2768" s="2" t="str">
        <f>HYPERLINK("http://maps.live.com/default.aspx?v=2&amp;lvl=15&amp;sp=Point.47.602202_-122.326706_107 NW 6th St&amp;cp=47.602202~-122.326706","Map")</f>
        <v>Map</v>
      </c>
      <c r="N2768" s="2" t="str">
        <f>HYPERLINK("http://i-0.rfimg.us/photo/1/bigphoto/732/28049732_1.jpg","Photo")</f>
        <v>Photo</v>
      </c>
      <c r="AG2768">
        <v>47.602201999999998</v>
      </c>
      <c r="AH2768">
        <v>-122.326706</v>
      </c>
      <c r="AI2768" t="s">
        <v>1077</v>
      </c>
      <c r="AJ2768">
        <v>98178</v>
      </c>
      <c r="BC2768" s="22">
        <v>39532.389953703707</v>
      </c>
      <c r="BI2768" s="7">
        <v>39542</v>
      </c>
      <c r="BL2768">
        <v>14398</v>
      </c>
      <c r="BM2768">
        <v>1585416</v>
      </c>
      <c r="BN2768" t="s">
        <v>3092</v>
      </c>
      <c r="BO2768" s="17">
        <f t="shared" ca="1" si="43"/>
        <v>16.919452199072111</v>
      </c>
      <c r="BP2768" t="b">
        <v>0</v>
      </c>
      <c r="BQ2768">
        <v>1</v>
      </c>
      <c r="BR2768" t="s">
        <v>1686</v>
      </c>
      <c r="BS2768" t="s">
        <v>1739</v>
      </c>
      <c r="BT2768" t="b">
        <v>0</v>
      </c>
      <c r="BU2768" t="s">
        <v>1669</v>
      </c>
      <c r="BV2768" t="s">
        <v>1668</v>
      </c>
      <c r="BW2768">
        <v>107</v>
      </c>
      <c r="BY2768">
        <v>12434227</v>
      </c>
      <c r="BZ2768" t="s">
        <v>6366</v>
      </c>
      <c r="CA2768">
        <v>1</v>
      </c>
      <c r="CB2768" t="b">
        <v>1</v>
      </c>
      <c r="CC2768">
        <v>0</v>
      </c>
      <c r="CD2768" t="b">
        <v>0</v>
      </c>
      <c r="CE2768" t="b">
        <v>1</v>
      </c>
      <c r="CF2768" t="b">
        <v>0</v>
      </c>
      <c r="CG2768">
        <v>15637975</v>
      </c>
      <c r="CH2768" t="s">
        <v>1681</v>
      </c>
      <c r="CI2768" s="10">
        <v>719900</v>
      </c>
    </row>
    <row r="2769" spans="1:88">
      <c r="A2769">
        <v>28049734</v>
      </c>
      <c r="B2769" s="2" t="str">
        <f>HYPERLINK("http://www.redfin.com/stingray/do/printable-listing?listing-id=1595380","Active")</f>
        <v>Active</v>
      </c>
      <c r="D2769" t="s">
        <v>4663</v>
      </c>
      <c r="E2769" t="s">
        <v>6545</v>
      </c>
      <c r="F2769" s="19">
        <v>1049000</v>
      </c>
      <c r="G2769">
        <v>1989</v>
      </c>
      <c r="H2769">
        <v>3490</v>
      </c>
      <c r="I2769">
        <v>31806</v>
      </c>
      <c r="J2769">
        <v>4</v>
      </c>
      <c r="K2769">
        <v>3.5</v>
      </c>
      <c r="M2769" s="2" t="str">
        <f>HYPERLINK("http://maps.live.com/default.aspx?v=2&amp;lvl=15&amp;sp=Point.47.637454_-122.181333_3005 120th Ave NE&amp;cp=47.637454~-122.181333","Map")</f>
        <v>Map</v>
      </c>
      <c r="N2769" s="2" t="str">
        <f>HYPERLINK("http://i-0.rfimg.us/photo/1/bigphoto/734/28049734_0.jpg","Photo")</f>
        <v>Photo</v>
      </c>
      <c r="AG2769">
        <v>47.637453999999998</v>
      </c>
      <c r="AH2769">
        <v>-122.181333</v>
      </c>
      <c r="AI2769" t="s">
        <v>369</v>
      </c>
      <c r="AJ2769">
        <v>98005</v>
      </c>
      <c r="AN2769">
        <v>720000</v>
      </c>
      <c r="BC2769" s="22">
        <v>39535.380648148152</v>
      </c>
      <c r="BI2769" s="22">
        <v>39549.294907407406</v>
      </c>
      <c r="BL2769">
        <v>21960</v>
      </c>
      <c r="BM2769">
        <v>1595380</v>
      </c>
      <c r="BN2769" t="s">
        <v>6544</v>
      </c>
      <c r="BO2769" s="17">
        <f t="shared" ca="1" si="43"/>
        <v>13.928757754627441</v>
      </c>
      <c r="BP2769" t="b">
        <v>0</v>
      </c>
      <c r="BQ2769">
        <v>1</v>
      </c>
      <c r="BR2769" t="s">
        <v>1667</v>
      </c>
      <c r="BS2769" t="s">
        <v>2785</v>
      </c>
      <c r="BT2769" t="b">
        <v>0</v>
      </c>
      <c r="BV2769" t="s">
        <v>1668</v>
      </c>
      <c r="BW2769">
        <v>3005</v>
      </c>
      <c r="BX2769" t="s">
        <v>1738</v>
      </c>
      <c r="BY2769">
        <v>431370</v>
      </c>
      <c r="BZ2769" t="s">
        <v>1672</v>
      </c>
      <c r="CA2769">
        <v>1</v>
      </c>
      <c r="CB2769" t="b">
        <v>1</v>
      </c>
      <c r="CC2769">
        <v>0</v>
      </c>
      <c r="CD2769" t="b">
        <v>0</v>
      </c>
      <c r="CE2769" t="b">
        <v>1</v>
      </c>
      <c r="CF2769" t="b">
        <v>0</v>
      </c>
      <c r="CG2769">
        <v>2365019</v>
      </c>
      <c r="CH2769" t="s">
        <v>1681</v>
      </c>
      <c r="CI2769" s="10">
        <v>1098000</v>
      </c>
      <c r="CJ2769" s="7">
        <v>38139</v>
      </c>
    </row>
    <row r="2770" spans="1:88">
      <c r="A2770">
        <v>28049740</v>
      </c>
      <c r="B2770" s="2" t="str">
        <f>HYPERLINK("http://www.redfin.com/stingray/do/printable-listing?listing-id=1580396","Active")</f>
        <v>Active</v>
      </c>
      <c r="D2770" t="s">
        <v>2552</v>
      </c>
      <c r="E2770" t="s">
        <v>3425</v>
      </c>
      <c r="F2770">
        <v>650000</v>
      </c>
      <c r="G2770">
        <v>1942</v>
      </c>
      <c r="H2770">
        <v>0</v>
      </c>
      <c r="I2770">
        <v>0</v>
      </c>
      <c r="J2770">
        <v>3</v>
      </c>
      <c r="K2770">
        <v>1.5</v>
      </c>
      <c r="M2770" s="2" t="str">
        <f>HYPERLINK("http://maps.live.com/default.aspx?v=2&amp;lvl=15&amp;sp=Point.47.650715_-122.409262_3406 W Viewmont Way W&amp;cp=47.650715~-122.409262","Map")</f>
        <v>Map</v>
      </c>
      <c r="N2770" s="2" t="str">
        <f>HYPERLINK("http://i-0.rfimg.us/photo/1/bigphoto/740/28049740_0.jpg","Photo")</f>
        <v>Photo</v>
      </c>
      <c r="AG2770">
        <v>47.650714999999998</v>
      </c>
      <c r="AH2770">
        <v>-122.409262</v>
      </c>
      <c r="AI2770" t="s">
        <v>66</v>
      </c>
      <c r="AJ2770">
        <v>98199</v>
      </c>
      <c r="AN2770">
        <v>491250</v>
      </c>
      <c r="BC2770" s="22">
        <v>39529.577870370369</v>
      </c>
      <c r="BI2770" s="22">
        <v>39547.913935185185</v>
      </c>
      <c r="BL2770">
        <v>13000</v>
      </c>
      <c r="BM2770">
        <v>1580396</v>
      </c>
      <c r="BN2770" t="s">
        <v>1718</v>
      </c>
      <c r="BO2770" s="17">
        <f t="shared" ca="1" si="43"/>
        <v>19.731535532409907</v>
      </c>
      <c r="BP2770" t="b">
        <v>0</v>
      </c>
      <c r="BQ2770">
        <v>1</v>
      </c>
      <c r="BR2770" t="s">
        <v>2463</v>
      </c>
      <c r="BS2770" t="s">
        <v>3383</v>
      </c>
      <c r="BT2770" t="b">
        <v>0</v>
      </c>
      <c r="BU2770" t="s">
        <v>2423</v>
      </c>
      <c r="BV2770" t="s">
        <v>1668</v>
      </c>
      <c r="BW2770">
        <v>3406</v>
      </c>
      <c r="BX2770" t="s">
        <v>2423</v>
      </c>
      <c r="BY2770">
        <v>127762</v>
      </c>
      <c r="BZ2770" t="s">
        <v>1713</v>
      </c>
      <c r="CA2770">
        <v>1</v>
      </c>
      <c r="CB2770" t="b">
        <v>1</v>
      </c>
      <c r="CC2770">
        <v>0</v>
      </c>
      <c r="CD2770" t="b">
        <v>0</v>
      </c>
      <c r="CE2770" t="b">
        <v>1</v>
      </c>
      <c r="CF2770" t="b">
        <v>0</v>
      </c>
      <c r="CG2770">
        <v>2803827</v>
      </c>
      <c r="CH2770" t="s">
        <v>1681</v>
      </c>
      <c r="CI2770" s="10">
        <v>650000</v>
      </c>
      <c r="CJ2770" s="7">
        <v>38401</v>
      </c>
    </row>
    <row r="2771" spans="1:88">
      <c r="A2771">
        <v>28049756</v>
      </c>
      <c r="B2771" s="2" t="str">
        <f>HYPERLINK("http://www.redfin.com/stingray/do/printable-listing?listing-id=1580714","Active")</f>
        <v>Active</v>
      </c>
      <c r="D2771" t="s">
        <v>218</v>
      </c>
      <c r="E2771" t="s">
        <v>6258</v>
      </c>
      <c r="F2771">
        <v>749000</v>
      </c>
      <c r="G2771">
        <v>1927</v>
      </c>
      <c r="H2771">
        <v>2530</v>
      </c>
      <c r="I2771">
        <v>4080</v>
      </c>
      <c r="J2771">
        <v>3</v>
      </c>
      <c r="K2771">
        <v>1.5</v>
      </c>
      <c r="M2771" s="2" t="str">
        <f>HYPERLINK("http://maps.live.com/default.aspx?v=2&amp;lvl=15&amp;sp=Point.47.675573_-122.307951_6327 19 Ave NE&amp;cp=47.675573~-122.307951","Map")</f>
        <v>Map</v>
      </c>
      <c r="N2771" s="2" t="str">
        <f>HYPERLINK("http://i-0.rfimg.us/photo/1/bigphoto/756/28049756_.jpg","Photo")</f>
        <v>Photo</v>
      </c>
      <c r="AG2771">
        <v>47.675573</v>
      </c>
      <c r="AH2771">
        <v>-122.307951</v>
      </c>
      <c r="AI2771" t="s">
        <v>66</v>
      </c>
      <c r="AJ2771">
        <v>98115</v>
      </c>
      <c r="AN2771">
        <v>719000</v>
      </c>
      <c r="BC2771" s="22">
        <v>39529.900266203702</v>
      </c>
      <c r="BI2771" s="22">
        <v>39549.294907407406</v>
      </c>
      <c r="BL2771">
        <v>14980</v>
      </c>
      <c r="BM2771">
        <v>1580714</v>
      </c>
      <c r="BN2771" t="s">
        <v>1710</v>
      </c>
      <c r="BO2771" s="17">
        <f t="shared" ca="1" si="43"/>
        <v>19.409139699077059</v>
      </c>
      <c r="BP2771" t="b">
        <v>0</v>
      </c>
      <c r="BQ2771">
        <v>1</v>
      </c>
      <c r="BR2771" t="s">
        <v>1667</v>
      </c>
      <c r="BS2771">
        <v>19</v>
      </c>
      <c r="BT2771" t="b">
        <v>0</v>
      </c>
      <c r="BV2771" t="s">
        <v>1668</v>
      </c>
      <c r="BW2771">
        <v>6327</v>
      </c>
      <c r="BX2771" t="s">
        <v>1738</v>
      </c>
      <c r="BY2771">
        <v>308867</v>
      </c>
      <c r="BZ2771" t="s">
        <v>1756</v>
      </c>
      <c r="CA2771">
        <v>1</v>
      </c>
      <c r="CB2771" t="b">
        <v>1</v>
      </c>
      <c r="CC2771">
        <v>0</v>
      </c>
      <c r="CD2771" t="b">
        <v>0</v>
      </c>
      <c r="CE2771" t="b">
        <v>1</v>
      </c>
      <c r="CF2771" t="b">
        <v>0</v>
      </c>
      <c r="CG2771">
        <v>2759224</v>
      </c>
      <c r="CH2771" t="s">
        <v>1681</v>
      </c>
      <c r="CI2771" s="10">
        <v>749000</v>
      </c>
      <c r="CJ2771" s="7">
        <v>39238</v>
      </c>
    </row>
    <row r="2772" spans="1:88">
      <c r="A2772">
        <v>28049774</v>
      </c>
      <c r="B2772" s="2" t="str">
        <f>HYPERLINK("http://www.redfin.com/stingray/do/printable-listing?listing-id=1580580","Active")</f>
        <v>Active</v>
      </c>
      <c r="D2772" t="s">
        <v>3064</v>
      </c>
      <c r="E2772" t="s">
        <v>3948</v>
      </c>
      <c r="F2772">
        <v>629900</v>
      </c>
      <c r="G2772">
        <v>2008</v>
      </c>
      <c r="H2772">
        <v>3896</v>
      </c>
      <c r="I2772">
        <v>0</v>
      </c>
      <c r="J2772">
        <v>4</v>
      </c>
      <c r="K2772">
        <v>3.5</v>
      </c>
      <c r="M2772" s="2" t="str">
        <f>HYPERLINK("http://maps.live.com/default.aspx?v=2&amp;lvl=15&amp;sp=adr.906 Jericho Pl NE (Lot 334) (Unable to map),98059","Map")</f>
        <v>Map</v>
      </c>
      <c r="N2772" s="2" t="str">
        <f>HYPERLINK("http://i-0.rfimg.us/photo/1/bigphoto/774/28049774_0.jpg","Photo")</f>
        <v>Photo</v>
      </c>
      <c r="AI2772" t="s">
        <v>1077</v>
      </c>
      <c r="AJ2772">
        <v>98059</v>
      </c>
      <c r="BC2772" s="22">
        <v>39529.692696759259</v>
      </c>
      <c r="BI2772" s="22">
        <v>39549.294907407406</v>
      </c>
      <c r="BL2772">
        <v>12598</v>
      </c>
      <c r="BM2772">
        <v>1580580</v>
      </c>
      <c r="BN2772" t="s">
        <v>3236</v>
      </c>
      <c r="BO2772" s="17">
        <f t="shared" ca="1" si="43"/>
        <v>19.616709143519984</v>
      </c>
      <c r="BP2772" t="b">
        <v>0</v>
      </c>
      <c r="BQ2772">
        <v>1</v>
      </c>
      <c r="BS2772" t="s">
        <v>3949</v>
      </c>
      <c r="BT2772" t="b">
        <v>0</v>
      </c>
      <c r="BV2772" t="s">
        <v>1668</v>
      </c>
      <c r="BW2772">
        <v>906</v>
      </c>
      <c r="BY2772">
        <v>0</v>
      </c>
      <c r="BZ2772" t="s">
        <v>1745</v>
      </c>
      <c r="CA2772">
        <v>1</v>
      </c>
      <c r="CB2772" t="b">
        <v>1</v>
      </c>
      <c r="CC2772">
        <v>0</v>
      </c>
      <c r="CD2772" t="b">
        <v>0</v>
      </c>
      <c r="CE2772" t="b">
        <v>1</v>
      </c>
      <c r="CF2772" t="b">
        <v>0</v>
      </c>
      <c r="CG2772" t="s">
        <v>1870</v>
      </c>
      <c r="CH2772" t="s">
        <v>1681</v>
      </c>
      <c r="CI2772" s="10">
        <v>629900</v>
      </c>
    </row>
    <row r="2773" spans="1:88">
      <c r="A2773">
        <v>28049776</v>
      </c>
      <c r="B2773" s="2" t="str">
        <f>HYPERLINK("http://www.redfin.com/stingray/do/printable-listing?listing-id=1580890","Active")</f>
        <v>Active</v>
      </c>
      <c r="D2773" t="s">
        <v>3066</v>
      </c>
      <c r="E2773" t="s">
        <v>6259</v>
      </c>
      <c r="F2773">
        <v>495000</v>
      </c>
      <c r="G2773">
        <v>2007</v>
      </c>
      <c r="H2773">
        <v>1839</v>
      </c>
      <c r="I2773">
        <v>0</v>
      </c>
      <c r="J2773">
        <v>2</v>
      </c>
      <c r="K2773">
        <v>2.5</v>
      </c>
      <c r="M2773" s="2" t="str">
        <f>HYPERLINK("http://maps.live.com/default.aspx?v=2&amp;lvl=15&amp;sp=adr.8835 132nd Pl SE (Unable to map),98052","Map")</f>
        <v>Map</v>
      </c>
      <c r="N2773" s="2" t="str">
        <f>HYPERLINK("http://i-0.rfimg.us/photo/1/bigphoto/776/28049776_1.jpg","Photo")</f>
        <v>Photo</v>
      </c>
      <c r="AG2773">
        <v>47.681252000000001</v>
      </c>
      <c r="AH2773">
        <v>-122.16342400000001</v>
      </c>
      <c r="AI2773" t="s">
        <v>4363</v>
      </c>
      <c r="AJ2773">
        <v>98052</v>
      </c>
      <c r="AN2773">
        <v>127500</v>
      </c>
      <c r="BC2773" s="22">
        <v>39530.243750000001</v>
      </c>
      <c r="BI2773" s="22">
        <v>39549.294907407406</v>
      </c>
      <c r="BL2773">
        <v>9900</v>
      </c>
      <c r="BM2773">
        <v>1580890</v>
      </c>
      <c r="BN2773" t="s">
        <v>4880</v>
      </c>
      <c r="BO2773" s="17">
        <f t="shared" ca="1" si="43"/>
        <v>19.065655902777507</v>
      </c>
      <c r="BP2773" t="b">
        <v>0</v>
      </c>
      <c r="BQ2773">
        <v>1</v>
      </c>
      <c r="BR2773" t="s">
        <v>1842</v>
      </c>
      <c r="BS2773" t="s">
        <v>4362</v>
      </c>
      <c r="BT2773" t="b">
        <v>0</v>
      </c>
      <c r="BV2773" t="s">
        <v>1668</v>
      </c>
      <c r="BW2773">
        <v>8835</v>
      </c>
      <c r="BX2773" t="s">
        <v>3856</v>
      </c>
      <c r="BY2773">
        <v>0</v>
      </c>
      <c r="BZ2773" t="s">
        <v>6260</v>
      </c>
      <c r="CA2773">
        <v>1</v>
      </c>
      <c r="CB2773" t="b">
        <v>1</v>
      </c>
      <c r="CC2773">
        <v>0</v>
      </c>
      <c r="CD2773" t="b">
        <v>0</v>
      </c>
      <c r="CE2773" t="b">
        <v>1</v>
      </c>
      <c r="CF2773" t="b">
        <v>0</v>
      </c>
      <c r="CG2773" t="s">
        <v>1870</v>
      </c>
      <c r="CH2773" t="s">
        <v>1681</v>
      </c>
      <c r="CI2773" s="10">
        <v>495000</v>
      </c>
      <c r="CJ2773" s="7">
        <v>31896</v>
      </c>
    </row>
    <row r="2774" spans="1:88">
      <c r="A2774">
        <v>28049788</v>
      </c>
      <c r="B2774" s="2" t="str">
        <f>HYPERLINK("http://www.redfin.com/stingray/do/printable-listing?listing-id=1580615","Active")</f>
        <v>Active</v>
      </c>
      <c r="D2774" t="s">
        <v>2848</v>
      </c>
      <c r="E2774" t="s">
        <v>3051</v>
      </c>
      <c r="F2774">
        <v>1495000</v>
      </c>
      <c r="G2774">
        <v>2008</v>
      </c>
      <c r="H2774">
        <v>4180</v>
      </c>
      <c r="I2774">
        <v>20257</v>
      </c>
      <c r="J2774">
        <v>3</v>
      </c>
      <c r="K2774">
        <v>2.5</v>
      </c>
      <c r="M2774" s="2" t="str">
        <f>HYPERLINK("http://maps.live.com/default.aspx?v=2&amp;lvl=15&amp;sp=Point.47.72157_-122.257724_13517 Holmes Point Dr NE&amp;cp=47.72157~-122.257724","Map")</f>
        <v>Map</v>
      </c>
      <c r="N2774" s="2" t="str">
        <f>HYPERLINK("http://i-0.rfimg.us/photo/1/bigphoto/788/28049788_0.jpg","Photo")</f>
        <v>Photo</v>
      </c>
      <c r="AG2774">
        <v>47.72157</v>
      </c>
      <c r="AH2774">
        <v>-122.257724</v>
      </c>
      <c r="AI2774" t="s">
        <v>1058</v>
      </c>
      <c r="AJ2774">
        <v>98034</v>
      </c>
      <c r="AN2774">
        <v>460000</v>
      </c>
      <c r="BC2774" s="22">
        <v>39529.754826388889</v>
      </c>
      <c r="BI2774" s="22">
        <v>39549.294907407406</v>
      </c>
      <c r="BL2774">
        <v>29900</v>
      </c>
      <c r="BM2774">
        <v>1580615</v>
      </c>
      <c r="BN2774" t="s">
        <v>1768</v>
      </c>
      <c r="BO2774" s="17">
        <f t="shared" ca="1" si="43"/>
        <v>19.554579513889621</v>
      </c>
      <c r="BP2774" t="b">
        <v>0</v>
      </c>
      <c r="BQ2774">
        <v>1</v>
      </c>
      <c r="BR2774" t="s">
        <v>1816</v>
      </c>
      <c r="BS2774" t="s">
        <v>2848</v>
      </c>
      <c r="BT2774" t="b">
        <v>0</v>
      </c>
      <c r="BV2774" t="s">
        <v>1668</v>
      </c>
      <c r="BW2774">
        <v>13517</v>
      </c>
      <c r="BX2774" t="s">
        <v>1738</v>
      </c>
      <c r="BY2774">
        <v>12301054</v>
      </c>
      <c r="BZ2774" t="s">
        <v>1672</v>
      </c>
      <c r="CA2774">
        <v>1</v>
      </c>
      <c r="CB2774" t="b">
        <v>1</v>
      </c>
      <c r="CC2774">
        <v>0</v>
      </c>
      <c r="CD2774" t="b">
        <v>0</v>
      </c>
      <c r="CE2774" t="b">
        <v>1</v>
      </c>
      <c r="CF2774" t="b">
        <v>0</v>
      </c>
      <c r="CG2774">
        <v>2852338</v>
      </c>
      <c r="CH2774" t="s">
        <v>1681</v>
      </c>
      <c r="CI2774" s="10">
        <v>1495000</v>
      </c>
      <c r="CJ2774" s="7">
        <v>38854</v>
      </c>
    </row>
    <row r="2775" spans="1:88">
      <c r="A2775">
        <v>28049793</v>
      </c>
      <c r="B2775" s="2" t="str">
        <f>HYPERLINK("http://www.redfin.com/stingray/do/printable-listing?listing-id=1580682","Active")</f>
        <v>Active</v>
      </c>
      <c r="D2775" t="s">
        <v>192</v>
      </c>
      <c r="E2775" t="s">
        <v>6257</v>
      </c>
      <c r="F2775">
        <v>479950</v>
      </c>
      <c r="G2775">
        <v>1930</v>
      </c>
      <c r="H2775">
        <v>1950</v>
      </c>
      <c r="I2775">
        <v>3920</v>
      </c>
      <c r="J2775">
        <v>4</v>
      </c>
      <c r="K2775">
        <v>2</v>
      </c>
      <c r="M2775" s="2" t="str">
        <f>HYPERLINK("http://maps.live.com/default.aspx?v=2&amp;lvl=15&amp;sp=Point.47.695478_-122.320016_9116 8th Ave NE&amp;cp=47.695478~-122.320016","Map")</f>
        <v>Map</v>
      </c>
      <c r="N2775" s="2" t="str">
        <f>HYPERLINK("http://i-0.rfimg.us/photo/1/bigphoto/793/28049793_1.jpg","Photo")</f>
        <v>Photo</v>
      </c>
      <c r="AG2775">
        <v>47.695478000000001</v>
      </c>
      <c r="AH2775">
        <v>-122.320016</v>
      </c>
      <c r="AI2775" t="s">
        <v>66</v>
      </c>
      <c r="AJ2775">
        <v>98115</v>
      </c>
      <c r="AN2775">
        <v>450800</v>
      </c>
      <c r="BC2775" s="22">
        <v>39529.827233796299</v>
      </c>
      <c r="BI2775" s="22">
        <v>39549.294907407406</v>
      </c>
      <c r="BL2775">
        <v>9599</v>
      </c>
      <c r="BM2775">
        <v>1580682</v>
      </c>
      <c r="BN2775" t="s">
        <v>1675</v>
      </c>
      <c r="BO2775" s="17">
        <f t="shared" ca="1" si="43"/>
        <v>19.482172106479993</v>
      </c>
      <c r="BP2775" t="b">
        <v>0</v>
      </c>
      <c r="BQ2775">
        <v>1</v>
      </c>
      <c r="BR2775" t="s">
        <v>1667</v>
      </c>
      <c r="BS2775" t="s">
        <v>1723</v>
      </c>
      <c r="BT2775" t="b">
        <v>0</v>
      </c>
      <c r="BV2775" t="s">
        <v>1668</v>
      </c>
      <c r="BW2775">
        <v>9116</v>
      </c>
      <c r="BX2775" t="s">
        <v>1738</v>
      </c>
      <c r="BY2775">
        <v>109060</v>
      </c>
      <c r="BZ2775" t="s">
        <v>1704</v>
      </c>
      <c r="CA2775">
        <v>1</v>
      </c>
      <c r="CB2775" t="b">
        <v>1</v>
      </c>
      <c r="CC2775">
        <v>0</v>
      </c>
      <c r="CD2775" t="b">
        <v>0</v>
      </c>
      <c r="CE2775" t="b">
        <v>1</v>
      </c>
      <c r="CF2775" t="b">
        <v>0</v>
      </c>
      <c r="CG2775">
        <v>2848094</v>
      </c>
      <c r="CH2775" t="s">
        <v>1681</v>
      </c>
      <c r="CI2775" s="10">
        <v>479950</v>
      </c>
      <c r="CJ2775" s="7">
        <v>39063</v>
      </c>
    </row>
    <row r="2776" spans="1:88">
      <c r="A2776">
        <v>28049821</v>
      </c>
      <c r="B2776" s="2" t="str">
        <f>HYPERLINK("http://www.redfin.com/stingray/do/printable-listing?listing-id=1591261","Active")</f>
        <v>Active</v>
      </c>
      <c r="D2776" t="s">
        <v>3249</v>
      </c>
      <c r="E2776" t="s">
        <v>6476</v>
      </c>
      <c r="F2776">
        <v>849950</v>
      </c>
      <c r="G2776">
        <v>1916</v>
      </c>
      <c r="H2776">
        <v>2450</v>
      </c>
      <c r="I2776">
        <v>2396</v>
      </c>
      <c r="J2776">
        <v>3</v>
      </c>
      <c r="K2776">
        <v>1.75</v>
      </c>
      <c r="M2776" s="2" t="str">
        <f>HYPERLINK("http://maps.live.com/default.aspx?v=2&amp;lvl=15&amp;sp=Point.47.639406_-122.3607_223 W McGraw St&amp;cp=47.639406~-122.3607","Map")</f>
        <v>Map</v>
      </c>
      <c r="N2776" s="2" t="str">
        <f>HYPERLINK("http://i-0.rfimg.us/photo/1/bigphoto/821/28049821_1.jpg","Photo")</f>
        <v>Photo</v>
      </c>
      <c r="AG2776">
        <v>47.639406000000001</v>
      </c>
      <c r="AH2776">
        <v>-122.36069999999999</v>
      </c>
      <c r="AI2776" t="s">
        <v>66</v>
      </c>
      <c r="AJ2776">
        <v>98119</v>
      </c>
      <c r="AN2776">
        <v>650000</v>
      </c>
      <c r="BC2776" s="22">
        <v>39534.327210648145</v>
      </c>
      <c r="BI2776" s="22">
        <v>39549.294907407406</v>
      </c>
      <c r="BL2776">
        <v>16999</v>
      </c>
      <c r="BM2776">
        <v>1591261</v>
      </c>
      <c r="BN2776" t="s">
        <v>1829</v>
      </c>
      <c r="BO2776" s="17">
        <f t="shared" ca="1" si="43"/>
        <v>14.982195254633552</v>
      </c>
      <c r="BP2776" t="b">
        <v>0</v>
      </c>
      <c r="BQ2776">
        <v>1</v>
      </c>
      <c r="BR2776" t="s">
        <v>1686</v>
      </c>
      <c r="BS2776" t="s">
        <v>3593</v>
      </c>
      <c r="BT2776" t="b">
        <v>0</v>
      </c>
      <c r="BU2776" t="s">
        <v>2423</v>
      </c>
      <c r="BV2776" t="s">
        <v>1668</v>
      </c>
      <c r="BW2776">
        <v>223</v>
      </c>
      <c r="BY2776">
        <v>133651</v>
      </c>
      <c r="BZ2776" t="s">
        <v>1709</v>
      </c>
      <c r="CA2776">
        <v>1</v>
      </c>
      <c r="CB2776" t="b">
        <v>1</v>
      </c>
      <c r="CC2776">
        <v>0</v>
      </c>
      <c r="CD2776" t="b">
        <v>0</v>
      </c>
      <c r="CE2776" t="b">
        <v>1</v>
      </c>
      <c r="CF2776" t="b">
        <v>0</v>
      </c>
      <c r="CG2776">
        <v>2361525</v>
      </c>
      <c r="CH2776" t="s">
        <v>1681</v>
      </c>
      <c r="CI2776" s="10">
        <v>849950</v>
      </c>
      <c r="CJ2776" s="7">
        <v>38098</v>
      </c>
    </row>
    <row r="2777" spans="1:88">
      <c r="A2777">
        <v>28049823</v>
      </c>
      <c r="B2777" s="2" t="str">
        <f>HYPERLINK("http://www.redfin.com/stingray/do/printable-listing?listing-id=1583176","Active")</f>
        <v>Active</v>
      </c>
      <c r="D2777" t="s">
        <v>5121</v>
      </c>
      <c r="E2777" t="s">
        <v>6313</v>
      </c>
      <c r="F2777">
        <v>769000</v>
      </c>
      <c r="G2777">
        <v>1951</v>
      </c>
      <c r="H2777">
        <v>1420</v>
      </c>
      <c r="I2777">
        <v>9090</v>
      </c>
      <c r="J2777">
        <v>3</v>
      </c>
      <c r="K2777">
        <v>1.75</v>
      </c>
      <c r="M2777" s="2" t="str">
        <f>HYPERLINK("http://maps.live.com/default.aspx?v=2&amp;lvl=15&amp;sp=Point.47.591793_-122.195839_10815 SE 21st St&amp;cp=47.591793~-122.195839","Map")</f>
        <v>Map</v>
      </c>
      <c r="N2777" s="2" t="str">
        <f>HYPERLINK("http://i-0.rfimg.us/photo/1/bigphoto/823/28049823_3.jpg","Photo")</f>
        <v>Photo</v>
      </c>
      <c r="AG2777">
        <v>47.591793000000003</v>
      </c>
      <c r="AH2777">
        <v>-122.19583900000001</v>
      </c>
      <c r="AI2777" t="s">
        <v>369</v>
      </c>
      <c r="AJ2777">
        <v>98004</v>
      </c>
      <c r="AN2777">
        <v>374000</v>
      </c>
      <c r="BC2777" s="22">
        <v>39531.590162037035</v>
      </c>
      <c r="BI2777" s="22">
        <v>39549.294907407406</v>
      </c>
      <c r="BL2777">
        <v>15380</v>
      </c>
      <c r="BM2777">
        <v>1583176</v>
      </c>
      <c r="BN2777" t="s">
        <v>1768</v>
      </c>
      <c r="BO2777" s="17">
        <f t="shared" ca="1" si="43"/>
        <v>17.71924386574392</v>
      </c>
      <c r="BP2777" t="b">
        <v>0</v>
      </c>
      <c r="BQ2777">
        <v>1</v>
      </c>
      <c r="BR2777" t="s">
        <v>1686</v>
      </c>
      <c r="BS2777" t="s">
        <v>1903</v>
      </c>
      <c r="BT2777" t="b">
        <v>0</v>
      </c>
      <c r="BU2777" t="s">
        <v>3856</v>
      </c>
      <c r="BV2777" t="s">
        <v>1668</v>
      </c>
      <c r="BW2777">
        <v>10815</v>
      </c>
      <c r="BY2777">
        <v>510062</v>
      </c>
      <c r="BZ2777" t="s">
        <v>4820</v>
      </c>
      <c r="CA2777">
        <v>1</v>
      </c>
      <c r="CB2777" t="b">
        <v>1</v>
      </c>
      <c r="CC2777">
        <v>0</v>
      </c>
      <c r="CD2777" t="b">
        <v>0</v>
      </c>
      <c r="CE2777" t="b">
        <v>1</v>
      </c>
      <c r="CF2777" t="b">
        <v>0</v>
      </c>
      <c r="CG2777">
        <v>2645278</v>
      </c>
      <c r="CH2777" t="s">
        <v>1681</v>
      </c>
      <c r="CI2777" s="10">
        <v>769000</v>
      </c>
      <c r="CJ2777" s="7">
        <v>36692</v>
      </c>
    </row>
    <row r="2778" spans="1:88">
      <c r="A2778">
        <v>28049832</v>
      </c>
      <c r="B2778" s="15" t="str">
        <f>HYPERLINK("http://www.redfin.com/stingray/do/printable-listing?listing-id=1581460","Subject To Inspection")</f>
        <v>Subject To Inspection</v>
      </c>
      <c r="D2778" t="s">
        <v>3685</v>
      </c>
      <c r="E2778" t="s">
        <v>6264</v>
      </c>
      <c r="F2778">
        <v>1595000</v>
      </c>
      <c r="G2778">
        <v>1907</v>
      </c>
      <c r="H2778">
        <v>4945</v>
      </c>
      <c r="I2778">
        <v>8400</v>
      </c>
      <c r="J2778">
        <v>5</v>
      </c>
      <c r="K2778">
        <v>3.5</v>
      </c>
      <c r="M2778" s="2" t="str">
        <f>HYPERLINK("http://maps.live.com/default.aspx?v=2&amp;lvl=15&amp;sp=Point.47.633742_-122.281697_1611 McGilvra Blvd E&amp;cp=47.633742~-122.281697","Map")</f>
        <v>Map</v>
      </c>
      <c r="N2778" s="2" t="str">
        <f>HYPERLINK("http://i-0.rfimg.us/photo/1/bigphoto/832/28049832_2.jpg","Photo")</f>
        <v>Photo</v>
      </c>
      <c r="AG2778">
        <v>47.633741999999998</v>
      </c>
      <c r="AH2778">
        <v>-122.28169699999999</v>
      </c>
      <c r="AI2778" t="s">
        <v>66</v>
      </c>
      <c r="AJ2778">
        <v>98112</v>
      </c>
      <c r="AN2778">
        <v>1250000</v>
      </c>
      <c r="BC2778" s="22">
        <v>39530.837835648148</v>
      </c>
      <c r="BI2778" s="22">
        <v>39545.917314814818</v>
      </c>
      <c r="BL2778">
        <v>31900</v>
      </c>
      <c r="BM2778">
        <v>1581460</v>
      </c>
      <c r="BN2778" t="s">
        <v>1678</v>
      </c>
      <c r="BO2778" s="17">
        <f t="shared" ca="1" si="43"/>
        <v>18.471570254630933</v>
      </c>
      <c r="BP2778" t="b">
        <v>0</v>
      </c>
      <c r="BQ2778">
        <v>1</v>
      </c>
      <c r="BR2778" t="s">
        <v>3141</v>
      </c>
      <c r="BS2778" t="s">
        <v>3684</v>
      </c>
      <c r="BT2778" t="b">
        <v>0</v>
      </c>
      <c r="BV2778" t="s">
        <v>1668</v>
      </c>
      <c r="BW2778">
        <v>1611</v>
      </c>
      <c r="BX2778" t="s">
        <v>2436</v>
      </c>
      <c r="BY2778">
        <v>139457</v>
      </c>
      <c r="BZ2778" t="s">
        <v>1912</v>
      </c>
      <c r="CA2778">
        <v>1</v>
      </c>
      <c r="CB2778" t="b">
        <v>1</v>
      </c>
      <c r="CC2778">
        <v>0</v>
      </c>
      <c r="CD2778" t="b">
        <v>0</v>
      </c>
      <c r="CE2778" t="b">
        <v>1</v>
      </c>
      <c r="CF2778" t="b">
        <v>0</v>
      </c>
      <c r="CG2778">
        <v>2795332</v>
      </c>
      <c r="CH2778" t="s">
        <v>1681</v>
      </c>
      <c r="CI2778" s="10">
        <v>1595000</v>
      </c>
      <c r="CJ2778" s="7">
        <v>38429</v>
      </c>
    </row>
    <row r="2779" spans="1:88">
      <c r="A2779">
        <v>28049851</v>
      </c>
      <c r="B2779" s="2" t="str">
        <f>HYPERLINK("http://www.redfin.com/stingray/do/printable-listing?listing-id=1587850","Active")</f>
        <v>Active</v>
      </c>
      <c r="D2779" t="s">
        <v>55</v>
      </c>
      <c r="E2779" t="s">
        <v>6336</v>
      </c>
      <c r="F2779">
        <v>350000</v>
      </c>
      <c r="G2779">
        <v>1942</v>
      </c>
      <c r="H2779">
        <v>1080</v>
      </c>
      <c r="I2779">
        <v>3234</v>
      </c>
      <c r="J2779">
        <v>3</v>
      </c>
      <c r="K2779">
        <v>1</v>
      </c>
      <c r="M2779" s="2" t="str">
        <f>HYPERLINK("http://maps.live.com/default.aspx?v=2&amp;lvl=15&amp;sp=Point.47.700283_-122.350305_9721 Fremont Ave N&amp;cp=47.700283~-122.350305","Map")</f>
        <v>Map</v>
      </c>
      <c r="N2779" s="2" t="str">
        <f>HYPERLINK("http://i-0.rfimg.us/photo/1/bigphoto/851/28049851_0.jpg","Photo")</f>
        <v>Photo</v>
      </c>
      <c r="AG2779">
        <v>47.700282999999999</v>
      </c>
      <c r="AH2779">
        <v>-122.35030500000001</v>
      </c>
      <c r="AI2779" t="s">
        <v>66</v>
      </c>
      <c r="AJ2779">
        <v>98103</v>
      </c>
      <c r="AN2779">
        <v>115000</v>
      </c>
      <c r="BC2779" s="22">
        <v>39533.046296296299</v>
      </c>
      <c r="BI2779" s="7">
        <v>39542</v>
      </c>
      <c r="BL2779">
        <v>7000</v>
      </c>
      <c r="BM2779">
        <v>1587850</v>
      </c>
      <c r="BN2779" t="s">
        <v>1749</v>
      </c>
      <c r="BO2779" s="17">
        <f t="shared" ca="1" si="43"/>
        <v>16.263109606479702</v>
      </c>
      <c r="BP2779" t="b">
        <v>0</v>
      </c>
      <c r="BQ2779">
        <v>1</v>
      </c>
      <c r="BR2779" t="s">
        <v>1667</v>
      </c>
      <c r="BS2779" t="s">
        <v>100</v>
      </c>
      <c r="BT2779" t="b">
        <v>0</v>
      </c>
      <c r="BV2779" t="s">
        <v>1668</v>
      </c>
      <c r="BW2779">
        <v>9721</v>
      </c>
      <c r="BX2779" t="s">
        <v>1712</v>
      </c>
      <c r="BY2779">
        <v>99096</v>
      </c>
      <c r="BZ2779" t="s">
        <v>1672</v>
      </c>
      <c r="CA2779">
        <v>1</v>
      </c>
      <c r="CB2779" t="b">
        <v>1</v>
      </c>
      <c r="CC2779">
        <v>0</v>
      </c>
      <c r="CD2779" t="b">
        <v>0</v>
      </c>
      <c r="CE2779" t="b">
        <v>1</v>
      </c>
      <c r="CF2779" t="b">
        <v>0</v>
      </c>
      <c r="CG2779">
        <v>2636554</v>
      </c>
      <c r="CH2779" t="s">
        <v>1681</v>
      </c>
      <c r="CI2779" s="10">
        <v>350000</v>
      </c>
      <c r="CJ2779" s="7">
        <v>34515</v>
      </c>
    </row>
    <row r="2780" spans="1:88">
      <c r="A2780">
        <v>28049887</v>
      </c>
      <c r="B2780" s="2" t="str">
        <f>HYPERLINK("http://www.redfin.com/stingray/do/printable-listing?listing-id=1586187","Active")</f>
        <v>Active</v>
      </c>
      <c r="D2780" t="s">
        <v>5198</v>
      </c>
      <c r="E2780" t="s">
        <v>6446</v>
      </c>
      <c r="F2780">
        <v>1197000</v>
      </c>
      <c r="G2780">
        <v>1968</v>
      </c>
      <c r="H2780">
        <v>2590</v>
      </c>
      <c r="I2780">
        <v>10400</v>
      </c>
      <c r="J2780">
        <v>4</v>
      </c>
      <c r="K2780">
        <v>2.75</v>
      </c>
      <c r="M2780" s="2" t="str">
        <f>HYPERLINK("http://maps.live.com/default.aspx?v=2&amp;lvl=15&amp;sp=Point.47.584775_-122.11431_2801 170th Ave SE&amp;cp=47.584775~-122.11431","Map")</f>
        <v>Map</v>
      </c>
      <c r="N2780" s="2" t="str">
        <f>HYPERLINK("http://i-0.rfimg.us/photo/1/bigphoto/887/28049887_2.jpg","Photo")</f>
        <v>Photo</v>
      </c>
      <c r="AG2780">
        <v>47.584775</v>
      </c>
      <c r="AH2780">
        <v>-122.11431</v>
      </c>
      <c r="AI2780" t="s">
        <v>369</v>
      </c>
      <c r="AJ2780">
        <v>98008</v>
      </c>
      <c r="AN2780">
        <v>575000</v>
      </c>
      <c r="BC2780" s="22">
        <v>39532.547534722224</v>
      </c>
      <c r="BI2780" s="22">
        <v>39549.294907407406</v>
      </c>
      <c r="BL2780">
        <v>23940</v>
      </c>
      <c r="BM2780">
        <v>1586187</v>
      </c>
      <c r="BN2780" t="s">
        <v>1768</v>
      </c>
      <c r="BO2780" s="17">
        <f t="shared" ca="1" si="43"/>
        <v>16.761871180555318</v>
      </c>
      <c r="BP2780" t="b">
        <v>0</v>
      </c>
      <c r="BQ2780">
        <v>1</v>
      </c>
      <c r="BR2780" t="s">
        <v>1667</v>
      </c>
      <c r="BS2780" t="s">
        <v>5302</v>
      </c>
      <c r="BT2780" t="b">
        <v>0</v>
      </c>
      <c r="BV2780" t="s">
        <v>1668</v>
      </c>
      <c r="BW2780">
        <v>2801</v>
      </c>
      <c r="BX2780" t="s">
        <v>3856</v>
      </c>
      <c r="BY2780">
        <v>427963</v>
      </c>
      <c r="BZ2780" t="s">
        <v>1730</v>
      </c>
      <c r="CA2780">
        <v>1</v>
      </c>
      <c r="CB2780" t="b">
        <v>1</v>
      </c>
      <c r="CC2780">
        <v>0</v>
      </c>
      <c r="CD2780" t="b">
        <v>0</v>
      </c>
      <c r="CE2780" t="b">
        <v>1</v>
      </c>
      <c r="CF2780" t="b">
        <v>0</v>
      </c>
      <c r="CG2780">
        <v>2943949</v>
      </c>
      <c r="CH2780" t="s">
        <v>1681</v>
      </c>
      <c r="CI2780" s="10">
        <v>1197000</v>
      </c>
      <c r="CJ2780" s="7">
        <v>38848</v>
      </c>
    </row>
    <row r="2781" spans="1:88">
      <c r="A2781">
        <v>28049913</v>
      </c>
      <c r="B2781" s="2" t="str">
        <f>HYPERLINK("http://www.redfin.com/stingray/do/printable-listing?listing-id=1581278","Active")</f>
        <v>Active</v>
      </c>
      <c r="D2781" t="s">
        <v>3924</v>
      </c>
      <c r="E2781" t="s">
        <v>6266</v>
      </c>
      <c r="F2781">
        <v>519000</v>
      </c>
      <c r="G2781">
        <v>1918</v>
      </c>
      <c r="H2781">
        <v>1210</v>
      </c>
      <c r="I2781">
        <v>3276</v>
      </c>
      <c r="J2781">
        <v>3</v>
      </c>
      <c r="K2781">
        <v>2</v>
      </c>
      <c r="M2781" s="2" t="str">
        <f>HYPERLINK("http://maps.live.com/default.aspx?v=2&amp;lvl=15&amp;sp=Point.47.613219_-122.298036_2616 E Union St&amp;cp=47.613219~-122.298036","Map")</f>
        <v>Map</v>
      </c>
      <c r="N2781" s="2" t="str">
        <f>HYPERLINK("http://i-0.rfimg.us/photo/1/bigphoto/913/28049913_.jpg","Photo")</f>
        <v>Photo</v>
      </c>
      <c r="AG2781">
        <v>47.613219000000001</v>
      </c>
      <c r="AH2781">
        <v>-122.298036</v>
      </c>
      <c r="AI2781" t="s">
        <v>66</v>
      </c>
      <c r="AJ2781">
        <v>98122</v>
      </c>
      <c r="AN2781">
        <v>189000</v>
      </c>
      <c r="BC2781" s="22">
        <v>39530.577199074076</v>
      </c>
      <c r="BI2781" s="22">
        <v>39549.294907407406</v>
      </c>
      <c r="BL2781">
        <v>10380</v>
      </c>
      <c r="BM2781">
        <v>1581278</v>
      </c>
      <c r="BN2781" t="s">
        <v>1688</v>
      </c>
      <c r="BO2781" s="17">
        <f t="shared" ca="1" si="43"/>
        <v>18.732206828703056</v>
      </c>
      <c r="BP2781" t="b">
        <v>0</v>
      </c>
      <c r="BQ2781">
        <v>1</v>
      </c>
      <c r="BR2781" t="s">
        <v>1686</v>
      </c>
      <c r="BS2781" t="s">
        <v>4075</v>
      </c>
      <c r="BT2781" t="b">
        <v>0</v>
      </c>
      <c r="BU2781" t="s">
        <v>2436</v>
      </c>
      <c r="BV2781" t="s">
        <v>1668</v>
      </c>
      <c r="BW2781">
        <v>2616</v>
      </c>
      <c r="BY2781">
        <v>147385</v>
      </c>
      <c r="BZ2781" t="s">
        <v>1801</v>
      </c>
      <c r="CA2781">
        <v>1</v>
      </c>
      <c r="CB2781" t="b">
        <v>1</v>
      </c>
      <c r="CC2781">
        <v>0</v>
      </c>
      <c r="CD2781" t="b">
        <v>0</v>
      </c>
      <c r="CE2781" t="b">
        <v>1</v>
      </c>
      <c r="CF2781" t="b">
        <v>0</v>
      </c>
      <c r="CG2781">
        <v>2819425</v>
      </c>
      <c r="CH2781" t="s">
        <v>1681</v>
      </c>
      <c r="CI2781" s="10">
        <v>519000</v>
      </c>
      <c r="CJ2781" s="7">
        <v>37978</v>
      </c>
    </row>
    <row r="2782" spans="1:88">
      <c r="A2782">
        <v>28049926</v>
      </c>
      <c r="B2782" s="15" t="str">
        <f>HYPERLINK("http://www.redfin.com/stingray/do/printable-listing?listing-id=1581767","Subject To Inspection")</f>
        <v>Subject To Inspection</v>
      </c>
      <c r="D2782" t="s">
        <v>109</v>
      </c>
      <c r="E2782" t="s">
        <v>6269</v>
      </c>
      <c r="F2782">
        <v>524950</v>
      </c>
      <c r="G2782">
        <v>1914</v>
      </c>
      <c r="H2782">
        <v>2150</v>
      </c>
      <c r="I2782">
        <v>4114</v>
      </c>
      <c r="J2782">
        <v>3</v>
      </c>
      <c r="K2782">
        <v>1</v>
      </c>
      <c r="M2782" s="2" t="str">
        <f>HYPERLINK("http://maps.live.com/default.aspx?v=2&amp;lvl=15&amp;sp=Point.47.663315_-122.328489_4623 1st Ave NE&amp;cp=47.663315~-122.328489","Map")</f>
        <v>Map</v>
      </c>
      <c r="N2782" s="2" t="str">
        <f>HYPERLINK("http://i-0.rfimg.us/photo/1/bigphoto/926/28049926_0.jpg","Photo")</f>
        <v>Photo</v>
      </c>
      <c r="AG2782">
        <v>47.663314999999997</v>
      </c>
      <c r="AH2782">
        <v>-122.328489</v>
      </c>
      <c r="AI2782" t="s">
        <v>66</v>
      </c>
      <c r="AJ2782">
        <v>98105</v>
      </c>
      <c r="BC2782" s="22">
        <v>39531.285451388889</v>
      </c>
      <c r="BI2782" s="7">
        <v>39541</v>
      </c>
      <c r="BL2782">
        <v>10499</v>
      </c>
      <c r="BM2782">
        <v>1581767</v>
      </c>
      <c r="BN2782" t="s">
        <v>1700</v>
      </c>
      <c r="BO2782" s="17">
        <f t="shared" ca="1" si="43"/>
        <v>18.023954513890203</v>
      </c>
      <c r="BP2782" t="b">
        <v>0</v>
      </c>
      <c r="BQ2782">
        <v>1</v>
      </c>
      <c r="BR2782" t="s">
        <v>1667</v>
      </c>
      <c r="BS2782" t="s">
        <v>1822</v>
      </c>
      <c r="BT2782" t="b">
        <v>0</v>
      </c>
      <c r="BV2782" t="s">
        <v>1668</v>
      </c>
      <c r="BW2782">
        <v>4623</v>
      </c>
      <c r="BX2782" t="s">
        <v>1738</v>
      </c>
      <c r="BY2782">
        <v>117827</v>
      </c>
      <c r="BZ2782" t="s">
        <v>1701</v>
      </c>
      <c r="CA2782">
        <v>1</v>
      </c>
      <c r="CB2782" t="b">
        <v>1</v>
      </c>
      <c r="CC2782">
        <v>0</v>
      </c>
      <c r="CD2782" t="b">
        <v>0</v>
      </c>
      <c r="CE2782" t="b">
        <v>1</v>
      </c>
      <c r="CF2782" t="b">
        <v>0</v>
      </c>
      <c r="CG2782">
        <v>2734959</v>
      </c>
      <c r="CH2782" t="s">
        <v>1681</v>
      </c>
      <c r="CI2782" s="10">
        <v>524950</v>
      </c>
    </row>
    <row r="2783" spans="1:88">
      <c r="A2783">
        <v>28049950</v>
      </c>
      <c r="B2783" s="2" t="str">
        <f>HYPERLINK("http://www.redfin.com/stingray/do/printable-listing?listing-id=1583367","Active")</f>
        <v>Active</v>
      </c>
      <c r="D2783" t="s">
        <v>100</v>
      </c>
      <c r="E2783" t="s">
        <v>6294</v>
      </c>
      <c r="F2783">
        <v>579000</v>
      </c>
      <c r="G2783">
        <v>1910</v>
      </c>
      <c r="H2783">
        <v>1730</v>
      </c>
      <c r="I2783">
        <v>4517</v>
      </c>
      <c r="J2783">
        <v>3</v>
      </c>
      <c r="K2783">
        <v>2.5</v>
      </c>
      <c r="M2783" s="2" t="str">
        <f>HYPERLINK("http://maps.live.com/default.aspx?v=2&amp;lvl=15&amp;sp=Point.47.65755_-122.363143_501 NW 42 St&amp;cp=47.65755~-122.363143","Map")</f>
        <v>Map</v>
      </c>
      <c r="N2783" s="2" t="str">
        <f>HYPERLINK("http://i-0.rfimg.us/photo/1/bigphoto/950/28049950_0.jpg","Photo")</f>
        <v>Photo</v>
      </c>
      <c r="AG2783">
        <v>47.657550000000001</v>
      </c>
      <c r="AH2783">
        <v>-122.36314299999999</v>
      </c>
      <c r="AI2783" t="s">
        <v>66</v>
      </c>
      <c r="AJ2783">
        <v>98107</v>
      </c>
      <c r="AN2783">
        <v>500000</v>
      </c>
      <c r="BC2783" s="22">
        <v>39531.631111111114</v>
      </c>
      <c r="BI2783" s="22">
        <v>39549.294907407406</v>
      </c>
      <c r="BL2783">
        <v>11580</v>
      </c>
      <c r="BM2783">
        <v>1583367</v>
      </c>
      <c r="BN2783" t="s">
        <v>1768</v>
      </c>
      <c r="BO2783" s="17">
        <f t="shared" ca="1" si="43"/>
        <v>17.678294791665394</v>
      </c>
      <c r="BP2783" t="b">
        <v>0</v>
      </c>
      <c r="BQ2783">
        <v>1</v>
      </c>
      <c r="BR2783" t="s">
        <v>1686</v>
      </c>
      <c r="BS2783">
        <v>42</v>
      </c>
      <c r="BT2783" t="b">
        <v>0</v>
      </c>
      <c r="BU2783" t="s">
        <v>1669</v>
      </c>
      <c r="BV2783" t="s">
        <v>1668</v>
      </c>
      <c r="BW2783">
        <v>501</v>
      </c>
      <c r="BY2783">
        <v>302737</v>
      </c>
      <c r="BZ2783" t="s">
        <v>1741</v>
      </c>
      <c r="CA2783">
        <v>1</v>
      </c>
      <c r="CB2783" t="b">
        <v>1</v>
      </c>
      <c r="CC2783">
        <v>0</v>
      </c>
      <c r="CD2783" t="b">
        <v>0</v>
      </c>
      <c r="CE2783" t="b">
        <v>1</v>
      </c>
      <c r="CF2783" t="b">
        <v>0</v>
      </c>
      <c r="CG2783">
        <v>2695999</v>
      </c>
      <c r="CH2783" t="s">
        <v>1681</v>
      </c>
      <c r="CI2783" s="10">
        <v>579000</v>
      </c>
      <c r="CJ2783" s="7">
        <v>38554</v>
      </c>
    </row>
    <row r="2784" spans="1:88">
      <c r="A2784">
        <v>28049960</v>
      </c>
      <c r="B2784" s="2" t="str">
        <f>HYPERLINK("http://www.redfin.com/stingray/do/printable-listing?listing-id=1597260","Active")</f>
        <v>Active</v>
      </c>
      <c r="D2784" t="s">
        <v>63</v>
      </c>
      <c r="E2784" t="s">
        <v>6508</v>
      </c>
      <c r="F2784">
        <v>459000</v>
      </c>
      <c r="G2784">
        <v>1926</v>
      </c>
      <c r="H2784">
        <v>2240</v>
      </c>
      <c r="I2784">
        <v>4100</v>
      </c>
      <c r="J2784">
        <v>3</v>
      </c>
      <c r="K2784">
        <v>1</v>
      </c>
      <c r="M2784" s="2" t="str">
        <f>HYPERLINK("http://maps.live.com/default.aspx?v=2&amp;lvl=15&amp;sp=Point.47.668936_-122.36789_836 NW Market St&amp;cp=47.668936~-122.36789","Map")</f>
        <v>Map</v>
      </c>
      <c r="N2784" s="2" t="str">
        <f>HYPERLINK("http://i-0.rfimg.us/photo/1/bigphoto/960/28049960_0.jpg","Photo")</f>
        <v>Photo</v>
      </c>
      <c r="AG2784">
        <v>47.668936000000002</v>
      </c>
      <c r="AH2784">
        <v>-122.36789</v>
      </c>
      <c r="AI2784" t="s">
        <v>66</v>
      </c>
      <c r="AJ2784">
        <v>98107</v>
      </c>
      <c r="AN2784">
        <v>286000</v>
      </c>
      <c r="BC2784" s="22">
        <v>39535.663530092592</v>
      </c>
      <c r="BI2784" s="22">
        <v>39549.294907407406</v>
      </c>
      <c r="BL2784">
        <v>9180</v>
      </c>
      <c r="BM2784">
        <v>1597260</v>
      </c>
      <c r="BN2784" t="s">
        <v>1700</v>
      </c>
      <c r="BO2784" s="17">
        <f t="shared" ca="1" si="43"/>
        <v>13.645875810187135</v>
      </c>
      <c r="BP2784" t="b">
        <v>0</v>
      </c>
      <c r="BQ2784">
        <v>1</v>
      </c>
      <c r="BR2784" t="s">
        <v>1686</v>
      </c>
      <c r="BS2784" t="s">
        <v>2555</v>
      </c>
      <c r="BT2784" t="b">
        <v>0</v>
      </c>
      <c r="BU2784" t="s">
        <v>1669</v>
      </c>
      <c r="BV2784" t="s">
        <v>1668</v>
      </c>
      <c r="BW2784">
        <v>836</v>
      </c>
      <c r="BY2784">
        <v>493261</v>
      </c>
      <c r="BZ2784" t="s">
        <v>6509</v>
      </c>
      <c r="CA2784">
        <v>1</v>
      </c>
      <c r="CB2784" t="b">
        <v>1</v>
      </c>
      <c r="CC2784">
        <v>0</v>
      </c>
      <c r="CD2784" t="b">
        <v>0</v>
      </c>
      <c r="CE2784" t="b">
        <v>1</v>
      </c>
      <c r="CF2784" t="b">
        <v>0</v>
      </c>
      <c r="CG2784">
        <v>2390290</v>
      </c>
      <c r="CH2784" t="s">
        <v>1681</v>
      </c>
      <c r="CI2784" s="10">
        <v>459000</v>
      </c>
      <c r="CJ2784" s="7">
        <v>37603</v>
      </c>
    </row>
    <row r="2785" spans="1:88">
      <c r="A2785">
        <v>28049963</v>
      </c>
      <c r="B2785" s="2" t="str">
        <f>HYPERLINK("http://www.redfin.com/stingray/do/printable-listing?listing-id=1594278","Active")</f>
        <v>Active</v>
      </c>
      <c r="D2785" t="s">
        <v>5926</v>
      </c>
      <c r="E2785" t="s">
        <v>6560</v>
      </c>
      <c r="F2785">
        <v>399000</v>
      </c>
      <c r="G2785">
        <v>1968</v>
      </c>
      <c r="H2785">
        <v>1200</v>
      </c>
      <c r="I2785">
        <v>7187</v>
      </c>
      <c r="J2785">
        <v>3</v>
      </c>
      <c r="K2785">
        <v>1.5</v>
      </c>
      <c r="M2785" s="2" t="str">
        <f>HYPERLINK("http://maps.live.com/default.aspx?v=2&amp;lvl=15&amp;sp=Point.47.50754_-122.189669_1701 Blaine Ave NE&amp;cp=47.50754~-122.189669","Map")</f>
        <v>Map</v>
      </c>
      <c r="N2785" s="2" t="str">
        <f>HYPERLINK("http://i-0.rfimg.us/photo/1/bigphoto/963/28049963_2.jpg","Photo")</f>
        <v>Photo</v>
      </c>
      <c r="AG2785">
        <v>47.507539999999999</v>
      </c>
      <c r="AH2785">
        <v>-122.18966899999999</v>
      </c>
      <c r="AI2785" t="s">
        <v>1077</v>
      </c>
      <c r="AJ2785">
        <v>98056</v>
      </c>
      <c r="AN2785">
        <v>357800</v>
      </c>
      <c r="BC2785" s="22">
        <v>39534.962916666664</v>
      </c>
      <c r="BI2785" s="22">
        <v>39549.294907407406</v>
      </c>
      <c r="BL2785">
        <v>7980</v>
      </c>
      <c r="BM2785">
        <v>1594278</v>
      </c>
      <c r="BN2785" t="s">
        <v>1768</v>
      </c>
      <c r="BO2785" s="17">
        <f t="shared" ca="1" si="43"/>
        <v>14.346489236115303</v>
      </c>
      <c r="BP2785" t="b">
        <v>0</v>
      </c>
      <c r="BQ2785">
        <v>1</v>
      </c>
      <c r="BR2785" t="s">
        <v>1667</v>
      </c>
      <c r="BS2785" t="s">
        <v>3542</v>
      </c>
      <c r="BT2785" t="b">
        <v>0</v>
      </c>
      <c r="BV2785" t="s">
        <v>1668</v>
      </c>
      <c r="BW2785">
        <v>1701</v>
      </c>
      <c r="BX2785" t="s">
        <v>1738</v>
      </c>
      <c r="BY2785">
        <v>411988</v>
      </c>
      <c r="BZ2785" t="s">
        <v>6561</v>
      </c>
      <c r="CA2785">
        <v>1</v>
      </c>
      <c r="CB2785" t="b">
        <v>1</v>
      </c>
      <c r="CC2785">
        <v>0</v>
      </c>
      <c r="CD2785" t="b">
        <v>0</v>
      </c>
      <c r="CE2785" t="b">
        <v>1</v>
      </c>
      <c r="CF2785" t="b">
        <v>0</v>
      </c>
      <c r="CG2785">
        <v>2974756</v>
      </c>
      <c r="CH2785" t="s">
        <v>1681</v>
      </c>
      <c r="CI2785" s="10">
        <v>399000</v>
      </c>
      <c r="CJ2785" s="7">
        <v>38946</v>
      </c>
    </row>
    <row r="2786" spans="1:88">
      <c r="A2786">
        <v>28049976</v>
      </c>
      <c r="B2786" s="15" t="str">
        <f>HYPERLINK("http://www.redfin.com/stingray/do/printable-listing?listing-id=1582081","Subject To Inspection")</f>
        <v>Subject To Inspection</v>
      </c>
      <c r="D2786" t="s">
        <v>218</v>
      </c>
      <c r="E2786" t="s">
        <v>6280</v>
      </c>
      <c r="F2786">
        <v>599000</v>
      </c>
      <c r="G2786">
        <v>1914</v>
      </c>
      <c r="H2786">
        <v>2710</v>
      </c>
      <c r="I2786">
        <v>4500</v>
      </c>
      <c r="J2786">
        <v>4</v>
      </c>
      <c r="K2786">
        <v>1.75</v>
      </c>
      <c r="M2786" s="2" t="str">
        <f>HYPERLINK("http://maps.live.com/default.aspx?v=2&amp;lvl=15&amp;sp=Point.47.670193_-122.315515_5625 12th Ave NE&amp;cp=47.670193~-122.315515","Map")</f>
        <v>Map</v>
      </c>
      <c r="N2786" s="2" t="str">
        <f>HYPERLINK("http://i-0.rfimg.us/photo/1/bigphoto/976/28049976_1.jpg","Photo")</f>
        <v>Photo</v>
      </c>
      <c r="AG2786">
        <v>47.670192999999998</v>
      </c>
      <c r="AH2786">
        <v>-122.315515</v>
      </c>
      <c r="AI2786" t="s">
        <v>66</v>
      </c>
      <c r="AJ2786">
        <v>98105</v>
      </c>
      <c r="AN2786">
        <v>106000</v>
      </c>
      <c r="BC2786" s="22">
        <v>39531.390914351854</v>
      </c>
      <c r="BI2786" s="22">
        <v>39549.294907407406</v>
      </c>
      <c r="BL2786">
        <v>11980</v>
      </c>
      <c r="BM2786">
        <v>1582081</v>
      </c>
      <c r="BN2786" t="s">
        <v>1710</v>
      </c>
      <c r="BO2786" s="17">
        <f t="shared" ca="1" si="43"/>
        <v>17.918491550924955</v>
      </c>
      <c r="BP2786" t="b">
        <v>0</v>
      </c>
      <c r="BQ2786">
        <v>1</v>
      </c>
      <c r="BR2786" t="s">
        <v>1667</v>
      </c>
      <c r="BS2786" t="s">
        <v>1803</v>
      </c>
      <c r="BT2786" t="b">
        <v>0</v>
      </c>
      <c r="BV2786" t="s">
        <v>1668</v>
      </c>
      <c r="BW2786">
        <v>5625</v>
      </c>
      <c r="BX2786" t="s">
        <v>1738</v>
      </c>
      <c r="BY2786">
        <v>312138</v>
      </c>
      <c r="BZ2786" t="s">
        <v>1709</v>
      </c>
      <c r="CA2786">
        <v>1</v>
      </c>
      <c r="CB2786" t="b">
        <v>1</v>
      </c>
      <c r="CC2786">
        <v>0</v>
      </c>
      <c r="CD2786" t="b">
        <v>0</v>
      </c>
      <c r="CE2786" t="b">
        <v>1</v>
      </c>
      <c r="CF2786" t="b">
        <v>0</v>
      </c>
      <c r="CG2786">
        <v>2533281</v>
      </c>
      <c r="CH2786" t="s">
        <v>1681</v>
      </c>
      <c r="CI2786" s="10">
        <v>599000</v>
      </c>
      <c r="CJ2786" s="7">
        <v>30902</v>
      </c>
    </row>
    <row r="2787" spans="1:88">
      <c r="A2787">
        <v>28049980</v>
      </c>
      <c r="B2787" s="2" t="str">
        <f>HYPERLINK("http://www.redfin.com/stingray/do/printable-listing?listing-id=1581433","Active")</f>
        <v>Active</v>
      </c>
      <c r="D2787" t="s">
        <v>1023</v>
      </c>
      <c r="E2787" t="s">
        <v>6262</v>
      </c>
      <c r="F2787">
        <v>1150000</v>
      </c>
      <c r="G2787">
        <v>2002</v>
      </c>
      <c r="H2787">
        <v>3640</v>
      </c>
      <c r="I2787">
        <v>0</v>
      </c>
      <c r="J2787">
        <v>4</v>
      </c>
      <c r="K2787">
        <v>3.5</v>
      </c>
      <c r="M2787" s="2" t="str">
        <f>HYPERLINK("http://maps.live.com/default.aspx?v=2&amp;lvl=15&amp;sp=Point.47.671041_-122.401944_3417 NW 59th St&amp;cp=47.671041~-122.401944","Map")</f>
        <v>Map</v>
      </c>
      <c r="N2787" s="2" t="str">
        <f>HYPERLINK("http://i-0.rfimg.us/photo/1/bigphoto/980/28049980_0.jpg","Photo")</f>
        <v>Photo</v>
      </c>
      <c r="AG2787">
        <v>47.671041000000002</v>
      </c>
      <c r="AH2787">
        <v>-122.401944</v>
      </c>
      <c r="AI2787" t="s">
        <v>66</v>
      </c>
      <c r="AJ2787">
        <v>98107</v>
      </c>
      <c r="AN2787">
        <v>785000</v>
      </c>
      <c r="BC2787" s="22">
        <v>39530.796111111114</v>
      </c>
      <c r="BI2787" s="22">
        <v>39549.294907407406</v>
      </c>
      <c r="BL2787">
        <v>23000</v>
      </c>
      <c r="BM2787">
        <v>1581433</v>
      </c>
      <c r="BN2787" t="s">
        <v>1829</v>
      </c>
      <c r="BO2787" s="17">
        <f t="shared" ca="1" si="43"/>
        <v>18.513294791664521</v>
      </c>
      <c r="BP2787" t="b">
        <v>0</v>
      </c>
      <c r="BQ2787">
        <v>1</v>
      </c>
      <c r="BR2787" t="s">
        <v>1686</v>
      </c>
      <c r="BS2787" t="s">
        <v>2492</v>
      </c>
      <c r="BT2787" t="b">
        <v>0</v>
      </c>
      <c r="BU2787" t="s">
        <v>1669</v>
      </c>
      <c r="BV2787" t="s">
        <v>1668</v>
      </c>
      <c r="BW2787">
        <v>3417</v>
      </c>
      <c r="BY2787">
        <v>162630</v>
      </c>
      <c r="BZ2787" t="s">
        <v>1713</v>
      </c>
      <c r="CA2787">
        <v>1</v>
      </c>
      <c r="CB2787" t="b">
        <v>1</v>
      </c>
      <c r="CC2787">
        <v>0</v>
      </c>
      <c r="CD2787" t="b">
        <v>0</v>
      </c>
      <c r="CE2787" t="b">
        <v>1</v>
      </c>
      <c r="CF2787" t="b">
        <v>0</v>
      </c>
      <c r="CG2787">
        <v>2800168</v>
      </c>
      <c r="CH2787" t="s">
        <v>1681</v>
      </c>
      <c r="CI2787" s="10">
        <v>1150000</v>
      </c>
      <c r="CJ2787" s="7">
        <v>38230</v>
      </c>
    </row>
    <row r="2788" spans="1:88">
      <c r="A2788">
        <v>28049989</v>
      </c>
      <c r="B2788" s="2" t="str">
        <f>HYPERLINK("http://www.redfin.com/stingray/do/printable-listing?listing-id=1582029","Active")</f>
        <v>Active</v>
      </c>
      <c r="D2788" t="s">
        <v>1023</v>
      </c>
      <c r="E2788" t="s">
        <v>2283</v>
      </c>
      <c r="F2788">
        <v>559950</v>
      </c>
      <c r="G2788">
        <v>1941</v>
      </c>
      <c r="H2788">
        <v>1600</v>
      </c>
      <c r="I2788">
        <v>6279</v>
      </c>
      <c r="J2788">
        <v>3</v>
      </c>
      <c r="K2788">
        <v>2</v>
      </c>
      <c r="M2788" s="2" t="str">
        <f>HYPERLINK("http://maps.live.com/default.aspx?v=2&amp;lvl=15&amp;sp=Point.47.68359_-122.39476_7515 29th Ave NW&amp;cp=47.68359~-122.39476","Map")</f>
        <v>Map</v>
      </c>
      <c r="N2788" s="2" t="str">
        <f>HYPERLINK("http://i-0.rfimg.us/photo/1/bigphoto/989/28049989_0.jpg","Photo")</f>
        <v>Photo</v>
      </c>
      <c r="AG2788">
        <v>47.683590000000002</v>
      </c>
      <c r="AH2788">
        <v>-122.39476000000001</v>
      </c>
      <c r="AI2788" t="s">
        <v>66</v>
      </c>
      <c r="AJ2788">
        <v>98117</v>
      </c>
      <c r="AN2788">
        <v>440000</v>
      </c>
      <c r="BC2788" s="22">
        <v>39531.37972222222</v>
      </c>
      <c r="BI2788" s="22">
        <v>39549.294907407406</v>
      </c>
      <c r="BL2788">
        <v>11199</v>
      </c>
      <c r="BM2788">
        <v>1582029</v>
      </c>
      <c r="BN2788" t="s">
        <v>1710</v>
      </c>
      <c r="BO2788" s="17">
        <f t="shared" ca="1" si="43"/>
        <v>17.92968368055881</v>
      </c>
      <c r="BP2788" t="b">
        <v>0</v>
      </c>
      <c r="BQ2788">
        <v>1</v>
      </c>
      <c r="BR2788" t="s">
        <v>1667</v>
      </c>
      <c r="BS2788" t="s">
        <v>1772</v>
      </c>
      <c r="BT2788" t="b">
        <v>0</v>
      </c>
      <c r="BV2788" t="s">
        <v>1668</v>
      </c>
      <c r="BW2788">
        <v>7515</v>
      </c>
      <c r="BX2788" t="s">
        <v>1669</v>
      </c>
      <c r="BY2788">
        <v>165010</v>
      </c>
      <c r="BZ2788" t="s">
        <v>1670</v>
      </c>
      <c r="CA2788">
        <v>1</v>
      </c>
      <c r="CB2788" t="b">
        <v>1</v>
      </c>
      <c r="CC2788">
        <v>0</v>
      </c>
      <c r="CD2788" t="b">
        <v>0</v>
      </c>
      <c r="CE2788" t="b">
        <v>1</v>
      </c>
      <c r="CF2788" t="b">
        <v>0</v>
      </c>
      <c r="CG2788">
        <v>2885337</v>
      </c>
      <c r="CH2788" t="s">
        <v>1681</v>
      </c>
      <c r="CI2788" s="10">
        <v>559950</v>
      </c>
      <c r="CJ2788" s="7">
        <v>38469</v>
      </c>
    </row>
    <row r="2789" spans="1:88">
      <c r="A2789">
        <v>28050003</v>
      </c>
      <c r="B2789" s="2" t="str">
        <f>HYPERLINK("http://www.redfin.com/stingray/do/printable-listing?listing-id=1582941","Active")</f>
        <v>Active</v>
      </c>
      <c r="D2789" t="s">
        <v>3685</v>
      </c>
      <c r="E2789" t="s">
        <v>6299</v>
      </c>
      <c r="F2789">
        <v>1650000</v>
      </c>
      <c r="G2789">
        <v>2006</v>
      </c>
      <c r="H2789">
        <v>3050</v>
      </c>
      <c r="I2789">
        <v>3000</v>
      </c>
      <c r="J2789">
        <v>4</v>
      </c>
      <c r="K2789">
        <v>3.5</v>
      </c>
      <c r="M2789" s="2" t="str">
        <f>HYPERLINK("http://maps.live.com/default.aspx?v=2&amp;lvl=15&amp;sp=Point.47.640563_-122.278186_4205 E McGilvra St&amp;cp=47.640563~-122.278186","Map")</f>
        <v>Map</v>
      </c>
      <c r="N2789" s="2" t="str">
        <f>HYPERLINK("http://i-0.rfimg.us/photo/1/bigphoto/003/28050003_1.jpg","Photo")</f>
        <v>Photo</v>
      </c>
      <c r="AG2789">
        <v>47.640563</v>
      </c>
      <c r="AH2789">
        <v>-122.27818600000001</v>
      </c>
      <c r="AI2789" t="s">
        <v>66</v>
      </c>
      <c r="AJ2789">
        <v>98112</v>
      </c>
      <c r="BC2789" s="22">
        <v>39531.536874999998</v>
      </c>
      <c r="BI2789" s="22">
        <v>39549.294907407406</v>
      </c>
      <c r="BL2789">
        <v>33000</v>
      </c>
      <c r="BM2789">
        <v>1582941</v>
      </c>
      <c r="BN2789" t="s">
        <v>1715</v>
      </c>
      <c r="BO2789" s="17">
        <f t="shared" ca="1" si="43"/>
        <v>17.772530902781</v>
      </c>
      <c r="BP2789" t="b">
        <v>0</v>
      </c>
      <c r="BQ2789">
        <v>1</v>
      </c>
      <c r="BR2789" t="s">
        <v>1686</v>
      </c>
      <c r="BS2789" t="s">
        <v>3684</v>
      </c>
      <c r="BT2789" t="b">
        <v>0</v>
      </c>
      <c r="BU2789" t="s">
        <v>2436</v>
      </c>
      <c r="BV2789" t="s">
        <v>1668</v>
      </c>
      <c r="BW2789">
        <v>4205</v>
      </c>
      <c r="BY2789">
        <v>12433965</v>
      </c>
      <c r="BZ2789" t="s">
        <v>1709</v>
      </c>
      <c r="CA2789">
        <v>1</v>
      </c>
      <c r="CB2789" t="b">
        <v>1</v>
      </c>
      <c r="CC2789">
        <v>0</v>
      </c>
      <c r="CD2789" t="b">
        <v>0</v>
      </c>
      <c r="CE2789" t="b">
        <v>1</v>
      </c>
      <c r="CF2789" t="b">
        <v>0</v>
      </c>
      <c r="CG2789">
        <v>15637713</v>
      </c>
      <c r="CH2789" t="s">
        <v>1681</v>
      </c>
      <c r="CI2789" s="10">
        <v>1650000</v>
      </c>
    </row>
    <row r="2790" spans="1:88">
      <c r="A2790">
        <v>28050010</v>
      </c>
      <c r="B2790" s="2" t="str">
        <f>HYPERLINK("http://www.redfin.com/stingray/do/printable-listing?listing-id=1581645","Active")</f>
        <v>Active</v>
      </c>
      <c r="D2790" t="s">
        <v>2552</v>
      </c>
      <c r="E2790" t="s">
        <v>3515</v>
      </c>
      <c r="F2790">
        <v>699000</v>
      </c>
      <c r="G2790">
        <v>1942</v>
      </c>
      <c r="H2790">
        <v>2600</v>
      </c>
      <c r="I2790">
        <v>6000</v>
      </c>
      <c r="J2790">
        <v>4</v>
      </c>
      <c r="K2790">
        <v>2</v>
      </c>
      <c r="M2790" s="2" t="str">
        <f>HYPERLINK("http://maps.live.com/default.aspx?v=2&amp;lvl=15&amp;sp=Point.47.647753_-122.393297_3029 28th Ave W&amp;cp=47.647753~-122.393297","Map")</f>
        <v>Map</v>
      </c>
      <c r="N2790" s="2" t="str">
        <f>HYPERLINK("http://i-0.rfimg.us/photo/1/bigphoto/010/28050010_0.jpg","Photo")</f>
        <v>Photo</v>
      </c>
      <c r="AG2790">
        <v>47.647753000000002</v>
      </c>
      <c r="AH2790">
        <v>-122.393297</v>
      </c>
      <c r="AI2790" t="s">
        <v>66</v>
      </c>
      <c r="AJ2790">
        <v>98199</v>
      </c>
      <c r="AN2790">
        <v>577150</v>
      </c>
      <c r="BC2790" s="22">
        <v>39531.046018518522</v>
      </c>
      <c r="BI2790" s="22">
        <v>39549.294907407406</v>
      </c>
      <c r="BL2790">
        <v>13980</v>
      </c>
      <c r="BM2790">
        <v>1581645</v>
      </c>
      <c r="BN2790" t="s">
        <v>1680</v>
      </c>
      <c r="BO2790" s="17">
        <f t="shared" ca="1" si="43"/>
        <v>18.26338738425693</v>
      </c>
      <c r="BP2790" t="b">
        <v>0</v>
      </c>
      <c r="BQ2790">
        <v>1</v>
      </c>
      <c r="BR2790" t="s">
        <v>1667</v>
      </c>
      <c r="BS2790" t="s">
        <v>1760</v>
      </c>
      <c r="BT2790" t="b">
        <v>0</v>
      </c>
      <c r="BV2790" t="s">
        <v>1668</v>
      </c>
      <c r="BW2790">
        <v>3029</v>
      </c>
      <c r="BX2790" t="s">
        <v>2423</v>
      </c>
      <c r="BY2790">
        <v>128152</v>
      </c>
      <c r="BZ2790" t="s">
        <v>1713</v>
      </c>
      <c r="CA2790">
        <v>1</v>
      </c>
      <c r="CB2790" t="b">
        <v>1</v>
      </c>
      <c r="CC2790">
        <v>0</v>
      </c>
      <c r="CD2790" t="b">
        <v>0</v>
      </c>
      <c r="CE2790" t="b">
        <v>1</v>
      </c>
      <c r="CF2790" t="b">
        <v>0</v>
      </c>
      <c r="CG2790">
        <v>2405372</v>
      </c>
      <c r="CH2790" t="s">
        <v>1681</v>
      </c>
      <c r="CI2790" s="10">
        <v>699000</v>
      </c>
      <c r="CJ2790" s="7">
        <v>39153</v>
      </c>
    </row>
    <row r="2791" spans="1:88">
      <c r="A2791">
        <v>28050014</v>
      </c>
      <c r="B2791" s="15" t="str">
        <f>HYPERLINK("http://www.redfin.com/stingray/do/printable-listing?listing-id=1596503","Subject To Inspection")</f>
        <v>Subject To Inspection</v>
      </c>
      <c r="D2791" t="s">
        <v>5490</v>
      </c>
      <c r="E2791" t="s">
        <v>6555</v>
      </c>
      <c r="F2791">
        <v>729900</v>
      </c>
      <c r="G2791">
        <v>1999</v>
      </c>
      <c r="H2791">
        <v>3360</v>
      </c>
      <c r="I2791">
        <v>6314</v>
      </c>
      <c r="J2791">
        <v>4</v>
      </c>
      <c r="K2791">
        <v>2.5</v>
      </c>
      <c r="M2791" s="2" t="str">
        <f>HYPERLINK("http://maps.live.com/default.aspx?v=2&amp;lvl=15&amp;sp=Point.47.564999_-122.123355_4512 162nd Way SE&amp;cp=47.564999~-122.123355","Map")</f>
        <v>Map</v>
      </c>
      <c r="N2791" s="2" t="str">
        <f>HYPERLINK("http://i-0.rfimg.us/photo/1/bigphoto/014/28050014_1.jpg","Photo")</f>
        <v>Photo</v>
      </c>
      <c r="AG2791">
        <v>47.564999</v>
      </c>
      <c r="AH2791">
        <v>-122.123355</v>
      </c>
      <c r="AI2791" t="s">
        <v>5280</v>
      </c>
      <c r="AJ2791">
        <v>98027</v>
      </c>
      <c r="BC2791" s="22">
        <v>39535.526921296296</v>
      </c>
      <c r="BI2791" s="22">
        <v>39549.294907407406</v>
      </c>
      <c r="BL2791">
        <v>14598</v>
      </c>
      <c r="BM2791">
        <v>1596503</v>
      </c>
      <c r="BN2791" t="s">
        <v>1768</v>
      </c>
      <c r="BO2791" s="17">
        <f t="shared" ca="1" si="43"/>
        <v>13.782484606483195</v>
      </c>
      <c r="BP2791" t="b">
        <v>0</v>
      </c>
      <c r="BQ2791">
        <v>1</v>
      </c>
      <c r="BR2791" t="s">
        <v>2463</v>
      </c>
      <c r="BS2791" t="s">
        <v>5663</v>
      </c>
      <c r="BT2791" t="b">
        <v>0</v>
      </c>
      <c r="BV2791" t="s">
        <v>1668</v>
      </c>
      <c r="BW2791">
        <v>4512</v>
      </c>
      <c r="BX2791" t="s">
        <v>3856</v>
      </c>
      <c r="BY2791">
        <v>12435543</v>
      </c>
      <c r="BZ2791" t="s">
        <v>3113</v>
      </c>
      <c r="CA2791">
        <v>1</v>
      </c>
      <c r="CB2791" t="b">
        <v>1</v>
      </c>
      <c r="CC2791">
        <v>0</v>
      </c>
      <c r="CD2791" t="b">
        <v>0</v>
      </c>
      <c r="CE2791" t="b">
        <v>1</v>
      </c>
      <c r="CF2791" t="b">
        <v>0</v>
      </c>
      <c r="CG2791">
        <v>15639291</v>
      </c>
      <c r="CH2791" t="s">
        <v>1681</v>
      </c>
      <c r="CI2791" s="10">
        <v>729900</v>
      </c>
    </row>
    <row r="2792" spans="1:88">
      <c r="A2792">
        <v>28050029</v>
      </c>
      <c r="B2792" s="2" t="str">
        <f>HYPERLINK("http://www.redfin.com/stingray/do/printable-listing?listing-id=1582248","Active")</f>
        <v>Active</v>
      </c>
      <c r="D2792" t="s">
        <v>2552</v>
      </c>
      <c r="E2792" t="s">
        <v>6289</v>
      </c>
      <c r="F2792">
        <v>1850000</v>
      </c>
      <c r="G2792">
        <v>1957</v>
      </c>
      <c r="H2792">
        <v>3030</v>
      </c>
      <c r="I2792">
        <v>5600</v>
      </c>
      <c r="J2792">
        <v>3</v>
      </c>
      <c r="K2792">
        <v>2.25</v>
      </c>
      <c r="M2792" s="2" t="str">
        <f>HYPERLINK("http://maps.live.com/default.aspx?v=2&amp;lvl=15&amp;sp=Point.47.635448_-122.403109_3498 W Blaine St.&amp;cp=47.635448~-122.403109","Map")</f>
        <v>Map</v>
      </c>
      <c r="N2792" s="2" t="str">
        <f>HYPERLINK("http://i-0.rfimg.us/photo/1/bigphoto/029/28050029_1.jpg","Photo")</f>
        <v>Photo</v>
      </c>
      <c r="AG2792">
        <v>47.635447999999997</v>
      </c>
      <c r="AH2792">
        <v>-122.403109</v>
      </c>
      <c r="AI2792" t="s">
        <v>66</v>
      </c>
      <c r="AJ2792">
        <v>98199</v>
      </c>
      <c r="AN2792">
        <v>800000</v>
      </c>
      <c r="BC2792" s="22">
        <v>39531.432662037034</v>
      </c>
      <c r="BI2792" s="22">
        <v>39549.294907407406</v>
      </c>
      <c r="BL2792">
        <v>37000</v>
      </c>
      <c r="BM2792">
        <v>1582248</v>
      </c>
      <c r="BN2792" t="s">
        <v>1680</v>
      </c>
      <c r="BO2792" s="17">
        <f t="shared" ca="1" si="43"/>
        <v>17.876743865745084</v>
      </c>
      <c r="BP2792" t="b">
        <v>0</v>
      </c>
      <c r="BQ2792">
        <v>1</v>
      </c>
      <c r="BS2792" t="s">
        <v>6290</v>
      </c>
      <c r="BT2792" t="b">
        <v>0</v>
      </c>
      <c r="BU2792" t="s">
        <v>2423</v>
      </c>
      <c r="BV2792" t="s">
        <v>1668</v>
      </c>
      <c r="BW2792">
        <v>3498</v>
      </c>
      <c r="BY2792">
        <v>126564</v>
      </c>
      <c r="BZ2792" t="s">
        <v>6291</v>
      </c>
      <c r="CA2792">
        <v>1</v>
      </c>
      <c r="CB2792" t="b">
        <v>1</v>
      </c>
      <c r="CC2792">
        <v>0</v>
      </c>
      <c r="CD2792" t="b">
        <v>0</v>
      </c>
      <c r="CE2792" t="b">
        <v>1</v>
      </c>
      <c r="CF2792" t="b">
        <v>0</v>
      </c>
      <c r="CG2792">
        <v>2698884</v>
      </c>
      <c r="CH2792" t="s">
        <v>1681</v>
      </c>
      <c r="CI2792" s="10">
        <v>1850000</v>
      </c>
      <c r="CJ2792" s="7">
        <v>37951</v>
      </c>
    </row>
    <row r="2793" spans="1:88">
      <c r="A2793">
        <v>28050031</v>
      </c>
      <c r="B2793" s="2" t="str">
        <f>HYPERLINK("http://www.redfin.com/stingray/do/printable-listing?listing-id=1581828","Active")</f>
        <v>Active</v>
      </c>
      <c r="D2793" t="s">
        <v>4611</v>
      </c>
      <c r="E2793" t="s">
        <v>6307</v>
      </c>
      <c r="F2793">
        <v>449000</v>
      </c>
      <c r="G2793">
        <v>1959</v>
      </c>
      <c r="H2793">
        <v>0</v>
      </c>
      <c r="I2793">
        <v>8000</v>
      </c>
      <c r="J2793">
        <v>2</v>
      </c>
      <c r="K2793">
        <v>1.75</v>
      </c>
      <c r="M2793" s="2" t="str">
        <f>HYPERLINK("http://maps.live.com/default.aspx?v=2&amp;lvl=15&amp;sp=Point.47.616724_-122.119297_659 166th Ave NE&amp;cp=47.616724~-122.119297","Map")</f>
        <v>Map</v>
      </c>
      <c r="N2793" s="2" t="str">
        <f>HYPERLINK("http://i-0.rfimg.us/photo/1/bigphoto/031/28050031_0.jpg","Photo")</f>
        <v>Photo</v>
      </c>
      <c r="AG2793">
        <v>47.616723999999998</v>
      </c>
      <c r="AH2793">
        <v>-122.119297</v>
      </c>
      <c r="AI2793" t="s">
        <v>369</v>
      </c>
      <c r="AJ2793">
        <v>98008</v>
      </c>
      <c r="AN2793">
        <v>132500</v>
      </c>
      <c r="BC2793" s="22">
        <v>39531.317060185182</v>
      </c>
      <c r="BI2793" s="22">
        <v>39549.294907407406</v>
      </c>
      <c r="BL2793">
        <v>8980</v>
      </c>
      <c r="BM2793">
        <v>1581828</v>
      </c>
      <c r="BN2793" t="s">
        <v>1720</v>
      </c>
      <c r="BO2793" s="17">
        <f t="shared" ca="1" si="43"/>
        <v>17.992345717597345</v>
      </c>
      <c r="BP2793" t="b">
        <v>0</v>
      </c>
      <c r="BQ2793">
        <v>1</v>
      </c>
      <c r="BR2793" t="s">
        <v>1667</v>
      </c>
      <c r="BS2793" t="s">
        <v>5194</v>
      </c>
      <c r="BT2793" t="b">
        <v>0</v>
      </c>
      <c r="BV2793" t="s">
        <v>1668</v>
      </c>
      <c r="BW2793">
        <v>659</v>
      </c>
      <c r="BX2793" t="s">
        <v>1738</v>
      </c>
      <c r="BY2793">
        <v>501183</v>
      </c>
      <c r="BZ2793" t="s">
        <v>1672</v>
      </c>
      <c r="CA2793">
        <v>1</v>
      </c>
      <c r="CB2793" t="b">
        <v>1</v>
      </c>
      <c r="CC2793">
        <v>0</v>
      </c>
      <c r="CD2793" t="b">
        <v>0</v>
      </c>
      <c r="CE2793" t="b">
        <v>1</v>
      </c>
      <c r="CF2793" t="b">
        <v>0</v>
      </c>
      <c r="CG2793">
        <v>2776691</v>
      </c>
      <c r="CH2793" t="s">
        <v>1681</v>
      </c>
      <c r="CI2793" s="10">
        <v>449000</v>
      </c>
      <c r="CJ2793" s="7">
        <v>34179</v>
      </c>
    </row>
    <row r="2794" spans="1:88">
      <c r="A2794">
        <v>28050055</v>
      </c>
      <c r="B2794" s="15" t="str">
        <f>HYPERLINK("http://www.redfin.com/stingray/do/printable-listing?listing-id=1583572","Subject To Inspection")</f>
        <v>Subject To Inspection</v>
      </c>
      <c r="D2794" t="s">
        <v>100</v>
      </c>
      <c r="E2794" t="s">
        <v>6296</v>
      </c>
      <c r="F2794">
        <v>445000</v>
      </c>
      <c r="G2794">
        <v>1900</v>
      </c>
      <c r="H2794">
        <v>1130</v>
      </c>
      <c r="I2794">
        <v>3300</v>
      </c>
      <c r="J2794">
        <v>2</v>
      </c>
      <c r="K2794">
        <v>1</v>
      </c>
      <c r="M2794" s="2" t="str">
        <f>HYPERLINK("http://maps.live.com/default.aspx?v=2&amp;lvl=15&amp;sp=Point.47.658427_-122.35242_4223 Dayton Ave N&amp;cp=47.658427~-122.35242","Map")</f>
        <v>Map</v>
      </c>
      <c r="N2794" s="2" t="str">
        <f>HYPERLINK("http://i-0.rfimg.us/photo/1/bigphoto/055/28050055_0.jpg","Photo")</f>
        <v>Photo</v>
      </c>
      <c r="AG2794">
        <v>47.658427000000003</v>
      </c>
      <c r="AH2794">
        <v>-122.35242</v>
      </c>
      <c r="AI2794" t="s">
        <v>66</v>
      </c>
      <c r="AJ2794">
        <v>98103</v>
      </c>
      <c r="AN2794">
        <v>300000</v>
      </c>
      <c r="BC2794" s="22">
        <v>39531.672951388886</v>
      </c>
      <c r="BI2794" s="7">
        <v>39535</v>
      </c>
      <c r="BL2794">
        <v>8900</v>
      </c>
      <c r="BM2794">
        <v>1583572</v>
      </c>
      <c r="BN2794" t="s">
        <v>1710</v>
      </c>
      <c r="BO2794" s="17">
        <f t="shared" ca="1" si="43"/>
        <v>17.636454513893113</v>
      </c>
      <c r="BP2794" t="b">
        <v>0</v>
      </c>
      <c r="BQ2794">
        <v>1</v>
      </c>
      <c r="BR2794" t="s">
        <v>1667</v>
      </c>
      <c r="BS2794" t="s">
        <v>2640</v>
      </c>
      <c r="BT2794" t="b">
        <v>0</v>
      </c>
      <c r="BV2794" t="s">
        <v>1668</v>
      </c>
      <c r="BW2794">
        <v>4223</v>
      </c>
      <c r="BX2794" t="s">
        <v>1712</v>
      </c>
      <c r="BY2794">
        <v>302683</v>
      </c>
      <c r="BZ2794" t="s">
        <v>1701</v>
      </c>
      <c r="CA2794">
        <v>1</v>
      </c>
      <c r="CB2794" t="b">
        <v>1</v>
      </c>
      <c r="CC2794">
        <v>0</v>
      </c>
      <c r="CD2794" t="b">
        <v>0</v>
      </c>
      <c r="CE2794" t="b">
        <v>1</v>
      </c>
      <c r="CF2794" t="b">
        <v>0</v>
      </c>
      <c r="CG2794">
        <v>2669172</v>
      </c>
      <c r="CH2794" t="s">
        <v>1681</v>
      </c>
      <c r="CI2794" s="10">
        <v>445000</v>
      </c>
      <c r="CJ2794" s="7">
        <v>37228</v>
      </c>
    </row>
    <row r="2795" spans="1:88">
      <c r="A2795">
        <v>28050056</v>
      </c>
      <c r="B2795" s="15" t="str">
        <f>HYPERLINK("http://www.redfin.com/stingray/do/printable-listing?listing-id=1581952","Subject To Inspection")</f>
        <v>Subject To Inspection</v>
      </c>
      <c r="D2795" t="s">
        <v>1152</v>
      </c>
      <c r="E2795" t="s">
        <v>6279</v>
      </c>
      <c r="F2795">
        <v>500000</v>
      </c>
      <c r="G2795">
        <v>1948</v>
      </c>
      <c r="H2795">
        <v>0</v>
      </c>
      <c r="I2795">
        <v>6120</v>
      </c>
      <c r="J2795">
        <v>3</v>
      </c>
      <c r="K2795">
        <v>1</v>
      </c>
      <c r="M2795" s="2" t="str">
        <f>HYPERLINK("http://maps.live.com/default.aspx?v=2&amp;lvl=15&amp;sp=Point.47.67237_-122.283768_4022 NE 60th St&amp;cp=47.67237~-122.283768","Map")</f>
        <v>Map</v>
      </c>
      <c r="N2795" s="2" t="str">
        <f>HYPERLINK("http://i-0.rfimg.us/photo/1/bigphoto/056/28050056_0.jpg","Photo")</f>
        <v>Photo</v>
      </c>
      <c r="AG2795">
        <v>47.672370000000001</v>
      </c>
      <c r="AH2795">
        <v>-122.28376799999999</v>
      </c>
      <c r="AI2795" t="s">
        <v>66</v>
      </c>
      <c r="AJ2795">
        <v>98115</v>
      </c>
      <c r="AN2795">
        <v>328000</v>
      </c>
      <c r="BC2795" s="22">
        <v>39531.358657407407</v>
      </c>
      <c r="BI2795" s="22">
        <v>39549.294907407406</v>
      </c>
      <c r="BL2795">
        <v>10000</v>
      </c>
      <c r="BM2795">
        <v>1581952</v>
      </c>
      <c r="BN2795" t="s">
        <v>1685</v>
      </c>
      <c r="BO2795" s="17">
        <f t="shared" ca="1" si="43"/>
        <v>17.950748495371954</v>
      </c>
      <c r="BP2795" t="b">
        <v>0</v>
      </c>
      <c r="BQ2795">
        <v>1</v>
      </c>
      <c r="BR2795" t="s">
        <v>1686</v>
      </c>
      <c r="BS2795" t="s">
        <v>2417</v>
      </c>
      <c r="BT2795" t="b">
        <v>0</v>
      </c>
      <c r="BU2795" t="s">
        <v>1738</v>
      </c>
      <c r="BV2795" t="s">
        <v>1668</v>
      </c>
      <c r="BW2795">
        <v>4022</v>
      </c>
      <c r="BY2795">
        <v>313669</v>
      </c>
      <c r="BZ2795" t="s">
        <v>1672</v>
      </c>
      <c r="CA2795">
        <v>1</v>
      </c>
      <c r="CB2795" t="b">
        <v>1</v>
      </c>
      <c r="CC2795">
        <v>0</v>
      </c>
      <c r="CD2795" t="b">
        <v>0</v>
      </c>
      <c r="CE2795" t="b">
        <v>1</v>
      </c>
      <c r="CF2795" t="b">
        <v>0</v>
      </c>
      <c r="CG2795">
        <v>2802630</v>
      </c>
      <c r="CH2795" t="s">
        <v>1681</v>
      </c>
      <c r="CI2795" s="10">
        <v>500000</v>
      </c>
      <c r="CJ2795" s="7">
        <v>37827</v>
      </c>
    </row>
    <row r="2796" spans="1:88">
      <c r="A2796">
        <v>28050071</v>
      </c>
      <c r="B2796" s="15" t="str">
        <f>HYPERLINK("http://www.redfin.com/stingray/do/printable-listing?listing-id=1581986","Subject To Inspection")</f>
        <v>Subject To Inspection</v>
      </c>
      <c r="D2796" t="s">
        <v>188</v>
      </c>
      <c r="E2796" t="s">
        <v>6277</v>
      </c>
      <c r="F2796">
        <v>800000</v>
      </c>
      <c r="G2796">
        <v>1967</v>
      </c>
      <c r="H2796">
        <v>3670</v>
      </c>
      <c r="I2796">
        <v>8786</v>
      </c>
      <c r="J2796">
        <v>5</v>
      </c>
      <c r="K2796">
        <v>2.5</v>
      </c>
      <c r="M2796" s="2" t="str">
        <f>HYPERLINK("http://maps.live.com/default.aspx?v=2&amp;lvl=15&amp;sp=Point.47.698802_-122.28456_4100 NE 96th St&amp;cp=47.698802~-122.28456","Map")</f>
        <v>Map</v>
      </c>
      <c r="N2796" s="2" t="str">
        <f>HYPERLINK("http://i-0.rfimg.us/photo/1/bigphoto/071/28050071_0.jpg","Photo")</f>
        <v>Photo</v>
      </c>
      <c r="AG2796">
        <v>47.698802000000001</v>
      </c>
      <c r="AH2796">
        <v>-122.28456</v>
      </c>
      <c r="AI2796" t="s">
        <v>66</v>
      </c>
      <c r="AJ2796">
        <v>98115</v>
      </c>
      <c r="BC2796" s="22">
        <v>39531.368969907409</v>
      </c>
      <c r="BI2796" s="22">
        <v>39545.917314814818</v>
      </c>
      <c r="BL2796">
        <v>16000</v>
      </c>
      <c r="BM2796">
        <v>1581986</v>
      </c>
      <c r="BN2796" t="s">
        <v>1685</v>
      </c>
      <c r="BO2796" s="17">
        <f t="shared" ca="1" si="43"/>
        <v>17.940435995369626</v>
      </c>
      <c r="BP2796" t="b">
        <v>0</v>
      </c>
      <c r="BQ2796">
        <v>1</v>
      </c>
      <c r="BR2796" t="s">
        <v>1686</v>
      </c>
      <c r="BS2796" t="s">
        <v>1961</v>
      </c>
      <c r="BT2796" t="b">
        <v>0</v>
      </c>
      <c r="BU2796" t="s">
        <v>1738</v>
      </c>
      <c r="BV2796" t="s">
        <v>1668</v>
      </c>
      <c r="BW2796">
        <v>4100</v>
      </c>
      <c r="BY2796">
        <v>113452</v>
      </c>
      <c r="BZ2796" t="s">
        <v>1672</v>
      </c>
      <c r="CA2796">
        <v>1</v>
      </c>
      <c r="CB2796" t="b">
        <v>1</v>
      </c>
      <c r="CC2796">
        <v>0</v>
      </c>
      <c r="CD2796" t="b">
        <v>0</v>
      </c>
      <c r="CE2796" t="b">
        <v>1</v>
      </c>
      <c r="CF2796" t="b">
        <v>0</v>
      </c>
      <c r="CG2796">
        <v>2867267</v>
      </c>
      <c r="CH2796" t="s">
        <v>1681</v>
      </c>
      <c r="CI2796" s="10">
        <v>800000</v>
      </c>
    </row>
    <row r="2797" spans="1:88">
      <c r="A2797">
        <v>28050090</v>
      </c>
      <c r="B2797" s="2" t="str">
        <f>HYPERLINK("http://www.redfin.com/stingray/do/printable-listing?listing-id=1582080","Active")</f>
        <v>Active</v>
      </c>
      <c r="D2797" t="s">
        <v>101</v>
      </c>
      <c r="E2797" t="s">
        <v>2284</v>
      </c>
      <c r="F2797">
        <v>482000</v>
      </c>
      <c r="G2797">
        <v>2004</v>
      </c>
      <c r="H2797">
        <v>1790</v>
      </c>
      <c r="I2797">
        <v>2013</v>
      </c>
      <c r="J2797">
        <v>3</v>
      </c>
      <c r="K2797">
        <v>3.5</v>
      </c>
      <c r="M2797" s="2" t="str">
        <f>HYPERLINK("http://maps.live.com/default.aspx?v=2&amp;lvl=15&amp;sp=Point.47.69158_-122.394087_8507 29th Ave NW&amp;cp=47.69158~-122.394087","Map")</f>
        <v>Map</v>
      </c>
      <c r="N2797" s="2" t="str">
        <f>HYPERLINK("http://i-0.rfimg.us/photo/1/bigphoto/090/28050090_3.jpg","Photo")</f>
        <v>Photo</v>
      </c>
      <c r="AG2797">
        <v>47.691580000000002</v>
      </c>
      <c r="AH2797">
        <v>-122.394087</v>
      </c>
      <c r="AI2797" t="s">
        <v>66</v>
      </c>
      <c r="AJ2797">
        <v>98117</v>
      </c>
      <c r="AN2797">
        <v>379950</v>
      </c>
      <c r="BC2797" s="22">
        <v>39531.3908912037</v>
      </c>
      <c r="BI2797" s="22">
        <v>39549.294907407406</v>
      </c>
      <c r="BL2797">
        <v>9640</v>
      </c>
      <c r="BM2797">
        <v>1582080</v>
      </c>
      <c r="BN2797" t="s">
        <v>2136</v>
      </c>
      <c r="BO2797" s="17">
        <f t="shared" ca="1" si="43"/>
        <v>17.918514699078514</v>
      </c>
      <c r="BP2797" t="b">
        <v>0</v>
      </c>
      <c r="BQ2797">
        <v>1</v>
      </c>
      <c r="BR2797" t="s">
        <v>1667</v>
      </c>
      <c r="BS2797" t="s">
        <v>1772</v>
      </c>
      <c r="BT2797" t="b">
        <v>0</v>
      </c>
      <c r="BV2797" t="s">
        <v>1668</v>
      </c>
      <c r="BW2797">
        <v>8507</v>
      </c>
      <c r="BX2797" t="s">
        <v>1669</v>
      </c>
      <c r="BY2797">
        <v>164587</v>
      </c>
      <c r="BZ2797" t="s">
        <v>2206</v>
      </c>
      <c r="CA2797">
        <v>1</v>
      </c>
      <c r="CB2797" t="b">
        <v>1</v>
      </c>
      <c r="CC2797">
        <v>0</v>
      </c>
      <c r="CD2797" t="b">
        <v>0</v>
      </c>
      <c r="CE2797" t="b">
        <v>1</v>
      </c>
      <c r="CF2797" t="b">
        <v>0</v>
      </c>
      <c r="CG2797">
        <v>2854957</v>
      </c>
      <c r="CH2797" t="s">
        <v>1681</v>
      </c>
      <c r="CI2797" s="10">
        <v>482000</v>
      </c>
      <c r="CJ2797" s="7">
        <v>38205</v>
      </c>
    </row>
    <row r="2798" spans="1:88">
      <c r="A2798">
        <v>28050121</v>
      </c>
      <c r="B2798" s="15" t="str">
        <f>HYPERLINK("http://www.redfin.com/stingray/do/printable-listing?listing-id=1588318","Subject To Inspection")</f>
        <v>Subject To Inspection</v>
      </c>
      <c r="D2798" t="s">
        <v>218</v>
      </c>
      <c r="E2798" t="s">
        <v>6345</v>
      </c>
      <c r="F2798">
        <v>349500</v>
      </c>
      <c r="G2798">
        <v>1918</v>
      </c>
      <c r="H2798">
        <v>1910</v>
      </c>
      <c r="I2798">
        <v>4080</v>
      </c>
      <c r="J2798">
        <v>2</v>
      </c>
      <c r="K2798">
        <v>1</v>
      </c>
      <c r="M2798" s="2" t="str">
        <f>HYPERLINK("http://maps.live.com/default.aspx?v=2&amp;lvl=15&amp;sp=Point.47.67813_-122.307362_6814 19th Ave NE&amp;cp=47.67813~-122.307362","Map")</f>
        <v>Map</v>
      </c>
      <c r="N2798" s="2" t="str">
        <f>HYPERLINK("http://i-0.rfimg.us/photo/1/bigphoto/121/28050121_0.jpg","Photo")</f>
        <v>Photo</v>
      </c>
      <c r="AG2798">
        <v>47.678130000000003</v>
      </c>
      <c r="AH2798">
        <v>-122.307362</v>
      </c>
      <c r="AI2798" t="s">
        <v>66</v>
      </c>
      <c r="AJ2798">
        <v>98115</v>
      </c>
      <c r="BC2798" s="22">
        <v>39533.379606481481</v>
      </c>
      <c r="BI2798" s="7">
        <v>39542</v>
      </c>
      <c r="BL2798">
        <v>6990</v>
      </c>
      <c r="BM2798">
        <v>1588318</v>
      </c>
      <c r="BN2798" t="s">
        <v>1700</v>
      </c>
      <c r="BO2798" s="17">
        <f t="shared" ca="1" si="43"/>
        <v>15.929799421297503</v>
      </c>
      <c r="BP2798" t="b">
        <v>0</v>
      </c>
      <c r="BQ2798">
        <v>1</v>
      </c>
      <c r="BR2798" t="s">
        <v>1667</v>
      </c>
      <c r="BS2798" t="s">
        <v>1906</v>
      </c>
      <c r="BT2798" t="b">
        <v>0</v>
      </c>
      <c r="BV2798" t="s">
        <v>1668</v>
      </c>
      <c r="BW2798">
        <v>6814</v>
      </c>
      <c r="BX2798" t="s">
        <v>1738</v>
      </c>
      <c r="BY2798">
        <v>310600</v>
      </c>
      <c r="BZ2798" t="s">
        <v>1747</v>
      </c>
      <c r="CA2798">
        <v>1</v>
      </c>
      <c r="CB2798" t="b">
        <v>1</v>
      </c>
      <c r="CC2798">
        <v>0</v>
      </c>
      <c r="CD2798" t="b">
        <v>1</v>
      </c>
      <c r="CE2798" t="b">
        <v>1</v>
      </c>
      <c r="CF2798" t="b">
        <v>0</v>
      </c>
      <c r="CG2798">
        <v>2575070</v>
      </c>
      <c r="CH2798" t="s">
        <v>1681</v>
      </c>
      <c r="CI2798" s="10">
        <v>349500</v>
      </c>
    </row>
    <row r="2799" spans="1:88">
      <c r="A2799">
        <v>28050127</v>
      </c>
      <c r="B2799" s="15" t="str">
        <f>HYPERLINK("http://www.redfin.com/stingray/do/printable-listing?listing-id=1588439","Subject To Inspection")</f>
        <v>Subject To Inspection</v>
      </c>
      <c r="D2799" t="s">
        <v>218</v>
      </c>
      <c r="E2799" t="s">
        <v>6348</v>
      </c>
      <c r="F2799">
        <v>419500</v>
      </c>
      <c r="G2799">
        <v>1999</v>
      </c>
      <c r="H2799">
        <v>1820</v>
      </c>
      <c r="I2799">
        <v>0</v>
      </c>
      <c r="J2799">
        <v>2</v>
      </c>
      <c r="K2799">
        <v>2.25</v>
      </c>
      <c r="M2799" s="2" t="str">
        <f>HYPERLINK("http://maps.live.com/default.aspx?v=2&amp;lvl=15&amp;sp=Point.47.671339_-122.311695_5714 15th Ave NE&amp;cp=47.671339~-122.311695","Map")</f>
        <v>Map</v>
      </c>
      <c r="N2799" s="2" t="str">
        <f>HYPERLINK("http://i-0.rfimg.us/photo/1/bigphoto/127/28050127_2.jpg","Photo")</f>
        <v>Photo</v>
      </c>
      <c r="AG2799">
        <v>47.671339000000003</v>
      </c>
      <c r="AH2799">
        <v>-122.311695</v>
      </c>
      <c r="AI2799" t="s">
        <v>66</v>
      </c>
      <c r="AJ2799">
        <v>98105</v>
      </c>
      <c r="BC2799" s="22">
        <v>39533.410879629628</v>
      </c>
      <c r="BI2799" s="22">
        <v>39546.925937499997</v>
      </c>
      <c r="BL2799">
        <v>8390</v>
      </c>
      <c r="BM2799">
        <v>1588439</v>
      </c>
      <c r="BN2799" t="s">
        <v>1688</v>
      </c>
      <c r="BO2799" s="17">
        <f t="shared" ca="1" si="43"/>
        <v>15.898526273151219</v>
      </c>
      <c r="BP2799" t="b">
        <v>0</v>
      </c>
      <c r="BQ2799">
        <v>1</v>
      </c>
      <c r="BR2799" t="s">
        <v>1667</v>
      </c>
      <c r="BS2799" t="s">
        <v>1838</v>
      </c>
      <c r="BT2799" t="b">
        <v>0</v>
      </c>
      <c r="BV2799" t="s">
        <v>1668</v>
      </c>
      <c r="BW2799">
        <v>5714</v>
      </c>
      <c r="BX2799" t="s">
        <v>1738</v>
      </c>
      <c r="BY2799">
        <v>12434557</v>
      </c>
      <c r="BZ2799" t="s">
        <v>6349</v>
      </c>
      <c r="CA2799">
        <v>1</v>
      </c>
      <c r="CB2799" t="b">
        <v>1</v>
      </c>
      <c r="CC2799">
        <v>0</v>
      </c>
      <c r="CD2799" t="b">
        <v>0</v>
      </c>
      <c r="CE2799" t="b">
        <v>1</v>
      </c>
      <c r="CF2799" t="b">
        <v>0</v>
      </c>
      <c r="CG2799">
        <v>15638305</v>
      </c>
      <c r="CH2799" t="s">
        <v>1681</v>
      </c>
      <c r="CI2799" s="10">
        <v>419500</v>
      </c>
    </row>
    <row r="2800" spans="1:88">
      <c r="A2800">
        <v>28050139</v>
      </c>
      <c r="B2800" s="2" t="str">
        <f>HYPERLINK("http://www.redfin.com/stingray/do/printable-listing?listing-id=1583673","Active")</f>
        <v>Active</v>
      </c>
      <c r="D2800" t="s">
        <v>109</v>
      </c>
      <c r="E2800" t="s">
        <v>6292</v>
      </c>
      <c r="F2800">
        <v>749950</v>
      </c>
      <c r="G2800">
        <v>1916</v>
      </c>
      <c r="H2800">
        <v>2300</v>
      </c>
      <c r="I2800">
        <v>3420</v>
      </c>
      <c r="J2800">
        <v>2</v>
      </c>
      <c r="K2800">
        <v>1.75</v>
      </c>
      <c r="M2800" s="2" t="str">
        <f>HYPERLINK("http://maps.live.com/default.aspx?v=2&amp;lvl=15&amp;sp=Point.47.653981_-122.3299_3828 Sunnyside Ave N&amp;cp=47.653981~-122.3299","Map")</f>
        <v>Map</v>
      </c>
      <c r="N2800" s="2" t="str">
        <f>HYPERLINK("http://i-0.rfimg.us/photo/1/bigphoto/139/28050139_0.jpg","Photo")</f>
        <v>Photo</v>
      </c>
      <c r="AG2800">
        <v>47.653981000000002</v>
      </c>
      <c r="AH2800">
        <v>-122.32989999999999</v>
      </c>
      <c r="AI2800" t="s">
        <v>66</v>
      </c>
      <c r="AJ2800">
        <v>98103</v>
      </c>
      <c r="BC2800" s="22">
        <v>39531.683611111112</v>
      </c>
      <c r="BI2800" s="22">
        <v>39549.294907407406</v>
      </c>
      <c r="BL2800">
        <v>14999</v>
      </c>
      <c r="BM2800">
        <v>1583673</v>
      </c>
      <c r="BN2800" t="s">
        <v>1678</v>
      </c>
      <c r="BO2800" s="17">
        <f t="shared" ca="1" si="43"/>
        <v>17.625794791667431</v>
      </c>
      <c r="BP2800" t="b">
        <v>0</v>
      </c>
      <c r="BQ2800">
        <v>1</v>
      </c>
      <c r="BR2800" t="s">
        <v>1667</v>
      </c>
      <c r="BS2800" t="s">
        <v>2427</v>
      </c>
      <c r="BT2800" t="b">
        <v>0</v>
      </c>
      <c r="BV2800" t="s">
        <v>1668</v>
      </c>
      <c r="BW2800">
        <v>3828</v>
      </c>
      <c r="BX2800" t="s">
        <v>1712</v>
      </c>
      <c r="BY2800">
        <v>119588</v>
      </c>
      <c r="BZ2800" t="s">
        <v>1713</v>
      </c>
      <c r="CA2800">
        <v>1</v>
      </c>
      <c r="CB2800" t="b">
        <v>1</v>
      </c>
      <c r="CC2800">
        <v>0</v>
      </c>
      <c r="CD2800" t="b">
        <v>0</v>
      </c>
      <c r="CE2800" t="b">
        <v>1</v>
      </c>
      <c r="CF2800" t="b">
        <v>0</v>
      </c>
      <c r="CG2800">
        <v>2565813</v>
      </c>
      <c r="CH2800" t="s">
        <v>1681</v>
      </c>
      <c r="CI2800" s="10">
        <v>749950</v>
      </c>
    </row>
    <row r="2801" spans="1:88">
      <c r="A2801">
        <v>28050179</v>
      </c>
      <c r="B2801" s="2" t="str">
        <f>HYPERLINK("http://www.redfin.com/stingray/do/printable-listing?listing-id=1582250","Active")</f>
        <v>Active</v>
      </c>
      <c r="D2801" t="s">
        <v>967</v>
      </c>
      <c r="E2801" t="s">
        <v>2932</v>
      </c>
      <c r="F2801">
        <v>299950</v>
      </c>
      <c r="G2801">
        <v>2007</v>
      </c>
      <c r="H2801">
        <v>1375</v>
      </c>
      <c r="I2801">
        <v>0</v>
      </c>
      <c r="J2801">
        <v>3</v>
      </c>
      <c r="K2801">
        <v>2.5</v>
      </c>
      <c r="M2801" s="2" t="str">
        <f>HYPERLINK("http://maps.live.com/default.aspx?v=2&amp;lvl=15&amp;sp=Point.47.717912_-122.292413_12314 33 Ave NE nB&amp;cp=47.717912~-122.292413","Map")</f>
        <v>Map</v>
      </c>
      <c r="N2801" s="2" t="str">
        <f>HYPERLINK("http://i-0.rfimg.us/photo/1/bigphoto/179/28050179_0.jpg","Photo")</f>
        <v>Photo</v>
      </c>
      <c r="AG2801">
        <v>47.717911999999998</v>
      </c>
      <c r="AH2801">
        <v>-122.292413</v>
      </c>
      <c r="AI2801" t="s">
        <v>66</v>
      </c>
      <c r="AJ2801">
        <v>98125</v>
      </c>
      <c r="AM2801" t="s">
        <v>1699</v>
      </c>
      <c r="BC2801" s="22">
        <v>39531.432743055557</v>
      </c>
      <c r="BI2801" s="22">
        <v>39549.294907407406</v>
      </c>
      <c r="BL2801">
        <v>5999</v>
      </c>
      <c r="BM2801">
        <v>1582250</v>
      </c>
      <c r="BN2801" t="s">
        <v>1744</v>
      </c>
      <c r="BO2801" s="17">
        <f t="shared" ca="1" si="43"/>
        <v>17.876662847222178</v>
      </c>
      <c r="BP2801" t="b">
        <v>0</v>
      </c>
      <c r="BQ2801">
        <v>1</v>
      </c>
      <c r="BR2801" t="s">
        <v>1667</v>
      </c>
      <c r="BS2801">
        <v>33</v>
      </c>
      <c r="BT2801" t="b">
        <v>0</v>
      </c>
      <c r="BV2801" t="s">
        <v>1668</v>
      </c>
      <c r="BW2801">
        <v>12314</v>
      </c>
      <c r="BX2801" t="s">
        <v>1738</v>
      </c>
      <c r="BY2801">
        <v>12311509</v>
      </c>
      <c r="BZ2801" t="s">
        <v>1676</v>
      </c>
      <c r="CA2801">
        <v>1</v>
      </c>
      <c r="CB2801" t="b">
        <v>1</v>
      </c>
      <c r="CC2801">
        <v>0</v>
      </c>
      <c r="CD2801" t="b">
        <v>0</v>
      </c>
      <c r="CE2801" t="b">
        <v>1</v>
      </c>
      <c r="CF2801" t="b">
        <v>0</v>
      </c>
      <c r="CG2801">
        <v>15488079</v>
      </c>
      <c r="CH2801" t="s">
        <v>1681</v>
      </c>
      <c r="CI2801" s="10">
        <v>299950</v>
      </c>
    </row>
    <row r="2802" spans="1:88">
      <c r="A2802">
        <v>28050183</v>
      </c>
      <c r="B2802" s="2" t="str">
        <f>HYPERLINK("http://www.redfin.com/stingray/do/printable-listing?listing-id=1596032","Active")</f>
        <v>Active</v>
      </c>
      <c r="D2802" t="s">
        <v>1115</v>
      </c>
      <c r="E2802" t="s">
        <v>6518</v>
      </c>
      <c r="F2802">
        <v>795000</v>
      </c>
      <c r="G2802">
        <v>1945</v>
      </c>
      <c r="H2802">
        <v>2660</v>
      </c>
      <c r="I2802">
        <v>6200</v>
      </c>
      <c r="J2802">
        <v>3</v>
      </c>
      <c r="K2802">
        <v>2.75</v>
      </c>
      <c r="M2802" s="2" t="str">
        <f>HYPERLINK("http://maps.live.com/default.aspx?v=2&amp;lvl=15&amp;sp=Point.47.678548_-122.26932_6833 55th Ave NE&amp;cp=47.678548~-122.26932","Map")</f>
        <v>Map</v>
      </c>
      <c r="N2802" s="2" t="str">
        <f>HYPERLINK("http://i-0.rfimg.us/photo/1/bigphoto/183/28050183_0.jpg","Photo")</f>
        <v>Photo</v>
      </c>
      <c r="AG2802">
        <v>47.678547999999999</v>
      </c>
      <c r="AH2802">
        <v>-122.26931999999999</v>
      </c>
      <c r="AI2802" t="s">
        <v>66</v>
      </c>
      <c r="AJ2802">
        <v>98115</v>
      </c>
      <c r="AN2802">
        <v>550000</v>
      </c>
      <c r="BC2802" s="22">
        <v>39535.494675925926</v>
      </c>
      <c r="BI2802" s="22">
        <v>39549.294907407406</v>
      </c>
      <c r="BL2802">
        <v>15900</v>
      </c>
      <c r="BM2802">
        <v>1596032</v>
      </c>
      <c r="BN2802" t="s">
        <v>1700</v>
      </c>
      <c r="BO2802" s="17">
        <f t="shared" ca="1" si="43"/>
        <v>13.814729976853414</v>
      </c>
      <c r="BP2802" t="b">
        <v>0</v>
      </c>
      <c r="BQ2802">
        <v>1</v>
      </c>
      <c r="BR2802" t="s">
        <v>1667</v>
      </c>
      <c r="BS2802" t="s">
        <v>2514</v>
      </c>
      <c r="BT2802" t="b">
        <v>0</v>
      </c>
      <c r="BV2802" t="s">
        <v>1668</v>
      </c>
      <c r="BW2802">
        <v>6833</v>
      </c>
      <c r="BX2802" t="s">
        <v>1738</v>
      </c>
      <c r="BY2802">
        <v>321496</v>
      </c>
      <c r="BZ2802" t="s">
        <v>1672</v>
      </c>
      <c r="CA2802">
        <v>1</v>
      </c>
      <c r="CB2802" t="b">
        <v>1</v>
      </c>
      <c r="CC2802">
        <v>0</v>
      </c>
      <c r="CD2802" t="b">
        <v>0</v>
      </c>
      <c r="CE2802" t="b">
        <v>1</v>
      </c>
      <c r="CF2802" t="b">
        <v>0</v>
      </c>
      <c r="CG2802">
        <v>2400744</v>
      </c>
      <c r="CH2802" t="s">
        <v>1681</v>
      </c>
      <c r="CI2802" s="10">
        <v>795000</v>
      </c>
      <c r="CJ2802" s="7">
        <v>37461</v>
      </c>
    </row>
    <row r="2803" spans="1:88">
      <c r="A2803">
        <v>28050195</v>
      </c>
      <c r="B2803" s="15" t="str">
        <f>HYPERLINK("http://www.redfin.com/stingray/do/printable-listing?listing-id=1585173","Subject To Inspection")</f>
        <v>Subject To Inspection</v>
      </c>
      <c r="D2803" t="s">
        <v>4113</v>
      </c>
      <c r="E2803" t="s">
        <v>6370</v>
      </c>
      <c r="F2803">
        <v>745000</v>
      </c>
      <c r="G2803">
        <v>1907</v>
      </c>
      <c r="H2803">
        <v>0</v>
      </c>
      <c r="I2803">
        <v>3500</v>
      </c>
      <c r="J2803">
        <v>3</v>
      </c>
      <c r="K2803">
        <v>1.75</v>
      </c>
      <c r="M2803" s="2" t="str">
        <f>HYPERLINK("http://maps.live.com/default.aspx?v=2&amp;lvl=15&amp;sp=Point.47.625041_-122.299099_2511 E Roy E&amp;cp=47.625041~-122.299099","Map")</f>
        <v>Map</v>
      </c>
      <c r="N2803" s="2" t="str">
        <f>HYPERLINK("http://i-0.rfimg.us/photo/1/bigphoto/195/28050195_3.jpg","Photo")</f>
        <v>Photo</v>
      </c>
      <c r="AG2803">
        <v>47.625041000000003</v>
      </c>
      <c r="AH2803">
        <v>-122.299099</v>
      </c>
      <c r="AI2803" t="s">
        <v>66</v>
      </c>
      <c r="AJ2803">
        <v>98112</v>
      </c>
      <c r="AN2803">
        <v>662000</v>
      </c>
      <c r="BC2803" s="22">
        <v>39532.348692129628</v>
      </c>
      <c r="BI2803" s="22">
        <v>39546.925937499997</v>
      </c>
      <c r="BL2803">
        <v>14900</v>
      </c>
      <c r="BM2803">
        <v>1585173</v>
      </c>
      <c r="BN2803" t="s">
        <v>1829</v>
      </c>
      <c r="BO2803" s="17">
        <f t="shared" ca="1" si="43"/>
        <v>16.960713773150928</v>
      </c>
      <c r="BP2803" t="b">
        <v>0</v>
      </c>
      <c r="BQ2803">
        <v>1</v>
      </c>
      <c r="BS2803" t="s">
        <v>6371</v>
      </c>
      <c r="BT2803" t="b">
        <v>0</v>
      </c>
      <c r="BU2803" t="s">
        <v>2436</v>
      </c>
      <c r="BV2803" t="s">
        <v>1668</v>
      </c>
      <c r="BW2803">
        <v>2511</v>
      </c>
      <c r="BX2803" t="s">
        <v>2436</v>
      </c>
      <c r="BY2803">
        <v>146707</v>
      </c>
      <c r="BZ2803" t="s">
        <v>6372</v>
      </c>
      <c r="CA2803">
        <v>1</v>
      </c>
      <c r="CB2803" t="b">
        <v>1</v>
      </c>
      <c r="CC2803">
        <v>0</v>
      </c>
      <c r="CD2803" t="b">
        <v>0</v>
      </c>
      <c r="CE2803" t="b">
        <v>1</v>
      </c>
      <c r="CF2803" t="b">
        <v>0</v>
      </c>
      <c r="CG2803">
        <v>2383512</v>
      </c>
      <c r="CH2803" t="s">
        <v>1681</v>
      </c>
      <c r="CI2803" s="10">
        <v>745000</v>
      </c>
      <c r="CJ2803" s="7">
        <v>38666</v>
      </c>
    </row>
    <row r="2804" spans="1:88">
      <c r="A2804">
        <v>28050224</v>
      </c>
      <c r="B2804" s="15" t="str">
        <f>HYPERLINK("http://www.redfin.com/stingray/do/printable-listing?listing-id=1596877","Subject To Inspection")</f>
        <v>Subject To Inspection</v>
      </c>
      <c r="D2804" t="s">
        <v>63</v>
      </c>
      <c r="E2804" t="s">
        <v>2308</v>
      </c>
      <c r="F2804">
        <v>437900</v>
      </c>
      <c r="G2804">
        <v>2005</v>
      </c>
      <c r="H2804">
        <v>1700</v>
      </c>
      <c r="I2804">
        <v>1375</v>
      </c>
      <c r="J2804">
        <v>3</v>
      </c>
      <c r="K2804">
        <v>2.5</v>
      </c>
      <c r="M2804" s="2" t="str">
        <f>HYPERLINK("http://maps.live.com/default.aspx?v=2&amp;lvl=15&amp;sp=Point.47.6783_-122.374818_6714 Alonzo Ave NW nB&amp;cp=47.6783~-122.374818","Map")</f>
        <v>Map</v>
      </c>
      <c r="N2804" s="2" t="str">
        <f>HYPERLINK("http://i-0.rfimg.us/photo/1/bigphoto/224/28050224_1.jpg","Photo")</f>
        <v>Photo</v>
      </c>
      <c r="AG2804">
        <v>47.6783</v>
      </c>
      <c r="AH2804">
        <v>-122.374818</v>
      </c>
      <c r="AI2804" t="s">
        <v>66</v>
      </c>
      <c r="AJ2804">
        <v>98117</v>
      </c>
      <c r="AM2804" t="s">
        <v>1699</v>
      </c>
      <c r="BC2804" s="22">
        <v>39535.599814814814</v>
      </c>
      <c r="BI2804" s="22">
        <v>39549.294907407406</v>
      </c>
      <c r="BL2804">
        <v>8758</v>
      </c>
      <c r="BM2804">
        <v>1596877</v>
      </c>
      <c r="BN2804" t="s">
        <v>1700</v>
      </c>
      <c r="BO2804" s="17">
        <f t="shared" ca="1" si="43"/>
        <v>13.709591087965237</v>
      </c>
      <c r="BP2804" t="b">
        <v>0</v>
      </c>
      <c r="BQ2804">
        <v>1</v>
      </c>
      <c r="BR2804" t="s">
        <v>1667</v>
      </c>
      <c r="BS2804" t="s">
        <v>1778</v>
      </c>
      <c r="BT2804" t="b">
        <v>0</v>
      </c>
      <c r="BV2804" t="s">
        <v>1668</v>
      </c>
      <c r="BW2804">
        <v>6714</v>
      </c>
      <c r="BX2804" t="s">
        <v>1669</v>
      </c>
      <c r="BY2804">
        <v>12435593</v>
      </c>
      <c r="BZ2804" t="s">
        <v>1709</v>
      </c>
      <c r="CA2804">
        <v>1</v>
      </c>
      <c r="CB2804" t="b">
        <v>1</v>
      </c>
      <c r="CC2804">
        <v>0</v>
      </c>
      <c r="CD2804" t="b">
        <v>0</v>
      </c>
      <c r="CE2804" t="b">
        <v>1</v>
      </c>
      <c r="CF2804" t="b">
        <v>0</v>
      </c>
      <c r="CG2804">
        <v>15639341</v>
      </c>
      <c r="CH2804" t="s">
        <v>1681</v>
      </c>
      <c r="CI2804" s="10">
        <v>437900</v>
      </c>
    </row>
    <row r="2805" spans="1:88">
      <c r="A2805">
        <v>28050247</v>
      </c>
      <c r="B2805" s="2" t="str">
        <f>HYPERLINK("http://www.redfin.com/stingray/do/printable-listing?listing-id=1582541","Active")</f>
        <v>Active</v>
      </c>
      <c r="D2805" t="s">
        <v>70</v>
      </c>
      <c r="E2805" t="s">
        <v>2754</v>
      </c>
      <c r="F2805">
        <v>649950</v>
      </c>
      <c r="G2805">
        <v>1959</v>
      </c>
      <c r="H2805">
        <v>0</v>
      </c>
      <c r="I2805">
        <v>7200</v>
      </c>
      <c r="J2805">
        <v>4</v>
      </c>
      <c r="K2805">
        <v>2.5</v>
      </c>
      <c r="M2805" s="2" t="str">
        <f>HYPERLINK("http://maps.live.com/default.aspx?v=2&amp;lvl=15&amp;sp=Point.47.720177_-122.368691_12514 10th Ave NW&amp;cp=47.720177~-122.368691","Map")</f>
        <v>Map</v>
      </c>
      <c r="N2805" s="2" t="str">
        <f>HYPERLINK("http://i-0.rfimg.us/photo/1/bigphoto/247/28050247_0.jpg","Photo")</f>
        <v>Photo</v>
      </c>
      <c r="AG2805">
        <v>47.720177</v>
      </c>
      <c r="AH2805">
        <v>-122.368691</v>
      </c>
      <c r="AI2805" t="s">
        <v>66</v>
      </c>
      <c r="AJ2805">
        <v>98177</v>
      </c>
      <c r="AN2805">
        <v>533000</v>
      </c>
      <c r="BC2805" s="22">
        <v>39531.495775462965</v>
      </c>
      <c r="BI2805" s="22">
        <v>39549.294907407406</v>
      </c>
      <c r="BL2805">
        <v>12999</v>
      </c>
      <c r="BM2805">
        <v>1582541</v>
      </c>
      <c r="BN2805" t="s">
        <v>1749</v>
      </c>
      <c r="BO2805" s="17">
        <f t="shared" ca="1" si="43"/>
        <v>17.813630439814006</v>
      </c>
      <c r="BP2805" t="b">
        <v>0</v>
      </c>
      <c r="BQ2805">
        <v>1</v>
      </c>
      <c r="BR2805" t="s">
        <v>1667</v>
      </c>
      <c r="BS2805" t="s">
        <v>1788</v>
      </c>
      <c r="BT2805" t="b">
        <v>0</v>
      </c>
      <c r="BV2805" t="s">
        <v>1668</v>
      </c>
      <c r="BW2805">
        <v>12514</v>
      </c>
      <c r="BX2805" t="s">
        <v>1669</v>
      </c>
      <c r="BY2805">
        <v>291595</v>
      </c>
      <c r="BZ2805" t="s">
        <v>1672</v>
      </c>
      <c r="CA2805">
        <v>1</v>
      </c>
      <c r="CB2805" t="b">
        <v>1</v>
      </c>
      <c r="CC2805">
        <v>0</v>
      </c>
      <c r="CD2805" t="b">
        <v>0</v>
      </c>
      <c r="CE2805" t="b">
        <v>1</v>
      </c>
      <c r="CF2805" t="b">
        <v>0</v>
      </c>
      <c r="CG2805">
        <v>2368599</v>
      </c>
      <c r="CH2805" t="s">
        <v>1681</v>
      </c>
      <c r="CI2805" s="10">
        <v>649950</v>
      </c>
      <c r="CJ2805" s="7">
        <v>38958</v>
      </c>
    </row>
    <row r="2806" spans="1:88">
      <c r="A2806">
        <v>28050251</v>
      </c>
      <c r="B2806" s="15" t="str">
        <f>HYPERLINK("http://www.redfin.com/stingray/do/printable-listing?listing-id=1588182","Subject To Inspection")</f>
        <v>Subject To Inspection</v>
      </c>
      <c r="D2806" t="s">
        <v>63</v>
      </c>
      <c r="E2806" t="s">
        <v>2286</v>
      </c>
      <c r="F2806">
        <v>432500</v>
      </c>
      <c r="G2806">
        <v>1925</v>
      </c>
      <c r="H2806">
        <v>1640</v>
      </c>
      <c r="I2806">
        <v>3720</v>
      </c>
      <c r="J2806">
        <v>2</v>
      </c>
      <c r="K2806">
        <v>1</v>
      </c>
      <c r="M2806" s="2" t="str">
        <f>HYPERLINK("http://maps.live.com/default.aspx?v=2&amp;lvl=15&amp;sp=Point.47.677475_-122.364217_6548 7th Ave NW&amp;cp=47.677475~-122.364217","Map")</f>
        <v>Map</v>
      </c>
      <c r="N2806" s="2" t="str">
        <f>HYPERLINK("http://i-0.rfimg.us/photo/1/bigphoto/251/28050251_1.jpg","Photo")</f>
        <v>Photo</v>
      </c>
      <c r="AG2806">
        <v>47.677475000000001</v>
      </c>
      <c r="AH2806">
        <v>-122.364217</v>
      </c>
      <c r="AI2806" t="s">
        <v>66</v>
      </c>
      <c r="AJ2806">
        <v>98117</v>
      </c>
      <c r="AN2806">
        <v>382500</v>
      </c>
      <c r="BC2806" s="22">
        <v>39533.327152777776</v>
      </c>
      <c r="BI2806" s="7">
        <v>39540</v>
      </c>
      <c r="BL2806">
        <v>8650</v>
      </c>
      <c r="BM2806">
        <v>1588182</v>
      </c>
      <c r="BN2806" t="s">
        <v>1700</v>
      </c>
      <c r="BO2806" s="17">
        <f t="shared" ca="1" si="43"/>
        <v>15.982253125002899</v>
      </c>
      <c r="BP2806" t="b">
        <v>0</v>
      </c>
      <c r="BQ2806">
        <v>1</v>
      </c>
      <c r="BR2806" t="s">
        <v>1667</v>
      </c>
      <c r="BS2806" t="s">
        <v>1859</v>
      </c>
      <c r="BT2806" t="b">
        <v>0</v>
      </c>
      <c r="BV2806" t="s">
        <v>1668</v>
      </c>
      <c r="BW2806">
        <v>6548</v>
      </c>
      <c r="BX2806" t="s">
        <v>1669</v>
      </c>
      <c r="BY2806">
        <v>496390</v>
      </c>
      <c r="BZ2806" t="s">
        <v>2152</v>
      </c>
      <c r="CA2806">
        <v>1</v>
      </c>
      <c r="CB2806" t="b">
        <v>1</v>
      </c>
      <c r="CC2806">
        <v>0</v>
      </c>
      <c r="CD2806" t="b">
        <v>0</v>
      </c>
      <c r="CE2806" t="b">
        <v>1</v>
      </c>
      <c r="CF2806" t="b">
        <v>0</v>
      </c>
      <c r="CG2806">
        <v>2636525</v>
      </c>
      <c r="CH2806" t="s">
        <v>1681</v>
      </c>
      <c r="CI2806" s="10">
        <v>432500</v>
      </c>
      <c r="CJ2806" s="7">
        <v>38756</v>
      </c>
    </row>
    <row r="2807" spans="1:88">
      <c r="A2807">
        <v>28050256</v>
      </c>
      <c r="B2807" s="2" t="str">
        <f>HYPERLINK("http://www.redfin.com/stingray/do/printable-listing?listing-id=1582944","Active")</f>
        <v>Active</v>
      </c>
      <c r="D2807" t="s">
        <v>5050</v>
      </c>
      <c r="E2807" t="s">
        <v>6306</v>
      </c>
      <c r="F2807">
        <v>899900</v>
      </c>
      <c r="G2807">
        <v>1976</v>
      </c>
      <c r="H2807">
        <v>0</v>
      </c>
      <c r="I2807">
        <v>21780</v>
      </c>
      <c r="J2807">
        <v>4</v>
      </c>
      <c r="K2807">
        <v>3</v>
      </c>
      <c r="M2807" s="2" t="str">
        <f>HYPERLINK("http://maps.live.com/default.aspx?v=2&amp;lvl=15&amp;sp=Point.47.607024_-122.156374_13712 SE 3rd Pl&amp;cp=47.607024~-122.156374","Map")</f>
        <v>Map</v>
      </c>
      <c r="N2807" s="2" t="str">
        <f>HYPERLINK("http://i-0.rfimg.us/photo/1/bigphoto/256/28050256_2.jpg","Photo")</f>
        <v>Photo</v>
      </c>
      <c r="AG2807">
        <v>47.607024000000003</v>
      </c>
      <c r="AH2807">
        <v>-122.156374</v>
      </c>
      <c r="AI2807" t="s">
        <v>369</v>
      </c>
      <c r="AJ2807">
        <v>98005</v>
      </c>
      <c r="AN2807">
        <v>522000</v>
      </c>
      <c r="BC2807" s="22">
        <v>39531.536909722221</v>
      </c>
      <c r="BI2807" s="22">
        <v>39549.294907407406</v>
      </c>
      <c r="BL2807">
        <v>17998</v>
      </c>
      <c r="BM2807">
        <v>1582944</v>
      </c>
      <c r="BN2807" t="s">
        <v>1937</v>
      </c>
      <c r="BO2807" s="17">
        <f t="shared" ca="1" si="43"/>
        <v>17.772496180557937</v>
      </c>
      <c r="BP2807" t="b">
        <v>0</v>
      </c>
      <c r="BQ2807">
        <v>1</v>
      </c>
      <c r="BR2807" t="s">
        <v>1842</v>
      </c>
      <c r="BS2807" t="s">
        <v>1796</v>
      </c>
      <c r="BT2807" t="b">
        <v>0</v>
      </c>
      <c r="BU2807" t="s">
        <v>3856</v>
      </c>
      <c r="BV2807" t="s">
        <v>1668</v>
      </c>
      <c r="BW2807">
        <v>13712</v>
      </c>
      <c r="BY2807">
        <v>509012</v>
      </c>
      <c r="BZ2807" t="s">
        <v>2815</v>
      </c>
      <c r="CA2807">
        <v>1</v>
      </c>
      <c r="CB2807" t="b">
        <v>1</v>
      </c>
      <c r="CC2807">
        <v>0</v>
      </c>
      <c r="CD2807" t="b">
        <v>0</v>
      </c>
      <c r="CE2807" t="b">
        <v>1</v>
      </c>
      <c r="CF2807" t="b">
        <v>0</v>
      </c>
      <c r="CG2807">
        <v>2792754</v>
      </c>
      <c r="CH2807" t="s">
        <v>1681</v>
      </c>
      <c r="CI2807" s="10">
        <v>899900</v>
      </c>
      <c r="CJ2807" s="7">
        <v>38359</v>
      </c>
    </row>
    <row r="2808" spans="1:88">
      <c r="A2808">
        <v>28050258</v>
      </c>
      <c r="B2808" s="2" t="str">
        <f>HYPERLINK("http://www.redfin.com/stingray/do/printable-listing?listing-id=1582458","Active")</f>
        <v>Active</v>
      </c>
      <c r="D2808" t="s">
        <v>5926</v>
      </c>
      <c r="E2808" t="s">
        <v>6317</v>
      </c>
      <c r="F2808">
        <v>919000</v>
      </c>
      <c r="G2808">
        <v>2008</v>
      </c>
      <c r="H2808">
        <v>3000</v>
      </c>
      <c r="I2808">
        <v>0</v>
      </c>
      <c r="J2808">
        <v>3</v>
      </c>
      <c r="K2808">
        <v>2.5</v>
      </c>
      <c r="M2808" s="2" t="str">
        <f>HYPERLINK("http://maps.live.com/default.aspx?v=2&amp;lvl=15&amp;sp=adr.1030 N 42nd Pl (Unable to map),98056","Map")</f>
        <v>Map</v>
      </c>
      <c r="N2808" s="2" t="str">
        <f>HYPERLINK("http://i-0.rfimg.us/photo/1/bigphoto/258/28050258_0.jpg","Photo")</f>
        <v>Photo</v>
      </c>
      <c r="AI2808" t="s">
        <v>1077</v>
      </c>
      <c r="AJ2808">
        <v>98056</v>
      </c>
      <c r="BC2808" s="22">
        <v>39531.473715277774</v>
      </c>
      <c r="BI2808" s="22">
        <v>39549.294907407406</v>
      </c>
      <c r="BL2808">
        <v>18380</v>
      </c>
      <c r="BM2808">
        <v>1582458</v>
      </c>
      <c r="BN2808" t="s">
        <v>3878</v>
      </c>
      <c r="BO2808" s="17">
        <f t="shared" ca="1" si="43"/>
        <v>17.835690625004645</v>
      </c>
      <c r="BP2808" t="b">
        <v>0</v>
      </c>
      <c r="BQ2808">
        <v>1</v>
      </c>
      <c r="BR2808" t="s">
        <v>1842</v>
      </c>
      <c r="BS2808" t="s">
        <v>3371</v>
      </c>
      <c r="BT2808" t="b">
        <v>0</v>
      </c>
      <c r="BU2808" t="s">
        <v>1712</v>
      </c>
      <c r="BV2808" t="s">
        <v>1668</v>
      </c>
      <c r="BW2808">
        <v>1030</v>
      </c>
      <c r="BY2808">
        <v>0</v>
      </c>
      <c r="BZ2808" s="21">
        <v>0</v>
      </c>
      <c r="CA2808">
        <v>1</v>
      </c>
      <c r="CB2808" t="b">
        <v>1</v>
      </c>
      <c r="CC2808">
        <v>0</v>
      </c>
      <c r="CD2808" t="b">
        <v>0</v>
      </c>
      <c r="CE2808" t="b">
        <v>1</v>
      </c>
      <c r="CF2808" t="b">
        <v>0</v>
      </c>
      <c r="CG2808" t="s">
        <v>1870</v>
      </c>
      <c r="CH2808" t="s">
        <v>1681</v>
      </c>
      <c r="CI2808" s="10">
        <v>919000</v>
      </c>
    </row>
    <row r="2809" spans="1:88">
      <c r="A2809">
        <v>28050262</v>
      </c>
      <c r="B2809" s="2" t="str">
        <f>HYPERLINK("http://www.redfin.com/stingray/do/printable-listing?listing-id=1582462","Active")</f>
        <v>Active</v>
      </c>
      <c r="D2809" t="s">
        <v>3064</v>
      </c>
      <c r="E2809" t="s">
        <v>3067</v>
      </c>
      <c r="F2809">
        <v>908550</v>
      </c>
      <c r="G2809">
        <v>2007</v>
      </c>
      <c r="H2809">
        <v>3574</v>
      </c>
      <c r="I2809">
        <v>0</v>
      </c>
      <c r="J2809">
        <v>4</v>
      </c>
      <c r="K2809">
        <v>2.5</v>
      </c>
      <c r="M2809" s="2" t="str">
        <f>HYPERLINK("http://maps.live.com/default.aspx?v=2&amp;lvl=15&amp;sp=adr.9423 117th Ave NE (Unable to map),98033","Map")</f>
        <v>Map</v>
      </c>
      <c r="N2809" s="2" t="str">
        <f>HYPERLINK("http://i-0.rfimg.us/photo/1/bigphoto/262/28050262_0.jpg","Photo")</f>
        <v>Photo</v>
      </c>
      <c r="AI2809" t="s">
        <v>1058</v>
      </c>
      <c r="AJ2809">
        <v>98033</v>
      </c>
      <c r="BC2809" s="22">
        <v>39531.474166666667</v>
      </c>
      <c r="BI2809" s="22">
        <v>39549.294907407406</v>
      </c>
      <c r="BL2809">
        <v>18171</v>
      </c>
      <c r="BM2809">
        <v>1582462</v>
      </c>
      <c r="BN2809" t="s">
        <v>3062</v>
      </c>
      <c r="BO2809" s="17">
        <f t="shared" ca="1" si="43"/>
        <v>17.835239236112102</v>
      </c>
      <c r="BP2809" t="b">
        <v>0</v>
      </c>
      <c r="BQ2809">
        <v>1</v>
      </c>
      <c r="BR2809" t="s">
        <v>1667</v>
      </c>
      <c r="BS2809" t="s">
        <v>2743</v>
      </c>
      <c r="BT2809" t="b">
        <v>0</v>
      </c>
      <c r="BV2809" t="s">
        <v>1668</v>
      </c>
      <c r="BW2809">
        <v>9423</v>
      </c>
      <c r="BX2809" t="s">
        <v>1738</v>
      </c>
      <c r="BY2809">
        <v>0</v>
      </c>
      <c r="BZ2809" t="s">
        <v>1813</v>
      </c>
      <c r="CA2809">
        <v>1</v>
      </c>
      <c r="CB2809" t="b">
        <v>1</v>
      </c>
      <c r="CC2809">
        <v>0</v>
      </c>
      <c r="CD2809" t="b">
        <v>0</v>
      </c>
      <c r="CE2809" t="b">
        <v>1</v>
      </c>
      <c r="CF2809" t="b">
        <v>0</v>
      </c>
      <c r="CG2809" t="s">
        <v>1870</v>
      </c>
      <c r="CH2809" t="s">
        <v>1681</v>
      </c>
      <c r="CI2809" s="10">
        <v>908550</v>
      </c>
    </row>
    <row r="2810" spans="1:88">
      <c r="A2810">
        <v>28050263</v>
      </c>
      <c r="B2810" s="2" t="str">
        <f>HYPERLINK("http://www.redfin.com/stingray/do/printable-listing?listing-id=1582996","Active")</f>
        <v>Active</v>
      </c>
      <c r="D2810" t="s">
        <v>2552</v>
      </c>
      <c r="E2810" t="s">
        <v>6286</v>
      </c>
      <c r="F2810">
        <v>449500</v>
      </c>
      <c r="G2810">
        <v>2005</v>
      </c>
      <c r="H2810">
        <v>1930</v>
      </c>
      <c r="I2810">
        <v>0</v>
      </c>
      <c r="J2810">
        <v>3</v>
      </c>
      <c r="K2810">
        <v>3.5</v>
      </c>
      <c r="M2810" s="2" t="str">
        <f>HYPERLINK("http://maps.live.com/default.aspx?v=2&amp;lvl=15&amp;sp=Point.47.65144_-122.384495_3430 22nd Ave W&amp;cp=47.65144~-122.384495","Map")</f>
        <v>Map</v>
      </c>
      <c r="N2810" s="2" t="str">
        <f>HYPERLINK("http://i-0.rfimg.us/photo/1/bigphoto/263/28050263_1.jpg","Photo")</f>
        <v>Photo</v>
      </c>
      <c r="AG2810">
        <v>47.651440000000001</v>
      </c>
      <c r="AH2810">
        <v>-122.384495</v>
      </c>
      <c r="AI2810" t="s">
        <v>66</v>
      </c>
      <c r="AJ2810">
        <v>98199</v>
      </c>
      <c r="BC2810" s="22">
        <v>39531.547569444447</v>
      </c>
      <c r="BI2810" s="22">
        <v>39549.294907407406</v>
      </c>
      <c r="BL2810">
        <v>8990</v>
      </c>
      <c r="BM2810">
        <v>1582996</v>
      </c>
      <c r="BN2810" t="s">
        <v>1766</v>
      </c>
      <c r="BO2810" s="17">
        <f t="shared" ca="1" si="43"/>
        <v>17.761836458332255</v>
      </c>
      <c r="BP2810" t="b">
        <v>0</v>
      </c>
      <c r="BQ2810">
        <v>1</v>
      </c>
      <c r="BR2810" t="s">
        <v>1667</v>
      </c>
      <c r="BS2810" t="s">
        <v>1692</v>
      </c>
      <c r="BT2810" t="b">
        <v>0</v>
      </c>
      <c r="BV2810" t="s">
        <v>1668</v>
      </c>
      <c r="BW2810">
        <v>3430</v>
      </c>
      <c r="BX2810" t="s">
        <v>2423</v>
      </c>
      <c r="BY2810">
        <v>12433973</v>
      </c>
      <c r="BZ2810" t="s">
        <v>1892</v>
      </c>
      <c r="CA2810">
        <v>1</v>
      </c>
      <c r="CB2810" t="b">
        <v>1</v>
      </c>
      <c r="CC2810">
        <v>0</v>
      </c>
      <c r="CD2810" t="b">
        <v>0</v>
      </c>
      <c r="CE2810" t="b">
        <v>1</v>
      </c>
      <c r="CF2810" t="b">
        <v>0</v>
      </c>
      <c r="CG2810">
        <v>15637721</v>
      </c>
      <c r="CH2810" t="s">
        <v>1681</v>
      </c>
      <c r="CI2810" s="10">
        <v>449500</v>
      </c>
    </row>
    <row r="2811" spans="1:88">
      <c r="A2811">
        <v>28050270</v>
      </c>
      <c r="B2811" s="2" t="str">
        <f>HYPERLINK("http://www.redfin.com/stingray/do/printable-listing?listing-id=1582461","Active")</f>
        <v>Active</v>
      </c>
      <c r="D2811" t="s">
        <v>3064</v>
      </c>
      <c r="E2811" t="s">
        <v>3068</v>
      </c>
      <c r="F2811">
        <v>873550</v>
      </c>
      <c r="G2811">
        <v>2007</v>
      </c>
      <c r="H2811">
        <v>3561</v>
      </c>
      <c r="I2811">
        <v>0</v>
      </c>
      <c r="J2811">
        <v>4</v>
      </c>
      <c r="K2811">
        <v>2.5</v>
      </c>
      <c r="M2811" s="2" t="str">
        <f>HYPERLINK("http://maps.live.com/default.aspx?v=2&amp;lvl=15&amp;sp=adr.9404 117th Ave NE (Unable to map),98033","Map")</f>
        <v>Map</v>
      </c>
      <c r="N2811" s="2" t="str">
        <f>HYPERLINK("http://i-0.rfimg.us/photo/1/bigphoto/270/28050270_0.jpg","Photo")</f>
        <v>Photo</v>
      </c>
      <c r="AI2811" t="s">
        <v>1058</v>
      </c>
      <c r="AJ2811">
        <v>98033</v>
      </c>
      <c r="BC2811" s="22">
        <v>39531.473773148151</v>
      </c>
      <c r="BI2811" s="22">
        <v>39549.294907407406</v>
      </c>
      <c r="BL2811">
        <v>17471</v>
      </c>
      <c r="BM2811">
        <v>1582461</v>
      </c>
      <c r="BN2811" t="s">
        <v>3062</v>
      </c>
      <c r="BO2811" s="17">
        <f t="shared" ca="1" si="43"/>
        <v>17.835632754628023</v>
      </c>
      <c r="BP2811" t="b">
        <v>0</v>
      </c>
      <c r="BQ2811">
        <v>1</v>
      </c>
      <c r="BR2811" t="s">
        <v>1667</v>
      </c>
      <c r="BS2811" t="s">
        <v>2743</v>
      </c>
      <c r="BT2811" t="b">
        <v>0</v>
      </c>
      <c r="BV2811" t="s">
        <v>1668</v>
      </c>
      <c r="BW2811">
        <v>9404</v>
      </c>
      <c r="BX2811" t="s">
        <v>1738</v>
      </c>
      <c r="BY2811">
        <v>0</v>
      </c>
      <c r="BZ2811" t="s">
        <v>1813</v>
      </c>
      <c r="CA2811">
        <v>1</v>
      </c>
      <c r="CB2811" t="b">
        <v>1</v>
      </c>
      <c r="CC2811">
        <v>0</v>
      </c>
      <c r="CD2811" t="b">
        <v>0</v>
      </c>
      <c r="CE2811" t="b">
        <v>1</v>
      </c>
      <c r="CF2811" t="b">
        <v>0</v>
      </c>
      <c r="CG2811" t="s">
        <v>1870</v>
      </c>
      <c r="CH2811" t="s">
        <v>1681</v>
      </c>
      <c r="CI2811" s="10">
        <v>873550</v>
      </c>
    </row>
    <row r="2812" spans="1:88">
      <c r="A2812">
        <v>28050273</v>
      </c>
      <c r="B2812" s="15" t="str">
        <f>HYPERLINK("http://www.redfin.com/stingray/do/printable-listing?listing-id=1582510","Subject To Inspection")</f>
        <v>Subject To Inspection</v>
      </c>
      <c r="D2812" t="s">
        <v>66</v>
      </c>
      <c r="E2812" t="s">
        <v>6273</v>
      </c>
      <c r="F2812">
        <v>430000</v>
      </c>
      <c r="G2812">
        <v>1930</v>
      </c>
      <c r="H2812">
        <v>1650</v>
      </c>
      <c r="I2812">
        <v>8855</v>
      </c>
      <c r="J2812">
        <v>3</v>
      </c>
      <c r="K2812">
        <v>2</v>
      </c>
      <c r="M2812" s="2" t="str">
        <f>HYPERLINK("http://maps.live.com/default.aspx?v=2&amp;lvl=15&amp;sp=Point.47.705588_-122.340273_10516 Interlake Ave N&amp;cp=47.705588~-122.340273","Map")</f>
        <v>Map</v>
      </c>
      <c r="N2812" s="2" t="str">
        <f>HYPERLINK("http://i-0.rfimg.us/photo/1/bigphoto/273/28050273_0.jpg","Photo")</f>
        <v>Photo</v>
      </c>
      <c r="AG2812">
        <v>47.705587999999999</v>
      </c>
      <c r="AH2812">
        <v>-122.340273</v>
      </c>
      <c r="AI2812" t="s">
        <v>66</v>
      </c>
      <c r="AJ2812">
        <v>98133</v>
      </c>
      <c r="AN2812">
        <v>275000</v>
      </c>
      <c r="BC2812" s="22">
        <v>39531.484444444446</v>
      </c>
      <c r="BI2812" s="22">
        <v>39545.917314814818</v>
      </c>
      <c r="BL2812">
        <v>8600</v>
      </c>
      <c r="BM2812">
        <v>1582510</v>
      </c>
      <c r="BN2812" t="s">
        <v>1674</v>
      </c>
      <c r="BO2812" s="17">
        <f t="shared" ca="1" si="43"/>
        <v>17.824961458332837</v>
      </c>
      <c r="BP2812" t="b">
        <v>0</v>
      </c>
      <c r="BQ2812">
        <v>1</v>
      </c>
      <c r="BR2812" t="s">
        <v>1667</v>
      </c>
      <c r="BS2812" t="s">
        <v>2378</v>
      </c>
      <c r="BT2812" t="b">
        <v>0</v>
      </c>
      <c r="BV2812" t="s">
        <v>1668</v>
      </c>
      <c r="BW2812">
        <v>10516</v>
      </c>
      <c r="BX2812" t="s">
        <v>1712</v>
      </c>
      <c r="BY2812">
        <v>104365</v>
      </c>
      <c r="BZ2812" t="s">
        <v>1672</v>
      </c>
      <c r="CA2812">
        <v>1</v>
      </c>
      <c r="CB2812" t="b">
        <v>1</v>
      </c>
      <c r="CC2812">
        <v>0</v>
      </c>
      <c r="CD2812" t="b">
        <v>0</v>
      </c>
      <c r="CE2812" t="b">
        <v>1</v>
      </c>
      <c r="CF2812" t="b">
        <v>0</v>
      </c>
      <c r="CG2812">
        <v>2894594</v>
      </c>
      <c r="CH2812" t="s">
        <v>1681</v>
      </c>
      <c r="CI2812" s="10">
        <v>430000</v>
      </c>
      <c r="CJ2812" s="7">
        <v>37771</v>
      </c>
    </row>
    <row r="2813" spans="1:88">
      <c r="A2813">
        <v>28050284</v>
      </c>
      <c r="B2813" s="2" t="str">
        <f>HYPERLINK("http://www.redfin.com/stingray/do/printable-listing?listing-id=1582515","Active")</f>
        <v>Active</v>
      </c>
      <c r="D2813" t="s">
        <v>3064</v>
      </c>
      <c r="E2813" t="s">
        <v>4780</v>
      </c>
      <c r="F2813" s="19">
        <v>877050</v>
      </c>
      <c r="G2813">
        <v>2007</v>
      </c>
      <c r="H2813">
        <v>3574</v>
      </c>
      <c r="I2813">
        <v>0</v>
      </c>
      <c r="J2813">
        <v>4</v>
      </c>
      <c r="K2813">
        <v>2.5</v>
      </c>
      <c r="M2813" s="2" t="str">
        <f>HYPERLINK("http://maps.live.com/default.aspx?v=2&amp;lvl=15&amp;sp=Point.47.686663_-122.185199_9514 117th Ave NE&amp;cp=47.686663~-122.185199","Map")</f>
        <v>Map</v>
      </c>
      <c r="N2813" s="2" t="str">
        <f>HYPERLINK("http://i-0.rfimg.us/photo/1/bigphoto/284/28050284_0.jpg","Photo")</f>
        <v>Photo</v>
      </c>
      <c r="AG2813">
        <v>47.686663000000003</v>
      </c>
      <c r="AH2813">
        <v>-122.185199</v>
      </c>
      <c r="AI2813" t="s">
        <v>1058</v>
      </c>
      <c r="AJ2813">
        <v>98033</v>
      </c>
      <c r="BC2813" s="22">
        <v>39531.484548611108</v>
      </c>
      <c r="BI2813" s="22">
        <v>39549.294907407406</v>
      </c>
      <c r="BL2813">
        <v>17547</v>
      </c>
      <c r="BM2813">
        <v>1582515</v>
      </c>
      <c r="BN2813" t="s">
        <v>3062</v>
      </c>
      <c r="BO2813" s="17">
        <f t="shared" ca="1" si="43"/>
        <v>17.824857291670924</v>
      </c>
      <c r="BP2813" t="b">
        <v>0</v>
      </c>
      <c r="BQ2813">
        <v>1</v>
      </c>
      <c r="BR2813" t="s">
        <v>1667</v>
      </c>
      <c r="BS2813" t="s">
        <v>2743</v>
      </c>
      <c r="BT2813" t="b">
        <v>0</v>
      </c>
      <c r="BV2813" t="s">
        <v>1668</v>
      </c>
      <c r="BW2813">
        <v>9514</v>
      </c>
      <c r="BX2813" t="s">
        <v>1738</v>
      </c>
      <c r="BY2813">
        <v>12279214</v>
      </c>
      <c r="BZ2813" t="s">
        <v>1672</v>
      </c>
      <c r="CA2813">
        <v>1</v>
      </c>
      <c r="CB2813" t="b">
        <v>1</v>
      </c>
      <c r="CC2813">
        <v>0</v>
      </c>
      <c r="CD2813" t="b">
        <v>0</v>
      </c>
      <c r="CE2813" t="b">
        <v>1</v>
      </c>
      <c r="CF2813" t="b">
        <v>0</v>
      </c>
      <c r="CG2813">
        <v>15492145</v>
      </c>
      <c r="CH2813" t="s">
        <v>1681</v>
      </c>
      <c r="CI2813" s="10">
        <v>877335</v>
      </c>
    </row>
    <row r="2814" spans="1:88">
      <c r="A2814">
        <v>28050293</v>
      </c>
      <c r="B2814" s="2" t="str">
        <f>HYPERLINK("http://www.redfin.com/stingray/do/printable-listing?listing-id=1597902","Active")</f>
        <v>Active</v>
      </c>
      <c r="D2814" t="s">
        <v>207</v>
      </c>
      <c r="E2814" t="s">
        <v>6572</v>
      </c>
      <c r="F2814">
        <v>399950</v>
      </c>
      <c r="G2814">
        <v>1948</v>
      </c>
      <c r="H2814">
        <v>0</v>
      </c>
      <c r="I2814">
        <v>2950</v>
      </c>
      <c r="J2814">
        <v>2</v>
      </c>
      <c r="K2814">
        <v>1</v>
      </c>
      <c r="M2814" s="2" t="str">
        <f>HYPERLINK("http://maps.live.com/default.aspx?v=2&amp;lvl=15&amp;sp=Point.47.674272_-122.290499_6207 35th NE&amp;cp=47.674272~-122.290499","Map")</f>
        <v>Map</v>
      </c>
      <c r="N2814" s="2" t="str">
        <f>HYPERLINK("http://i-0.rfimg.us/photo/1/bigphoto/293/28050293_1.jpg","Photo")</f>
        <v>Photo</v>
      </c>
      <c r="AG2814">
        <v>47.674272000000002</v>
      </c>
      <c r="AH2814">
        <v>-122.290499</v>
      </c>
      <c r="AI2814" t="s">
        <v>66</v>
      </c>
      <c r="AJ2814">
        <v>98115</v>
      </c>
      <c r="AN2814">
        <v>227000</v>
      </c>
      <c r="BC2814" s="22">
        <v>39535.901412037034</v>
      </c>
      <c r="BI2814" s="22">
        <v>39549.294907407406</v>
      </c>
      <c r="BL2814">
        <v>7999</v>
      </c>
      <c r="BM2814">
        <v>1597902</v>
      </c>
      <c r="BN2814" t="s">
        <v>1710</v>
      </c>
      <c r="BO2814" s="17">
        <f t="shared" ca="1" si="43"/>
        <v>13.407993865745084</v>
      </c>
      <c r="BP2814" t="b">
        <v>0</v>
      </c>
      <c r="BQ2814">
        <v>1</v>
      </c>
      <c r="BS2814" t="s">
        <v>2920</v>
      </c>
      <c r="BT2814" t="b">
        <v>0</v>
      </c>
      <c r="BV2814" t="s">
        <v>1668</v>
      </c>
      <c r="BW2814">
        <v>6207</v>
      </c>
      <c r="BX2814" t="s">
        <v>1738</v>
      </c>
      <c r="BY2814">
        <v>313078</v>
      </c>
      <c r="BZ2814" t="s">
        <v>1836</v>
      </c>
      <c r="CA2814">
        <v>1</v>
      </c>
      <c r="CB2814" t="b">
        <v>1</v>
      </c>
      <c r="CC2814">
        <v>0</v>
      </c>
      <c r="CD2814" t="b">
        <v>0</v>
      </c>
      <c r="CE2814" t="b">
        <v>1</v>
      </c>
      <c r="CF2814" t="b">
        <v>0</v>
      </c>
      <c r="CG2814">
        <v>2609505</v>
      </c>
      <c r="CH2814" t="s">
        <v>1681</v>
      </c>
      <c r="CI2814" s="10">
        <v>399950</v>
      </c>
      <c r="CJ2814" s="7">
        <v>36664</v>
      </c>
    </row>
    <row r="2815" spans="1:88">
      <c r="A2815">
        <v>28050294</v>
      </c>
      <c r="B2815" s="15" t="str">
        <f>HYPERLINK("http://www.redfin.com/stingray/do/printable-listing?listing-id=1582511","Subject To Inspection")</f>
        <v>Subject To Inspection</v>
      </c>
      <c r="D2815" t="s">
        <v>99</v>
      </c>
      <c r="E2815" t="s">
        <v>6272</v>
      </c>
      <c r="F2815">
        <v>625000</v>
      </c>
      <c r="G2815">
        <v>1961</v>
      </c>
      <c r="H2815">
        <v>3380</v>
      </c>
      <c r="I2815">
        <v>10081</v>
      </c>
      <c r="J2815">
        <v>4</v>
      </c>
      <c r="K2815">
        <v>2.75</v>
      </c>
      <c r="M2815" s="2" t="str">
        <f>HYPERLINK("http://maps.live.com/default.aspx?v=2&amp;lvl=15&amp;sp=Point.47.702527_-122.371792_10033 12th Ave NW&amp;cp=47.702527~-122.371792","Map")</f>
        <v>Map</v>
      </c>
      <c r="N2815" s="2" t="str">
        <f>HYPERLINK("http://i-0.rfimg.us/photo/1/bigphoto/294/28050294_0.jpg","Photo")</f>
        <v>Photo</v>
      </c>
      <c r="AG2815">
        <v>47.702527000000003</v>
      </c>
      <c r="AH2815">
        <v>-122.371792</v>
      </c>
      <c r="AI2815" t="s">
        <v>66</v>
      </c>
      <c r="AJ2815">
        <v>98177</v>
      </c>
      <c r="AN2815">
        <v>379000</v>
      </c>
      <c r="BC2815" s="22">
        <v>39531.484467592592</v>
      </c>
      <c r="BI2815" s="22">
        <v>39549.294907407406</v>
      </c>
      <c r="BL2815">
        <v>12500</v>
      </c>
      <c r="BM2815">
        <v>1582511</v>
      </c>
      <c r="BN2815" t="s">
        <v>1674</v>
      </c>
      <c r="BO2815" s="17">
        <f t="shared" ca="1" si="43"/>
        <v>17.824938310186553</v>
      </c>
      <c r="BP2815" t="b">
        <v>0</v>
      </c>
      <c r="BQ2815">
        <v>1</v>
      </c>
      <c r="BR2815" t="s">
        <v>1667</v>
      </c>
      <c r="BS2815" t="s">
        <v>1803</v>
      </c>
      <c r="BT2815" t="b">
        <v>0</v>
      </c>
      <c r="BV2815" t="s">
        <v>1668</v>
      </c>
      <c r="BW2815">
        <v>10033</v>
      </c>
      <c r="BX2815" t="s">
        <v>1669</v>
      </c>
      <c r="BY2815">
        <v>95464</v>
      </c>
      <c r="BZ2815" t="s">
        <v>1672</v>
      </c>
      <c r="CA2815">
        <v>1</v>
      </c>
      <c r="CB2815" t="b">
        <v>1</v>
      </c>
      <c r="CC2815">
        <v>0</v>
      </c>
      <c r="CD2815" t="b">
        <v>0</v>
      </c>
      <c r="CE2815" t="b">
        <v>1</v>
      </c>
      <c r="CF2815" t="b">
        <v>0</v>
      </c>
      <c r="CG2815">
        <v>2979786</v>
      </c>
      <c r="CH2815" t="s">
        <v>1681</v>
      </c>
      <c r="CI2815" s="10">
        <v>625000</v>
      </c>
      <c r="CJ2815" s="7">
        <v>36479</v>
      </c>
    </row>
    <row r="2816" spans="1:88">
      <c r="A2816">
        <v>28050297</v>
      </c>
      <c r="B2816" s="2" t="str">
        <f>HYPERLINK("http://www.redfin.com/stingray/do/printable-listing?listing-id=1582514","Active")</f>
        <v>Active</v>
      </c>
      <c r="D2816" t="s">
        <v>3064</v>
      </c>
      <c r="E2816" t="s">
        <v>4782</v>
      </c>
      <c r="F2816" s="19">
        <v>880935</v>
      </c>
      <c r="G2816">
        <v>2007</v>
      </c>
      <c r="H2816">
        <v>3222</v>
      </c>
      <c r="I2816">
        <v>0</v>
      </c>
      <c r="J2816">
        <v>3</v>
      </c>
      <c r="K2816">
        <v>2.5</v>
      </c>
      <c r="M2816" s="2" t="str">
        <f>HYPERLINK("http://maps.live.com/default.aspx?v=2&amp;lvl=15&amp;sp=Point.47.686623_-122.185221_9506 117th Ave NE&amp;cp=47.686623~-122.185221","Map")</f>
        <v>Map</v>
      </c>
      <c r="N2816" s="2" t="str">
        <f>HYPERLINK("http://i-0.rfimg.us/photo/1/bigphoto/297/28050297_0.jpg","Photo")</f>
        <v>Photo</v>
      </c>
      <c r="AG2816">
        <v>47.686622999999997</v>
      </c>
      <c r="AH2816">
        <v>-122.185221</v>
      </c>
      <c r="AI2816" t="s">
        <v>1058</v>
      </c>
      <c r="AJ2816">
        <v>98033</v>
      </c>
      <c r="BC2816" s="22">
        <v>39531.484548611108</v>
      </c>
      <c r="BI2816" s="22">
        <v>39549.294907407406</v>
      </c>
      <c r="BL2816">
        <v>17624</v>
      </c>
      <c r="BM2816">
        <v>1582514</v>
      </c>
      <c r="BN2816" t="s">
        <v>3062</v>
      </c>
      <c r="BO2816" s="17">
        <f t="shared" ca="1" si="43"/>
        <v>17.824857291670924</v>
      </c>
      <c r="BP2816" t="b">
        <v>0</v>
      </c>
      <c r="BQ2816">
        <v>1</v>
      </c>
      <c r="BR2816" t="s">
        <v>1667</v>
      </c>
      <c r="BS2816" t="s">
        <v>2743</v>
      </c>
      <c r="BT2816" t="b">
        <v>0</v>
      </c>
      <c r="BV2816" t="s">
        <v>1668</v>
      </c>
      <c r="BW2816">
        <v>9506</v>
      </c>
      <c r="BX2816" t="s">
        <v>1738</v>
      </c>
      <c r="BY2816">
        <v>12279213</v>
      </c>
      <c r="BZ2816" t="s">
        <v>1672</v>
      </c>
      <c r="CA2816">
        <v>1</v>
      </c>
      <c r="CB2816" t="b">
        <v>1</v>
      </c>
      <c r="CC2816">
        <v>0</v>
      </c>
      <c r="CD2816" t="b">
        <v>0</v>
      </c>
      <c r="CE2816" t="b">
        <v>1</v>
      </c>
      <c r="CF2816" t="b">
        <v>0</v>
      </c>
      <c r="CG2816">
        <v>15492144</v>
      </c>
      <c r="CH2816" t="s">
        <v>1681</v>
      </c>
      <c r="CI2816" s="10">
        <v>881180</v>
      </c>
    </row>
    <row r="2817" spans="1:88">
      <c r="A2817">
        <v>28050303</v>
      </c>
      <c r="B2817" s="2" t="str">
        <f>HYPERLINK("http://www.redfin.com/stingray/do/printable-listing?listing-id=1593336","Active")</f>
        <v>Active</v>
      </c>
      <c r="D2817" t="s">
        <v>3249</v>
      </c>
      <c r="E2817" t="s">
        <v>6479</v>
      </c>
      <c r="F2817">
        <v>1995000</v>
      </c>
      <c r="G2817">
        <v>1906</v>
      </c>
      <c r="H2817">
        <v>4180</v>
      </c>
      <c r="I2817">
        <v>7680</v>
      </c>
      <c r="J2817">
        <v>5</v>
      </c>
      <c r="K2817">
        <v>3.5</v>
      </c>
      <c r="M2817" s="2" t="str">
        <f>HYPERLINK("http://maps.live.com/default.aspx?v=2&amp;lvl=15&amp;sp=Point.47.628395_-122.348453_1008 4th Ave N&amp;cp=47.628395~-122.348453","Map")</f>
        <v>Map</v>
      </c>
      <c r="N2817" s="2" t="str">
        <f>HYPERLINK("http://i-0.rfimg.us/photo/1/bigphoto/303/28050303_0.jpg","Photo")</f>
        <v>Photo</v>
      </c>
      <c r="AG2817">
        <v>47.628394999999998</v>
      </c>
      <c r="AH2817">
        <v>-122.34845300000001</v>
      </c>
      <c r="AI2817" t="s">
        <v>66</v>
      </c>
      <c r="AJ2817">
        <v>98109</v>
      </c>
      <c r="AN2817">
        <v>664000</v>
      </c>
      <c r="BC2817" s="22">
        <v>39534.662037037036</v>
      </c>
      <c r="BI2817" s="22">
        <v>39549.294907407406</v>
      </c>
      <c r="BL2817">
        <v>39900</v>
      </c>
      <c r="BM2817">
        <v>1593336</v>
      </c>
      <c r="BN2817" t="s">
        <v>1766</v>
      </c>
      <c r="BO2817" s="17">
        <f t="shared" ca="1" si="43"/>
        <v>14.647368865742465</v>
      </c>
      <c r="BP2817" t="b">
        <v>0</v>
      </c>
      <c r="BQ2817">
        <v>1</v>
      </c>
      <c r="BR2817" t="s">
        <v>1667</v>
      </c>
      <c r="BS2817" t="s">
        <v>1724</v>
      </c>
      <c r="BT2817" t="b">
        <v>0</v>
      </c>
      <c r="BV2817" t="s">
        <v>1668</v>
      </c>
      <c r="BW2817">
        <v>1008</v>
      </c>
      <c r="BX2817" t="s">
        <v>1712</v>
      </c>
      <c r="BY2817">
        <v>133399</v>
      </c>
      <c r="BZ2817" t="s">
        <v>6480</v>
      </c>
      <c r="CA2817">
        <v>1</v>
      </c>
      <c r="CB2817" t="b">
        <v>1</v>
      </c>
      <c r="CC2817">
        <v>0</v>
      </c>
      <c r="CD2817" t="b">
        <v>0</v>
      </c>
      <c r="CE2817" t="b">
        <v>1</v>
      </c>
      <c r="CF2817" t="b">
        <v>0</v>
      </c>
      <c r="CG2817">
        <v>2442484</v>
      </c>
      <c r="CH2817" t="s">
        <v>1681</v>
      </c>
      <c r="CI2817" s="10">
        <v>1995000</v>
      </c>
      <c r="CJ2817" s="7">
        <v>38260</v>
      </c>
    </row>
    <row r="2818" spans="1:88">
      <c r="A2818">
        <v>28050311</v>
      </c>
      <c r="B2818" s="2" t="str">
        <f>HYPERLINK("http://www.redfin.com/stingray/do/printable-listing?listing-id=1582547","Active")</f>
        <v>Active</v>
      </c>
      <c r="D2818" t="s">
        <v>3064</v>
      </c>
      <c r="E2818" t="s">
        <v>3063</v>
      </c>
      <c r="F2818" s="19">
        <v>884205</v>
      </c>
      <c r="G2818">
        <v>2008</v>
      </c>
      <c r="H2818">
        <v>3371</v>
      </c>
      <c r="I2818">
        <v>0</v>
      </c>
      <c r="J2818">
        <v>4</v>
      </c>
      <c r="K2818">
        <v>2.5</v>
      </c>
      <c r="M2818" s="2" t="str">
        <f>HYPERLINK("http://maps.live.com/default.aspx?v=2&amp;lvl=15&amp;sp=adr.9418 117th Ave NE (Unable to map),98033","Map")</f>
        <v>Map</v>
      </c>
      <c r="N2818" s="2" t="str">
        <f>HYPERLINK("http://i-0.rfimg.us/photo/1/bigphoto/311/28050311_0.jpg","Photo")</f>
        <v>Photo</v>
      </c>
      <c r="AI2818" t="s">
        <v>1058</v>
      </c>
      <c r="AJ2818">
        <v>98033</v>
      </c>
      <c r="BC2818" s="22">
        <v>39531.495856481481</v>
      </c>
      <c r="BI2818" s="22">
        <v>39549.294907407406</v>
      </c>
      <c r="BL2818">
        <v>17371</v>
      </c>
      <c r="BM2818">
        <v>1582547</v>
      </c>
      <c r="BN2818" t="s">
        <v>3062</v>
      </c>
      <c r="BO2818" s="17">
        <f t="shared" ref="BO2818:BO2881" ca="1" si="44">NOW()-BC2818</f>
        <v>17.813549421298376</v>
      </c>
      <c r="BP2818" t="b">
        <v>0</v>
      </c>
      <c r="BQ2818">
        <v>1</v>
      </c>
      <c r="BR2818" t="s">
        <v>1667</v>
      </c>
      <c r="BS2818" t="s">
        <v>2743</v>
      </c>
      <c r="BT2818" t="b">
        <v>0</v>
      </c>
      <c r="BV2818" t="s">
        <v>1668</v>
      </c>
      <c r="BW2818">
        <v>9418</v>
      </c>
      <c r="BX2818" t="s">
        <v>1738</v>
      </c>
      <c r="BY2818">
        <v>0</v>
      </c>
      <c r="BZ2818" t="s">
        <v>1672</v>
      </c>
      <c r="CA2818">
        <v>1</v>
      </c>
      <c r="CB2818" t="b">
        <v>1</v>
      </c>
      <c r="CC2818">
        <v>0</v>
      </c>
      <c r="CD2818" t="b">
        <v>0</v>
      </c>
      <c r="CE2818" t="b">
        <v>1</v>
      </c>
      <c r="CF2818" t="b">
        <v>0</v>
      </c>
      <c r="CG2818" t="s">
        <v>1870</v>
      </c>
      <c r="CH2818" t="s">
        <v>1681</v>
      </c>
      <c r="CI2818" s="10">
        <v>868550</v>
      </c>
    </row>
    <row r="2819" spans="1:88">
      <c r="A2819">
        <v>28050319</v>
      </c>
      <c r="B2819" s="2" t="str">
        <f>HYPERLINK("http://www.redfin.com/stingray/do/printable-listing?listing-id=1582540","Active")</f>
        <v>Active</v>
      </c>
      <c r="D2819" t="s">
        <v>2850</v>
      </c>
      <c r="E2819" t="s">
        <v>6303</v>
      </c>
      <c r="F2819" s="19">
        <v>525000</v>
      </c>
      <c r="G2819">
        <v>2001</v>
      </c>
      <c r="H2819">
        <v>2516</v>
      </c>
      <c r="I2819">
        <v>5156</v>
      </c>
      <c r="J2819">
        <v>5</v>
      </c>
      <c r="K2819">
        <v>2.5</v>
      </c>
      <c r="M2819" s="2" t="str">
        <f>HYPERLINK("http://maps.live.com/default.aspx?v=2&amp;lvl=15&amp;sp=Point.47.711921_-122.22929_8406 NE 124th St&amp;cp=47.711921~-122.22929","Map")</f>
        <v>Map</v>
      </c>
      <c r="N2819" s="2" t="str">
        <f>HYPERLINK("http://i-0.rfimg.us/photo/1/bigphoto/319/28050319_0.jpg","Photo")</f>
        <v>Photo</v>
      </c>
      <c r="AG2819">
        <v>47.711920999999997</v>
      </c>
      <c r="AH2819">
        <v>-122.22929000000001</v>
      </c>
      <c r="AI2819" t="s">
        <v>1058</v>
      </c>
      <c r="AJ2819">
        <v>98034</v>
      </c>
      <c r="AN2819">
        <v>352000</v>
      </c>
      <c r="BC2819" s="22">
        <v>39531.495763888888</v>
      </c>
      <c r="BI2819" s="22">
        <v>39549.294907407406</v>
      </c>
      <c r="BL2819">
        <v>11180</v>
      </c>
      <c r="BM2819">
        <v>1582540</v>
      </c>
      <c r="BN2819" t="s">
        <v>1688</v>
      </c>
      <c r="BO2819" s="17">
        <f t="shared" ca="1" si="44"/>
        <v>17.813642013890785</v>
      </c>
      <c r="BP2819" t="b">
        <v>0</v>
      </c>
      <c r="BQ2819">
        <v>1</v>
      </c>
      <c r="BR2819" t="s">
        <v>1686</v>
      </c>
      <c r="BS2819" t="s">
        <v>4507</v>
      </c>
      <c r="BT2819" t="b">
        <v>0</v>
      </c>
      <c r="BU2819" t="s">
        <v>1738</v>
      </c>
      <c r="BV2819" t="s">
        <v>1668</v>
      </c>
      <c r="BW2819">
        <v>8406</v>
      </c>
      <c r="BY2819">
        <v>277323</v>
      </c>
      <c r="BZ2819" t="s">
        <v>1672</v>
      </c>
      <c r="CA2819">
        <v>1</v>
      </c>
      <c r="CB2819" t="b">
        <v>1</v>
      </c>
      <c r="CC2819">
        <v>0</v>
      </c>
      <c r="CD2819" t="b">
        <v>0</v>
      </c>
      <c r="CE2819" t="b">
        <v>1</v>
      </c>
      <c r="CF2819" t="b">
        <v>0</v>
      </c>
      <c r="CG2819">
        <v>2818639</v>
      </c>
      <c r="CH2819" t="s">
        <v>1681</v>
      </c>
      <c r="CI2819" s="10">
        <v>559000</v>
      </c>
      <c r="CJ2819" s="7">
        <v>37211</v>
      </c>
    </row>
    <row r="2820" spans="1:88">
      <c r="A2820">
        <v>28050324</v>
      </c>
      <c r="B2820" s="2" t="str">
        <f>HYPERLINK("http://www.redfin.com/stingray/do/printable-listing?listing-id=1582546","Active")</f>
        <v>Active</v>
      </c>
      <c r="D2820" t="s">
        <v>3064</v>
      </c>
      <c r="E2820" t="s">
        <v>4779</v>
      </c>
      <c r="F2820">
        <v>908550</v>
      </c>
      <c r="G2820">
        <v>2008</v>
      </c>
      <c r="H2820">
        <v>3530</v>
      </c>
      <c r="I2820">
        <v>0</v>
      </c>
      <c r="J2820">
        <v>4</v>
      </c>
      <c r="K2820">
        <v>2.5</v>
      </c>
      <c r="M2820" s="2" t="str">
        <f>HYPERLINK("http://maps.live.com/default.aspx?v=2&amp;lvl=15&amp;sp=Point.47.6868_-122.185556_9519 117th Ave NE&amp;cp=47.6868~-122.185556","Map")</f>
        <v>Map</v>
      </c>
      <c r="N2820" s="2" t="str">
        <f>HYPERLINK("http://i-0.rfimg.us/photo/1/bigphoto/324/28050324_0.jpg","Photo")</f>
        <v>Photo</v>
      </c>
      <c r="AG2820">
        <v>47.686799999999998</v>
      </c>
      <c r="AH2820">
        <v>-122.18555600000001</v>
      </c>
      <c r="AI2820" t="s">
        <v>1058</v>
      </c>
      <c r="AJ2820">
        <v>98033</v>
      </c>
      <c r="BC2820" s="22">
        <v>39531.495844907404</v>
      </c>
      <c r="BI2820" s="22">
        <v>39549.294907407406</v>
      </c>
      <c r="BL2820">
        <v>18171</v>
      </c>
      <c r="BM2820">
        <v>1582546</v>
      </c>
      <c r="BN2820" t="s">
        <v>3062</v>
      </c>
      <c r="BO2820" s="17">
        <f t="shared" ca="1" si="44"/>
        <v>17.813560995375155</v>
      </c>
      <c r="BP2820" t="b">
        <v>0</v>
      </c>
      <c r="BQ2820">
        <v>1</v>
      </c>
      <c r="BR2820" t="s">
        <v>1667</v>
      </c>
      <c r="BS2820" t="s">
        <v>2743</v>
      </c>
      <c r="BT2820" t="b">
        <v>0</v>
      </c>
      <c r="BV2820" t="s">
        <v>1668</v>
      </c>
      <c r="BW2820">
        <v>9519</v>
      </c>
      <c r="BX2820" t="s">
        <v>1738</v>
      </c>
      <c r="BY2820">
        <v>12279211</v>
      </c>
      <c r="BZ2820" s="21">
        <v>0</v>
      </c>
      <c r="CA2820">
        <v>1</v>
      </c>
      <c r="CB2820" t="b">
        <v>1</v>
      </c>
      <c r="CC2820">
        <v>0</v>
      </c>
      <c r="CD2820" t="b">
        <v>0</v>
      </c>
      <c r="CE2820" t="b">
        <v>1</v>
      </c>
      <c r="CF2820" t="b">
        <v>0</v>
      </c>
      <c r="CG2820">
        <v>15492142</v>
      </c>
      <c r="CH2820" t="s">
        <v>1681</v>
      </c>
      <c r="CI2820" s="10">
        <v>908550</v>
      </c>
    </row>
    <row r="2821" spans="1:88">
      <c r="A2821">
        <v>28050330</v>
      </c>
      <c r="B2821" s="2" t="str">
        <f>HYPERLINK("http://www.redfin.com/stingray/do/printable-listing?listing-id=1582614","Active")</f>
        <v>Active</v>
      </c>
      <c r="D2821" t="s">
        <v>3064</v>
      </c>
      <c r="E2821" t="s">
        <v>3078</v>
      </c>
      <c r="F2821">
        <v>853050</v>
      </c>
      <c r="G2821">
        <v>2008</v>
      </c>
      <c r="H2821">
        <v>3222</v>
      </c>
      <c r="I2821">
        <v>0</v>
      </c>
      <c r="J2821">
        <v>4</v>
      </c>
      <c r="K2821">
        <v>2.5</v>
      </c>
      <c r="M2821" s="2" t="str">
        <f>HYPERLINK("http://maps.live.com/default.aspx?v=2&amp;lvl=15&amp;sp=adr.9410 117th Ave NE (Unable to map),98033","Map")</f>
        <v>Map</v>
      </c>
      <c r="N2821" s="2" t="str">
        <f>HYPERLINK("http://i-0.rfimg.us/photo/1/bigphoto/330/28050330_0.jpg","Photo")</f>
        <v>Photo</v>
      </c>
      <c r="AI2821" t="s">
        <v>1058</v>
      </c>
      <c r="AJ2821">
        <v>98033</v>
      </c>
      <c r="BC2821" s="22">
        <v>39531.506284722222</v>
      </c>
      <c r="BI2821" s="22">
        <v>39549.294907407406</v>
      </c>
      <c r="BL2821">
        <v>17061</v>
      </c>
      <c r="BM2821">
        <v>1582614</v>
      </c>
      <c r="BN2821" t="s">
        <v>3062</v>
      </c>
      <c r="BO2821" s="17">
        <f t="shared" ca="1" si="44"/>
        <v>17.803121180557355</v>
      </c>
      <c r="BP2821" t="b">
        <v>0</v>
      </c>
      <c r="BQ2821">
        <v>1</v>
      </c>
      <c r="BR2821" t="s">
        <v>1667</v>
      </c>
      <c r="BS2821" t="s">
        <v>2743</v>
      </c>
      <c r="BT2821" t="b">
        <v>0</v>
      </c>
      <c r="BV2821" t="s">
        <v>1668</v>
      </c>
      <c r="BW2821">
        <v>9410</v>
      </c>
      <c r="BX2821" t="s">
        <v>1738</v>
      </c>
      <c r="BY2821">
        <v>0</v>
      </c>
      <c r="BZ2821" t="s">
        <v>1813</v>
      </c>
      <c r="CA2821">
        <v>1</v>
      </c>
      <c r="CB2821" t="b">
        <v>1</v>
      </c>
      <c r="CC2821">
        <v>0</v>
      </c>
      <c r="CD2821" t="b">
        <v>0</v>
      </c>
      <c r="CE2821" t="b">
        <v>1</v>
      </c>
      <c r="CF2821" t="b">
        <v>0</v>
      </c>
      <c r="CG2821" t="s">
        <v>1870</v>
      </c>
      <c r="CH2821" t="s">
        <v>1681</v>
      </c>
      <c r="CI2821" s="10">
        <v>853050</v>
      </c>
    </row>
    <row r="2822" spans="1:88">
      <c r="A2822">
        <v>28050334</v>
      </c>
      <c r="B2822" s="2" t="str">
        <f>HYPERLINK("http://www.redfin.com/stingray/do/printable-listing?listing-id=1582716","Active")</f>
        <v>Active</v>
      </c>
      <c r="D2822" t="s">
        <v>100</v>
      </c>
      <c r="E2822" t="s">
        <v>6295</v>
      </c>
      <c r="F2822">
        <v>329000</v>
      </c>
      <c r="G2822">
        <v>1960</v>
      </c>
      <c r="H2822">
        <v>0</v>
      </c>
      <c r="I2822">
        <v>0</v>
      </c>
      <c r="J2822">
        <v>2</v>
      </c>
      <c r="K2822">
        <v>1</v>
      </c>
      <c r="M2822" s="2" t="str">
        <f>HYPERLINK("http://maps.live.com/default.aspx?v=2&amp;lvl=15&amp;sp=Point.47.658583_-122.356303_4253 Palatine Ave N nA&amp;cp=47.658583~-122.356303","Map")</f>
        <v>Map</v>
      </c>
      <c r="N2822" s="2" t="str">
        <f>HYPERLINK("http://i-0.rfimg.us/photo/1/bigphoto/334/28050334_0.jpg","Photo")</f>
        <v>Photo</v>
      </c>
      <c r="AG2822">
        <v>47.658583</v>
      </c>
      <c r="AH2822">
        <v>-122.356303</v>
      </c>
      <c r="AI2822" t="s">
        <v>66</v>
      </c>
      <c r="AJ2822">
        <v>98103</v>
      </c>
      <c r="AM2822" t="s">
        <v>1722</v>
      </c>
      <c r="BC2822" s="22">
        <v>39531.517905092594</v>
      </c>
      <c r="BI2822" s="22">
        <v>39549.294907407406</v>
      </c>
      <c r="BL2822">
        <v>6580</v>
      </c>
      <c r="BM2822">
        <v>1582716</v>
      </c>
      <c r="BN2822" t="s">
        <v>3643</v>
      </c>
      <c r="BO2822" s="17">
        <f t="shared" ca="1" si="44"/>
        <v>17.791500810184516</v>
      </c>
      <c r="BP2822" t="b">
        <v>0</v>
      </c>
      <c r="BQ2822">
        <v>1</v>
      </c>
      <c r="BR2822" t="s">
        <v>1667</v>
      </c>
      <c r="BS2822" t="s">
        <v>2605</v>
      </c>
      <c r="BT2822" t="b">
        <v>0</v>
      </c>
      <c r="BV2822" t="s">
        <v>1668</v>
      </c>
      <c r="BW2822">
        <v>4253</v>
      </c>
      <c r="BX2822" t="s">
        <v>1712</v>
      </c>
      <c r="BY2822">
        <v>12433935</v>
      </c>
      <c r="BZ2822" t="s">
        <v>1747</v>
      </c>
      <c r="CA2822">
        <v>1</v>
      </c>
      <c r="CB2822" t="b">
        <v>1</v>
      </c>
      <c r="CC2822">
        <v>0</v>
      </c>
      <c r="CD2822" t="b">
        <v>0</v>
      </c>
      <c r="CE2822" t="b">
        <v>1</v>
      </c>
      <c r="CF2822" t="b">
        <v>0</v>
      </c>
      <c r="CG2822">
        <v>15637683</v>
      </c>
      <c r="CH2822" t="s">
        <v>1681</v>
      </c>
      <c r="CI2822" s="10">
        <v>329000</v>
      </c>
    </row>
    <row r="2823" spans="1:88">
      <c r="A2823">
        <v>28050354</v>
      </c>
      <c r="B2823" s="2" t="str">
        <f>HYPERLINK("http://www.redfin.com/stingray/do/printable-listing?listing-id=1583058","Active")</f>
        <v>Active</v>
      </c>
      <c r="D2823" t="s">
        <v>218</v>
      </c>
      <c r="E2823" t="s">
        <v>6283</v>
      </c>
      <c r="F2823" s="19">
        <v>329500</v>
      </c>
      <c r="G2823">
        <v>1925</v>
      </c>
      <c r="H2823">
        <v>1040</v>
      </c>
      <c r="I2823">
        <v>1830</v>
      </c>
      <c r="J2823">
        <v>3</v>
      </c>
      <c r="K2823">
        <v>1.5</v>
      </c>
      <c r="M2823" s="2" t="str">
        <f>HYPERLINK("http://maps.live.com/default.aspx?v=2&amp;lvl=15&amp;sp=Point.47.679283_-122.300423_6860 25 Ave NE&amp;cp=47.679283~-122.300423","Map")</f>
        <v>Map</v>
      </c>
      <c r="N2823" s="2" t="str">
        <f>HYPERLINK("http://i-0.rfimg.us/photo/1/bigphoto/354/28050354_1.jpg","Photo")</f>
        <v>Photo</v>
      </c>
      <c r="AG2823">
        <v>47.679282999999998</v>
      </c>
      <c r="AH2823">
        <v>-122.30042299999999</v>
      </c>
      <c r="AI2823" t="s">
        <v>66</v>
      </c>
      <c r="AJ2823">
        <v>98115</v>
      </c>
      <c r="AN2823">
        <v>130000</v>
      </c>
      <c r="BC2823" s="22">
        <v>39531.558287037034</v>
      </c>
      <c r="BI2823" s="22">
        <v>39549.294907407406</v>
      </c>
      <c r="BL2823">
        <v>6960</v>
      </c>
      <c r="BM2823">
        <v>1583058</v>
      </c>
      <c r="BN2823" t="s">
        <v>6282</v>
      </c>
      <c r="BO2823" s="17">
        <f t="shared" ca="1" si="44"/>
        <v>17.751118865744502</v>
      </c>
      <c r="BP2823" t="b">
        <v>0</v>
      </c>
      <c r="BQ2823">
        <v>1</v>
      </c>
      <c r="BR2823" t="s">
        <v>1667</v>
      </c>
      <c r="BS2823">
        <v>25</v>
      </c>
      <c r="BT2823" t="b">
        <v>0</v>
      </c>
      <c r="BV2823" t="s">
        <v>1668</v>
      </c>
      <c r="BW2823">
        <v>6860</v>
      </c>
      <c r="BX2823" t="s">
        <v>1738</v>
      </c>
      <c r="BY2823">
        <v>315797</v>
      </c>
      <c r="BZ2823" t="s">
        <v>1861</v>
      </c>
      <c r="CA2823">
        <v>1</v>
      </c>
      <c r="CB2823" t="b">
        <v>1</v>
      </c>
      <c r="CC2823">
        <v>0</v>
      </c>
      <c r="CD2823" t="b">
        <v>0</v>
      </c>
      <c r="CE2823" t="b">
        <v>1</v>
      </c>
      <c r="CF2823" t="b">
        <v>0</v>
      </c>
      <c r="CG2823">
        <v>2825270</v>
      </c>
      <c r="CH2823" t="s">
        <v>1681</v>
      </c>
      <c r="CI2823" s="10">
        <v>348000</v>
      </c>
      <c r="CJ2823" s="7">
        <v>36648</v>
      </c>
    </row>
    <row r="2824" spans="1:88">
      <c r="A2824">
        <v>28050370</v>
      </c>
      <c r="B2824" s="2" t="str">
        <f>HYPERLINK("http://www.redfin.com/stingray/do/printable-listing?listing-id=1582912","Active")</f>
        <v>Active</v>
      </c>
      <c r="D2824" t="s">
        <v>983</v>
      </c>
      <c r="E2824" t="s">
        <v>6275</v>
      </c>
      <c r="F2824">
        <v>495000</v>
      </c>
      <c r="G2824">
        <v>1923</v>
      </c>
      <c r="H2824">
        <v>1320</v>
      </c>
      <c r="I2824">
        <v>6016</v>
      </c>
      <c r="J2824">
        <v>2</v>
      </c>
      <c r="K2824">
        <v>1</v>
      </c>
      <c r="M2824" s="2" t="str">
        <f>HYPERLINK("http://maps.live.com/default.aspx?v=2&amp;lvl=15&amp;sp=Point.47.707342_-122.275765_10660 Lakeside Ave NE&amp;cp=47.707342~-122.275765","Map")</f>
        <v>Map</v>
      </c>
      <c r="N2824" s="2" t="str">
        <f>HYPERLINK("http://i-0.rfimg.us/photo/1/bigphoto/370/28050370_0.jpg","Photo")</f>
        <v>Photo</v>
      </c>
      <c r="AG2824">
        <v>47.707341999999997</v>
      </c>
      <c r="AH2824">
        <v>-122.27576500000001</v>
      </c>
      <c r="AI2824" t="s">
        <v>66</v>
      </c>
      <c r="AJ2824">
        <v>98125</v>
      </c>
      <c r="BC2824" s="22">
        <v>39531.526909722219</v>
      </c>
      <c r="BI2824" s="22">
        <v>39549.294907407406</v>
      </c>
      <c r="BL2824">
        <v>9900</v>
      </c>
      <c r="BM2824">
        <v>1582912</v>
      </c>
      <c r="BN2824" t="s">
        <v>1685</v>
      </c>
      <c r="BO2824" s="17">
        <f t="shared" ca="1" si="44"/>
        <v>17.782496180559974</v>
      </c>
      <c r="BP2824" t="b">
        <v>0</v>
      </c>
      <c r="BQ2824">
        <v>1</v>
      </c>
      <c r="BR2824" t="s">
        <v>1667</v>
      </c>
      <c r="BS2824" t="s">
        <v>2838</v>
      </c>
      <c r="BT2824" t="b">
        <v>0</v>
      </c>
      <c r="BV2824" t="s">
        <v>1668</v>
      </c>
      <c r="BW2824">
        <v>10660</v>
      </c>
      <c r="BX2824" t="s">
        <v>1738</v>
      </c>
      <c r="BY2824">
        <v>318746</v>
      </c>
      <c r="BZ2824" t="s">
        <v>1696</v>
      </c>
      <c r="CA2824">
        <v>1</v>
      </c>
      <c r="CB2824" t="b">
        <v>1</v>
      </c>
      <c r="CC2824">
        <v>0</v>
      </c>
      <c r="CD2824" t="b">
        <v>1</v>
      </c>
      <c r="CE2824" t="b">
        <v>1</v>
      </c>
      <c r="CF2824" t="b">
        <v>0</v>
      </c>
      <c r="CG2824">
        <v>2928630</v>
      </c>
      <c r="CH2824" t="s">
        <v>1681</v>
      </c>
      <c r="CI2824" s="10">
        <v>495000</v>
      </c>
    </row>
    <row r="2825" spans="1:88">
      <c r="A2825">
        <v>28050407</v>
      </c>
      <c r="B2825" s="2" t="str">
        <f>HYPERLINK("http://www.redfin.com/stingray/do/printable-listing?listing-id=1592245","Active")</f>
        <v>Active</v>
      </c>
      <c r="D2825" t="s">
        <v>3249</v>
      </c>
      <c r="E2825" t="s">
        <v>6475</v>
      </c>
      <c r="F2825">
        <v>929950</v>
      </c>
      <c r="G2825">
        <v>1917</v>
      </c>
      <c r="H2825">
        <v>2930</v>
      </c>
      <c r="I2825">
        <v>0</v>
      </c>
      <c r="J2825">
        <v>4</v>
      </c>
      <c r="K2825">
        <v>1.75</v>
      </c>
      <c r="M2825" s="2" t="str">
        <f>HYPERLINK("http://maps.live.com/default.aspx?v=2&amp;lvl=15&amp;sp=Point.47.642579_-122.365926_2568 7th Ave W&amp;cp=47.642579~-122.365926","Map")</f>
        <v>Map</v>
      </c>
      <c r="N2825" s="2" t="str">
        <f>HYPERLINK("http://i-0.rfimg.us/photo/1/bigphoto/407/28050407_1.jpg","Photo")</f>
        <v>Photo</v>
      </c>
      <c r="AG2825">
        <v>47.642578999999998</v>
      </c>
      <c r="AH2825">
        <v>-122.365926</v>
      </c>
      <c r="AI2825" t="s">
        <v>66</v>
      </c>
      <c r="AJ2825">
        <v>98119</v>
      </c>
      <c r="AN2825">
        <v>470000</v>
      </c>
      <c r="BC2825" s="22">
        <v>39534.536192129628</v>
      </c>
      <c r="BI2825" s="22">
        <v>39549.294907407406</v>
      </c>
      <c r="BL2825">
        <v>18599</v>
      </c>
      <c r="BM2825">
        <v>1592245</v>
      </c>
      <c r="BN2825" t="s">
        <v>1685</v>
      </c>
      <c r="BO2825" s="17">
        <f t="shared" ca="1" si="44"/>
        <v>14.773213773150928</v>
      </c>
      <c r="BP2825" t="b">
        <v>0</v>
      </c>
      <c r="BQ2825">
        <v>1</v>
      </c>
      <c r="BR2825" t="s">
        <v>1667</v>
      </c>
      <c r="BS2825" t="s">
        <v>1859</v>
      </c>
      <c r="BT2825" t="b">
        <v>0</v>
      </c>
      <c r="BV2825" t="s">
        <v>1668</v>
      </c>
      <c r="BW2825">
        <v>2568</v>
      </c>
      <c r="BX2825" t="s">
        <v>2423</v>
      </c>
      <c r="BY2825">
        <v>129635</v>
      </c>
      <c r="BZ2825" t="s">
        <v>1911</v>
      </c>
      <c r="CA2825">
        <v>1</v>
      </c>
      <c r="CB2825" t="b">
        <v>1</v>
      </c>
      <c r="CC2825">
        <v>0</v>
      </c>
      <c r="CD2825" t="b">
        <v>0</v>
      </c>
      <c r="CE2825" t="b">
        <v>1</v>
      </c>
      <c r="CF2825" t="b">
        <v>0</v>
      </c>
      <c r="CG2825">
        <v>2376718</v>
      </c>
      <c r="CH2825" t="s">
        <v>1681</v>
      </c>
      <c r="CI2825" s="10">
        <v>929950</v>
      </c>
      <c r="CJ2825" s="7">
        <v>38467</v>
      </c>
    </row>
    <row r="2826" spans="1:88">
      <c r="A2826">
        <v>28050419</v>
      </c>
      <c r="B2826" s="2" t="str">
        <f>HYPERLINK("http://www.redfin.com/stingray/do/printable-listing?listing-id=1595970","Active")</f>
        <v>Active</v>
      </c>
      <c r="D2826" t="s">
        <v>3961</v>
      </c>
      <c r="E2826" t="s">
        <v>6534</v>
      </c>
      <c r="F2826">
        <v>1189000</v>
      </c>
      <c r="G2826">
        <v>1905</v>
      </c>
      <c r="H2826">
        <v>0</v>
      </c>
      <c r="I2826">
        <v>5000</v>
      </c>
      <c r="J2826">
        <v>4</v>
      </c>
      <c r="K2826">
        <v>3</v>
      </c>
      <c r="M2826" s="2" t="str">
        <f>HYPERLINK("http://maps.live.com/default.aspx?v=2&amp;lvl=15&amp;sp=Point.47.606313_-122.292935_503 31st Ave&amp;cp=47.606313~-122.292935","Map")</f>
        <v>Map</v>
      </c>
      <c r="N2826" s="2" t="str">
        <f>HYPERLINK("http://i-0.rfimg.us/photo/1/bigphoto/419/28050419_0.jpg","Photo")</f>
        <v>Photo</v>
      </c>
      <c r="AG2826">
        <v>47.606313</v>
      </c>
      <c r="AH2826">
        <v>-122.292935</v>
      </c>
      <c r="AI2826" t="s">
        <v>66</v>
      </c>
      <c r="AJ2826">
        <v>98122</v>
      </c>
      <c r="AN2826">
        <v>649150</v>
      </c>
      <c r="BC2826" s="22">
        <v>39535.485034722224</v>
      </c>
      <c r="BI2826" s="22">
        <v>39549.294907407406</v>
      </c>
      <c r="BL2826">
        <v>23780</v>
      </c>
      <c r="BM2826">
        <v>1595970</v>
      </c>
      <c r="BN2826" t="s">
        <v>1685</v>
      </c>
      <c r="BO2826" s="17">
        <f t="shared" ca="1" si="44"/>
        <v>13.824371180555318</v>
      </c>
      <c r="BP2826" t="b">
        <v>0</v>
      </c>
      <c r="BQ2826">
        <v>1</v>
      </c>
      <c r="BR2826" t="s">
        <v>1667</v>
      </c>
      <c r="BS2826" t="s">
        <v>1732</v>
      </c>
      <c r="BT2826" t="b">
        <v>0</v>
      </c>
      <c r="BV2826" t="s">
        <v>1668</v>
      </c>
      <c r="BW2826">
        <v>503</v>
      </c>
      <c r="BY2826">
        <v>148540</v>
      </c>
      <c r="BZ2826" s="21">
        <v>0</v>
      </c>
      <c r="CA2826">
        <v>1</v>
      </c>
      <c r="CB2826" t="b">
        <v>1</v>
      </c>
      <c r="CC2826">
        <v>0</v>
      </c>
      <c r="CD2826" t="b">
        <v>0</v>
      </c>
      <c r="CE2826" t="b">
        <v>1</v>
      </c>
      <c r="CF2826" t="b">
        <v>0</v>
      </c>
      <c r="CG2826">
        <v>2798897</v>
      </c>
      <c r="CH2826" t="s">
        <v>1681</v>
      </c>
      <c r="CI2826" s="10">
        <v>1189000</v>
      </c>
      <c r="CJ2826" s="7">
        <v>39421</v>
      </c>
    </row>
    <row r="2827" spans="1:88">
      <c r="A2827">
        <v>28050420</v>
      </c>
      <c r="B2827" s="2" t="str">
        <f>HYPERLINK("http://www.redfin.com/stingray/do/printable-listing?listing-id=1583001","Active")</f>
        <v>Active</v>
      </c>
      <c r="D2827" t="s">
        <v>192</v>
      </c>
      <c r="E2827" t="s">
        <v>6281</v>
      </c>
      <c r="F2827">
        <v>359999</v>
      </c>
      <c r="G2827">
        <v>2008</v>
      </c>
      <c r="H2827">
        <v>1450</v>
      </c>
      <c r="I2827">
        <v>0</v>
      </c>
      <c r="J2827">
        <v>3</v>
      </c>
      <c r="K2827">
        <v>1.5</v>
      </c>
      <c r="M2827" s="2" t="str">
        <f>HYPERLINK("http://maps.live.com/default.aspx?v=2&amp;lvl=15&amp;sp=Point.47.684387_-122.315095_7552 12th Ave NE nC&amp;cp=47.684387~-122.315095","Map")</f>
        <v>Map</v>
      </c>
      <c r="N2827" s="2" t="str">
        <f>HYPERLINK("http://i-0.rfimg.us/photo/1/bigphoto/420/28050420_0.jpg","Photo")</f>
        <v>Photo</v>
      </c>
      <c r="AG2827">
        <v>47.684387000000001</v>
      </c>
      <c r="AH2827">
        <v>-122.315095</v>
      </c>
      <c r="AI2827" t="s">
        <v>66</v>
      </c>
      <c r="AJ2827">
        <v>98125</v>
      </c>
      <c r="AM2827" t="s">
        <v>2341</v>
      </c>
      <c r="BC2827" s="22">
        <v>39531.547696759262</v>
      </c>
      <c r="BI2827" s="22">
        <v>39549.294907407406</v>
      </c>
      <c r="BL2827">
        <v>7200</v>
      </c>
      <c r="BM2827">
        <v>1583001</v>
      </c>
      <c r="BN2827" t="s">
        <v>1746</v>
      </c>
      <c r="BO2827" s="17">
        <f t="shared" ca="1" si="44"/>
        <v>17.761709143516782</v>
      </c>
      <c r="BP2827" t="b">
        <v>0</v>
      </c>
      <c r="BQ2827">
        <v>1</v>
      </c>
      <c r="BR2827" t="s">
        <v>1667</v>
      </c>
      <c r="BS2827" t="s">
        <v>1803</v>
      </c>
      <c r="BT2827" t="b">
        <v>0</v>
      </c>
      <c r="BV2827" t="s">
        <v>1668</v>
      </c>
      <c r="BW2827">
        <v>7552</v>
      </c>
      <c r="BX2827" t="s">
        <v>1738</v>
      </c>
      <c r="BY2827">
        <v>12433974</v>
      </c>
      <c r="BZ2827" t="s">
        <v>1672</v>
      </c>
      <c r="CA2827">
        <v>1</v>
      </c>
      <c r="CB2827" t="b">
        <v>1</v>
      </c>
      <c r="CC2827">
        <v>0</v>
      </c>
      <c r="CD2827" t="b">
        <v>0</v>
      </c>
      <c r="CE2827" t="b">
        <v>1</v>
      </c>
      <c r="CF2827" t="b">
        <v>0</v>
      </c>
      <c r="CG2827">
        <v>15637722</v>
      </c>
      <c r="CH2827" t="s">
        <v>1681</v>
      </c>
      <c r="CI2827" s="10">
        <v>359999</v>
      </c>
    </row>
    <row r="2828" spans="1:88">
      <c r="A2828">
        <v>28050439</v>
      </c>
      <c r="B2828" s="2" t="str">
        <f>HYPERLINK("http://www.redfin.com/stingray/do/printable-listing?listing-id=1583104","Active")</f>
        <v>Active</v>
      </c>
      <c r="D2828" t="s">
        <v>192</v>
      </c>
      <c r="E2828" t="s">
        <v>6284</v>
      </c>
      <c r="F2828">
        <v>359999</v>
      </c>
      <c r="G2828">
        <v>2008</v>
      </c>
      <c r="H2828">
        <v>1450</v>
      </c>
      <c r="I2828">
        <v>0</v>
      </c>
      <c r="J2828">
        <v>3</v>
      </c>
      <c r="K2828">
        <v>1.5</v>
      </c>
      <c r="M2828" s="2" t="str">
        <f>HYPERLINK("http://maps.live.com/default.aspx?v=2&amp;lvl=15&amp;sp=Point.47.68457_-122.314955_7554 12th Ave NE nA&amp;cp=47.68457~-122.314955","Map")</f>
        <v>Map</v>
      </c>
      <c r="N2828" s="2" t="str">
        <f>HYPERLINK("http://i-0.rfimg.us/photo/1/bigphoto/439/28050439_0.jpg","Photo")</f>
        <v>Photo</v>
      </c>
      <c r="AG2828">
        <v>47.684570000000001</v>
      </c>
      <c r="AH2828">
        <v>-122.314955</v>
      </c>
      <c r="AI2828" t="s">
        <v>66</v>
      </c>
      <c r="AJ2828">
        <v>98125</v>
      </c>
      <c r="AM2828" t="s">
        <v>1722</v>
      </c>
      <c r="BC2828" s="22">
        <v>39531.569722222222</v>
      </c>
      <c r="BI2828" s="22">
        <v>39549.294907407406</v>
      </c>
      <c r="BL2828">
        <v>7200</v>
      </c>
      <c r="BM2828">
        <v>1583104</v>
      </c>
      <c r="BN2828" t="s">
        <v>1746</v>
      </c>
      <c r="BO2828" s="17">
        <f t="shared" ca="1" si="44"/>
        <v>17.739683680556482</v>
      </c>
      <c r="BP2828" t="b">
        <v>0</v>
      </c>
      <c r="BQ2828">
        <v>1</v>
      </c>
      <c r="BR2828" t="s">
        <v>1667</v>
      </c>
      <c r="BS2828" t="s">
        <v>1803</v>
      </c>
      <c r="BT2828" t="b">
        <v>0</v>
      </c>
      <c r="BV2828" t="s">
        <v>1668</v>
      </c>
      <c r="BW2828">
        <v>7554</v>
      </c>
      <c r="BX2828" t="s">
        <v>1738</v>
      </c>
      <c r="BY2828">
        <v>12433987</v>
      </c>
      <c r="BZ2828" t="s">
        <v>1672</v>
      </c>
      <c r="CA2828">
        <v>1</v>
      </c>
      <c r="CB2828" t="b">
        <v>1</v>
      </c>
      <c r="CC2828">
        <v>0</v>
      </c>
      <c r="CD2828" t="b">
        <v>0</v>
      </c>
      <c r="CE2828" t="b">
        <v>1</v>
      </c>
      <c r="CF2828" t="b">
        <v>0</v>
      </c>
      <c r="CG2828">
        <v>15637735</v>
      </c>
      <c r="CH2828" t="s">
        <v>1681</v>
      </c>
      <c r="CI2828" s="10">
        <v>359999</v>
      </c>
    </row>
    <row r="2829" spans="1:88">
      <c r="A2829">
        <v>28050445</v>
      </c>
      <c r="B2829" s="2" t="str">
        <f>HYPERLINK("http://www.redfin.com/stingray/do/printable-listing?listing-id=1583056","Active")</f>
        <v>Active</v>
      </c>
      <c r="D2829" t="s">
        <v>5926</v>
      </c>
      <c r="E2829" t="s">
        <v>6320</v>
      </c>
      <c r="F2829">
        <v>539900</v>
      </c>
      <c r="G2829">
        <v>2007</v>
      </c>
      <c r="H2829">
        <v>3016</v>
      </c>
      <c r="I2829">
        <v>0</v>
      </c>
      <c r="J2829">
        <v>3</v>
      </c>
      <c r="K2829">
        <v>2.5</v>
      </c>
      <c r="M2829" s="2" t="str">
        <f>HYPERLINK("http://maps.live.com/default.aspx?v=2&amp;lvl=15&amp;sp=Point.47.5102_-122.1666_2510 NE 21 St&amp;cp=47.5102~-122.1666","Map")</f>
        <v>Map</v>
      </c>
      <c r="N2829" s="2" t="str">
        <f>HYPERLINK("http://i-0.rfimg.us/photo/1/bigphoto/445/28050445_6.jpg","Photo")</f>
        <v>Photo</v>
      </c>
      <c r="AG2829">
        <v>47.510199999999998</v>
      </c>
      <c r="AH2829">
        <v>-122.1666</v>
      </c>
      <c r="AI2829" t="s">
        <v>1077</v>
      </c>
      <c r="AJ2829">
        <v>98056</v>
      </c>
      <c r="AM2829" t="s">
        <v>6558</v>
      </c>
      <c r="BC2829" s="22">
        <v>39531.558275462965</v>
      </c>
      <c r="BI2829" s="22">
        <v>39549.294907407406</v>
      </c>
      <c r="BL2829">
        <v>10798</v>
      </c>
      <c r="BM2829">
        <v>1583056</v>
      </c>
      <c r="BN2829" t="s">
        <v>4966</v>
      </c>
      <c r="BO2829" s="17">
        <f t="shared" ca="1" si="44"/>
        <v>17.751130439814006</v>
      </c>
      <c r="BP2829" t="b">
        <v>0</v>
      </c>
      <c r="BQ2829">
        <v>1</v>
      </c>
      <c r="BR2829" t="s">
        <v>1686</v>
      </c>
      <c r="BS2829">
        <v>21</v>
      </c>
      <c r="BT2829" t="b">
        <v>0</v>
      </c>
      <c r="BU2829" t="s">
        <v>1738</v>
      </c>
      <c r="BV2829" t="s">
        <v>1668</v>
      </c>
      <c r="BW2829">
        <v>2510</v>
      </c>
      <c r="BY2829">
        <v>12433982</v>
      </c>
      <c r="BZ2829" s="21">
        <v>6.9444444444444447E-4</v>
      </c>
      <c r="CA2829">
        <v>1</v>
      </c>
      <c r="CB2829" t="b">
        <v>1</v>
      </c>
      <c r="CC2829">
        <v>0</v>
      </c>
      <c r="CD2829" t="b">
        <v>0</v>
      </c>
      <c r="CE2829" t="b">
        <v>1</v>
      </c>
      <c r="CF2829" t="b">
        <v>0</v>
      </c>
      <c r="CG2829">
        <v>15637730</v>
      </c>
      <c r="CH2829" t="s">
        <v>1681</v>
      </c>
      <c r="CI2829" s="10">
        <v>539900</v>
      </c>
    </row>
    <row r="2830" spans="1:88">
      <c r="A2830">
        <v>28050449</v>
      </c>
      <c r="B2830" s="2" t="str">
        <f>HYPERLINK("http://www.redfin.com/stingray/do/printable-listing?listing-id=1599528","Active")</f>
        <v>Active</v>
      </c>
      <c r="D2830" t="s">
        <v>60</v>
      </c>
      <c r="E2830" t="s">
        <v>6567</v>
      </c>
      <c r="F2830">
        <v>594950</v>
      </c>
      <c r="G2830">
        <v>2008</v>
      </c>
      <c r="H2830">
        <v>0</v>
      </c>
      <c r="I2830">
        <v>0</v>
      </c>
      <c r="J2830">
        <v>3</v>
      </c>
      <c r="K2830">
        <v>3.5</v>
      </c>
      <c r="M2830" s="2" t="str">
        <f>HYPERLINK("http://maps.live.com/default.aspx?v=2&amp;lvl=15&amp;sp=Point.47.663443_-122.342303_4809 Stone Ave N&amp;cp=47.663443~-122.342303","Map")</f>
        <v>Map</v>
      </c>
      <c r="N2830" s="2" t="str">
        <f>HYPERLINK("http://i-0.rfimg.us/photo/1/bigphoto/449/28050449_.jpg","Photo")</f>
        <v>Photo</v>
      </c>
      <c r="AG2830" s="19">
        <v>47.663800000000002</v>
      </c>
      <c r="AH2830" s="19">
        <v>-122.34121399999999</v>
      </c>
      <c r="AI2830" t="s">
        <v>66</v>
      </c>
      <c r="AJ2830">
        <v>98103</v>
      </c>
      <c r="BC2830" s="22">
        <v>39536.651261574072</v>
      </c>
      <c r="BI2830" s="22">
        <v>39549.294907407406</v>
      </c>
      <c r="BL2830">
        <v>11899</v>
      </c>
      <c r="BM2830">
        <v>1599528</v>
      </c>
      <c r="BN2830" t="s">
        <v>1710</v>
      </c>
      <c r="BO2830" s="17">
        <f t="shared" ca="1" si="44"/>
        <v>12.65814432870684</v>
      </c>
      <c r="BP2830" t="b">
        <v>0</v>
      </c>
      <c r="BQ2830">
        <v>1</v>
      </c>
      <c r="BR2830" t="s">
        <v>1667</v>
      </c>
      <c r="BS2830" t="s">
        <v>2719</v>
      </c>
      <c r="BT2830" t="b">
        <v>0</v>
      </c>
      <c r="BV2830" t="s">
        <v>1668</v>
      </c>
      <c r="BW2830">
        <v>4809</v>
      </c>
      <c r="BX2830" t="s">
        <v>1712</v>
      </c>
      <c r="BY2830">
        <v>12435975</v>
      </c>
      <c r="BZ2830" t="s">
        <v>1836</v>
      </c>
      <c r="CA2830">
        <v>1</v>
      </c>
      <c r="CB2830" t="b">
        <v>1</v>
      </c>
      <c r="CC2830">
        <v>0</v>
      </c>
      <c r="CD2830" t="b">
        <v>0</v>
      </c>
      <c r="CE2830" t="b">
        <v>1</v>
      </c>
      <c r="CF2830" t="b">
        <v>0</v>
      </c>
      <c r="CG2830">
        <v>15639723</v>
      </c>
      <c r="CH2830" t="s">
        <v>1681</v>
      </c>
      <c r="CI2830" s="10">
        <v>594950</v>
      </c>
    </row>
    <row r="2831" spans="1:88">
      <c r="A2831">
        <v>28050454</v>
      </c>
      <c r="B2831" s="2" t="str">
        <f>HYPERLINK("http://www.redfin.com/stingray/do/printable-listing?listing-id=1595596","Active")</f>
        <v>Active</v>
      </c>
      <c r="D2831" t="s">
        <v>63</v>
      </c>
      <c r="E2831" t="s">
        <v>6505</v>
      </c>
      <c r="F2831">
        <v>439950</v>
      </c>
      <c r="G2831">
        <v>2008</v>
      </c>
      <c r="H2831">
        <v>1450</v>
      </c>
      <c r="I2831">
        <v>0</v>
      </c>
      <c r="J2831">
        <v>3</v>
      </c>
      <c r="K2831">
        <v>3.5</v>
      </c>
      <c r="M2831" s="2" t="str">
        <f>HYPERLINK("http://maps.live.com/default.aspx?v=2&amp;lvl=15&amp;sp=Point.47.674318_-122.374085_1409 NW 63rd St nA&amp;cp=47.674318~-122.374085","Map")</f>
        <v>Map</v>
      </c>
      <c r="N2831" s="2" t="str">
        <f>HYPERLINK("http://i-0.rfimg.us/photo/1/bigphoto/454/28050454_1.jpg","Photo")</f>
        <v>Photo</v>
      </c>
      <c r="AG2831">
        <v>47.674318</v>
      </c>
      <c r="AH2831">
        <v>-122.37408499999999</v>
      </c>
      <c r="AI2831" t="s">
        <v>66</v>
      </c>
      <c r="AJ2831">
        <v>98107</v>
      </c>
      <c r="AM2831" t="s">
        <v>1722</v>
      </c>
      <c r="BC2831" s="22">
        <v>39535.411064814813</v>
      </c>
      <c r="BI2831" s="22">
        <v>39549.294907407406</v>
      </c>
      <c r="BL2831">
        <v>8799</v>
      </c>
      <c r="BM2831">
        <v>1595596</v>
      </c>
      <c r="BN2831" t="s">
        <v>1700</v>
      </c>
      <c r="BO2831" s="17">
        <f t="shared" ca="1" si="44"/>
        <v>13.898341087966401</v>
      </c>
      <c r="BP2831" t="b">
        <v>0</v>
      </c>
      <c r="BQ2831">
        <v>1</v>
      </c>
      <c r="BR2831" t="s">
        <v>1686</v>
      </c>
      <c r="BS2831" t="s">
        <v>2529</v>
      </c>
      <c r="BT2831" t="b">
        <v>0</v>
      </c>
      <c r="BU2831" t="s">
        <v>1669</v>
      </c>
      <c r="BV2831" t="s">
        <v>1668</v>
      </c>
      <c r="BW2831">
        <v>1409</v>
      </c>
      <c r="BY2831">
        <v>12435416</v>
      </c>
      <c r="BZ2831" t="s">
        <v>2133</v>
      </c>
      <c r="CA2831">
        <v>1</v>
      </c>
      <c r="CB2831" t="b">
        <v>1</v>
      </c>
      <c r="CC2831">
        <v>0</v>
      </c>
      <c r="CD2831" t="b">
        <v>0</v>
      </c>
      <c r="CE2831" t="b">
        <v>1</v>
      </c>
      <c r="CF2831" t="b">
        <v>0</v>
      </c>
      <c r="CG2831">
        <v>15639164</v>
      </c>
      <c r="CH2831" t="s">
        <v>1681</v>
      </c>
      <c r="CI2831" s="10">
        <v>439950</v>
      </c>
    </row>
    <row r="2832" spans="1:88">
      <c r="A2832">
        <v>28050475</v>
      </c>
      <c r="B2832" s="2" t="str">
        <f>HYPERLINK("http://www.redfin.com/stingray/do/printable-listing?listing-id=1594263","Active")</f>
        <v>Active</v>
      </c>
      <c r="D2832" t="s">
        <v>88</v>
      </c>
      <c r="E2832" t="s">
        <v>6507</v>
      </c>
      <c r="F2832">
        <v>639000</v>
      </c>
      <c r="G2832">
        <v>1919</v>
      </c>
      <c r="H2832">
        <v>2280</v>
      </c>
      <c r="I2832">
        <v>3325</v>
      </c>
      <c r="J2832">
        <v>3</v>
      </c>
      <c r="K2832">
        <v>1.5</v>
      </c>
      <c r="M2832" s="2" t="str">
        <f>HYPERLINK("http://maps.live.com/default.aspx?v=2&amp;lvl=15&amp;sp=Point.47.670326_-122.355106_5616 Greenwood Ave N&amp;cp=47.670326~-122.355106","Map")</f>
        <v>Map</v>
      </c>
      <c r="N2832" s="2" t="str">
        <f>HYPERLINK("http://i-0.rfimg.us/photo/1/bigphoto/475/28050475_0.jpg","Photo")</f>
        <v>Photo</v>
      </c>
      <c r="AG2832">
        <v>47.670326000000003</v>
      </c>
      <c r="AH2832">
        <v>-122.35510600000001</v>
      </c>
      <c r="AI2832" t="s">
        <v>66</v>
      </c>
      <c r="AJ2832">
        <v>98103</v>
      </c>
      <c r="AN2832">
        <v>220000</v>
      </c>
      <c r="BC2832" s="22">
        <v>39534.94226851852</v>
      </c>
      <c r="BI2832" s="22">
        <v>39549.294907407406</v>
      </c>
      <c r="BL2832">
        <v>12780</v>
      </c>
      <c r="BM2832">
        <v>1594263</v>
      </c>
      <c r="BN2832" t="s">
        <v>2203</v>
      </c>
      <c r="BO2832" s="17">
        <f t="shared" ca="1" si="44"/>
        <v>14.367137384258967</v>
      </c>
      <c r="BP2832" t="b">
        <v>0</v>
      </c>
      <c r="BQ2832">
        <v>1</v>
      </c>
      <c r="BR2832" t="s">
        <v>1667</v>
      </c>
      <c r="BS2832" t="s">
        <v>55</v>
      </c>
      <c r="BT2832" t="b">
        <v>0</v>
      </c>
      <c r="BV2832" t="s">
        <v>1668</v>
      </c>
      <c r="BW2832">
        <v>5616</v>
      </c>
      <c r="BX2832" t="s">
        <v>1712</v>
      </c>
      <c r="BY2832">
        <v>299716</v>
      </c>
      <c r="BZ2832" t="s">
        <v>1672</v>
      </c>
      <c r="CA2832">
        <v>1</v>
      </c>
      <c r="CB2832" t="b">
        <v>1</v>
      </c>
      <c r="CC2832">
        <v>0</v>
      </c>
      <c r="CD2832" t="b">
        <v>0</v>
      </c>
      <c r="CE2832" t="b">
        <v>1</v>
      </c>
      <c r="CF2832" t="b">
        <v>0</v>
      </c>
      <c r="CG2832">
        <v>2838755</v>
      </c>
      <c r="CH2832" t="s">
        <v>1681</v>
      </c>
      <c r="CI2832" s="10">
        <v>639000</v>
      </c>
      <c r="CJ2832" s="7">
        <v>33480</v>
      </c>
    </row>
    <row r="2833" spans="1:90">
      <c r="A2833">
        <v>28050479</v>
      </c>
      <c r="B2833" s="2" t="str">
        <f>HYPERLINK("http://www.redfin.com/stingray/do/printable-listing?listing-id=1584986","Active")</f>
        <v>Active</v>
      </c>
      <c r="D2833" t="s">
        <v>2552</v>
      </c>
      <c r="E2833" t="s">
        <v>6287</v>
      </c>
      <c r="F2833">
        <v>669000</v>
      </c>
      <c r="G2833">
        <v>1954</v>
      </c>
      <c r="H2833">
        <v>2460</v>
      </c>
      <c r="I2833">
        <v>5930</v>
      </c>
      <c r="J2833">
        <v>2</v>
      </c>
      <c r="K2833">
        <v>1.75</v>
      </c>
      <c r="M2833" s="2" t="str">
        <f>HYPERLINK("http://maps.live.com/default.aspx?v=2&amp;lvl=15&amp;sp=Point.47.645162_-122.404552_2674 Bishop Pl W&amp;cp=47.645162~-122.404552","Map")</f>
        <v>Map</v>
      </c>
      <c r="N2833" s="2" t="str">
        <f>HYPERLINK("http://i-0.rfimg.us/photo/1/bigphoto/479/28050479_0.jpg","Photo")</f>
        <v>Photo</v>
      </c>
      <c r="AG2833">
        <v>47.645161999999999</v>
      </c>
      <c r="AH2833">
        <v>-122.404552</v>
      </c>
      <c r="AI2833" t="s">
        <v>66</v>
      </c>
      <c r="AJ2833">
        <v>98199</v>
      </c>
      <c r="AN2833">
        <v>216000</v>
      </c>
      <c r="BC2833" s="22">
        <v>39532.202048611114</v>
      </c>
      <c r="BI2833" s="22">
        <v>39549.294907407406</v>
      </c>
      <c r="BL2833">
        <v>13380</v>
      </c>
      <c r="BM2833">
        <v>1584986</v>
      </c>
      <c r="BN2833" t="s">
        <v>1688</v>
      </c>
      <c r="BO2833" s="17">
        <f t="shared" ca="1" si="44"/>
        <v>17.107357291664812</v>
      </c>
      <c r="BP2833" t="b">
        <v>0</v>
      </c>
      <c r="BQ2833">
        <v>1</v>
      </c>
      <c r="BR2833" t="s">
        <v>1842</v>
      </c>
      <c r="BS2833" t="s">
        <v>6288</v>
      </c>
      <c r="BT2833" t="b">
        <v>0</v>
      </c>
      <c r="BV2833" t="s">
        <v>1668</v>
      </c>
      <c r="BW2833">
        <v>2674</v>
      </c>
      <c r="BX2833" t="s">
        <v>2423</v>
      </c>
      <c r="BY2833">
        <v>126808</v>
      </c>
      <c r="BZ2833" t="s">
        <v>1741</v>
      </c>
      <c r="CA2833">
        <v>1</v>
      </c>
      <c r="CB2833" t="b">
        <v>1</v>
      </c>
      <c r="CC2833">
        <v>0</v>
      </c>
      <c r="CD2833" t="b">
        <v>0</v>
      </c>
      <c r="CE2833" t="b">
        <v>1</v>
      </c>
      <c r="CF2833" t="b">
        <v>0</v>
      </c>
      <c r="CG2833">
        <v>2892287</v>
      </c>
      <c r="CH2833" t="s">
        <v>1681</v>
      </c>
      <c r="CI2833" s="10">
        <v>669000</v>
      </c>
      <c r="CJ2833" s="7">
        <v>34418</v>
      </c>
      <c r="CL2833" t="s">
        <v>2325</v>
      </c>
    </row>
    <row r="2834" spans="1:90">
      <c r="A2834">
        <v>28050488</v>
      </c>
      <c r="B2834" s="2" t="str">
        <f>HYPERLINK("http://www.redfin.com/stingray/do/printable-listing?listing-id=1596876","Active")</f>
        <v>Active</v>
      </c>
      <c r="D2834" t="s">
        <v>218</v>
      </c>
      <c r="E2834" t="s">
        <v>6516</v>
      </c>
      <c r="F2834">
        <v>1395000</v>
      </c>
      <c r="G2834">
        <v>1907</v>
      </c>
      <c r="H2834">
        <v>3902</v>
      </c>
      <c r="I2834">
        <v>4320</v>
      </c>
      <c r="J2834">
        <v>3</v>
      </c>
      <c r="K2834">
        <v>3.5</v>
      </c>
      <c r="M2834" s="2" t="str">
        <f>HYPERLINK("http://maps.live.com/default.aspx?v=2&amp;lvl=15&amp;sp=Point.47.671241_-122.310445_5726 16 Ave NE&amp;cp=47.671241~-122.310445","Map")</f>
        <v>Map</v>
      </c>
      <c r="N2834" s="2" t="str">
        <f>HYPERLINK("http://i-0.rfimg.us/photo/1/bigphoto/488/28050488_1.jpg","Photo")</f>
        <v>Photo</v>
      </c>
      <c r="AG2834">
        <v>47.671241000000002</v>
      </c>
      <c r="AH2834">
        <v>-122.310445</v>
      </c>
      <c r="AI2834" t="s">
        <v>66</v>
      </c>
      <c r="AJ2834">
        <v>98105</v>
      </c>
      <c r="AN2834">
        <v>675000</v>
      </c>
      <c r="BC2834" s="22">
        <v>39535.599814814814</v>
      </c>
      <c r="BI2834" s="22">
        <v>39549.294907407406</v>
      </c>
      <c r="BL2834">
        <v>27900</v>
      </c>
      <c r="BM2834">
        <v>1596876</v>
      </c>
      <c r="BN2834" t="s">
        <v>1710</v>
      </c>
      <c r="BO2834" s="17">
        <f t="shared" ca="1" si="44"/>
        <v>13.709591087965237</v>
      </c>
      <c r="BP2834" t="b">
        <v>0</v>
      </c>
      <c r="BQ2834">
        <v>1</v>
      </c>
      <c r="BR2834" t="s">
        <v>1667</v>
      </c>
      <c r="BS2834">
        <v>16</v>
      </c>
      <c r="BT2834" t="b">
        <v>0</v>
      </c>
      <c r="BV2834" t="s">
        <v>1668</v>
      </c>
      <c r="BW2834">
        <v>5726</v>
      </c>
      <c r="BX2834" t="s">
        <v>1738</v>
      </c>
      <c r="BY2834">
        <v>307931</v>
      </c>
      <c r="BZ2834" t="s">
        <v>1709</v>
      </c>
      <c r="CA2834">
        <v>1</v>
      </c>
      <c r="CB2834" t="b">
        <v>1</v>
      </c>
      <c r="CC2834">
        <v>0</v>
      </c>
      <c r="CD2834" t="b">
        <v>0</v>
      </c>
      <c r="CE2834" t="b">
        <v>1</v>
      </c>
      <c r="CF2834" t="b">
        <v>0</v>
      </c>
      <c r="CG2834">
        <v>2419440</v>
      </c>
      <c r="CH2834" t="s">
        <v>1681</v>
      </c>
      <c r="CI2834" s="10">
        <v>1395000</v>
      </c>
      <c r="CJ2834" s="7">
        <v>39255</v>
      </c>
    </row>
    <row r="2835" spans="1:90">
      <c r="A2835">
        <v>28050494</v>
      </c>
      <c r="B2835" s="2" t="str">
        <f>HYPERLINK("http://www.redfin.com/stingray/do/printable-listing?listing-id=1587297","Active")</f>
        <v>Active</v>
      </c>
      <c r="D2835" t="s">
        <v>1152</v>
      </c>
      <c r="E2835" t="s">
        <v>6351</v>
      </c>
      <c r="F2835">
        <v>1378000</v>
      </c>
      <c r="G2835">
        <v>1951</v>
      </c>
      <c r="H2835">
        <v>3600</v>
      </c>
      <c r="I2835">
        <v>7029</v>
      </c>
      <c r="J2835">
        <v>4</v>
      </c>
      <c r="K2835">
        <v>2.75</v>
      </c>
      <c r="M2835" s="2" t="str">
        <f>HYPERLINK("http://maps.live.com/default.aspx?v=2&amp;lvl=15&amp;sp=Point.47.670115_-122.274955_5609 Ann Arbor Ave NE&amp;cp=47.670115~-122.274955","Map")</f>
        <v>Map</v>
      </c>
      <c r="N2835" s="2" t="str">
        <f>HYPERLINK("http://i-0.rfimg.us/photo/1/bigphoto/494/28050494_0.jpg","Photo")</f>
        <v>Photo</v>
      </c>
      <c r="AG2835">
        <v>47.670115000000003</v>
      </c>
      <c r="AH2835">
        <v>-122.27495500000001</v>
      </c>
      <c r="AI2835" t="s">
        <v>66</v>
      </c>
      <c r="AJ2835">
        <v>98105</v>
      </c>
      <c r="AN2835">
        <v>980000</v>
      </c>
      <c r="BC2835" s="22">
        <v>39532.900902777779</v>
      </c>
      <c r="BI2835" s="22">
        <v>39549.294907407406</v>
      </c>
      <c r="BL2835">
        <v>27560</v>
      </c>
      <c r="BM2835">
        <v>1587297</v>
      </c>
      <c r="BN2835" t="s">
        <v>6350</v>
      </c>
      <c r="BO2835" s="17">
        <f t="shared" ca="1" si="44"/>
        <v>16.408503124999697</v>
      </c>
      <c r="BP2835" t="b">
        <v>0</v>
      </c>
      <c r="BQ2835">
        <v>1</v>
      </c>
      <c r="BR2835" t="s">
        <v>1667</v>
      </c>
      <c r="BS2835" t="s">
        <v>3129</v>
      </c>
      <c r="BT2835" t="b">
        <v>0</v>
      </c>
      <c r="BV2835" t="s">
        <v>1668</v>
      </c>
      <c r="BW2835">
        <v>5609</v>
      </c>
      <c r="BX2835" t="s">
        <v>1738</v>
      </c>
      <c r="BY2835">
        <v>320448</v>
      </c>
      <c r="BZ2835" t="s">
        <v>1672</v>
      </c>
      <c r="CA2835">
        <v>1</v>
      </c>
      <c r="CB2835" t="b">
        <v>1</v>
      </c>
      <c r="CC2835">
        <v>0</v>
      </c>
      <c r="CD2835" t="b">
        <v>0</v>
      </c>
      <c r="CE2835" t="b">
        <v>1</v>
      </c>
      <c r="CF2835" t="b">
        <v>0</v>
      </c>
      <c r="CG2835">
        <v>2417573</v>
      </c>
      <c r="CH2835" t="s">
        <v>1681</v>
      </c>
      <c r="CI2835" s="10">
        <v>1378000</v>
      </c>
      <c r="CJ2835" s="7">
        <v>39288</v>
      </c>
      <c r="CL2835" t="s">
        <v>2204</v>
      </c>
    </row>
    <row r="2836" spans="1:90">
      <c r="A2836">
        <v>28050501</v>
      </c>
      <c r="B2836" s="2" t="str">
        <f>HYPERLINK("http://www.redfin.com/stingray/do/printable-listing?listing-id=1583177","Active")</f>
        <v>Active</v>
      </c>
      <c r="D2836" t="s">
        <v>3249</v>
      </c>
      <c r="E2836" t="s">
        <v>6293</v>
      </c>
      <c r="F2836">
        <v>1190000</v>
      </c>
      <c r="G2836">
        <v>1947</v>
      </c>
      <c r="H2836">
        <v>3220</v>
      </c>
      <c r="I2836">
        <v>0</v>
      </c>
      <c r="J2836">
        <v>4</v>
      </c>
      <c r="K2836">
        <v>3</v>
      </c>
      <c r="M2836" s="2" t="str">
        <f>HYPERLINK("http://maps.live.com/default.aspx?v=2&amp;lvl=15&amp;sp=Point.47.635863_-122.352919_1902 2nd Ave N&amp;cp=47.635863~-122.352919","Map")</f>
        <v>Map</v>
      </c>
      <c r="N2836" s="2" t="str">
        <f>HYPERLINK("http://i-0.rfimg.us/photo/1/bigphoto/501/28050501_0.jpg","Photo")</f>
        <v>Photo</v>
      </c>
      <c r="AG2836">
        <v>47.635863000000001</v>
      </c>
      <c r="AH2836">
        <v>-122.352919</v>
      </c>
      <c r="AI2836" t="s">
        <v>66</v>
      </c>
      <c r="AJ2836">
        <v>98109</v>
      </c>
      <c r="AN2836">
        <v>331000</v>
      </c>
      <c r="BC2836" s="22">
        <v>39531.590162037035</v>
      </c>
      <c r="BI2836" s="22">
        <v>39549.294907407406</v>
      </c>
      <c r="BL2836">
        <v>23800</v>
      </c>
      <c r="BM2836">
        <v>1583177</v>
      </c>
      <c r="BN2836" t="s">
        <v>1678</v>
      </c>
      <c r="BO2836" s="17">
        <f t="shared" ca="1" si="44"/>
        <v>17.71924386574392</v>
      </c>
      <c r="BP2836" t="b">
        <v>0</v>
      </c>
      <c r="BQ2836">
        <v>1</v>
      </c>
      <c r="BR2836" t="s">
        <v>1667</v>
      </c>
      <c r="BS2836" t="s">
        <v>1958</v>
      </c>
      <c r="BT2836" t="b">
        <v>0</v>
      </c>
      <c r="BV2836" t="s">
        <v>1668</v>
      </c>
      <c r="BW2836">
        <v>1902</v>
      </c>
      <c r="BX2836" t="s">
        <v>1712</v>
      </c>
      <c r="BY2836">
        <v>134315</v>
      </c>
      <c r="BZ2836" t="s">
        <v>1672</v>
      </c>
      <c r="CA2836">
        <v>1</v>
      </c>
      <c r="CB2836" t="b">
        <v>1</v>
      </c>
      <c r="CC2836">
        <v>0</v>
      </c>
      <c r="CD2836" t="b">
        <v>0</v>
      </c>
      <c r="CE2836" t="b">
        <v>1</v>
      </c>
      <c r="CF2836" t="b">
        <v>0</v>
      </c>
      <c r="CG2836">
        <v>2443036</v>
      </c>
      <c r="CH2836" t="s">
        <v>1681</v>
      </c>
      <c r="CI2836" s="10">
        <v>1190000</v>
      </c>
      <c r="CJ2836" s="7">
        <v>36308</v>
      </c>
    </row>
    <row r="2837" spans="1:90">
      <c r="A2837">
        <v>28050531</v>
      </c>
      <c r="B2837" s="15" t="str">
        <f>HYPERLINK("http://www.redfin.com/stingray/do/printable-listing?listing-id=1583828","Subject To Inspection")</f>
        <v>Subject To Inspection</v>
      </c>
      <c r="D2837" t="s">
        <v>2850</v>
      </c>
      <c r="E2837" t="s">
        <v>6305</v>
      </c>
      <c r="F2837">
        <v>549950</v>
      </c>
      <c r="G2837">
        <v>1988</v>
      </c>
      <c r="H2837">
        <v>2080</v>
      </c>
      <c r="I2837">
        <v>5316</v>
      </c>
      <c r="J2837">
        <v>4</v>
      </c>
      <c r="K2837">
        <v>2.5</v>
      </c>
      <c r="M2837" s="2" t="str">
        <f>HYPERLINK("http://maps.live.com/default.aspx?v=2&amp;lvl=15&amp;sp=Point.47.714484_-122.202668_12640 104th Ave NE&amp;cp=47.714484~-122.202668","Map")</f>
        <v>Map</v>
      </c>
      <c r="N2837" s="2" t="str">
        <f>HYPERLINK("http://i-0.rfimg.us/photo/1/bigphoto/531/28050531_2.jpg","Photo")</f>
        <v>Photo</v>
      </c>
      <c r="AG2837">
        <v>47.714483999999999</v>
      </c>
      <c r="AH2837">
        <v>-122.202668</v>
      </c>
      <c r="AI2837" t="s">
        <v>1058</v>
      </c>
      <c r="AJ2837">
        <v>98034</v>
      </c>
      <c r="AN2837">
        <v>323000</v>
      </c>
      <c r="BC2837" s="22">
        <v>39531.735127314816</v>
      </c>
      <c r="BI2837" s="7">
        <v>39542</v>
      </c>
      <c r="BL2837">
        <v>10999</v>
      </c>
      <c r="BM2837">
        <v>1583828</v>
      </c>
      <c r="BN2837" t="s">
        <v>1735</v>
      </c>
      <c r="BO2837" s="17">
        <f t="shared" ca="1" si="44"/>
        <v>17.574278587962908</v>
      </c>
      <c r="BP2837" t="b">
        <v>0</v>
      </c>
      <c r="BQ2837">
        <v>1</v>
      </c>
      <c r="BR2837" t="s">
        <v>1667</v>
      </c>
      <c r="BS2837" t="s">
        <v>2910</v>
      </c>
      <c r="BT2837" t="b">
        <v>0</v>
      </c>
      <c r="BV2837" t="s">
        <v>1668</v>
      </c>
      <c r="BW2837">
        <v>12640</v>
      </c>
      <c r="BX2837" t="s">
        <v>1738</v>
      </c>
      <c r="BY2837">
        <v>457108</v>
      </c>
      <c r="BZ2837" t="s">
        <v>3497</v>
      </c>
      <c r="CA2837">
        <v>1</v>
      </c>
      <c r="CB2837" t="b">
        <v>1</v>
      </c>
      <c r="CC2837">
        <v>0</v>
      </c>
      <c r="CD2837" t="b">
        <v>0</v>
      </c>
      <c r="CE2837" t="b">
        <v>1</v>
      </c>
      <c r="CF2837" t="b">
        <v>0</v>
      </c>
      <c r="CG2837">
        <v>2605095</v>
      </c>
      <c r="CH2837" t="s">
        <v>1681</v>
      </c>
      <c r="CI2837" s="10">
        <v>549950</v>
      </c>
      <c r="CJ2837" s="7">
        <v>37561</v>
      </c>
    </row>
    <row r="2838" spans="1:90">
      <c r="A2838">
        <v>28050557</v>
      </c>
      <c r="B2838" s="2" t="str">
        <f>HYPERLINK("http://www.redfin.com/stingray/do/printable-listing?listing-id=1592197","Active")</f>
        <v>Active</v>
      </c>
      <c r="D2838" t="s">
        <v>1115</v>
      </c>
      <c r="E2838" t="s">
        <v>6473</v>
      </c>
      <c r="F2838">
        <v>899950</v>
      </c>
      <c r="G2838">
        <v>1985</v>
      </c>
      <c r="H2838">
        <v>2880</v>
      </c>
      <c r="I2838">
        <v>7128</v>
      </c>
      <c r="J2838">
        <v>3</v>
      </c>
      <c r="K2838">
        <v>2.5</v>
      </c>
      <c r="M2838" s="2" t="str">
        <f>HYPERLINK("http://maps.live.com/default.aspx?v=2&amp;lvl=15&amp;sp=Point.47.683747_-122.26844_7513 55th Pl NE&amp;cp=47.683747~-122.26844","Map")</f>
        <v>Map</v>
      </c>
      <c r="N2838" s="2" t="str">
        <f>HYPERLINK("http://i-0.rfimg.us/photo/1/bigphoto/557/28050557_1.jpg","Photo")</f>
        <v>Photo</v>
      </c>
      <c r="AG2838">
        <v>47.683746999999997</v>
      </c>
      <c r="AH2838">
        <v>-122.26844</v>
      </c>
      <c r="AI2838" t="s">
        <v>66</v>
      </c>
      <c r="AJ2838">
        <v>98115</v>
      </c>
      <c r="AN2838">
        <v>924950</v>
      </c>
      <c r="BC2838" s="22">
        <v>39534.526145833333</v>
      </c>
      <c r="BI2838" s="22">
        <v>39549.294907407406</v>
      </c>
      <c r="BL2838">
        <v>17999</v>
      </c>
      <c r="BM2838">
        <v>1592197</v>
      </c>
      <c r="BN2838" t="s">
        <v>1821</v>
      </c>
      <c r="BO2838" s="17">
        <f t="shared" ca="1" si="44"/>
        <v>14.783260069445532</v>
      </c>
      <c r="BP2838" t="b">
        <v>0</v>
      </c>
      <c r="BQ2838">
        <v>1</v>
      </c>
      <c r="BR2838" t="s">
        <v>1842</v>
      </c>
      <c r="BS2838" t="s">
        <v>2514</v>
      </c>
      <c r="BT2838" t="b">
        <v>0</v>
      </c>
      <c r="BV2838" t="s">
        <v>1668</v>
      </c>
      <c r="BW2838">
        <v>7513</v>
      </c>
      <c r="BX2838" t="s">
        <v>1738</v>
      </c>
      <c r="BY2838">
        <v>321889</v>
      </c>
      <c r="BZ2838" t="s">
        <v>1704</v>
      </c>
      <c r="CA2838">
        <v>1</v>
      </c>
      <c r="CB2838" t="b">
        <v>1</v>
      </c>
      <c r="CC2838">
        <v>0</v>
      </c>
      <c r="CD2838" t="b">
        <v>0</v>
      </c>
      <c r="CE2838" t="b">
        <v>1</v>
      </c>
      <c r="CF2838" t="b">
        <v>0</v>
      </c>
      <c r="CG2838">
        <v>2346203</v>
      </c>
      <c r="CH2838" t="s">
        <v>1681</v>
      </c>
      <c r="CI2838" s="10">
        <v>899950</v>
      </c>
      <c r="CJ2838" s="7">
        <v>38926</v>
      </c>
    </row>
    <row r="2839" spans="1:90">
      <c r="A2839">
        <v>28050559</v>
      </c>
      <c r="B2839" s="2" t="str">
        <f>HYPERLINK("http://www.redfin.com/stingray/do/printable-listing?listing-id=1588555","Active")</f>
        <v>Active</v>
      </c>
      <c r="D2839" t="s">
        <v>3924</v>
      </c>
      <c r="E2839" t="s">
        <v>6373</v>
      </c>
      <c r="F2839">
        <v>729000</v>
      </c>
      <c r="G2839">
        <v>2005</v>
      </c>
      <c r="H2839">
        <v>2140</v>
      </c>
      <c r="I2839">
        <v>4000</v>
      </c>
      <c r="J2839">
        <v>4</v>
      </c>
      <c r="K2839">
        <v>2.75</v>
      </c>
      <c r="M2839" s="2" t="str">
        <f>HYPERLINK("http://maps.live.com/default.aspx?v=2&amp;lvl=15&amp;sp=Point.47.622829_-122.295719_2817 E Arthur Pl&amp;cp=47.622829~-122.295719","Map")</f>
        <v>Map</v>
      </c>
      <c r="N2839" s="2" t="str">
        <f>HYPERLINK("http://i-0.rfimg.us/photo/1/bigphoto/559/28050559_0.jpg","Photo")</f>
        <v>Photo</v>
      </c>
      <c r="AG2839">
        <v>47.622829000000003</v>
      </c>
      <c r="AH2839">
        <v>-122.29571900000001</v>
      </c>
      <c r="AI2839" t="s">
        <v>66</v>
      </c>
      <c r="AJ2839">
        <v>98112</v>
      </c>
      <c r="AN2839">
        <v>591300</v>
      </c>
      <c r="BC2839" s="22">
        <v>39533.444664351853</v>
      </c>
      <c r="BI2839" s="22">
        <v>39549.294907407406</v>
      </c>
      <c r="BL2839">
        <v>14580</v>
      </c>
      <c r="BM2839">
        <v>1588555</v>
      </c>
      <c r="BN2839" t="s">
        <v>1746</v>
      </c>
      <c r="BO2839" s="17">
        <f t="shared" ca="1" si="44"/>
        <v>15.864741550925828</v>
      </c>
      <c r="BP2839" t="b">
        <v>0</v>
      </c>
      <c r="BQ2839">
        <v>1</v>
      </c>
      <c r="BR2839" t="s">
        <v>1842</v>
      </c>
      <c r="BS2839" t="s">
        <v>6374</v>
      </c>
      <c r="BT2839" t="b">
        <v>0</v>
      </c>
      <c r="BU2839" t="s">
        <v>2436</v>
      </c>
      <c r="BV2839" t="s">
        <v>1668</v>
      </c>
      <c r="BW2839">
        <v>2817</v>
      </c>
      <c r="BY2839">
        <v>147515</v>
      </c>
      <c r="BZ2839" t="s">
        <v>1745</v>
      </c>
      <c r="CA2839">
        <v>1</v>
      </c>
      <c r="CB2839" t="b">
        <v>1</v>
      </c>
      <c r="CC2839">
        <v>0</v>
      </c>
      <c r="CD2839" t="b">
        <v>0</v>
      </c>
      <c r="CE2839" t="b">
        <v>1</v>
      </c>
      <c r="CF2839" t="b">
        <v>0</v>
      </c>
      <c r="CG2839">
        <v>2976892</v>
      </c>
      <c r="CH2839" t="s">
        <v>1681</v>
      </c>
      <c r="CI2839" s="10">
        <v>729000</v>
      </c>
      <c r="CJ2839" s="7">
        <v>38594</v>
      </c>
    </row>
    <row r="2840" spans="1:90">
      <c r="A2840">
        <v>28050596</v>
      </c>
      <c r="B2840" s="2" t="str">
        <f>HYPERLINK("http://www.redfin.com/stingray/do/printable-listing?listing-id=1583327","Active")</f>
        <v>Active</v>
      </c>
      <c r="D2840" t="s">
        <v>4611</v>
      </c>
      <c r="E2840" t="s">
        <v>6308</v>
      </c>
      <c r="F2840">
        <v>998900</v>
      </c>
      <c r="G2840">
        <v>1989</v>
      </c>
      <c r="H2840">
        <v>3211</v>
      </c>
      <c r="I2840">
        <v>15840</v>
      </c>
      <c r="J2840">
        <v>4</v>
      </c>
      <c r="K2840">
        <v>4</v>
      </c>
      <c r="M2840" s="2" t="str">
        <f>HYPERLINK("http://maps.live.com/default.aspx?v=2&amp;lvl=15&amp;sp=Point.47.615634_-122.106386_612 175th Pl NE&amp;cp=47.615634~-122.106386","Map")</f>
        <v>Map</v>
      </c>
      <c r="N2840" s="2" t="str">
        <f>HYPERLINK("http://i-0.rfimg.us/photo/1/bigphoto/596/28050596_1.jpg","Photo")</f>
        <v>Photo</v>
      </c>
      <c r="AG2840">
        <v>47.615634</v>
      </c>
      <c r="AH2840">
        <v>-122.106386</v>
      </c>
      <c r="AI2840" t="s">
        <v>369</v>
      </c>
      <c r="AJ2840">
        <v>98008</v>
      </c>
      <c r="AN2840">
        <v>308612</v>
      </c>
      <c r="BC2840" s="22">
        <v>39531.620312500003</v>
      </c>
      <c r="BI2840" s="22">
        <v>39549.294907407406</v>
      </c>
      <c r="BL2840">
        <v>19978</v>
      </c>
      <c r="BM2840">
        <v>1583327</v>
      </c>
      <c r="BN2840" t="s">
        <v>1674</v>
      </c>
      <c r="BO2840" s="17">
        <f t="shared" ca="1" si="44"/>
        <v>17.689093402776052</v>
      </c>
      <c r="BP2840" t="b">
        <v>0</v>
      </c>
      <c r="BQ2840">
        <v>1</v>
      </c>
      <c r="BR2840" t="s">
        <v>1842</v>
      </c>
      <c r="BS2840" t="s">
        <v>5108</v>
      </c>
      <c r="BT2840" t="b">
        <v>0</v>
      </c>
      <c r="BV2840" t="s">
        <v>1668</v>
      </c>
      <c r="BW2840">
        <v>612</v>
      </c>
      <c r="BX2840" t="s">
        <v>1738</v>
      </c>
      <c r="BY2840">
        <v>504430</v>
      </c>
      <c r="BZ2840" t="s">
        <v>1704</v>
      </c>
      <c r="CA2840">
        <v>1</v>
      </c>
      <c r="CB2840" t="b">
        <v>1</v>
      </c>
      <c r="CC2840">
        <v>0</v>
      </c>
      <c r="CD2840" t="b">
        <v>0</v>
      </c>
      <c r="CE2840" t="b">
        <v>1</v>
      </c>
      <c r="CF2840" t="b">
        <v>0</v>
      </c>
      <c r="CG2840">
        <v>2928588</v>
      </c>
      <c r="CH2840" t="s">
        <v>1681</v>
      </c>
      <c r="CI2840" s="10">
        <v>998900</v>
      </c>
      <c r="CJ2840" s="7">
        <v>32793</v>
      </c>
    </row>
    <row r="2841" spans="1:90">
      <c r="A2841">
        <v>28050624</v>
      </c>
      <c r="B2841" s="2" t="str">
        <f>HYPERLINK("http://www.redfin.com/stingray/do/printable-listing?listing-id=1585384","Active")</f>
        <v>Active</v>
      </c>
      <c r="D2841" t="s">
        <v>2850</v>
      </c>
      <c r="E2841" t="s">
        <v>6413</v>
      </c>
      <c r="F2841">
        <v>549000</v>
      </c>
      <c r="G2841">
        <v>1996</v>
      </c>
      <c r="H2841">
        <v>2000</v>
      </c>
      <c r="I2841">
        <v>7720</v>
      </c>
      <c r="J2841">
        <v>3</v>
      </c>
      <c r="K2841">
        <v>2.5</v>
      </c>
      <c r="M2841" s="2" t="str">
        <f>HYPERLINK("http://maps.live.com/default.aspx?v=2&amp;lvl=15&amp;sp=Point.47.704607_-122.19909_10616 NE 116th St&amp;cp=47.704607~-122.19909","Map")</f>
        <v>Map</v>
      </c>
      <c r="N2841" s="2" t="str">
        <f>HYPERLINK("http://i-0.rfimg.us/photo/1/bigphoto/624/28050624_0.jpg","Photo")</f>
        <v>Photo</v>
      </c>
      <c r="AG2841">
        <v>47.704607000000003</v>
      </c>
      <c r="AH2841">
        <v>-122.19909</v>
      </c>
      <c r="AI2841" t="s">
        <v>1058</v>
      </c>
      <c r="AJ2841">
        <v>98034</v>
      </c>
      <c r="AN2841">
        <v>211000</v>
      </c>
      <c r="BC2841" s="22">
        <v>39532.379942129628</v>
      </c>
      <c r="BI2841" s="22">
        <v>39549.294907407406</v>
      </c>
      <c r="BL2841">
        <v>10980</v>
      </c>
      <c r="BM2841">
        <v>1585384</v>
      </c>
      <c r="BN2841" t="s">
        <v>1768</v>
      </c>
      <c r="BO2841" s="17">
        <f t="shared" ca="1" si="44"/>
        <v>16.929463773150928</v>
      </c>
      <c r="BP2841" t="b">
        <v>0</v>
      </c>
      <c r="BQ2841">
        <v>1</v>
      </c>
      <c r="BR2841" t="s">
        <v>1686</v>
      </c>
      <c r="BS2841" t="s">
        <v>4441</v>
      </c>
      <c r="BT2841" t="b">
        <v>0</v>
      </c>
      <c r="BU2841" t="s">
        <v>1738</v>
      </c>
      <c r="BV2841" t="s">
        <v>1668</v>
      </c>
      <c r="BW2841">
        <v>10616</v>
      </c>
      <c r="BY2841">
        <v>459294</v>
      </c>
      <c r="BZ2841" t="s">
        <v>1672</v>
      </c>
      <c r="CA2841">
        <v>1</v>
      </c>
      <c r="CB2841" t="b">
        <v>1</v>
      </c>
      <c r="CC2841">
        <v>0</v>
      </c>
      <c r="CD2841" t="b">
        <v>0</v>
      </c>
      <c r="CE2841" t="b">
        <v>0</v>
      </c>
      <c r="CF2841" t="b">
        <v>0</v>
      </c>
      <c r="CG2841">
        <v>481839</v>
      </c>
      <c r="CH2841" t="s">
        <v>1681</v>
      </c>
      <c r="CI2841" s="10">
        <v>549000</v>
      </c>
      <c r="CJ2841" s="7">
        <v>35523</v>
      </c>
    </row>
    <row r="2842" spans="1:90">
      <c r="A2842">
        <v>28050650</v>
      </c>
      <c r="B2842" s="15" t="str">
        <f>HYPERLINK("http://www.redfin.com/stingray/do/printable-listing?listing-id=1588228","Subject To Inspection")</f>
        <v>Subject To Inspection</v>
      </c>
      <c r="D2842" t="s">
        <v>2850</v>
      </c>
      <c r="E2842" t="s">
        <v>6411</v>
      </c>
      <c r="F2842">
        <v>380000</v>
      </c>
      <c r="G2842">
        <v>1971</v>
      </c>
      <c r="H2842">
        <v>1640</v>
      </c>
      <c r="I2842">
        <v>12600</v>
      </c>
      <c r="J2842">
        <v>3</v>
      </c>
      <c r="K2842">
        <v>1.75</v>
      </c>
      <c r="M2842" s="2" t="str">
        <f>HYPERLINK("http://maps.live.com/default.aspx?v=2&amp;lvl=15&amp;sp=Point.47.724299_-122.199738_10609 NE 138th Pl&amp;cp=47.724299~-122.199738","Map")</f>
        <v>Map</v>
      </c>
      <c r="N2842" s="2" t="str">
        <f>HYPERLINK("http://i-0.rfimg.us/photo/1/bigphoto/650/28050650_0.jpg","Photo")</f>
        <v>Photo</v>
      </c>
      <c r="AG2842">
        <v>47.724299000000002</v>
      </c>
      <c r="AH2842">
        <v>-122.199738</v>
      </c>
      <c r="AI2842" t="s">
        <v>1058</v>
      </c>
      <c r="AJ2842">
        <v>98034</v>
      </c>
      <c r="BC2842" s="22">
        <v>39533.348113425927</v>
      </c>
      <c r="BI2842" s="22">
        <v>39549.294907407406</v>
      </c>
      <c r="BL2842">
        <v>7600</v>
      </c>
      <c r="BM2842">
        <v>1588228</v>
      </c>
      <c r="BN2842" t="s">
        <v>1775</v>
      </c>
      <c r="BO2842" s="17">
        <f t="shared" ca="1" si="44"/>
        <v>15.961292476851668</v>
      </c>
      <c r="BP2842" t="b">
        <v>0</v>
      </c>
      <c r="BQ2842">
        <v>1</v>
      </c>
      <c r="BR2842" t="s">
        <v>1842</v>
      </c>
      <c r="BS2842" t="s">
        <v>4421</v>
      </c>
      <c r="BT2842" t="b">
        <v>0</v>
      </c>
      <c r="BU2842" t="s">
        <v>1738</v>
      </c>
      <c r="BV2842" t="s">
        <v>1668</v>
      </c>
      <c r="BW2842">
        <v>10609</v>
      </c>
      <c r="BY2842">
        <v>458887</v>
      </c>
      <c r="BZ2842" t="s">
        <v>1676</v>
      </c>
      <c r="CA2842">
        <v>1</v>
      </c>
      <c r="CB2842" t="b">
        <v>1</v>
      </c>
      <c r="CC2842">
        <v>0</v>
      </c>
      <c r="CD2842" t="b">
        <v>0</v>
      </c>
      <c r="CE2842" t="b">
        <v>1</v>
      </c>
      <c r="CF2842" t="b">
        <v>0</v>
      </c>
      <c r="CG2842">
        <v>2384635</v>
      </c>
      <c r="CH2842" t="s">
        <v>1681</v>
      </c>
      <c r="CI2842" s="10">
        <v>380000</v>
      </c>
    </row>
    <row r="2843" spans="1:90">
      <c r="A2843">
        <v>28050658</v>
      </c>
      <c r="B2843" s="15" t="str">
        <f>HYPERLINK("http://www.redfin.com/stingray/do/printable-listing?listing-id=1583440","Subject To Inspection")</f>
        <v>Subject To Inspection</v>
      </c>
      <c r="D2843" t="s">
        <v>63</v>
      </c>
      <c r="E2843" t="s">
        <v>6268</v>
      </c>
      <c r="F2843">
        <v>419950</v>
      </c>
      <c r="G2843">
        <v>2008</v>
      </c>
      <c r="H2843">
        <v>1525</v>
      </c>
      <c r="I2843">
        <v>0</v>
      </c>
      <c r="J2843">
        <v>3</v>
      </c>
      <c r="K2843">
        <v>2.25</v>
      </c>
      <c r="M2843" s="2" t="str">
        <f>HYPERLINK("http://maps.live.com/default.aspx?v=2&amp;lvl=15&amp;sp=Point.47.668931_-122.393103_5517 28th Ave NW&amp;cp=47.668931~-122.393103","Map")</f>
        <v>Map</v>
      </c>
      <c r="N2843" s="2" t="str">
        <f>HYPERLINK("http://i-0.rfimg.us/photo/1/bigphoto/658/28050658_.jpg","Photo")</f>
        <v>Photo</v>
      </c>
      <c r="AG2843">
        <v>47.668931000000001</v>
      </c>
      <c r="AH2843">
        <v>-122.393103</v>
      </c>
      <c r="AI2843" t="s">
        <v>66</v>
      </c>
      <c r="AJ2843">
        <v>98107</v>
      </c>
      <c r="BC2843" s="22">
        <v>39531.641180555554</v>
      </c>
      <c r="BI2843" s="22">
        <v>39549.294907407406</v>
      </c>
      <c r="BL2843">
        <v>8399</v>
      </c>
      <c r="BM2843">
        <v>1583440</v>
      </c>
      <c r="BN2843" t="s">
        <v>1700</v>
      </c>
      <c r="BO2843" s="17">
        <f t="shared" ca="1" si="44"/>
        <v>17.668225347224507</v>
      </c>
      <c r="BP2843" t="b">
        <v>0</v>
      </c>
      <c r="BQ2843">
        <v>1</v>
      </c>
      <c r="BR2843" t="s">
        <v>1667</v>
      </c>
      <c r="BS2843" t="s">
        <v>1760</v>
      </c>
      <c r="BT2843" t="b">
        <v>0</v>
      </c>
      <c r="BV2843" t="s">
        <v>1668</v>
      </c>
      <c r="BW2843">
        <v>5517</v>
      </c>
      <c r="BX2843" t="s">
        <v>1669</v>
      </c>
      <c r="BY2843">
        <v>12434031</v>
      </c>
      <c r="BZ2843" t="s">
        <v>1741</v>
      </c>
      <c r="CA2843">
        <v>1</v>
      </c>
      <c r="CB2843" t="b">
        <v>1</v>
      </c>
      <c r="CC2843">
        <v>0</v>
      </c>
      <c r="CD2843" t="b">
        <v>0</v>
      </c>
      <c r="CE2843" t="b">
        <v>1</v>
      </c>
      <c r="CF2843" t="b">
        <v>0</v>
      </c>
      <c r="CG2843">
        <v>15637779</v>
      </c>
      <c r="CH2843" t="s">
        <v>1681</v>
      </c>
      <c r="CI2843" s="10">
        <v>419950</v>
      </c>
    </row>
    <row r="2844" spans="1:90">
      <c r="A2844">
        <v>28050661</v>
      </c>
      <c r="B2844" s="2" t="str">
        <f>HYPERLINK("http://www.redfin.com/stingray/do/printable-listing?listing-id=1583483","Active")</f>
        <v>Active</v>
      </c>
      <c r="D2844" t="s">
        <v>3704</v>
      </c>
      <c r="E2844" t="s">
        <v>6300</v>
      </c>
      <c r="F2844">
        <v>599950</v>
      </c>
      <c r="G2844">
        <v>1909</v>
      </c>
      <c r="H2844">
        <v>0</v>
      </c>
      <c r="I2844">
        <v>4320</v>
      </c>
      <c r="J2844">
        <v>3</v>
      </c>
      <c r="K2844">
        <v>1.75</v>
      </c>
      <c r="M2844" s="2" t="str">
        <f>HYPERLINK("http://maps.live.com/default.aspx?v=2&amp;lvl=15&amp;sp=Point.47.625807_-122.306924_718 19th Ave E&amp;cp=47.625807~-122.306924","Map")</f>
        <v>Map</v>
      </c>
      <c r="N2844" s="2" t="str">
        <f>HYPERLINK("http://i-0.rfimg.us/photo/1/bigphoto/661/28050661_0.jpg","Photo")</f>
        <v>Photo</v>
      </c>
      <c r="AG2844">
        <v>47.625807000000002</v>
      </c>
      <c r="AH2844">
        <v>-122.306924</v>
      </c>
      <c r="AI2844" t="s">
        <v>66</v>
      </c>
      <c r="AJ2844">
        <v>98112</v>
      </c>
      <c r="AN2844">
        <v>169950</v>
      </c>
      <c r="BC2844" s="22">
        <v>39531.652175925927</v>
      </c>
      <c r="BI2844" s="22">
        <v>39549.294907407406</v>
      </c>
      <c r="BL2844">
        <v>11999</v>
      </c>
      <c r="BM2844">
        <v>1583483</v>
      </c>
      <c r="BN2844" t="s">
        <v>1678</v>
      </c>
      <c r="BO2844" s="17">
        <f t="shared" ca="1" si="44"/>
        <v>17.65722997685225</v>
      </c>
      <c r="BP2844" t="b">
        <v>0</v>
      </c>
      <c r="BQ2844">
        <v>1</v>
      </c>
      <c r="BR2844" t="s">
        <v>1667</v>
      </c>
      <c r="BS2844" t="s">
        <v>1906</v>
      </c>
      <c r="BT2844" t="b">
        <v>0</v>
      </c>
      <c r="BV2844" t="s">
        <v>1668</v>
      </c>
      <c r="BW2844">
        <v>718</v>
      </c>
      <c r="BX2844" t="s">
        <v>2436</v>
      </c>
      <c r="BY2844">
        <v>137199</v>
      </c>
      <c r="BZ2844" t="s">
        <v>1672</v>
      </c>
      <c r="CA2844">
        <v>1</v>
      </c>
      <c r="CB2844" t="b">
        <v>1</v>
      </c>
      <c r="CC2844">
        <v>0</v>
      </c>
      <c r="CD2844" t="b">
        <v>0</v>
      </c>
      <c r="CE2844" t="b">
        <v>1</v>
      </c>
      <c r="CF2844" t="b">
        <v>0</v>
      </c>
      <c r="CG2844">
        <v>2940566</v>
      </c>
      <c r="CH2844" t="s">
        <v>1681</v>
      </c>
      <c r="CI2844" s="10">
        <v>599950</v>
      </c>
      <c r="CJ2844" s="7">
        <v>34166</v>
      </c>
    </row>
    <row r="2845" spans="1:90">
      <c r="A2845">
        <v>28050697</v>
      </c>
      <c r="B2845" s="15" t="str">
        <f>HYPERLINK("http://www.redfin.com/stingray/do/printable-listing?listing-id=1583532","Subject To Inspection")</f>
        <v>Subject To Inspection</v>
      </c>
      <c r="D2845" t="s">
        <v>66</v>
      </c>
      <c r="E2845" t="s">
        <v>6301</v>
      </c>
      <c r="F2845">
        <v>499950</v>
      </c>
      <c r="G2845">
        <v>1908</v>
      </c>
      <c r="H2845">
        <v>1670</v>
      </c>
      <c r="I2845">
        <v>7500</v>
      </c>
      <c r="J2845">
        <v>3</v>
      </c>
      <c r="K2845">
        <v>1</v>
      </c>
      <c r="M2845" s="2" t="str">
        <f>HYPERLINK("http://maps.live.com/default.aspx?v=2&amp;lvl=15&amp;sp=Point.47.613582_-122.291074_1426 32nd Ave&amp;cp=47.613582~-122.291074","Map")</f>
        <v>Map</v>
      </c>
      <c r="N2845" s="2" t="str">
        <f>HYPERLINK("http://i-0.rfimg.us/photo/1/bigphoto/697/28050697_.jpg","Photo")</f>
        <v>Photo</v>
      </c>
      <c r="AG2845">
        <v>47.613582000000001</v>
      </c>
      <c r="AH2845">
        <v>-122.29107399999999</v>
      </c>
      <c r="AI2845" t="s">
        <v>66</v>
      </c>
      <c r="AJ2845">
        <v>98122</v>
      </c>
      <c r="BC2845" s="22">
        <v>39531.662060185183</v>
      </c>
      <c r="BI2845" s="22">
        <v>39549.294907407406</v>
      </c>
      <c r="BL2845">
        <v>9999</v>
      </c>
      <c r="BM2845">
        <v>1583532</v>
      </c>
      <c r="BN2845" t="s">
        <v>1737</v>
      </c>
      <c r="BO2845" s="17">
        <f t="shared" ca="1" si="44"/>
        <v>17.647345717596181</v>
      </c>
      <c r="BP2845" t="b">
        <v>0</v>
      </c>
      <c r="BQ2845">
        <v>1</v>
      </c>
      <c r="BR2845" t="s">
        <v>1667</v>
      </c>
      <c r="BS2845" t="s">
        <v>1733</v>
      </c>
      <c r="BT2845" t="b">
        <v>0</v>
      </c>
      <c r="BV2845" t="s">
        <v>1668</v>
      </c>
      <c r="BW2845">
        <v>1426</v>
      </c>
      <c r="BY2845">
        <v>147476</v>
      </c>
      <c r="CA2845">
        <v>1</v>
      </c>
      <c r="CB2845" t="b">
        <v>1</v>
      </c>
      <c r="CC2845">
        <v>0</v>
      </c>
      <c r="CD2845" t="b">
        <v>1</v>
      </c>
      <c r="CE2845" t="b">
        <v>1</v>
      </c>
      <c r="CF2845" t="b">
        <v>0</v>
      </c>
      <c r="CG2845">
        <v>2653501</v>
      </c>
      <c r="CH2845" t="s">
        <v>1681</v>
      </c>
      <c r="CI2845" s="10">
        <v>499950</v>
      </c>
    </row>
    <row r="2846" spans="1:90">
      <c r="A2846">
        <v>28050698</v>
      </c>
      <c r="B2846" s="15" t="str">
        <f>HYPERLINK("http://www.redfin.com/stingray/do/printable-listing?listing-id=1591859","Subject To Inspection")</f>
        <v>Subject To Inspection</v>
      </c>
      <c r="D2846" t="s">
        <v>78</v>
      </c>
      <c r="E2846" t="s">
        <v>2297</v>
      </c>
      <c r="F2846">
        <v>479900</v>
      </c>
      <c r="G2846">
        <v>1910</v>
      </c>
      <c r="H2846">
        <v>1560</v>
      </c>
      <c r="I2846">
        <v>0</v>
      </c>
      <c r="J2846">
        <v>3</v>
      </c>
      <c r="K2846">
        <v>2</v>
      </c>
      <c r="M2846" s="2" t="str">
        <f>HYPERLINK("http://maps.live.com/default.aspx?v=2&amp;lvl=15&amp;sp=Point.47.686155_-122.380328_7739 18th Ave NW&amp;cp=47.686155~-122.380328","Map")</f>
        <v>Map</v>
      </c>
      <c r="N2846" s="2" t="str">
        <f>HYPERLINK("http://i-0.rfimg.us/photo/1/bigphoto/698/28050698_0.jpg","Photo")</f>
        <v>Photo</v>
      </c>
      <c r="AG2846">
        <v>47.686154999999999</v>
      </c>
      <c r="AH2846">
        <v>-122.38032800000001</v>
      </c>
      <c r="AI2846" t="s">
        <v>66</v>
      </c>
      <c r="AJ2846">
        <v>98117</v>
      </c>
      <c r="AN2846">
        <v>114000</v>
      </c>
      <c r="BC2846" s="22">
        <v>39534.453113425923</v>
      </c>
      <c r="BI2846" s="22">
        <v>39549.294907407406</v>
      </c>
      <c r="BL2846">
        <v>9598</v>
      </c>
      <c r="BM2846">
        <v>1591859</v>
      </c>
      <c r="BN2846" t="s">
        <v>1768</v>
      </c>
      <c r="BO2846" s="17">
        <f t="shared" ca="1" si="44"/>
        <v>14.856292476855742</v>
      </c>
      <c r="BP2846" t="b">
        <v>0</v>
      </c>
      <c r="BQ2846">
        <v>1</v>
      </c>
      <c r="BR2846" t="s">
        <v>1667</v>
      </c>
      <c r="BS2846" t="s">
        <v>1909</v>
      </c>
      <c r="BT2846" t="b">
        <v>0</v>
      </c>
      <c r="BV2846" t="s">
        <v>1668</v>
      </c>
      <c r="BW2846">
        <v>7739</v>
      </c>
      <c r="BX2846" t="s">
        <v>1669</v>
      </c>
      <c r="BY2846">
        <v>166394</v>
      </c>
      <c r="BZ2846" t="s">
        <v>1713</v>
      </c>
      <c r="CA2846">
        <v>1</v>
      </c>
      <c r="CB2846" t="b">
        <v>1</v>
      </c>
      <c r="CC2846">
        <v>0</v>
      </c>
      <c r="CD2846" t="b">
        <v>0</v>
      </c>
      <c r="CE2846" t="b">
        <v>1</v>
      </c>
      <c r="CF2846" t="b">
        <v>0</v>
      </c>
      <c r="CG2846">
        <v>2800211</v>
      </c>
      <c r="CH2846" t="s">
        <v>1681</v>
      </c>
      <c r="CI2846" s="10">
        <v>479900</v>
      </c>
      <c r="CJ2846" s="7">
        <v>35258</v>
      </c>
    </row>
    <row r="2847" spans="1:90">
      <c r="A2847">
        <v>28050711</v>
      </c>
      <c r="B2847" s="2" t="str">
        <f>HYPERLINK("http://www.redfin.com/stingray/do/printable-listing?listing-id=1586598","Active")</f>
        <v>Active</v>
      </c>
      <c r="D2847" t="s">
        <v>218</v>
      </c>
      <c r="E2847" t="s">
        <v>6343</v>
      </c>
      <c r="F2847">
        <v>899950</v>
      </c>
      <c r="G2847">
        <v>2008</v>
      </c>
      <c r="H2847">
        <v>3083</v>
      </c>
      <c r="I2847">
        <v>0</v>
      </c>
      <c r="J2847">
        <v>5</v>
      </c>
      <c r="K2847">
        <v>3.5</v>
      </c>
      <c r="M2847" s="2" t="str">
        <f>HYPERLINK("http://maps.live.com/default.aspx?v=2&amp;lvl=15&amp;sp=Point.47.675446_-122.314677_6415 Brooklyn Ave NE&amp;cp=47.675446~-122.314677","Map")</f>
        <v>Map</v>
      </c>
      <c r="N2847" s="2" t="str">
        <f>HYPERLINK("http://i-0.rfimg.us/photo/1/bigphoto/711/28050711_1.jpg","Photo")</f>
        <v>Photo</v>
      </c>
      <c r="AG2847">
        <v>47.675446000000001</v>
      </c>
      <c r="AH2847">
        <v>-122.314677</v>
      </c>
      <c r="AI2847" t="s">
        <v>66</v>
      </c>
      <c r="AJ2847">
        <v>98115</v>
      </c>
      <c r="AN2847">
        <v>470000</v>
      </c>
      <c r="BC2847" s="22">
        <v>39532.633333333331</v>
      </c>
      <c r="BI2847" s="22">
        <v>39549.294907407406</v>
      </c>
      <c r="BL2847">
        <v>17999</v>
      </c>
      <c r="BM2847">
        <v>1586598</v>
      </c>
      <c r="BN2847" t="s">
        <v>1744</v>
      </c>
      <c r="BO2847" s="17">
        <f t="shared" ca="1" si="44"/>
        <v>16.67607256944757</v>
      </c>
      <c r="BP2847" t="b">
        <v>0</v>
      </c>
      <c r="BQ2847">
        <v>1</v>
      </c>
      <c r="BR2847" t="s">
        <v>1667</v>
      </c>
      <c r="BS2847" t="s">
        <v>3106</v>
      </c>
      <c r="BT2847" t="b">
        <v>0</v>
      </c>
      <c r="BV2847" t="s">
        <v>1668</v>
      </c>
      <c r="BW2847">
        <v>6415</v>
      </c>
      <c r="BX2847" t="s">
        <v>1738</v>
      </c>
      <c r="BY2847">
        <v>308692</v>
      </c>
      <c r="BZ2847" t="s">
        <v>6344</v>
      </c>
      <c r="CA2847">
        <v>1</v>
      </c>
      <c r="CB2847" t="b">
        <v>1</v>
      </c>
      <c r="CC2847">
        <v>0</v>
      </c>
      <c r="CD2847" t="b">
        <v>0</v>
      </c>
      <c r="CE2847" t="b">
        <v>1</v>
      </c>
      <c r="CF2847" t="b">
        <v>0</v>
      </c>
      <c r="CG2847">
        <v>2744179</v>
      </c>
      <c r="CH2847" t="s">
        <v>1681</v>
      </c>
      <c r="CI2847" s="10">
        <v>899950</v>
      </c>
      <c r="CJ2847" s="7">
        <v>39157</v>
      </c>
    </row>
    <row r="2848" spans="1:90">
      <c r="A2848">
        <v>28050725</v>
      </c>
      <c r="B2848" s="2" t="str">
        <f>HYPERLINK("http://www.redfin.com/stingray/do/printable-listing?listing-id=1583757","Active")</f>
        <v>Active</v>
      </c>
      <c r="D2848" t="s">
        <v>3966</v>
      </c>
      <c r="E2848" t="s">
        <v>6302</v>
      </c>
      <c r="F2848">
        <v>749950</v>
      </c>
      <c r="G2848">
        <v>1913</v>
      </c>
      <c r="H2848">
        <v>2800</v>
      </c>
      <c r="I2848">
        <v>3690</v>
      </c>
      <c r="J2848">
        <v>3</v>
      </c>
      <c r="K2848">
        <v>2</v>
      </c>
      <c r="M2848" s="2" t="str">
        <f>HYPERLINK("http://maps.live.com/default.aspx?v=2&amp;lvl=15&amp;sp=Point.47.618148_-122.289379_3309 E Denny Way&amp;cp=47.618148~-122.289379","Map")</f>
        <v>Map</v>
      </c>
      <c r="N2848" s="2" t="str">
        <f>HYPERLINK("http://i-0.rfimg.us/photo/1/bigphoto/725/28050725_0.jpg","Photo")</f>
        <v>Photo</v>
      </c>
      <c r="AG2848">
        <v>47.618147999999998</v>
      </c>
      <c r="AH2848">
        <v>-122.289379</v>
      </c>
      <c r="AI2848" t="s">
        <v>66</v>
      </c>
      <c r="AJ2848">
        <v>98122</v>
      </c>
      <c r="AN2848">
        <v>80000</v>
      </c>
      <c r="BC2848" s="22">
        <v>39531.705243055556</v>
      </c>
      <c r="BI2848" s="22">
        <v>39549.294907407406</v>
      </c>
      <c r="BL2848">
        <v>14999</v>
      </c>
      <c r="BM2848">
        <v>1583757</v>
      </c>
      <c r="BN2848" t="s">
        <v>1939</v>
      </c>
      <c r="BO2848" s="17">
        <f t="shared" ca="1" si="44"/>
        <v>17.604162847223051</v>
      </c>
      <c r="BP2848" t="b">
        <v>0</v>
      </c>
      <c r="BQ2848">
        <v>1</v>
      </c>
      <c r="BR2848" t="s">
        <v>2463</v>
      </c>
      <c r="BS2848" t="s">
        <v>4085</v>
      </c>
      <c r="BT2848" t="b">
        <v>0</v>
      </c>
      <c r="BU2848" t="s">
        <v>2436</v>
      </c>
      <c r="BV2848" t="s">
        <v>1668</v>
      </c>
      <c r="BW2848">
        <v>3309</v>
      </c>
      <c r="BY2848">
        <v>145829</v>
      </c>
      <c r="BZ2848" t="s">
        <v>1747</v>
      </c>
      <c r="CA2848">
        <v>1</v>
      </c>
      <c r="CB2848" t="b">
        <v>1</v>
      </c>
      <c r="CC2848">
        <v>0</v>
      </c>
      <c r="CD2848" t="b">
        <v>0</v>
      </c>
      <c r="CE2848" t="b">
        <v>1</v>
      </c>
      <c r="CF2848" t="b">
        <v>0</v>
      </c>
      <c r="CG2848">
        <v>2888091</v>
      </c>
      <c r="CH2848" t="s">
        <v>1681</v>
      </c>
      <c r="CI2848" s="10">
        <v>749950</v>
      </c>
      <c r="CJ2848" s="7">
        <v>30824</v>
      </c>
    </row>
    <row r="2849" spans="1:88">
      <c r="A2849">
        <v>28050729</v>
      </c>
      <c r="B2849" s="2" t="str">
        <f>HYPERLINK("http://www.redfin.com/stingray/do/printable-listing?listing-id=1583675","Active")</f>
        <v>Active</v>
      </c>
      <c r="D2849" t="s">
        <v>78</v>
      </c>
      <c r="E2849" t="s">
        <v>1301</v>
      </c>
      <c r="F2849">
        <v>1445000</v>
      </c>
      <c r="G2849">
        <v>1966</v>
      </c>
      <c r="H2849">
        <v>2310</v>
      </c>
      <c r="I2849">
        <v>11283</v>
      </c>
      <c r="J2849">
        <v>4</v>
      </c>
      <c r="K2849">
        <v>0.75</v>
      </c>
      <c r="M2849" s="2" t="str">
        <f>HYPERLINK("http://maps.live.com/default.aspx?v=2&amp;lvl=15&amp;sp=Point.47.694839_-122.40171_9037 View Ave NW&amp;cp=47.694839~-122.40171","Map")</f>
        <v>Map</v>
      </c>
      <c r="N2849" s="2" t="str">
        <f>HYPERLINK("http://i-0.rfimg.us/photo/1/bigphoto/729/28050729_1.jpg","Photo")</f>
        <v>Photo</v>
      </c>
      <c r="AG2849">
        <v>47.694839000000002</v>
      </c>
      <c r="AH2849">
        <v>-122.40170999999999</v>
      </c>
      <c r="AI2849" t="s">
        <v>66</v>
      </c>
      <c r="AJ2849">
        <v>98117</v>
      </c>
      <c r="AN2849">
        <v>975000</v>
      </c>
      <c r="BC2849" s="22">
        <v>39531.683622685188</v>
      </c>
      <c r="BI2849" s="22">
        <v>39549.294907407406</v>
      </c>
      <c r="BL2849">
        <v>28900</v>
      </c>
      <c r="BM2849">
        <v>1583675</v>
      </c>
      <c r="BN2849" t="s">
        <v>1674</v>
      </c>
      <c r="BO2849" s="17">
        <f t="shared" ca="1" si="44"/>
        <v>17.625783217590651</v>
      </c>
      <c r="BP2849" t="b">
        <v>0</v>
      </c>
      <c r="BQ2849">
        <v>1</v>
      </c>
      <c r="BR2849" t="s">
        <v>1667</v>
      </c>
      <c r="BS2849" t="s">
        <v>32</v>
      </c>
      <c r="BT2849" t="b">
        <v>0</v>
      </c>
      <c r="BV2849" t="s">
        <v>1668</v>
      </c>
      <c r="BW2849">
        <v>9037</v>
      </c>
      <c r="BX2849" t="s">
        <v>1669</v>
      </c>
      <c r="BY2849">
        <v>289167</v>
      </c>
      <c r="BZ2849" t="s">
        <v>1679</v>
      </c>
      <c r="CA2849">
        <v>1</v>
      </c>
      <c r="CB2849" t="b">
        <v>1</v>
      </c>
      <c r="CC2849">
        <v>0</v>
      </c>
      <c r="CD2849" t="b">
        <v>0</v>
      </c>
      <c r="CE2849" t="b">
        <v>1</v>
      </c>
      <c r="CF2849" t="b">
        <v>0</v>
      </c>
      <c r="CG2849">
        <v>2604788</v>
      </c>
      <c r="CH2849" t="s">
        <v>1681</v>
      </c>
      <c r="CI2849" s="10">
        <v>1445000</v>
      </c>
      <c r="CJ2849" s="7">
        <v>38414</v>
      </c>
    </row>
    <row r="2850" spans="1:88">
      <c r="A2850">
        <v>28050742</v>
      </c>
      <c r="B2850" s="2" t="str">
        <f>HYPERLINK("http://www.redfin.com/stingray/do/printable-listing?listing-id=1584820","Active")</f>
        <v>Active</v>
      </c>
      <c r="D2850" t="s">
        <v>2552</v>
      </c>
      <c r="E2850" t="s">
        <v>3453</v>
      </c>
      <c r="F2850">
        <v>699000</v>
      </c>
      <c r="G2850">
        <v>1962</v>
      </c>
      <c r="H2850">
        <v>3220</v>
      </c>
      <c r="I2850">
        <v>7000</v>
      </c>
      <c r="J2850">
        <v>4</v>
      </c>
      <c r="K2850">
        <v>2.75</v>
      </c>
      <c r="M2850" s="2" t="str">
        <f>HYPERLINK("http://maps.live.com/default.aspx?v=2&amp;lvl=15&amp;sp=Point.47.64989_-122.386394_3247 23rd Ave W&amp;cp=47.64989~-122.386394","Map")</f>
        <v>Map</v>
      </c>
      <c r="N2850" s="2" t="str">
        <f>HYPERLINK("http://i-0.rfimg.us/photo/1/bigphoto/742/28050742_0.jpg","Photo")</f>
        <v>Photo</v>
      </c>
      <c r="AG2850">
        <v>47.649889999999999</v>
      </c>
      <c r="AH2850">
        <v>-122.386394</v>
      </c>
      <c r="AI2850" t="s">
        <v>66</v>
      </c>
      <c r="AJ2850">
        <v>98199</v>
      </c>
      <c r="AN2850">
        <v>539000</v>
      </c>
      <c r="BC2850" s="22">
        <v>39532.046423611115</v>
      </c>
      <c r="BI2850" s="22">
        <v>39549.294907407406</v>
      </c>
      <c r="BL2850">
        <v>13980</v>
      </c>
      <c r="BM2850">
        <v>1584820</v>
      </c>
      <c r="BN2850" t="s">
        <v>1766</v>
      </c>
      <c r="BO2850" s="17">
        <f t="shared" ca="1" si="44"/>
        <v>17.26298229166423</v>
      </c>
      <c r="BP2850" t="b">
        <v>0</v>
      </c>
      <c r="BQ2850">
        <v>1</v>
      </c>
      <c r="BR2850" t="s">
        <v>1667</v>
      </c>
      <c r="BS2850" t="s">
        <v>1839</v>
      </c>
      <c r="BT2850" t="b">
        <v>0</v>
      </c>
      <c r="BV2850" t="s">
        <v>1668</v>
      </c>
      <c r="BW2850">
        <v>3247</v>
      </c>
      <c r="BX2850" t="s">
        <v>2423</v>
      </c>
      <c r="BY2850">
        <v>124453</v>
      </c>
      <c r="BZ2850" t="s">
        <v>1672</v>
      </c>
      <c r="CA2850">
        <v>1</v>
      </c>
      <c r="CB2850" t="b">
        <v>1</v>
      </c>
      <c r="CC2850">
        <v>0</v>
      </c>
      <c r="CD2850" t="b">
        <v>0</v>
      </c>
      <c r="CE2850" t="b">
        <v>1</v>
      </c>
      <c r="CF2850" t="b">
        <v>0</v>
      </c>
      <c r="CG2850">
        <v>2834255</v>
      </c>
      <c r="CH2850" t="s">
        <v>1681</v>
      </c>
      <c r="CI2850" s="10">
        <v>699000</v>
      </c>
      <c r="CJ2850" s="7">
        <v>38484</v>
      </c>
    </row>
    <row r="2851" spans="1:88">
      <c r="A2851">
        <v>28050763</v>
      </c>
      <c r="B2851" s="15" t="str">
        <f>HYPERLINK("http://www.redfin.com/stingray/do/printable-listing?listing-id=1597266","Subject To Inspection")</f>
        <v>Subject To Inspection</v>
      </c>
      <c r="D2851" t="s">
        <v>3704</v>
      </c>
      <c r="E2851" t="s">
        <v>6527</v>
      </c>
      <c r="F2851">
        <v>488500</v>
      </c>
      <c r="G2851">
        <v>2006</v>
      </c>
      <c r="H2851">
        <v>1548</v>
      </c>
      <c r="I2851">
        <v>0</v>
      </c>
      <c r="J2851">
        <v>3</v>
      </c>
      <c r="K2851">
        <v>2.5</v>
      </c>
      <c r="M2851" s="2" t="str">
        <f>HYPERLINK("http://maps.live.com/default.aspx?v=2&amp;lvl=15&amp;sp=Point.47.616779_-122.309003_1717 18th Ave&amp;cp=47.616779~-122.309003","Map")</f>
        <v>Map</v>
      </c>
      <c r="N2851" s="2" t="str">
        <f>HYPERLINK("http://i-0.rfimg.us/photo/1/bigphoto/763/28050763_.jpg","Photo")</f>
        <v>Photo</v>
      </c>
      <c r="AG2851">
        <v>47.616779000000001</v>
      </c>
      <c r="AH2851">
        <v>-122.309003</v>
      </c>
      <c r="AI2851" t="s">
        <v>66</v>
      </c>
      <c r="AJ2851">
        <v>98122</v>
      </c>
      <c r="BC2851" s="22">
        <v>39535.673009259262</v>
      </c>
      <c r="BI2851" s="22">
        <v>39549.294907407406</v>
      </c>
      <c r="BL2851">
        <v>9770</v>
      </c>
      <c r="BM2851">
        <v>1597266</v>
      </c>
      <c r="BN2851" t="s">
        <v>1678</v>
      </c>
      <c r="BO2851" s="17">
        <f t="shared" ca="1" si="44"/>
        <v>13.636396643516491</v>
      </c>
      <c r="BP2851" t="b">
        <v>0</v>
      </c>
      <c r="BQ2851">
        <v>1</v>
      </c>
      <c r="BR2851" t="s">
        <v>1667</v>
      </c>
      <c r="BS2851" t="s">
        <v>1909</v>
      </c>
      <c r="BT2851" t="b">
        <v>0</v>
      </c>
      <c r="BV2851" t="s">
        <v>1668</v>
      </c>
      <c r="BW2851">
        <v>1717</v>
      </c>
      <c r="BY2851">
        <v>12090522</v>
      </c>
      <c r="BZ2851" t="s">
        <v>5920</v>
      </c>
      <c r="CA2851">
        <v>1</v>
      </c>
      <c r="CB2851" t="b">
        <v>1</v>
      </c>
      <c r="CC2851">
        <v>0</v>
      </c>
      <c r="CD2851" t="b">
        <v>0</v>
      </c>
      <c r="CE2851" t="b">
        <v>1</v>
      </c>
      <c r="CF2851" t="b">
        <v>0</v>
      </c>
      <c r="CG2851">
        <v>15344076</v>
      </c>
      <c r="CH2851" t="s">
        <v>1681</v>
      </c>
      <c r="CI2851" s="10">
        <v>488500</v>
      </c>
    </row>
    <row r="2852" spans="1:88">
      <c r="A2852">
        <v>28050771</v>
      </c>
      <c r="B2852" s="2" t="str">
        <f>HYPERLINK("http://www.redfin.com/stingray/do/printable-listing?listing-id=1599164","Active")</f>
        <v>Active</v>
      </c>
      <c r="D2852" t="s">
        <v>3066</v>
      </c>
      <c r="E2852" t="s">
        <v>6587</v>
      </c>
      <c r="F2852">
        <v>519999</v>
      </c>
      <c r="G2852">
        <v>1987</v>
      </c>
      <c r="H2852">
        <v>1870</v>
      </c>
      <c r="I2852">
        <v>2744</v>
      </c>
      <c r="J2852">
        <v>2</v>
      </c>
      <c r="K2852">
        <v>2.5</v>
      </c>
      <c r="M2852" s="2" t="str">
        <f>HYPERLINK("http://maps.live.com/default.aspx?v=2&amp;lvl=15&amp;sp=Point.47.682064_-122.163619_13202 NE 89 St&amp;cp=47.682064~-122.163619","Map")</f>
        <v>Map</v>
      </c>
      <c r="N2852" s="2" t="str">
        <f>HYPERLINK("http://i-0.rfimg.us/photo/1/bigphoto/771/28050771_.jpg","Photo")</f>
        <v>Photo</v>
      </c>
      <c r="AG2852">
        <v>47.682063999999997</v>
      </c>
      <c r="AH2852">
        <v>-122.163619</v>
      </c>
      <c r="AI2852" t="s">
        <v>4363</v>
      </c>
      <c r="AJ2852">
        <v>98052</v>
      </c>
      <c r="AN2852">
        <v>419355</v>
      </c>
      <c r="BC2852" s="22">
        <v>39536.473356481481</v>
      </c>
      <c r="BI2852" s="22">
        <v>39549.294907407406</v>
      </c>
      <c r="BL2852">
        <v>10400</v>
      </c>
      <c r="BM2852">
        <v>1599164</v>
      </c>
      <c r="BN2852" t="s">
        <v>1812</v>
      </c>
      <c r="BO2852" s="17">
        <f t="shared" ca="1" si="44"/>
        <v>12.836049421297503</v>
      </c>
      <c r="BP2852" t="b">
        <v>0</v>
      </c>
      <c r="BQ2852">
        <v>1</v>
      </c>
      <c r="BR2852" t="s">
        <v>1686</v>
      </c>
      <c r="BS2852">
        <v>89</v>
      </c>
      <c r="BT2852" t="b">
        <v>0</v>
      </c>
      <c r="BU2852" t="s">
        <v>1738</v>
      </c>
      <c r="BV2852" t="s">
        <v>1668</v>
      </c>
      <c r="BW2852">
        <v>13202</v>
      </c>
      <c r="BY2852">
        <v>513571</v>
      </c>
      <c r="BZ2852" t="s">
        <v>1684</v>
      </c>
      <c r="CA2852">
        <v>1</v>
      </c>
      <c r="CB2852" t="b">
        <v>1</v>
      </c>
      <c r="CC2852">
        <v>0</v>
      </c>
      <c r="CD2852" t="b">
        <v>0</v>
      </c>
      <c r="CE2852" t="b">
        <v>1</v>
      </c>
      <c r="CF2852" t="b">
        <v>0</v>
      </c>
      <c r="CG2852">
        <v>2506692</v>
      </c>
      <c r="CH2852" t="s">
        <v>1681</v>
      </c>
      <c r="CI2852" s="10">
        <v>519999</v>
      </c>
      <c r="CJ2852" s="7">
        <v>39457</v>
      </c>
    </row>
    <row r="2853" spans="1:88">
      <c r="A2853">
        <v>28050779</v>
      </c>
      <c r="B2853" s="2" t="str">
        <f>HYPERLINK("http://www.redfin.com/stingray/do/printable-listing?listing-id=1589272","Active")</f>
        <v>Active</v>
      </c>
      <c r="D2853" t="s">
        <v>70</v>
      </c>
      <c r="E2853" t="s">
        <v>6334</v>
      </c>
      <c r="F2853">
        <v>739500</v>
      </c>
      <c r="G2853">
        <v>1960</v>
      </c>
      <c r="H2853">
        <v>2580</v>
      </c>
      <c r="I2853">
        <v>8060</v>
      </c>
      <c r="J2853">
        <v>4</v>
      </c>
      <c r="K2853">
        <v>2.5</v>
      </c>
      <c r="M2853" s="2" t="str">
        <f>HYPERLINK("http://maps.live.com/default.aspx?v=2&amp;lvl=15&amp;sp=Point.47.718394_-122.367301_12218 9th Ave NW&amp;cp=47.718394~-122.367301","Map")</f>
        <v>Map</v>
      </c>
      <c r="N2853" s="2" t="str">
        <f>HYPERLINK("http://i-0.rfimg.us/photo/1/bigphoto/779/28050779_1.jpg","Photo")</f>
        <v>Photo</v>
      </c>
      <c r="AG2853">
        <v>47.718394000000004</v>
      </c>
      <c r="AH2853">
        <v>-122.367301</v>
      </c>
      <c r="AI2853" t="s">
        <v>66</v>
      </c>
      <c r="AJ2853">
        <v>98177</v>
      </c>
      <c r="AN2853">
        <v>272000</v>
      </c>
      <c r="BC2853" s="22">
        <v>39533.546863425923</v>
      </c>
      <c r="BI2853" s="22">
        <v>39549.294907407406</v>
      </c>
      <c r="BL2853">
        <v>14790</v>
      </c>
      <c r="BM2853">
        <v>1589272</v>
      </c>
      <c r="BN2853" t="s">
        <v>1674</v>
      </c>
      <c r="BO2853" s="17">
        <f t="shared" ca="1" si="44"/>
        <v>15.762542476855742</v>
      </c>
      <c r="BP2853" t="b">
        <v>0</v>
      </c>
      <c r="BQ2853">
        <v>1</v>
      </c>
      <c r="BR2853" t="s">
        <v>1667</v>
      </c>
      <c r="BS2853" t="s">
        <v>1785</v>
      </c>
      <c r="BT2853" t="b">
        <v>0</v>
      </c>
      <c r="BV2853" t="s">
        <v>1668</v>
      </c>
      <c r="BW2853">
        <v>12218</v>
      </c>
      <c r="BX2853" t="s">
        <v>1669</v>
      </c>
      <c r="BY2853">
        <v>291655</v>
      </c>
      <c r="BZ2853" t="s">
        <v>1709</v>
      </c>
      <c r="CA2853">
        <v>1</v>
      </c>
      <c r="CB2853" t="b">
        <v>1</v>
      </c>
      <c r="CC2853">
        <v>0</v>
      </c>
      <c r="CD2853" t="b">
        <v>0</v>
      </c>
      <c r="CE2853" t="b">
        <v>1</v>
      </c>
      <c r="CF2853" t="b">
        <v>0</v>
      </c>
      <c r="CG2853">
        <v>2865607</v>
      </c>
      <c r="CH2853" t="s">
        <v>1681</v>
      </c>
      <c r="CI2853" s="10">
        <v>739500</v>
      </c>
      <c r="CJ2853" s="7">
        <v>36238</v>
      </c>
    </row>
    <row r="2854" spans="1:88">
      <c r="A2854">
        <v>28050783</v>
      </c>
      <c r="B2854" s="2" t="str">
        <f>HYPERLINK("http://www.redfin.com/stingray/do/printable-listing?listing-id=1586306","Active")</f>
        <v>Active</v>
      </c>
      <c r="D2854" t="s">
        <v>3704</v>
      </c>
      <c r="E2854" t="s">
        <v>6369</v>
      </c>
      <c r="F2854">
        <v>317000</v>
      </c>
      <c r="G2854">
        <v>2005</v>
      </c>
      <c r="H2854">
        <v>0</v>
      </c>
      <c r="I2854">
        <v>0</v>
      </c>
      <c r="J2854">
        <v>2</v>
      </c>
      <c r="K2854">
        <v>1</v>
      </c>
      <c r="M2854" s="2" t="str">
        <f>HYPERLINK("http://maps.live.com/default.aspx?v=2&amp;lvl=15&amp;sp=Point.47.613219_-122.29815_2614 E Union St nB&amp;cp=47.613219~-122.29815","Map")</f>
        <v>Map</v>
      </c>
      <c r="N2854" s="2" t="str">
        <f>HYPERLINK("http://i-0.rfimg.us/photo/1/bigphoto/783/28050783_0.jpg","Photo")</f>
        <v>Photo</v>
      </c>
      <c r="AG2854">
        <v>47.613219000000001</v>
      </c>
      <c r="AH2854">
        <v>-122.29815000000001</v>
      </c>
      <c r="AI2854" t="s">
        <v>66</v>
      </c>
      <c r="AJ2854">
        <v>98122</v>
      </c>
      <c r="AM2854" t="s">
        <v>1699</v>
      </c>
      <c r="BC2854" s="22">
        <v>39532.568564814814</v>
      </c>
      <c r="BI2854" s="22">
        <v>39549.294907407406</v>
      </c>
      <c r="BL2854">
        <v>6340</v>
      </c>
      <c r="BM2854">
        <v>1586306</v>
      </c>
      <c r="BN2854" t="s">
        <v>3253</v>
      </c>
      <c r="BO2854" s="17">
        <f t="shared" ca="1" si="44"/>
        <v>16.740841087965237</v>
      </c>
      <c r="BP2854" t="b">
        <v>0</v>
      </c>
      <c r="BQ2854">
        <v>1</v>
      </c>
      <c r="BR2854" t="s">
        <v>1686</v>
      </c>
      <c r="BS2854" t="s">
        <v>4075</v>
      </c>
      <c r="BT2854" t="b">
        <v>0</v>
      </c>
      <c r="BU2854" t="s">
        <v>2436</v>
      </c>
      <c r="BV2854" t="s">
        <v>1668</v>
      </c>
      <c r="BW2854">
        <v>2614</v>
      </c>
      <c r="BY2854">
        <v>12434333</v>
      </c>
      <c r="BZ2854" t="s">
        <v>1741</v>
      </c>
      <c r="CA2854">
        <v>1</v>
      </c>
      <c r="CB2854" t="b">
        <v>1</v>
      </c>
      <c r="CC2854">
        <v>0</v>
      </c>
      <c r="CD2854" t="b">
        <v>0</v>
      </c>
      <c r="CE2854" t="b">
        <v>0</v>
      </c>
      <c r="CF2854" t="b">
        <v>0</v>
      </c>
      <c r="CG2854">
        <v>15623488</v>
      </c>
      <c r="CH2854" t="s">
        <v>1681</v>
      </c>
      <c r="CI2854" s="10">
        <v>317000</v>
      </c>
    </row>
    <row r="2855" spans="1:88">
      <c r="A2855">
        <v>28050840</v>
      </c>
      <c r="B2855" s="2" t="str">
        <f>HYPERLINK("http://www.redfin.com/stingray/do/printable-listing?listing-id=1584218","Active")</f>
        <v>Active</v>
      </c>
      <c r="D2855" t="s">
        <v>192</v>
      </c>
      <c r="E2855" t="s">
        <v>6278</v>
      </c>
      <c r="F2855">
        <v>475000</v>
      </c>
      <c r="G2855">
        <v>1930</v>
      </c>
      <c r="H2855">
        <v>1656</v>
      </c>
      <c r="I2855">
        <v>2522</v>
      </c>
      <c r="J2855">
        <v>3</v>
      </c>
      <c r="K2855">
        <v>1.75</v>
      </c>
      <c r="M2855" s="2" t="str">
        <f>HYPERLINK("http://maps.live.com/default.aspx?v=2&amp;lvl=15&amp;sp=Point.47.691084_-122.310531_1651 NE 86th St&amp;cp=47.691084~-122.310531","Map")</f>
        <v>Map</v>
      </c>
      <c r="N2855" s="2" t="str">
        <f>HYPERLINK("http://i-0.rfimg.us/photo/1/bigphoto/840/28050840_1.jpg","Photo")</f>
        <v>Photo</v>
      </c>
      <c r="AG2855">
        <v>47.691083999999996</v>
      </c>
      <c r="AH2855">
        <v>-122.310531</v>
      </c>
      <c r="AI2855" t="s">
        <v>66</v>
      </c>
      <c r="AJ2855">
        <v>98115</v>
      </c>
      <c r="AN2855">
        <v>297000</v>
      </c>
      <c r="BC2855" s="22">
        <v>39531.901053240741</v>
      </c>
      <c r="BI2855" s="22">
        <v>39549.294907407406</v>
      </c>
      <c r="BL2855">
        <v>9500</v>
      </c>
      <c r="BM2855">
        <v>1584218</v>
      </c>
      <c r="BN2855" t="s">
        <v>1674</v>
      </c>
      <c r="BO2855" s="17">
        <f t="shared" ca="1" si="44"/>
        <v>17.408352662037942</v>
      </c>
      <c r="BP2855" t="b">
        <v>0</v>
      </c>
      <c r="BQ2855">
        <v>1</v>
      </c>
      <c r="BR2855" t="s">
        <v>1686</v>
      </c>
      <c r="BS2855" t="s">
        <v>2866</v>
      </c>
      <c r="BT2855" t="b">
        <v>0</v>
      </c>
      <c r="BU2855" t="s">
        <v>1738</v>
      </c>
      <c r="BV2855" t="s">
        <v>1668</v>
      </c>
      <c r="BW2855">
        <v>1651</v>
      </c>
      <c r="BY2855">
        <v>106821</v>
      </c>
      <c r="BZ2855" t="s">
        <v>1756</v>
      </c>
      <c r="CA2855">
        <v>1</v>
      </c>
      <c r="CB2855" t="b">
        <v>1</v>
      </c>
      <c r="CC2855">
        <v>0</v>
      </c>
      <c r="CD2855" t="b">
        <v>0</v>
      </c>
      <c r="CE2855" t="b">
        <v>1</v>
      </c>
      <c r="CF2855" t="b">
        <v>0</v>
      </c>
      <c r="CG2855">
        <v>2983212</v>
      </c>
      <c r="CH2855" t="s">
        <v>1681</v>
      </c>
      <c r="CI2855" s="10">
        <v>475000</v>
      </c>
      <c r="CJ2855" s="7">
        <v>37862</v>
      </c>
    </row>
    <row r="2856" spans="1:88">
      <c r="A2856">
        <v>28050846</v>
      </c>
      <c r="B2856" s="2" t="str">
        <f>HYPERLINK("http://www.redfin.com/stingray/do/printable-listing?listing-id=1584819","Active")</f>
        <v>Active</v>
      </c>
      <c r="D2856" t="s">
        <v>66</v>
      </c>
      <c r="E2856" t="s">
        <v>1657</v>
      </c>
      <c r="F2856">
        <v>399950</v>
      </c>
      <c r="G2856">
        <v>2007</v>
      </c>
      <c r="H2856">
        <v>2250</v>
      </c>
      <c r="I2856">
        <v>8880</v>
      </c>
      <c r="J2856">
        <v>5</v>
      </c>
      <c r="K2856">
        <v>3</v>
      </c>
      <c r="M2856" s="2" t="str">
        <f>HYPERLINK("http://maps.live.com/default.aspx?v=2&amp;lvl=15&amp;sp=adr.Undisclosed,98178","Map")</f>
        <v>Map</v>
      </c>
      <c r="N2856" s="2" t="str">
        <f>HYPERLINK("http://i-0.rfimg.us/photo/1/bigphoto/846/28050846_0.jpg","Photo")</f>
        <v>Photo</v>
      </c>
      <c r="AI2856" t="s">
        <v>66</v>
      </c>
      <c r="AJ2856">
        <v>98178</v>
      </c>
      <c r="BC2856" s="22">
        <v>39532.046412037038</v>
      </c>
      <c r="BI2856" s="7">
        <v>39542</v>
      </c>
      <c r="BL2856">
        <v>7999</v>
      </c>
      <c r="BM2856">
        <v>1584819</v>
      </c>
      <c r="BN2856" t="s">
        <v>1829</v>
      </c>
      <c r="BO2856" s="17">
        <f t="shared" ca="1" si="44"/>
        <v>17.262993865741009</v>
      </c>
      <c r="BP2856" t="b">
        <v>0</v>
      </c>
      <c r="BQ2856">
        <v>1</v>
      </c>
      <c r="BT2856" t="b">
        <v>1</v>
      </c>
      <c r="BV2856" t="s">
        <v>1668</v>
      </c>
      <c r="BY2856">
        <v>0</v>
      </c>
      <c r="BZ2856" t="s">
        <v>1672</v>
      </c>
      <c r="CA2856">
        <v>1</v>
      </c>
      <c r="CB2856" t="b">
        <v>1</v>
      </c>
      <c r="CC2856">
        <v>0</v>
      </c>
      <c r="CD2856" t="b">
        <v>0</v>
      </c>
      <c r="CE2856" t="b">
        <v>1</v>
      </c>
      <c r="CF2856" t="b">
        <v>0</v>
      </c>
      <c r="CG2856" t="s">
        <v>1870</v>
      </c>
      <c r="CH2856" t="s">
        <v>1681</v>
      </c>
      <c r="CI2856" s="10">
        <v>399950</v>
      </c>
    </row>
    <row r="2857" spans="1:88">
      <c r="A2857">
        <v>28050851</v>
      </c>
      <c r="B2857" s="2" t="str">
        <f>HYPERLINK("http://www.redfin.com/stingray/do/printable-listing?listing-id=1584236","Subject To Inspection")</f>
        <v>Subject To Inspection</v>
      </c>
      <c r="D2857" t="s">
        <v>218</v>
      </c>
      <c r="E2857" t="s">
        <v>6285</v>
      </c>
      <c r="F2857">
        <v>439000</v>
      </c>
      <c r="G2857">
        <v>1950</v>
      </c>
      <c r="H2857">
        <v>1720</v>
      </c>
      <c r="I2857">
        <v>6196</v>
      </c>
      <c r="J2857">
        <v>2</v>
      </c>
      <c r="K2857">
        <v>1</v>
      </c>
      <c r="M2857" s="2" t="str">
        <f>HYPERLINK("http://maps.live.com/default.aspx?v=2&amp;lvl=15&amp;sp=Point.47.684036_-122.302607_7532 23rd Ave NE&amp;cp=47.684036~-122.302607","Map")</f>
        <v>Map</v>
      </c>
      <c r="N2857" s="2" t="str">
        <f>HYPERLINK("http://i-0.rfimg.us/photo/1/bigphoto/851/28050851_0.jpg","Photo")</f>
        <v>Photo</v>
      </c>
      <c r="AG2857">
        <v>47.684035999999999</v>
      </c>
      <c r="AH2857">
        <v>-122.30260699999999</v>
      </c>
      <c r="AI2857" t="s">
        <v>66</v>
      </c>
      <c r="AJ2857">
        <v>98115</v>
      </c>
      <c r="AN2857">
        <v>380990</v>
      </c>
      <c r="BC2857" s="22">
        <v>39531.911041666666</v>
      </c>
      <c r="BI2857" s="7">
        <v>39533</v>
      </c>
      <c r="BL2857">
        <v>8780</v>
      </c>
      <c r="BM2857">
        <v>1584236</v>
      </c>
      <c r="BN2857" t="s">
        <v>1746</v>
      </c>
      <c r="BO2857" s="17">
        <f t="shared" ca="1" si="44"/>
        <v>17.398364236112684</v>
      </c>
      <c r="BP2857" t="b">
        <v>0</v>
      </c>
      <c r="BQ2857">
        <v>2</v>
      </c>
      <c r="BR2857" t="s">
        <v>1667</v>
      </c>
      <c r="BS2857" t="s">
        <v>1839</v>
      </c>
      <c r="BT2857" t="b">
        <v>0</v>
      </c>
      <c r="BV2857" t="s">
        <v>1668</v>
      </c>
      <c r="BW2857">
        <v>7532</v>
      </c>
      <c r="BX2857" t="s">
        <v>1738</v>
      </c>
      <c r="BY2857">
        <v>311047</v>
      </c>
      <c r="BZ2857" t="s">
        <v>1696</v>
      </c>
      <c r="CA2857">
        <v>1</v>
      </c>
      <c r="CB2857" t="b">
        <v>1</v>
      </c>
      <c r="CC2857">
        <v>0</v>
      </c>
      <c r="CD2857" t="b">
        <v>0</v>
      </c>
      <c r="CE2857" t="b">
        <v>1</v>
      </c>
      <c r="CF2857" t="b">
        <v>0</v>
      </c>
      <c r="CG2857">
        <v>2706596</v>
      </c>
      <c r="CH2857" t="s">
        <v>1681</v>
      </c>
      <c r="CI2857" s="10">
        <v>439000</v>
      </c>
      <c r="CJ2857" s="7">
        <v>38723</v>
      </c>
    </row>
    <row r="2858" spans="1:88">
      <c r="A2858">
        <v>28050862</v>
      </c>
      <c r="B2858" s="2" t="str">
        <f>HYPERLINK("http://www.redfin.com/stingray/do/printable-listing?listing-id=1585678","Active")</f>
        <v>Active</v>
      </c>
      <c r="D2858" t="s">
        <v>3685</v>
      </c>
      <c r="E2858" t="s">
        <v>6359</v>
      </c>
      <c r="F2858">
        <v>1395000</v>
      </c>
      <c r="G2858">
        <v>1988</v>
      </c>
      <c r="H2858">
        <v>3105</v>
      </c>
      <c r="I2858">
        <v>3847</v>
      </c>
      <c r="J2858">
        <v>4</v>
      </c>
      <c r="K2858">
        <v>3.25</v>
      </c>
      <c r="M2858" s="2" t="str">
        <f>HYPERLINK("http://maps.live.com/default.aspx?v=2&amp;lvl=15&amp;sp=Point.47.637682_-122.278789_2023 42nd Ave E&amp;cp=47.637682~-122.278789","Map")</f>
        <v>Map</v>
      </c>
      <c r="N2858" s="2" t="str">
        <f>HYPERLINK("http://i-0.rfimg.us/photo/1/bigphoto/862/28050862_2.jpg","Photo")</f>
        <v>Photo</v>
      </c>
      <c r="AG2858">
        <v>47.637681999999998</v>
      </c>
      <c r="AH2858">
        <v>-122.278789</v>
      </c>
      <c r="AI2858" t="s">
        <v>66</v>
      </c>
      <c r="AJ2858">
        <v>98112</v>
      </c>
      <c r="AN2858">
        <v>825000</v>
      </c>
      <c r="BC2858" s="22">
        <v>39532.4534375</v>
      </c>
      <c r="BI2858" s="22">
        <v>39549.294907407406</v>
      </c>
      <c r="BL2858">
        <v>27900</v>
      </c>
      <c r="BM2858">
        <v>1585678</v>
      </c>
      <c r="BN2858" t="s">
        <v>1688</v>
      </c>
      <c r="BO2858" s="17">
        <f t="shared" ca="1" si="44"/>
        <v>16.855968402778672</v>
      </c>
      <c r="BP2858" t="b">
        <v>0</v>
      </c>
      <c r="BQ2858">
        <v>1</v>
      </c>
      <c r="BR2858" t="s">
        <v>1667</v>
      </c>
      <c r="BS2858" t="s">
        <v>3371</v>
      </c>
      <c r="BT2858" t="b">
        <v>0</v>
      </c>
      <c r="BV2858" t="s">
        <v>1668</v>
      </c>
      <c r="BW2858">
        <v>2023</v>
      </c>
      <c r="BX2858" t="s">
        <v>2436</v>
      </c>
      <c r="BY2858">
        <v>140163</v>
      </c>
      <c r="BZ2858" t="s">
        <v>2577</v>
      </c>
      <c r="CA2858">
        <v>1</v>
      </c>
      <c r="CB2858" t="b">
        <v>1</v>
      </c>
      <c r="CC2858">
        <v>0</v>
      </c>
      <c r="CD2858" t="b">
        <v>0</v>
      </c>
      <c r="CE2858" t="b">
        <v>1</v>
      </c>
      <c r="CF2858" t="b">
        <v>0</v>
      </c>
      <c r="CG2858">
        <v>2536658</v>
      </c>
      <c r="CH2858" t="s">
        <v>1681</v>
      </c>
      <c r="CI2858" s="10">
        <v>1395000</v>
      </c>
      <c r="CJ2858" s="7">
        <v>38715</v>
      </c>
    </row>
    <row r="2859" spans="1:88">
      <c r="A2859">
        <v>28050911</v>
      </c>
      <c r="B2859" s="2" t="str">
        <f>HYPERLINK("http://www.redfin.com/stingray/do/printable-listing?listing-id=1585172","Active")</f>
        <v>Active</v>
      </c>
      <c r="D2859" t="s">
        <v>5926</v>
      </c>
      <c r="E2859" t="s">
        <v>6049</v>
      </c>
      <c r="F2859">
        <v>589950</v>
      </c>
      <c r="G2859">
        <v>2004</v>
      </c>
      <c r="H2859">
        <v>3090</v>
      </c>
      <c r="I2859">
        <v>5800</v>
      </c>
      <c r="J2859">
        <v>4</v>
      </c>
      <c r="K2859">
        <v>3</v>
      </c>
      <c r="M2859" s="2" t="str">
        <f>HYPERLINK("http://maps.live.com/default.aspx?v=2&amp;lvl=15&amp;sp=Point.47.5152_-122.1956_2001 NE 26th Pl&amp;cp=47.5152~-122.1956","Map")</f>
        <v>Map</v>
      </c>
      <c r="N2859" s="2" t="str">
        <f>HYPERLINK("http://i-0.rfimg.us/photo/1/bigphoto/911/28050911_0.jpg","Photo")</f>
        <v>Photo</v>
      </c>
      <c r="AG2859">
        <v>47.5152</v>
      </c>
      <c r="AH2859">
        <v>-122.1956</v>
      </c>
      <c r="AI2859" t="s">
        <v>1077</v>
      </c>
      <c r="AJ2859">
        <v>98056</v>
      </c>
      <c r="BC2859" s="22">
        <v>39532.348692129628</v>
      </c>
      <c r="BI2859" s="22">
        <v>39549.294907407406</v>
      </c>
      <c r="BL2859">
        <v>11799</v>
      </c>
      <c r="BM2859">
        <v>1585172</v>
      </c>
      <c r="BN2859" t="s">
        <v>1688</v>
      </c>
      <c r="BO2859" s="17">
        <f t="shared" ca="1" si="44"/>
        <v>16.960713773150928</v>
      </c>
      <c r="BP2859" t="b">
        <v>0</v>
      </c>
      <c r="BQ2859">
        <v>1</v>
      </c>
      <c r="BR2859" t="s">
        <v>1842</v>
      </c>
      <c r="BS2859" t="s">
        <v>1769</v>
      </c>
      <c r="BT2859" t="b">
        <v>0</v>
      </c>
      <c r="BU2859" t="s">
        <v>1738</v>
      </c>
      <c r="BV2859" t="s">
        <v>1668</v>
      </c>
      <c r="BW2859">
        <v>2001</v>
      </c>
      <c r="BY2859">
        <v>12429700</v>
      </c>
      <c r="BZ2859" t="s">
        <v>1676</v>
      </c>
      <c r="CA2859">
        <v>1</v>
      </c>
      <c r="CB2859" t="b">
        <v>1</v>
      </c>
      <c r="CC2859">
        <v>0</v>
      </c>
      <c r="CD2859" t="b">
        <v>0</v>
      </c>
      <c r="CE2859" t="b">
        <v>1</v>
      </c>
      <c r="CF2859" t="b">
        <v>0</v>
      </c>
      <c r="CG2859">
        <v>15633448</v>
      </c>
      <c r="CH2859" t="s">
        <v>1681</v>
      </c>
      <c r="CI2859" s="10">
        <v>589950</v>
      </c>
    </row>
    <row r="2860" spans="1:88">
      <c r="A2860">
        <v>28050921</v>
      </c>
      <c r="B2860" s="2" t="str">
        <f>HYPERLINK("http://www.redfin.com/stingray/do/printable-listing?listing-id=1585313","Active")</f>
        <v>Active</v>
      </c>
      <c r="D2860" t="s">
        <v>63</v>
      </c>
      <c r="E2860" t="s">
        <v>6330</v>
      </c>
      <c r="F2860">
        <v>549000</v>
      </c>
      <c r="G2860">
        <v>1921</v>
      </c>
      <c r="H2860">
        <v>3200</v>
      </c>
      <c r="I2860">
        <v>5000</v>
      </c>
      <c r="J2860">
        <v>4</v>
      </c>
      <c r="K2860">
        <v>2.5</v>
      </c>
      <c r="M2860" s="2" t="str">
        <f>HYPERLINK("http://maps.live.com/default.aspx?v=2&amp;lvl=15&amp;sp=Point.47.673937_-122.376545_1506 NW 62nd St&amp;cp=47.673937~-122.376545","Map")</f>
        <v>Map</v>
      </c>
      <c r="N2860" s="2" t="str">
        <f>HYPERLINK("http://i-0.rfimg.us/photo/1/bigphoto/921/28050921_0.jpg","Photo")</f>
        <v>Photo</v>
      </c>
      <c r="AG2860">
        <v>47.673937000000002</v>
      </c>
      <c r="AH2860">
        <v>-122.37654499999999</v>
      </c>
      <c r="AI2860" t="s">
        <v>66</v>
      </c>
      <c r="AJ2860">
        <v>98107</v>
      </c>
      <c r="AN2860">
        <v>405000</v>
      </c>
      <c r="BC2860" s="22">
        <v>39532.359166666669</v>
      </c>
      <c r="BI2860" s="22">
        <v>39549.294907407406</v>
      </c>
      <c r="BL2860">
        <v>10980</v>
      </c>
      <c r="BM2860">
        <v>1585313</v>
      </c>
      <c r="BN2860" t="s">
        <v>2444</v>
      </c>
      <c r="BO2860" s="17">
        <f t="shared" ca="1" si="44"/>
        <v>16.950239236110065</v>
      </c>
      <c r="BP2860" t="b">
        <v>0</v>
      </c>
      <c r="BQ2860">
        <v>1</v>
      </c>
      <c r="BR2860" t="s">
        <v>1686</v>
      </c>
      <c r="BS2860" t="s">
        <v>2565</v>
      </c>
      <c r="BT2860" t="b">
        <v>0</v>
      </c>
      <c r="BU2860" t="s">
        <v>1669</v>
      </c>
      <c r="BV2860" t="s">
        <v>1668</v>
      </c>
      <c r="BW2860">
        <v>1506</v>
      </c>
      <c r="BY2860">
        <v>493629</v>
      </c>
      <c r="BZ2860" t="s">
        <v>1741</v>
      </c>
      <c r="CA2860">
        <v>1</v>
      </c>
      <c r="CB2860" t="b">
        <v>1</v>
      </c>
      <c r="CC2860">
        <v>0</v>
      </c>
      <c r="CD2860" t="b">
        <v>0</v>
      </c>
      <c r="CE2860" t="b">
        <v>1</v>
      </c>
      <c r="CF2860" t="b">
        <v>0</v>
      </c>
      <c r="CG2860">
        <v>2962901</v>
      </c>
      <c r="CH2860" t="s">
        <v>1681</v>
      </c>
      <c r="CI2860" s="10">
        <v>549000</v>
      </c>
      <c r="CJ2860" s="7">
        <v>38139</v>
      </c>
    </row>
    <row r="2861" spans="1:88">
      <c r="A2861">
        <v>28050947</v>
      </c>
      <c r="B2861" s="2" t="str">
        <f>HYPERLINK("http://www.redfin.com/stingray/do/printable-listing?listing-id=1585895","Active")</f>
        <v>Active</v>
      </c>
      <c r="D2861" t="s">
        <v>3071</v>
      </c>
      <c r="E2861" t="s">
        <v>6412</v>
      </c>
      <c r="F2861">
        <v>598000</v>
      </c>
      <c r="G2861">
        <v>1993</v>
      </c>
      <c r="H2861">
        <v>2340</v>
      </c>
      <c r="I2861">
        <v>6306</v>
      </c>
      <c r="J2861">
        <v>4</v>
      </c>
      <c r="K2861">
        <v>2.5</v>
      </c>
      <c r="M2861" s="2" t="str">
        <f>HYPERLINK("http://maps.live.com/default.aspx?v=2&amp;lvl=15&amp;sp=Point.47.712668_-122.239209_7631 NE 125 St&amp;cp=47.712668~-122.239209","Map")</f>
        <v>Map</v>
      </c>
      <c r="N2861" s="2" t="str">
        <f>HYPERLINK("http://i-0.rfimg.us/photo/1/bigphoto/947/28050947_1.jpg","Photo")</f>
        <v>Photo</v>
      </c>
      <c r="AG2861">
        <v>47.712668000000001</v>
      </c>
      <c r="AH2861">
        <v>-122.239209</v>
      </c>
      <c r="AI2861" t="s">
        <v>1058</v>
      </c>
      <c r="AJ2861">
        <v>98034</v>
      </c>
      <c r="AN2861">
        <v>466000</v>
      </c>
      <c r="BC2861" s="22">
        <v>39532.506898148145</v>
      </c>
      <c r="BI2861" s="22">
        <v>39549.294907407406</v>
      </c>
      <c r="BL2861">
        <v>11960</v>
      </c>
      <c r="BM2861">
        <v>1585895</v>
      </c>
      <c r="BN2861" t="s">
        <v>1674</v>
      </c>
      <c r="BO2861" s="17">
        <f t="shared" ca="1" si="44"/>
        <v>16.802507754633552</v>
      </c>
      <c r="BP2861" t="b">
        <v>0</v>
      </c>
      <c r="BQ2861">
        <v>1</v>
      </c>
      <c r="BR2861" t="s">
        <v>1686</v>
      </c>
      <c r="BS2861">
        <v>125</v>
      </c>
      <c r="BT2861" t="b">
        <v>0</v>
      </c>
      <c r="BU2861" t="s">
        <v>1738</v>
      </c>
      <c r="BV2861" t="s">
        <v>1668</v>
      </c>
      <c r="BW2861">
        <v>7631</v>
      </c>
      <c r="BY2861">
        <v>281734</v>
      </c>
      <c r="BZ2861" t="s">
        <v>1836</v>
      </c>
      <c r="CA2861">
        <v>1</v>
      </c>
      <c r="CB2861" t="b">
        <v>1</v>
      </c>
      <c r="CC2861">
        <v>0</v>
      </c>
      <c r="CD2861" t="b">
        <v>0</v>
      </c>
      <c r="CE2861" t="b">
        <v>0</v>
      </c>
      <c r="CF2861" t="b">
        <v>0</v>
      </c>
      <c r="CG2861">
        <v>2834104</v>
      </c>
      <c r="CH2861" t="s">
        <v>1681</v>
      </c>
      <c r="CI2861" s="10">
        <v>598000</v>
      </c>
      <c r="CJ2861" s="7">
        <v>38541</v>
      </c>
    </row>
    <row r="2862" spans="1:88">
      <c r="A2862">
        <v>28050977</v>
      </c>
      <c r="B2862" s="15" t="str">
        <f>HYPERLINK("http://www.redfin.com/stingray/do/printable-listing?listing-id=1586185","Subject To Inspection")</f>
        <v>Subject To Inspection</v>
      </c>
      <c r="D2862" t="s">
        <v>192</v>
      </c>
      <c r="E2862" t="s">
        <v>6339</v>
      </c>
      <c r="F2862">
        <v>485000</v>
      </c>
      <c r="G2862">
        <v>1931</v>
      </c>
      <c r="H2862">
        <v>0</v>
      </c>
      <c r="I2862">
        <v>7008</v>
      </c>
      <c r="J2862">
        <v>3</v>
      </c>
      <c r="K2862">
        <v>1.75</v>
      </c>
      <c r="M2862" s="2" t="str">
        <f>HYPERLINK("http://maps.live.com/default.aspx?v=2&amp;lvl=15&amp;sp=Point.47.694692_-122.321686_525 NE 91st St&amp;cp=47.694692~-122.321686","Map")</f>
        <v>Map</v>
      </c>
      <c r="N2862" s="2" t="str">
        <f>HYPERLINK("http://i-0.rfimg.us/photo/1/bigphoto/977/28050977_0.jpg","Photo")</f>
        <v>Photo</v>
      </c>
      <c r="AG2862">
        <v>47.694692000000003</v>
      </c>
      <c r="AH2862">
        <v>-122.321686</v>
      </c>
      <c r="AI2862" t="s">
        <v>66</v>
      </c>
      <c r="AJ2862">
        <v>98115</v>
      </c>
      <c r="AN2862">
        <v>286500</v>
      </c>
      <c r="BC2862" s="22">
        <v>39532.547488425924</v>
      </c>
      <c r="BI2862" s="7">
        <v>39540</v>
      </c>
      <c r="BL2862">
        <v>9700</v>
      </c>
      <c r="BM2862">
        <v>1586185</v>
      </c>
      <c r="BN2862" t="s">
        <v>1680</v>
      </c>
      <c r="BO2862" s="17">
        <f t="shared" ca="1" si="44"/>
        <v>16.76191747685516</v>
      </c>
      <c r="BP2862" t="b">
        <v>0</v>
      </c>
      <c r="BQ2862">
        <v>1</v>
      </c>
      <c r="BR2862" t="s">
        <v>1686</v>
      </c>
      <c r="BS2862" t="s">
        <v>2818</v>
      </c>
      <c r="BT2862" t="b">
        <v>0</v>
      </c>
      <c r="BU2862" t="s">
        <v>1738</v>
      </c>
      <c r="BV2862" t="s">
        <v>1668</v>
      </c>
      <c r="BW2862">
        <v>525</v>
      </c>
      <c r="BY2862">
        <v>109587</v>
      </c>
      <c r="BZ2862" t="s">
        <v>1672</v>
      </c>
      <c r="CA2862">
        <v>1</v>
      </c>
      <c r="CB2862" t="b">
        <v>1</v>
      </c>
      <c r="CC2862">
        <v>0</v>
      </c>
      <c r="CD2862" t="b">
        <v>0</v>
      </c>
      <c r="CE2862" t="b">
        <v>1</v>
      </c>
      <c r="CF2862" t="b">
        <v>0</v>
      </c>
      <c r="CG2862">
        <v>2512147</v>
      </c>
      <c r="CH2862" t="s">
        <v>1681</v>
      </c>
      <c r="CI2862" s="10">
        <v>485000</v>
      </c>
      <c r="CJ2862" s="7">
        <v>37179</v>
      </c>
    </row>
    <row r="2863" spans="1:88">
      <c r="A2863">
        <v>28050982</v>
      </c>
      <c r="B2863" s="15" t="str">
        <f>HYPERLINK("http://www.redfin.com/stingray/do/printable-listing?listing-id=1585385","Subject To Inspection")</f>
        <v>Subject To Inspection</v>
      </c>
      <c r="D2863" t="s">
        <v>3249</v>
      </c>
      <c r="E2863" t="s">
        <v>6353</v>
      </c>
      <c r="F2863">
        <v>549950</v>
      </c>
      <c r="G2863">
        <v>1908</v>
      </c>
      <c r="H2863">
        <v>2380</v>
      </c>
      <c r="I2863">
        <v>3480</v>
      </c>
      <c r="J2863">
        <v>3</v>
      </c>
      <c r="K2863">
        <v>1.75</v>
      </c>
      <c r="M2863" s="2" t="str">
        <f>HYPERLINK("http://maps.live.com/default.aspx?v=2&amp;lvl=15&amp;sp=Point.47.641643_-122.35596_20 Smith St&amp;cp=47.641643~-122.35596","Map")</f>
        <v>Map</v>
      </c>
      <c r="N2863" s="2" t="str">
        <f>HYPERLINK("http://i-0.rfimg.us/photo/1/bigphoto/982/28050982_3.jpg","Photo")</f>
        <v>Photo</v>
      </c>
      <c r="AG2863">
        <v>47.641643000000002</v>
      </c>
      <c r="AH2863">
        <v>-122.35596</v>
      </c>
      <c r="AI2863" t="s">
        <v>66</v>
      </c>
      <c r="AJ2863">
        <v>98109</v>
      </c>
      <c r="AN2863">
        <v>383500</v>
      </c>
      <c r="BC2863" s="22">
        <v>39532.379976851851</v>
      </c>
      <c r="BI2863" s="22">
        <v>39549.294907407406</v>
      </c>
      <c r="BL2863">
        <v>10999</v>
      </c>
      <c r="BM2863">
        <v>1585385</v>
      </c>
      <c r="BN2863" t="s">
        <v>1710</v>
      </c>
      <c r="BO2863" s="17">
        <f t="shared" ca="1" si="44"/>
        <v>16.929429050927865</v>
      </c>
      <c r="BP2863" t="b">
        <v>0</v>
      </c>
      <c r="BQ2863">
        <v>1</v>
      </c>
      <c r="BR2863" t="s">
        <v>1686</v>
      </c>
      <c r="BS2863" t="s">
        <v>3357</v>
      </c>
      <c r="BT2863" t="b">
        <v>0</v>
      </c>
      <c r="BV2863" t="s">
        <v>1668</v>
      </c>
      <c r="BW2863">
        <v>20</v>
      </c>
      <c r="BY2863">
        <v>131499</v>
      </c>
      <c r="BZ2863" t="s">
        <v>6354</v>
      </c>
      <c r="CA2863">
        <v>1</v>
      </c>
      <c r="CB2863" t="b">
        <v>1</v>
      </c>
      <c r="CC2863">
        <v>0</v>
      </c>
      <c r="CD2863" t="b">
        <v>0</v>
      </c>
      <c r="CE2863" t="b">
        <v>1</v>
      </c>
      <c r="CF2863" t="b">
        <v>0</v>
      </c>
      <c r="CG2863">
        <v>2522045</v>
      </c>
      <c r="CH2863" t="s">
        <v>1681</v>
      </c>
      <c r="CI2863" s="10">
        <v>549950</v>
      </c>
      <c r="CJ2863" s="7">
        <v>37643</v>
      </c>
    </row>
    <row r="2864" spans="1:88">
      <c r="A2864">
        <v>28050992</v>
      </c>
      <c r="B2864" s="2" t="str">
        <f>HYPERLINK("http://www.redfin.com/stingray/do/printable-listing?listing-id=1586369","Active")</f>
        <v>Active</v>
      </c>
      <c r="D2864" t="s">
        <v>3066</v>
      </c>
      <c r="E2864" t="s">
        <v>6428</v>
      </c>
      <c r="F2864">
        <v>449950</v>
      </c>
      <c r="G2864">
        <v>1971</v>
      </c>
      <c r="H2864">
        <v>1614</v>
      </c>
      <c r="I2864">
        <v>10220</v>
      </c>
      <c r="J2864">
        <v>4</v>
      </c>
      <c r="K2864">
        <v>2</v>
      </c>
      <c r="M2864" s="2" t="str">
        <f>HYPERLINK("http://maps.live.com/default.aspx?v=2&amp;lvl=15&amp;sp=Point.47.673414_-122.158798_7710 135th Pl NE&amp;cp=47.673414~-122.158798","Map")</f>
        <v>Map</v>
      </c>
      <c r="N2864" s="2" t="str">
        <f>HYPERLINK("http://i-0.rfimg.us/photo/1/bigphoto/992/28050992_2.jpg","Photo")</f>
        <v>Photo</v>
      </c>
      <c r="AG2864">
        <v>47.673414000000001</v>
      </c>
      <c r="AH2864">
        <v>-122.158798</v>
      </c>
      <c r="AI2864" t="s">
        <v>4363</v>
      </c>
      <c r="AJ2864">
        <v>98052</v>
      </c>
      <c r="AN2864">
        <v>250000</v>
      </c>
      <c r="BC2864" s="22">
        <v>39532.578645833331</v>
      </c>
      <c r="BI2864" s="22">
        <v>39549.294907407406</v>
      </c>
      <c r="BL2864">
        <v>8999</v>
      </c>
      <c r="BM2864">
        <v>1586369</v>
      </c>
      <c r="BN2864" t="s">
        <v>2136</v>
      </c>
      <c r="BO2864" s="17">
        <f t="shared" ca="1" si="44"/>
        <v>16.73076006944757</v>
      </c>
      <c r="BP2864" t="b">
        <v>0</v>
      </c>
      <c r="BQ2864">
        <v>1</v>
      </c>
      <c r="BR2864" t="s">
        <v>1842</v>
      </c>
      <c r="BS2864" t="s">
        <v>3909</v>
      </c>
      <c r="BT2864" t="b">
        <v>0</v>
      </c>
      <c r="BV2864" t="s">
        <v>1668</v>
      </c>
      <c r="BW2864">
        <v>7710</v>
      </c>
      <c r="BX2864" t="s">
        <v>1738</v>
      </c>
      <c r="BY2864">
        <v>517200</v>
      </c>
      <c r="BZ2864" t="s">
        <v>6429</v>
      </c>
      <c r="CA2864">
        <v>1</v>
      </c>
      <c r="CB2864" t="b">
        <v>1</v>
      </c>
      <c r="CC2864">
        <v>0</v>
      </c>
      <c r="CD2864" t="b">
        <v>0</v>
      </c>
      <c r="CE2864" t="b">
        <v>1</v>
      </c>
      <c r="CF2864" t="b">
        <v>0</v>
      </c>
      <c r="CG2864">
        <v>2576609</v>
      </c>
      <c r="CH2864" t="s">
        <v>1681</v>
      </c>
      <c r="CI2864" s="10">
        <v>449950</v>
      </c>
      <c r="CJ2864" s="7">
        <v>37210</v>
      </c>
    </row>
    <row r="2865" spans="1:90">
      <c r="A2865">
        <v>28050994</v>
      </c>
      <c r="B2865" s="2" t="str">
        <f>HYPERLINK("http://www.redfin.com/stingray/do/printable-listing?listing-id=1585386","Active")</f>
        <v>Active</v>
      </c>
      <c r="D2865" t="s">
        <v>192</v>
      </c>
      <c r="E2865" t="s">
        <v>3107</v>
      </c>
      <c r="F2865">
        <v>498000</v>
      </c>
      <c r="G2865">
        <v>1908</v>
      </c>
      <c r="H2865">
        <v>1740</v>
      </c>
      <c r="I2865">
        <v>5100</v>
      </c>
      <c r="J2865">
        <v>2</v>
      </c>
      <c r="K2865">
        <v>1.5</v>
      </c>
      <c r="M2865" s="2" t="str">
        <f>HYPERLINK("http://maps.live.com/default.aspx?v=2&amp;lvl=15&amp;sp=Point.47.686986_-122.320504_558 NE 80th St&amp;cp=47.686986~-122.320504","Map")</f>
        <v>Map</v>
      </c>
      <c r="N2865" s="2" t="str">
        <f>HYPERLINK("http://i-0.rfimg.us/photo/1/bigphoto/994/28050994_1.jpg","Photo")</f>
        <v>Photo</v>
      </c>
      <c r="AG2865">
        <v>47.686985999999997</v>
      </c>
      <c r="AH2865">
        <v>-122.320504</v>
      </c>
      <c r="AI2865" t="s">
        <v>66</v>
      </c>
      <c r="AJ2865">
        <v>98115</v>
      </c>
      <c r="AN2865">
        <v>148950</v>
      </c>
      <c r="BC2865" s="22">
        <v>39532.379976851851</v>
      </c>
      <c r="BI2865" s="22">
        <v>39549.294907407406</v>
      </c>
      <c r="BL2865">
        <v>9960</v>
      </c>
      <c r="BM2865">
        <v>1585386</v>
      </c>
      <c r="BN2865" t="s">
        <v>1702</v>
      </c>
      <c r="BO2865" s="17">
        <f t="shared" ca="1" si="44"/>
        <v>16.929429050927865</v>
      </c>
      <c r="BP2865" t="b">
        <v>0</v>
      </c>
      <c r="BQ2865">
        <v>1</v>
      </c>
      <c r="BR2865" t="s">
        <v>1686</v>
      </c>
      <c r="BS2865" t="s">
        <v>1711</v>
      </c>
      <c r="BT2865" t="b">
        <v>0</v>
      </c>
      <c r="BU2865" t="s">
        <v>1738</v>
      </c>
      <c r="BV2865" t="s">
        <v>1668</v>
      </c>
      <c r="BW2865">
        <v>558</v>
      </c>
      <c r="BY2865">
        <v>108422</v>
      </c>
      <c r="BZ2865" t="s">
        <v>2799</v>
      </c>
      <c r="CA2865">
        <v>1</v>
      </c>
      <c r="CB2865" t="b">
        <v>1</v>
      </c>
      <c r="CC2865">
        <v>0</v>
      </c>
      <c r="CD2865" t="b">
        <v>0</v>
      </c>
      <c r="CE2865" t="b">
        <v>1</v>
      </c>
      <c r="CF2865" t="b">
        <v>0</v>
      </c>
      <c r="CG2865">
        <v>2374346</v>
      </c>
      <c r="CH2865" t="s">
        <v>1681</v>
      </c>
      <c r="CI2865" s="10">
        <v>498000</v>
      </c>
      <c r="CJ2865" s="7">
        <v>35256</v>
      </c>
      <c r="CL2865" t="s">
        <v>6824</v>
      </c>
    </row>
    <row r="2866" spans="1:90">
      <c r="A2866">
        <v>28050999</v>
      </c>
      <c r="B2866" s="2" t="str">
        <f>HYPERLINK("http://www.redfin.com/stingray/do/printable-listing?listing-id=1586683","Active")</f>
        <v>Active</v>
      </c>
      <c r="D2866" t="s">
        <v>5164</v>
      </c>
      <c r="E2866" t="s">
        <v>6449</v>
      </c>
      <c r="F2866">
        <v>1175000</v>
      </c>
      <c r="G2866">
        <v>1957</v>
      </c>
      <c r="H2866">
        <v>3660</v>
      </c>
      <c r="I2866">
        <v>15246</v>
      </c>
      <c r="J2866">
        <v>6</v>
      </c>
      <c r="K2866">
        <v>2.5</v>
      </c>
      <c r="M2866" s="2" t="str">
        <f>HYPERLINK("http://maps.live.com/default.aspx?v=2&amp;lvl=15&amp;sp=Point.47.574377_-122.214403_9304 Mercerwood Dr&amp;cp=47.574377~-122.214403","Map")</f>
        <v>Map</v>
      </c>
      <c r="N2866" s="2" t="str">
        <f>HYPERLINK("http://i-0.rfimg.us/photo/1/bigphoto/999/28050999_0.jpg","Photo")</f>
        <v>Photo</v>
      </c>
      <c r="AG2866">
        <v>47.574376999999998</v>
      </c>
      <c r="AH2866">
        <v>-122.214403</v>
      </c>
      <c r="AI2866" t="s">
        <v>5139</v>
      </c>
      <c r="AJ2866">
        <v>98040</v>
      </c>
      <c r="BC2866" s="22">
        <v>39532.652662037035</v>
      </c>
      <c r="BI2866" s="22">
        <v>39549.294907407406</v>
      </c>
      <c r="BL2866">
        <v>23500</v>
      </c>
      <c r="BM2866">
        <v>1586683</v>
      </c>
      <c r="BN2866" t="s">
        <v>1710</v>
      </c>
      <c r="BO2866" s="17">
        <f t="shared" ca="1" si="44"/>
        <v>16.65674386574392</v>
      </c>
      <c r="BP2866" t="b">
        <v>0</v>
      </c>
      <c r="BQ2866">
        <v>1</v>
      </c>
      <c r="BR2866" t="s">
        <v>1816</v>
      </c>
      <c r="BS2866" t="s">
        <v>5164</v>
      </c>
      <c r="BT2866" t="b">
        <v>0</v>
      </c>
      <c r="BV2866" t="s">
        <v>1668</v>
      </c>
      <c r="BW2866">
        <v>9304</v>
      </c>
      <c r="BY2866">
        <v>255052</v>
      </c>
      <c r="BZ2866" t="s">
        <v>1672</v>
      </c>
      <c r="CA2866">
        <v>1</v>
      </c>
      <c r="CB2866" t="b">
        <v>1</v>
      </c>
      <c r="CC2866">
        <v>0</v>
      </c>
      <c r="CD2866" t="b">
        <v>0</v>
      </c>
      <c r="CE2866" t="b">
        <v>1</v>
      </c>
      <c r="CF2866" t="b">
        <v>0</v>
      </c>
      <c r="CG2866">
        <v>2783509</v>
      </c>
      <c r="CH2866" t="s">
        <v>1681</v>
      </c>
      <c r="CI2866" s="10">
        <v>1175000</v>
      </c>
    </row>
    <row r="2867" spans="1:90">
      <c r="A2867">
        <v>28051039</v>
      </c>
      <c r="B2867" s="2" t="str">
        <f>HYPERLINK("http://www.redfin.com/stingray/do/printable-listing?listing-id=1585618","Active")</f>
        <v>Active</v>
      </c>
      <c r="D2867" t="s">
        <v>5263</v>
      </c>
      <c r="E2867" t="s">
        <v>5262</v>
      </c>
      <c r="F2867">
        <v>670000</v>
      </c>
      <c r="G2867">
        <v>1984</v>
      </c>
      <c r="H2867">
        <v>2690</v>
      </c>
      <c r="I2867">
        <v>16117</v>
      </c>
      <c r="J2867">
        <v>3</v>
      </c>
      <c r="K2867">
        <v>3</v>
      </c>
      <c r="M2867" s="2" t="str">
        <f>HYPERLINK("http://maps.live.com/default.aspx?v=2&amp;lvl=15&amp;sp=Point.47.580112_-122.117505_3338 166 Pl SE&amp;cp=47.580112~-122.117505","Map")</f>
        <v>Map</v>
      </c>
      <c r="N2867" s="2" t="str">
        <f>HYPERLINK("http://i-0.rfimg.us/photo/1/bigphoto/039/28051039_0.jpg","Photo")</f>
        <v>Photo</v>
      </c>
      <c r="AG2867">
        <v>47.580112</v>
      </c>
      <c r="AH2867">
        <v>-122.11750499999999</v>
      </c>
      <c r="AI2867" t="s">
        <v>369</v>
      </c>
      <c r="AJ2867">
        <v>98008</v>
      </c>
      <c r="AN2867">
        <v>155000</v>
      </c>
      <c r="BC2867" s="22">
        <v>39532.443495370368</v>
      </c>
      <c r="BI2867" s="22">
        <v>39549.294907407406</v>
      </c>
      <c r="BL2867">
        <v>13400</v>
      </c>
      <c r="BM2867">
        <v>1585618</v>
      </c>
      <c r="BN2867" t="s">
        <v>1688</v>
      </c>
      <c r="BO2867" s="17">
        <f t="shared" ca="1" si="44"/>
        <v>16.865910532411363</v>
      </c>
      <c r="BP2867" t="b">
        <v>0</v>
      </c>
      <c r="BQ2867">
        <v>1</v>
      </c>
      <c r="BR2867" t="s">
        <v>1842</v>
      </c>
      <c r="BS2867">
        <v>166</v>
      </c>
      <c r="BT2867" t="b">
        <v>0</v>
      </c>
      <c r="BV2867" t="s">
        <v>1668</v>
      </c>
      <c r="BW2867">
        <v>3338</v>
      </c>
      <c r="BX2867" t="s">
        <v>3856</v>
      </c>
      <c r="BY2867">
        <v>428209</v>
      </c>
      <c r="BZ2867" t="s">
        <v>1672</v>
      </c>
      <c r="CA2867">
        <v>1</v>
      </c>
      <c r="CB2867" t="b">
        <v>1</v>
      </c>
      <c r="CC2867">
        <v>0</v>
      </c>
      <c r="CD2867" t="b">
        <v>0</v>
      </c>
      <c r="CE2867" t="b">
        <v>1</v>
      </c>
      <c r="CF2867" t="b">
        <v>0</v>
      </c>
      <c r="CG2867">
        <v>2868773</v>
      </c>
      <c r="CH2867" t="s">
        <v>1681</v>
      </c>
      <c r="CI2867" s="10">
        <v>670000</v>
      </c>
      <c r="CJ2867" s="7">
        <v>38859</v>
      </c>
    </row>
    <row r="2868" spans="1:90">
      <c r="A2868">
        <v>28051049</v>
      </c>
      <c r="B2868" s="2" t="str">
        <f>HYPERLINK("http://www.redfin.com/stingray/do/printable-listing?listing-id=1585531","Active")</f>
        <v>Active</v>
      </c>
      <c r="D2868" t="s">
        <v>3885</v>
      </c>
      <c r="E2868" t="s">
        <v>6453</v>
      </c>
      <c r="F2868" s="19">
        <v>575000</v>
      </c>
      <c r="G2868">
        <v>2001</v>
      </c>
      <c r="H2868">
        <v>1741</v>
      </c>
      <c r="I2868">
        <v>0</v>
      </c>
      <c r="J2868">
        <v>2</v>
      </c>
      <c r="K2868">
        <v>2</v>
      </c>
      <c r="M2868" s="2" t="str">
        <f>HYPERLINK("http://maps.live.com/default.aspx?v=2&amp;lvl=15&amp;sp=Point.47.5389_-122.1906_6427 112th Ave SE&amp;cp=47.5389~-122.1906","Map")</f>
        <v>Map</v>
      </c>
      <c r="N2868" s="2" t="str">
        <f>HYPERLINK("http://i-0.rfimg.us/photo/1/bigphoto/049/28051049_0.jpg","Photo")</f>
        <v>Photo</v>
      </c>
      <c r="AG2868">
        <v>47.538899999999998</v>
      </c>
      <c r="AH2868">
        <v>-122.1906</v>
      </c>
      <c r="AI2868" t="s">
        <v>3885</v>
      </c>
      <c r="AJ2868">
        <v>98056</v>
      </c>
      <c r="BC2868" s="22">
        <v>39532.422962962963</v>
      </c>
      <c r="BI2868" s="22">
        <v>39549.294907407406</v>
      </c>
      <c r="BL2868">
        <v>11970</v>
      </c>
      <c r="BM2868">
        <v>1585531</v>
      </c>
      <c r="BN2868" t="s">
        <v>3092</v>
      </c>
      <c r="BO2868" s="17">
        <f t="shared" ca="1" si="44"/>
        <v>16.886442939816334</v>
      </c>
      <c r="BP2868" t="b">
        <v>0</v>
      </c>
      <c r="BQ2868">
        <v>1</v>
      </c>
      <c r="BR2868" t="s">
        <v>1667</v>
      </c>
      <c r="BS2868" t="s">
        <v>4382</v>
      </c>
      <c r="BT2868" t="b">
        <v>0</v>
      </c>
      <c r="BV2868" t="s">
        <v>1668</v>
      </c>
      <c r="BW2868">
        <v>6427</v>
      </c>
      <c r="BX2868" t="s">
        <v>3856</v>
      </c>
      <c r="BY2868">
        <v>12423051</v>
      </c>
      <c r="BZ2868" t="s">
        <v>1672</v>
      </c>
      <c r="CA2868">
        <v>1</v>
      </c>
      <c r="CB2868" t="b">
        <v>1</v>
      </c>
      <c r="CC2868">
        <v>0</v>
      </c>
      <c r="CD2868" t="b">
        <v>0</v>
      </c>
      <c r="CE2868" t="b">
        <v>1</v>
      </c>
      <c r="CF2868" t="b">
        <v>0</v>
      </c>
      <c r="CG2868">
        <v>15626799</v>
      </c>
      <c r="CH2868" t="s">
        <v>1681</v>
      </c>
      <c r="CI2868" s="10">
        <v>598500</v>
      </c>
    </row>
    <row r="2869" spans="1:90">
      <c r="A2869">
        <v>28051085</v>
      </c>
      <c r="B2869" s="2" t="str">
        <f>HYPERLINK("http://www.redfin.com/stingray/do/printable-listing?listing-id=1585772","Active")</f>
        <v>Active</v>
      </c>
      <c r="D2869" t="s">
        <v>5058</v>
      </c>
      <c r="E2869" t="s">
        <v>6441</v>
      </c>
      <c r="F2869">
        <v>1250000</v>
      </c>
      <c r="G2869">
        <v>1948</v>
      </c>
      <c r="H2869">
        <v>3140</v>
      </c>
      <c r="I2869">
        <v>19863</v>
      </c>
      <c r="J2869">
        <v>4</v>
      </c>
      <c r="K2869">
        <v>2</v>
      </c>
      <c r="M2869" s="2" t="str">
        <f>HYPERLINK("http://maps.live.com/default.aspx?v=2&amp;lvl=15&amp;sp=Point.47.621605_-122.236462_7652 NE 12th St&amp;cp=47.621605~-122.236462","Map")</f>
        <v>Map</v>
      </c>
      <c r="N2869" s="2" t="str">
        <f>HYPERLINK("http://i-0.rfimg.us/photo/1/bigphoto/085/28051085_1.jpg","Photo")</f>
        <v>Photo</v>
      </c>
      <c r="AG2869">
        <v>47.621605000000002</v>
      </c>
      <c r="AH2869">
        <v>-122.236462</v>
      </c>
      <c r="AI2869" t="s">
        <v>5058</v>
      </c>
      <c r="AJ2869">
        <v>98039</v>
      </c>
      <c r="BC2869" s="22">
        <v>39532.47483796296</v>
      </c>
      <c r="BI2869" s="22">
        <v>39549.294907407406</v>
      </c>
      <c r="BL2869">
        <v>25000</v>
      </c>
      <c r="BM2869">
        <v>1585772</v>
      </c>
      <c r="BN2869" t="s">
        <v>1725</v>
      </c>
      <c r="BO2869" s="17">
        <f t="shared" ca="1" si="44"/>
        <v>16.834567939818953</v>
      </c>
      <c r="BP2869" t="b">
        <v>0</v>
      </c>
      <c r="BQ2869">
        <v>1</v>
      </c>
      <c r="BR2869" t="s">
        <v>1686</v>
      </c>
      <c r="BS2869" t="s">
        <v>1803</v>
      </c>
      <c r="BT2869" t="b">
        <v>0</v>
      </c>
      <c r="BU2869" t="s">
        <v>1738</v>
      </c>
      <c r="BV2869" t="s">
        <v>1668</v>
      </c>
      <c r="BW2869">
        <v>7652</v>
      </c>
      <c r="BY2869">
        <v>251703</v>
      </c>
      <c r="BZ2869" t="s">
        <v>6442</v>
      </c>
      <c r="CA2869">
        <v>1</v>
      </c>
      <c r="CB2869" t="b">
        <v>1</v>
      </c>
      <c r="CC2869">
        <v>0</v>
      </c>
      <c r="CD2869" t="b">
        <v>0</v>
      </c>
      <c r="CE2869" t="b">
        <v>1</v>
      </c>
      <c r="CF2869" t="b">
        <v>0</v>
      </c>
      <c r="CG2869">
        <v>2611492</v>
      </c>
      <c r="CH2869" t="s">
        <v>1681</v>
      </c>
      <c r="CI2869" s="10">
        <v>1250000</v>
      </c>
    </row>
    <row r="2870" spans="1:90">
      <c r="A2870">
        <v>28051107</v>
      </c>
      <c r="B2870" s="15" t="str">
        <f>HYPERLINK("http://www.redfin.com/stingray/do/printable-listing?listing-id=1587849","Subject To Inspection")</f>
        <v>Subject To Inspection</v>
      </c>
      <c r="D2870" t="s">
        <v>60</v>
      </c>
      <c r="E2870" t="s">
        <v>6326</v>
      </c>
      <c r="F2870">
        <v>524950</v>
      </c>
      <c r="G2870">
        <v>1911</v>
      </c>
      <c r="H2870">
        <v>2020</v>
      </c>
      <c r="I2870">
        <v>3150</v>
      </c>
      <c r="J2870">
        <v>3</v>
      </c>
      <c r="K2870">
        <v>1.75</v>
      </c>
      <c r="M2870" s="2" t="str">
        <f>HYPERLINK("http://maps.live.com/default.aspx?v=2&amp;lvl=15&amp;sp=Point.47.667438_-122.336073_5304 Wallingford Ave N&amp;cp=47.667438~-122.336073","Map")</f>
        <v>Map</v>
      </c>
      <c r="N2870" s="2" t="str">
        <f>HYPERLINK("http://i-0.rfimg.us/photo/1/bigphoto/107/28051107_0.jpg","Photo")</f>
        <v>Photo</v>
      </c>
      <c r="AG2870">
        <v>47.667437999999997</v>
      </c>
      <c r="AH2870">
        <v>-122.336073</v>
      </c>
      <c r="AI2870" t="s">
        <v>66</v>
      </c>
      <c r="AJ2870">
        <v>98103</v>
      </c>
      <c r="AN2870">
        <v>475000</v>
      </c>
      <c r="BC2870" s="22">
        <v>39533.046284722222</v>
      </c>
      <c r="BI2870" s="7">
        <v>39535</v>
      </c>
      <c r="BL2870">
        <v>10499</v>
      </c>
      <c r="BM2870">
        <v>1587849</v>
      </c>
      <c r="BN2870" t="s">
        <v>3701</v>
      </c>
      <c r="BO2870" s="17">
        <f t="shared" ca="1" si="44"/>
        <v>16.263121180556482</v>
      </c>
      <c r="BP2870" t="b">
        <v>0</v>
      </c>
      <c r="BQ2870">
        <v>1</v>
      </c>
      <c r="BR2870" t="s">
        <v>1667</v>
      </c>
      <c r="BS2870" t="s">
        <v>109</v>
      </c>
      <c r="BT2870" t="b">
        <v>0</v>
      </c>
      <c r="BV2870" t="s">
        <v>1668</v>
      </c>
      <c r="BW2870">
        <v>5304</v>
      </c>
      <c r="BX2870" t="s">
        <v>1712</v>
      </c>
      <c r="BY2870">
        <v>304159</v>
      </c>
      <c r="BZ2870" t="s">
        <v>1676</v>
      </c>
      <c r="CA2870">
        <v>1</v>
      </c>
      <c r="CB2870" t="b">
        <v>1</v>
      </c>
      <c r="CC2870">
        <v>0</v>
      </c>
      <c r="CD2870" t="b">
        <v>0</v>
      </c>
      <c r="CE2870" t="b">
        <v>1</v>
      </c>
      <c r="CF2870" t="b">
        <v>0</v>
      </c>
      <c r="CG2870">
        <v>2891360</v>
      </c>
      <c r="CH2870" t="s">
        <v>1681</v>
      </c>
      <c r="CI2870" s="10">
        <v>524950</v>
      </c>
      <c r="CJ2870" s="7">
        <v>38568</v>
      </c>
    </row>
    <row r="2871" spans="1:90">
      <c r="A2871">
        <v>28051122</v>
      </c>
      <c r="B2871" s="2" t="str">
        <f>HYPERLINK("http://www.redfin.com/stingray/do/printable-listing?listing-id=1585711","Active")</f>
        <v>Active</v>
      </c>
      <c r="D2871" t="s">
        <v>5204</v>
      </c>
      <c r="E2871" t="s">
        <v>6439</v>
      </c>
      <c r="F2871">
        <v>699950</v>
      </c>
      <c r="G2871">
        <v>1953</v>
      </c>
      <c r="H2871">
        <v>1040</v>
      </c>
      <c r="I2871">
        <v>16988</v>
      </c>
      <c r="J2871">
        <v>2</v>
      </c>
      <c r="K2871">
        <v>1</v>
      </c>
      <c r="M2871" s="2" t="str">
        <f>HYPERLINK("http://maps.live.com/default.aspx?v=2&amp;lvl=15&amp;sp=Point.47.600186_-122.150076_1023 143rd Ave SE&amp;cp=47.600186~-122.150076","Map")</f>
        <v>Map</v>
      </c>
      <c r="N2871" s="2" t="str">
        <f>HYPERLINK("http://i-0.rfimg.us/photo/1/bigphoto/122/28051122_.jpg","Photo")</f>
        <v>Photo</v>
      </c>
      <c r="AG2871">
        <v>47.600186000000001</v>
      </c>
      <c r="AH2871">
        <v>-122.150076</v>
      </c>
      <c r="AI2871" t="s">
        <v>369</v>
      </c>
      <c r="AJ2871">
        <v>98007</v>
      </c>
      <c r="AN2871">
        <v>345000</v>
      </c>
      <c r="BC2871" s="22">
        <v>39532.463854166665</v>
      </c>
      <c r="BI2871" s="22">
        <v>39549.294907407406</v>
      </c>
      <c r="BL2871">
        <v>13999</v>
      </c>
      <c r="BM2871">
        <v>1585711</v>
      </c>
      <c r="BN2871" t="s">
        <v>1735</v>
      </c>
      <c r="BO2871" s="17">
        <f t="shared" ca="1" si="44"/>
        <v>16.84555173611443</v>
      </c>
      <c r="BP2871" t="b">
        <v>0</v>
      </c>
      <c r="BQ2871">
        <v>1</v>
      </c>
      <c r="BR2871" t="s">
        <v>1667</v>
      </c>
      <c r="BS2871" t="s">
        <v>6440</v>
      </c>
      <c r="BT2871" t="b">
        <v>0</v>
      </c>
      <c r="BV2871" t="s">
        <v>1668</v>
      </c>
      <c r="BW2871">
        <v>1023</v>
      </c>
      <c r="BX2871" t="s">
        <v>3856</v>
      </c>
      <c r="BY2871">
        <v>425820</v>
      </c>
      <c r="CA2871">
        <v>1</v>
      </c>
      <c r="CB2871" t="b">
        <v>1</v>
      </c>
      <c r="CC2871">
        <v>0</v>
      </c>
      <c r="CD2871" t="b">
        <v>0</v>
      </c>
      <c r="CE2871" t="b">
        <v>1</v>
      </c>
      <c r="CF2871" t="b">
        <v>0</v>
      </c>
      <c r="CG2871">
        <v>2757804</v>
      </c>
      <c r="CH2871" t="s">
        <v>1681</v>
      </c>
      <c r="CI2871" s="10">
        <v>699950</v>
      </c>
      <c r="CJ2871" s="7">
        <v>38660</v>
      </c>
    </row>
    <row r="2872" spans="1:90">
      <c r="A2872">
        <v>28051143</v>
      </c>
      <c r="B2872" s="2" t="str">
        <f>HYPERLINK("http://www.redfin.com/stingray/do/printable-listing?listing-id=1585771","Active")</f>
        <v>Active</v>
      </c>
      <c r="D2872" t="s">
        <v>109</v>
      </c>
      <c r="E2872" t="s">
        <v>6327</v>
      </c>
      <c r="F2872">
        <v>669950</v>
      </c>
      <c r="G2872">
        <v>1921</v>
      </c>
      <c r="H2872">
        <v>1840</v>
      </c>
      <c r="I2872">
        <v>4100</v>
      </c>
      <c r="J2872">
        <v>3</v>
      </c>
      <c r="K2872">
        <v>1.75</v>
      </c>
      <c r="M2872" s="2" t="str">
        <f>HYPERLINK("http://maps.live.com/default.aspx?v=2&amp;lvl=15&amp;sp=Point.47.664079_-122.327544_4729 2nd Ave NE&amp;cp=47.664079~-122.327544","Map")</f>
        <v>Map</v>
      </c>
      <c r="N2872" s="2" t="str">
        <f>HYPERLINK("http://i-0.rfimg.us/photo/1/bigphoto/143/28051143_0.jpg","Photo")</f>
        <v>Photo</v>
      </c>
      <c r="AG2872">
        <v>47.664079000000001</v>
      </c>
      <c r="AH2872">
        <v>-122.327544</v>
      </c>
      <c r="AI2872" t="s">
        <v>66</v>
      </c>
      <c r="AJ2872">
        <v>98105</v>
      </c>
      <c r="AN2872">
        <v>535000</v>
      </c>
      <c r="BC2872" s="22">
        <v>39532.474814814814</v>
      </c>
      <c r="BI2872" s="7">
        <v>39538</v>
      </c>
      <c r="BL2872">
        <v>13399</v>
      </c>
      <c r="BM2872">
        <v>1585771</v>
      </c>
      <c r="BN2872" t="s">
        <v>1680</v>
      </c>
      <c r="BO2872" s="17">
        <f t="shared" ca="1" si="44"/>
        <v>16.834591087965237</v>
      </c>
      <c r="BP2872" t="b">
        <v>0</v>
      </c>
      <c r="BQ2872">
        <v>1</v>
      </c>
      <c r="BR2872" t="s">
        <v>1667</v>
      </c>
      <c r="BS2872" t="s">
        <v>1958</v>
      </c>
      <c r="BT2872" t="b">
        <v>0</v>
      </c>
      <c r="BV2872" t="s">
        <v>1668</v>
      </c>
      <c r="BW2872">
        <v>4729</v>
      </c>
      <c r="BX2872" t="s">
        <v>1738</v>
      </c>
      <c r="BY2872">
        <v>118039</v>
      </c>
      <c r="BZ2872" t="s">
        <v>1672</v>
      </c>
      <c r="CA2872">
        <v>1</v>
      </c>
      <c r="CB2872" t="b">
        <v>1</v>
      </c>
      <c r="CC2872">
        <v>0</v>
      </c>
      <c r="CD2872" t="b">
        <v>0</v>
      </c>
      <c r="CE2872" t="b">
        <v>1</v>
      </c>
      <c r="CF2872" t="b">
        <v>0</v>
      </c>
      <c r="CG2872">
        <v>2729067</v>
      </c>
      <c r="CH2872" t="s">
        <v>1681</v>
      </c>
      <c r="CI2872" s="10">
        <v>669950</v>
      </c>
      <c r="CJ2872" s="7">
        <v>38054</v>
      </c>
    </row>
    <row r="2873" spans="1:90">
      <c r="A2873">
        <v>28051155</v>
      </c>
      <c r="B2873" s="2" t="str">
        <f>HYPERLINK("http://www.redfin.com/stingray/do/printable-listing?listing-id=1585799","Active")</f>
        <v>Active</v>
      </c>
      <c r="D2873" t="s">
        <v>5490</v>
      </c>
      <c r="E2873" t="s">
        <v>6451</v>
      </c>
      <c r="F2873" s="19">
        <v>839900</v>
      </c>
      <c r="G2873">
        <v>1992</v>
      </c>
      <c r="H2873">
        <v>2900</v>
      </c>
      <c r="I2873">
        <v>7861</v>
      </c>
      <c r="J2873">
        <v>4</v>
      </c>
      <c r="K2873">
        <v>2.5</v>
      </c>
      <c r="M2873" s="2" t="str">
        <f>HYPERLINK("http://maps.live.com/default.aspx?v=2&amp;lvl=15&amp;sp=Point.47.559954_-122.115924_4783 171st Ave SE&amp;cp=47.559954~-122.115924","Map")</f>
        <v>Map</v>
      </c>
      <c r="N2873" s="2" t="str">
        <f>HYPERLINK("http://i-0.rfimg.us/photo/1/bigphoto/155/28051155_1.jpg","Photo")</f>
        <v>Photo</v>
      </c>
      <c r="AG2873">
        <v>47.559953999999998</v>
      </c>
      <c r="AH2873">
        <v>-122.11592400000001</v>
      </c>
      <c r="AI2873" t="s">
        <v>369</v>
      </c>
      <c r="AJ2873">
        <v>98006</v>
      </c>
      <c r="AN2873">
        <v>632500</v>
      </c>
      <c r="BC2873" s="22">
        <v>39532.486377314817</v>
      </c>
      <c r="BI2873" s="22">
        <v>39549.294907407406</v>
      </c>
      <c r="BL2873">
        <v>17180</v>
      </c>
      <c r="BM2873">
        <v>1585799</v>
      </c>
      <c r="BN2873" t="s">
        <v>1774</v>
      </c>
      <c r="BO2873" s="17">
        <f t="shared" ca="1" si="44"/>
        <v>16.823028587961744</v>
      </c>
      <c r="BP2873" t="b">
        <v>0</v>
      </c>
      <c r="BQ2873">
        <v>1</v>
      </c>
      <c r="BR2873" t="s">
        <v>1667</v>
      </c>
      <c r="BS2873" t="s">
        <v>4637</v>
      </c>
      <c r="BT2873" t="b">
        <v>0</v>
      </c>
      <c r="BV2873" t="s">
        <v>1668</v>
      </c>
      <c r="BW2873">
        <v>4783</v>
      </c>
      <c r="BX2873" t="s">
        <v>3856</v>
      </c>
      <c r="BY2873">
        <v>239989</v>
      </c>
      <c r="BZ2873" t="s">
        <v>1911</v>
      </c>
      <c r="CA2873">
        <v>1</v>
      </c>
      <c r="CB2873" t="b">
        <v>1</v>
      </c>
      <c r="CC2873">
        <v>0</v>
      </c>
      <c r="CD2873" t="b">
        <v>0</v>
      </c>
      <c r="CE2873" t="b">
        <v>1</v>
      </c>
      <c r="CF2873" t="b">
        <v>0</v>
      </c>
      <c r="CG2873">
        <v>2802571</v>
      </c>
      <c r="CH2873" t="s">
        <v>1681</v>
      </c>
      <c r="CI2873" s="10">
        <v>859000</v>
      </c>
      <c r="CJ2873" s="7">
        <v>38131</v>
      </c>
    </row>
    <row r="2874" spans="1:90">
      <c r="A2874">
        <v>28051174</v>
      </c>
      <c r="B2874" s="2" t="str">
        <f>HYPERLINK("http://www.redfin.com/stingray/do/printable-listing?listing-id=1595140","Active")</f>
        <v>Active</v>
      </c>
      <c r="D2874" t="s">
        <v>5191</v>
      </c>
      <c r="E2874" t="s">
        <v>6554</v>
      </c>
      <c r="F2874">
        <v>785000</v>
      </c>
      <c r="G2874">
        <v>1968</v>
      </c>
      <c r="H2874">
        <v>2010</v>
      </c>
      <c r="I2874">
        <v>10890</v>
      </c>
      <c r="J2874">
        <v>4</v>
      </c>
      <c r="K2874">
        <v>1.75</v>
      </c>
      <c r="M2874" s="2" t="str">
        <f>HYPERLINK("http://maps.live.com/default.aspx?v=2&amp;lvl=15&amp;sp=Point.47.564686_-122.152093_14153 SE 45th Pl&amp;cp=47.564686~-122.152093","Map")</f>
        <v>Map</v>
      </c>
      <c r="N2874" s="2" t="str">
        <f>HYPERLINK("http://i-0.rfimg.us/photo/1/bigphoto/174/28051174_0.jpg","Photo")</f>
        <v>Photo</v>
      </c>
      <c r="AG2874">
        <v>47.564686000000002</v>
      </c>
      <c r="AH2874">
        <v>-122.15209299999999</v>
      </c>
      <c r="AI2874" t="s">
        <v>369</v>
      </c>
      <c r="AJ2874">
        <v>98006</v>
      </c>
      <c r="AN2874">
        <v>650000</v>
      </c>
      <c r="BC2874" s="22">
        <v>39535.306238425925</v>
      </c>
      <c r="BI2874" s="22">
        <v>39547.913935185185</v>
      </c>
      <c r="BL2874">
        <v>15700</v>
      </c>
      <c r="BM2874">
        <v>1595140</v>
      </c>
      <c r="BN2874" t="s">
        <v>1735</v>
      </c>
      <c r="BO2874" s="17">
        <f t="shared" ca="1" si="44"/>
        <v>14.003167476854287</v>
      </c>
      <c r="BP2874" t="b">
        <v>0</v>
      </c>
      <c r="BQ2874">
        <v>1</v>
      </c>
      <c r="BR2874" t="s">
        <v>1842</v>
      </c>
      <c r="BS2874" t="s">
        <v>2667</v>
      </c>
      <c r="BT2874" t="b">
        <v>0</v>
      </c>
      <c r="BU2874" t="s">
        <v>3856</v>
      </c>
      <c r="BV2874" t="s">
        <v>1668</v>
      </c>
      <c r="BW2874">
        <v>14153</v>
      </c>
      <c r="BY2874">
        <v>239591</v>
      </c>
      <c r="BZ2874" t="s">
        <v>1713</v>
      </c>
      <c r="CA2874">
        <v>1</v>
      </c>
      <c r="CB2874" t="b">
        <v>1</v>
      </c>
      <c r="CC2874">
        <v>0</v>
      </c>
      <c r="CD2874" t="b">
        <v>0</v>
      </c>
      <c r="CE2874" t="b">
        <v>1</v>
      </c>
      <c r="CF2874" t="b">
        <v>0</v>
      </c>
      <c r="CG2874">
        <v>2414660</v>
      </c>
      <c r="CH2874" t="s">
        <v>1681</v>
      </c>
      <c r="CI2874" s="10">
        <v>785000</v>
      </c>
      <c r="CJ2874" s="7">
        <v>39062</v>
      </c>
    </row>
    <row r="2875" spans="1:90">
      <c r="A2875">
        <v>28051183</v>
      </c>
      <c r="B2875" s="2" t="str">
        <f>HYPERLINK("http://www.redfin.com/stingray/do/printable-listing?listing-id=1586843","Active")</f>
        <v>Active</v>
      </c>
      <c r="D2875" t="s">
        <v>60</v>
      </c>
      <c r="E2875" t="s">
        <v>6325</v>
      </c>
      <c r="F2875">
        <v>575000</v>
      </c>
      <c r="G2875">
        <v>1926</v>
      </c>
      <c r="H2875">
        <v>2210</v>
      </c>
      <c r="I2875">
        <v>4080</v>
      </c>
      <c r="J2875">
        <v>5</v>
      </c>
      <c r="K2875">
        <v>2</v>
      </c>
      <c r="M2875" s="2" t="str">
        <f>HYPERLINK("http://maps.live.com/default.aspx?v=2&amp;lvl=15&amp;sp=Point.47.684981_-122.342935_1132 N 77 St&amp;cp=47.684981~-122.342935","Map")</f>
        <v>Map</v>
      </c>
      <c r="N2875" s="2" t="str">
        <f>HYPERLINK("http://i-0.rfimg.us/photo/1/bigphoto/183/28051183_1.jpg","Photo")</f>
        <v>Photo</v>
      </c>
      <c r="AG2875">
        <v>47.684981000000001</v>
      </c>
      <c r="AH2875">
        <v>-122.342935</v>
      </c>
      <c r="AI2875" t="s">
        <v>66</v>
      </c>
      <c r="AJ2875">
        <v>98103</v>
      </c>
      <c r="AN2875">
        <v>219950</v>
      </c>
      <c r="BC2875" s="22">
        <v>39532.68409722222</v>
      </c>
      <c r="BI2875" s="22">
        <v>39549.294907407406</v>
      </c>
      <c r="BL2875">
        <v>11500</v>
      </c>
      <c r="BM2875">
        <v>1586843</v>
      </c>
      <c r="BN2875" t="s">
        <v>6324</v>
      </c>
      <c r="BO2875" s="17">
        <f t="shared" ca="1" si="44"/>
        <v>16.625308680559101</v>
      </c>
      <c r="BP2875" t="b">
        <v>0</v>
      </c>
      <c r="BQ2875">
        <v>1</v>
      </c>
      <c r="BR2875" t="s">
        <v>1686</v>
      </c>
      <c r="BS2875">
        <v>77</v>
      </c>
      <c r="BT2875" t="b">
        <v>0</v>
      </c>
      <c r="BU2875" t="s">
        <v>1712</v>
      </c>
      <c r="BV2875" t="s">
        <v>1668</v>
      </c>
      <c r="BW2875">
        <v>1132</v>
      </c>
      <c r="BY2875">
        <v>306314</v>
      </c>
      <c r="BZ2875" t="s">
        <v>2402</v>
      </c>
      <c r="CA2875">
        <v>1</v>
      </c>
      <c r="CB2875" t="b">
        <v>1</v>
      </c>
      <c r="CC2875">
        <v>0</v>
      </c>
      <c r="CD2875" t="b">
        <v>1</v>
      </c>
      <c r="CE2875" t="b">
        <v>1</v>
      </c>
      <c r="CF2875" t="b">
        <v>0</v>
      </c>
      <c r="CG2875">
        <v>2618123</v>
      </c>
      <c r="CH2875" t="s">
        <v>1681</v>
      </c>
      <c r="CI2875" s="10">
        <v>575000</v>
      </c>
      <c r="CJ2875" s="7">
        <v>35681</v>
      </c>
    </row>
    <row r="2876" spans="1:90">
      <c r="A2876">
        <v>28051185</v>
      </c>
      <c r="B2876" s="2" t="str">
        <f>HYPERLINK("http://www.redfin.com/stingray/do/printable-listing?listing-id=1585891","Active")</f>
        <v>Active</v>
      </c>
      <c r="D2876" s="19" t="s">
        <v>63</v>
      </c>
      <c r="E2876" t="s">
        <v>6333</v>
      </c>
      <c r="F2876">
        <v>575000</v>
      </c>
      <c r="G2876">
        <v>1928</v>
      </c>
      <c r="H2876">
        <v>2440</v>
      </c>
      <c r="I2876">
        <v>6930</v>
      </c>
      <c r="J2876">
        <v>3</v>
      </c>
      <c r="K2876">
        <v>2.5</v>
      </c>
      <c r="M2876" s="2" t="str">
        <f>HYPERLINK("http://maps.live.com/default.aspx?v=2&amp;lvl=15&amp;sp=Point.47.706072_-122.351061_10532 Evanston Ave N&amp;cp=47.706072~-122.351061","Map")</f>
        <v>Map</v>
      </c>
      <c r="N2876" s="2" t="str">
        <f>HYPERLINK("http://i-0.rfimg.us/photo/1/bigphoto/185/28051185_0.jpg","Photo")</f>
        <v>Photo</v>
      </c>
      <c r="AG2876">
        <v>47.706071999999999</v>
      </c>
      <c r="AH2876">
        <v>-122.351061</v>
      </c>
      <c r="AI2876" t="s">
        <v>66</v>
      </c>
      <c r="AJ2876">
        <v>98133</v>
      </c>
      <c r="AN2876">
        <v>179950</v>
      </c>
      <c r="BC2876" s="22">
        <v>39532.506238425929</v>
      </c>
      <c r="BI2876" s="22">
        <v>39549.294907407406</v>
      </c>
      <c r="BL2876">
        <v>11500</v>
      </c>
      <c r="BM2876">
        <v>1585891</v>
      </c>
      <c r="BN2876" t="s">
        <v>1710</v>
      </c>
      <c r="BO2876" s="17">
        <f t="shared" ca="1" si="44"/>
        <v>16.803167476849922</v>
      </c>
      <c r="BP2876" t="b">
        <v>0</v>
      </c>
      <c r="BQ2876">
        <v>1</v>
      </c>
      <c r="BR2876" t="s">
        <v>1667</v>
      </c>
      <c r="BS2876" t="s">
        <v>2487</v>
      </c>
      <c r="BT2876" t="b">
        <v>0</v>
      </c>
      <c r="BV2876" t="s">
        <v>1668</v>
      </c>
      <c r="BW2876">
        <v>10532</v>
      </c>
      <c r="BX2876" t="s">
        <v>1712</v>
      </c>
      <c r="BY2876">
        <v>98694</v>
      </c>
      <c r="BZ2876" s="21">
        <v>0</v>
      </c>
      <c r="CA2876">
        <v>1</v>
      </c>
      <c r="CB2876" t="b">
        <v>1</v>
      </c>
      <c r="CC2876">
        <v>0</v>
      </c>
      <c r="CD2876" t="b">
        <v>0</v>
      </c>
      <c r="CE2876" t="b">
        <v>1</v>
      </c>
      <c r="CF2876" t="b">
        <v>0</v>
      </c>
      <c r="CG2876">
        <v>2505622</v>
      </c>
      <c r="CH2876" t="s">
        <v>1681</v>
      </c>
      <c r="CI2876" s="10">
        <v>575000</v>
      </c>
      <c r="CJ2876" s="7">
        <v>35650</v>
      </c>
    </row>
    <row r="2877" spans="1:90">
      <c r="A2877">
        <v>28051226</v>
      </c>
      <c r="B2877" s="2" t="str">
        <f>HYPERLINK("http://www.redfin.com/stingray/do/printable-listing?listing-id=1586260","Active")</f>
        <v>Active</v>
      </c>
      <c r="D2877" t="s">
        <v>3071</v>
      </c>
      <c r="E2877" t="s">
        <v>4489</v>
      </c>
      <c r="F2877">
        <v>674950</v>
      </c>
      <c r="G2877">
        <v>2007</v>
      </c>
      <c r="H2877">
        <v>2425</v>
      </c>
      <c r="I2877">
        <v>0</v>
      </c>
      <c r="J2877">
        <v>4</v>
      </c>
      <c r="K2877">
        <v>2.5</v>
      </c>
      <c r="M2877" s="2" t="str">
        <f>HYPERLINK("http://maps.live.com/default.aspx?v=2&amp;lvl=15&amp;sp=Point.47.71126_-122.224793_12316 87th Ct NE&amp;cp=47.71126~-122.224793","Map")</f>
        <v>Map</v>
      </c>
      <c r="N2877" s="2" t="str">
        <f>HYPERLINK("http://i-0.rfimg.us/photo/1/bigphoto/226/28051226_0.jpg","Photo")</f>
        <v>Photo</v>
      </c>
      <c r="AG2877">
        <v>47.711260000000003</v>
      </c>
      <c r="AH2877">
        <v>-122.22479300000001</v>
      </c>
      <c r="AI2877" t="s">
        <v>1058</v>
      </c>
      <c r="AJ2877">
        <v>98034</v>
      </c>
      <c r="BC2877" s="22">
        <v>39532.557523148149</v>
      </c>
      <c r="BI2877" s="22">
        <v>39549.294907407406</v>
      </c>
      <c r="BL2877">
        <v>13499</v>
      </c>
      <c r="BM2877">
        <v>1586260</v>
      </c>
      <c r="BN2877" t="s">
        <v>1766</v>
      </c>
      <c r="BO2877" s="17">
        <f t="shared" ca="1" si="44"/>
        <v>16.75188275463006</v>
      </c>
      <c r="BP2877" t="b">
        <v>0</v>
      </c>
      <c r="BQ2877">
        <v>1</v>
      </c>
      <c r="BR2877" t="s">
        <v>3768</v>
      </c>
      <c r="BS2877" t="s">
        <v>1856</v>
      </c>
      <c r="BT2877" t="b">
        <v>0</v>
      </c>
      <c r="BV2877" t="s">
        <v>1668</v>
      </c>
      <c r="BW2877">
        <v>12316</v>
      </c>
      <c r="BX2877" t="s">
        <v>1738</v>
      </c>
      <c r="BY2877">
        <v>12065584</v>
      </c>
      <c r="BZ2877" t="s">
        <v>1762</v>
      </c>
      <c r="CA2877">
        <v>1</v>
      </c>
      <c r="CB2877" t="b">
        <v>1</v>
      </c>
      <c r="CC2877">
        <v>0</v>
      </c>
      <c r="CD2877" t="b">
        <v>0</v>
      </c>
      <c r="CE2877" t="b">
        <v>1</v>
      </c>
      <c r="CF2877" t="b">
        <v>0</v>
      </c>
      <c r="CG2877">
        <v>15319720</v>
      </c>
      <c r="CH2877" t="s">
        <v>1681</v>
      </c>
      <c r="CI2877" s="10">
        <v>674950</v>
      </c>
    </row>
    <row r="2878" spans="1:90">
      <c r="A2878">
        <v>28051257</v>
      </c>
      <c r="B2878" s="2" t="str">
        <f>HYPERLINK("http://www.redfin.com/stingray/do/printable-listing?listing-id=1588370","Active")</f>
        <v>Active</v>
      </c>
      <c r="D2878" t="s">
        <v>3966</v>
      </c>
      <c r="E2878" t="s">
        <v>6368</v>
      </c>
      <c r="F2878">
        <v>962000</v>
      </c>
      <c r="G2878">
        <v>1923</v>
      </c>
      <c r="H2878">
        <v>2130</v>
      </c>
      <c r="I2878">
        <v>0</v>
      </c>
      <c r="J2878">
        <v>3</v>
      </c>
      <c r="K2878">
        <v>3</v>
      </c>
      <c r="M2878" s="2" t="str">
        <f>HYPERLINK("http://maps.live.com/default.aspx?v=2&amp;lvl=15&amp;sp=Point.47.614539_-122.285417_1519 38th Ave&amp;cp=47.614539~-122.285417","Map")</f>
        <v>Map</v>
      </c>
      <c r="N2878" s="2" t="str">
        <f>HYPERLINK("http://i-0.rfimg.us/photo/1/bigphoto/257/28051257_1.jpg","Photo")</f>
        <v>Photo</v>
      </c>
      <c r="AG2878">
        <v>47.614539000000001</v>
      </c>
      <c r="AH2878">
        <v>-122.285417</v>
      </c>
      <c r="AI2878" t="s">
        <v>66</v>
      </c>
      <c r="AJ2878">
        <v>98122</v>
      </c>
      <c r="AN2878">
        <v>824500</v>
      </c>
      <c r="BC2878" s="22">
        <v>39533.389965277776</v>
      </c>
      <c r="BI2878" s="22">
        <v>39549.294907407406</v>
      </c>
      <c r="BL2878">
        <v>19240</v>
      </c>
      <c r="BM2878">
        <v>1588370</v>
      </c>
      <c r="BN2878" t="s">
        <v>1674</v>
      </c>
      <c r="BO2878" s="17">
        <f t="shared" ca="1" si="44"/>
        <v>15.919440625002608</v>
      </c>
      <c r="BP2878" t="b">
        <v>0</v>
      </c>
      <c r="BQ2878">
        <v>1</v>
      </c>
      <c r="BR2878" t="s">
        <v>1667</v>
      </c>
      <c r="BS2878" t="s">
        <v>3126</v>
      </c>
      <c r="BT2878" t="b">
        <v>0</v>
      </c>
      <c r="BV2878" t="s">
        <v>1668</v>
      </c>
      <c r="BW2878">
        <v>1519</v>
      </c>
      <c r="BY2878">
        <v>141389</v>
      </c>
      <c r="BZ2878" t="s">
        <v>4846</v>
      </c>
      <c r="CA2878">
        <v>1</v>
      </c>
      <c r="CB2878" t="b">
        <v>1</v>
      </c>
      <c r="CC2878">
        <v>0</v>
      </c>
      <c r="CD2878" t="b">
        <v>0</v>
      </c>
      <c r="CE2878" t="b">
        <v>1</v>
      </c>
      <c r="CF2878" t="b">
        <v>0</v>
      </c>
      <c r="CG2878">
        <v>2889552</v>
      </c>
      <c r="CH2878" t="s">
        <v>1681</v>
      </c>
      <c r="CI2878" s="10">
        <v>962000</v>
      </c>
      <c r="CJ2878" s="7">
        <v>38777</v>
      </c>
    </row>
    <row r="2879" spans="1:90">
      <c r="A2879">
        <v>28051284</v>
      </c>
      <c r="B2879" s="15" t="str">
        <f>HYPERLINK("http://www.redfin.com/stingray/do/printable-listing?listing-id=1586776","Subject To Inspection")</f>
        <v>Subject To Inspection</v>
      </c>
      <c r="D2879" t="s">
        <v>2850</v>
      </c>
      <c r="E2879" t="s">
        <v>6416</v>
      </c>
      <c r="F2879">
        <v>999950</v>
      </c>
      <c r="G2879">
        <v>1969</v>
      </c>
      <c r="H2879">
        <v>2973</v>
      </c>
      <c r="I2879">
        <v>12197</v>
      </c>
      <c r="J2879">
        <v>4</v>
      </c>
      <c r="K2879">
        <v>3</v>
      </c>
      <c r="M2879" s="2" t="str">
        <f>HYPERLINK("http://maps.live.com/default.aspx?v=2&amp;lvl=15&amp;sp=Point.47.698201_-122.231211_8247 NE Juanita Dr&amp;cp=47.698201~-122.231211","Map")</f>
        <v>Map</v>
      </c>
      <c r="N2879" s="2" t="str">
        <f>HYPERLINK("http://i-0.rfimg.us/photo/1/bigphoto/284/28051284_0.jpg","Photo")</f>
        <v>Photo</v>
      </c>
      <c r="AG2879">
        <v>47.698200999999997</v>
      </c>
      <c r="AH2879">
        <v>-122.231211</v>
      </c>
      <c r="AI2879" t="s">
        <v>1058</v>
      </c>
      <c r="AJ2879">
        <v>98034</v>
      </c>
      <c r="BC2879" s="22">
        <v>39532.661828703705</v>
      </c>
      <c r="BI2879" s="22">
        <v>39549.294907407406</v>
      </c>
      <c r="BL2879">
        <v>19999</v>
      </c>
      <c r="BM2879">
        <v>1586776</v>
      </c>
      <c r="BN2879" t="s">
        <v>1768</v>
      </c>
      <c r="BO2879" s="17">
        <f t="shared" ca="1" si="44"/>
        <v>16.647577199073567</v>
      </c>
      <c r="BP2879" t="b">
        <v>0</v>
      </c>
      <c r="BQ2879">
        <v>1</v>
      </c>
      <c r="BR2879" t="s">
        <v>1816</v>
      </c>
      <c r="BS2879" t="s">
        <v>2850</v>
      </c>
      <c r="BT2879" t="b">
        <v>0</v>
      </c>
      <c r="BU2879" t="s">
        <v>1738</v>
      </c>
      <c r="BV2879" t="s">
        <v>1668</v>
      </c>
      <c r="BW2879">
        <v>8247</v>
      </c>
      <c r="BY2879">
        <v>281932</v>
      </c>
      <c r="BZ2879" t="s">
        <v>1672</v>
      </c>
      <c r="CA2879">
        <v>1</v>
      </c>
      <c r="CB2879" t="b">
        <v>1</v>
      </c>
      <c r="CC2879">
        <v>0</v>
      </c>
      <c r="CD2879" t="b">
        <v>0</v>
      </c>
      <c r="CE2879" t="b">
        <v>1</v>
      </c>
      <c r="CF2879" t="b">
        <v>0</v>
      </c>
      <c r="CG2879">
        <v>2616682</v>
      </c>
      <c r="CH2879" t="s">
        <v>1681</v>
      </c>
      <c r="CI2879" s="10">
        <v>999950</v>
      </c>
    </row>
    <row r="2880" spans="1:90">
      <c r="A2880">
        <v>28051292</v>
      </c>
      <c r="B2880" s="15" t="str">
        <f>HYPERLINK("http://www.redfin.com/stingray/do/printable-listing?listing-id=1586305","Active")</f>
        <v>Active</v>
      </c>
      <c r="D2880" t="s">
        <v>5490</v>
      </c>
      <c r="E2880" t="s">
        <v>6454</v>
      </c>
      <c r="F2880">
        <v>925000</v>
      </c>
      <c r="G2880">
        <v>1997</v>
      </c>
      <c r="H2880">
        <v>3140</v>
      </c>
      <c r="I2880">
        <v>8276</v>
      </c>
      <c r="J2880">
        <v>4</v>
      </c>
      <c r="K2880">
        <v>3.5</v>
      </c>
      <c r="M2880" s="2" t="str">
        <f>HYPERLINK("http://maps.live.com/default.aspx?v=2&amp;lvl=15&amp;sp=Point.47.551365_-122.098889_5590 NW Konigs Ct&amp;cp=47.551365~-122.098889","Map")</f>
        <v>Map</v>
      </c>
      <c r="N2880" s="2" t="str">
        <f>HYPERLINK("http://i-0.rfimg.us/photo/1/bigphoto/292/28051292_1.jpg","Photo")</f>
        <v>Photo</v>
      </c>
      <c r="AG2880">
        <v>47.551364999999997</v>
      </c>
      <c r="AH2880">
        <v>-122.098889</v>
      </c>
      <c r="AI2880" t="s">
        <v>5280</v>
      </c>
      <c r="AJ2880">
        <v>98027</v>
      </c>
      <c r="AN2880">
        <v>698000</v>
      </c>
      <c r="BC2880" s="22">
        <v>39532.568564814814</v>
      </c>
      <c r="BI2880" s="22">
        <v>39549.294907407406</v>
      </c>
      <c r="BL2880">
        <v>18500</v>
      </c>
      <c r="BM2880">
        <v>1586305</v>
      </c>
      <c r="BN2880" t="s">
        <v>1768</v>
      </c>
      <c r="BO2880" s="17">
        <f t="shared" ca="1" si="44"/>
        <v>16.740841087965237</v>
      </c>
      <c r="BP2880" t="b">
        <v>0</v>
      </c>
      <c r="BQ2880">
        <v>1</v>
      </c>
      <c r="BR2880" t="s">
        <v>3768</v>
      </c>
      <c r="BS2880" t="s">
        <v>5601</v>
      </c>
      <c r="BT2880" t="b">
        <v>0</v>
      </c>
      <c r="BU2880" t="s">
        <v>1669</v>
      </c>
      <c r="BV2880" t="s">
        <v>1668</v>
      </c>
      <c r="BW2880">
        <v>5590</v>
      </c>
      <c r="BY2880">
        <v>419484</v>
      </c>
      <c r="BZ2880" t="s">
        <v>2133</v>
      </c>
      <c r="CA2880">
        <v>1</v>
      </c>
      <c r="CB2880" t="b">
        <v>1</v>
      </c>
      <c r="CC2880">
        <v>0</v>
      </c>
      <c r="CD2880" t="b">
        <v>0</v>
      </c>
      <c r="CE2880" t="b">
        <v>1</v>
      </c>
      <c r="CF2880" t="b">
        <v>0</v>
      </c>
      <c r="CG2880">
        <v>2974311</v>
      </c>
      <c r="CH2880" t="s">
        <v>1681</v>
      </c>
      <c r="CI2880" s="10">
        <v>925000</v>
      </c>
      <c r="CJ2880" s="7">
        <v>37734</v>
      </c>
    </row>
    <row r="2881" spans="1:90">
      <c r="A2881">
        <v>28051303</v>
      </c>
      <c r="B2881" s="2" t="str">
        <f>HYPERLINK("http://www.redfin.com/stingray/do/printable-listing?listing-id=1588160","Active")</f>
        <v>Active</v>
      </c>
      <c r="D2881" t="s">
        <v>1152</v>
      </c>
      <c r="E2881" t="s">
        <v>6342</v>
      </c>
      <c r="F2881">
        <v>849950</v>
      </c>
      <c r="G2881">
        <v>1968</v>
      </c>
      <c r="H2881">
        <v>2790</v>
      </c>
      <c r="I2881">
        <v>5102</v>
      </c>
      <c r="J2881">
        <v>3</v>
      </c>
      <c r="K2881">
        <v>2.75</v>
      </c>
      <c r="M2881" s="2" t="str">
        <f>HYPERLINK("http://maps.live.com/default.aspx?v=2&amp;lvl=15&amp;sp=Point.47.675086_-122.268139_6403 57th Ave NE&amp;cp=47.675086~-122.268139","Map")</f>
        <v>Map</v>
      </c>
      <c r="N2881" s="2" t="str">
        <f>HYPERLINK("http://i-0.rfimg.us/photo/1/bigphoto/303/28051303_0.jpg","Photo")</f>
        <v>Photo</v>
      </c>
      <c r="AG2881">
        <v>47.675086</v>
      </c>
      <c r="AH2881">
        <v>-122.26813900000001</v>
      </c>
      <c r="AI2881" t="s">
        <v>66</v>
      </c>
      <c r="AJ2881">
        <v>98115</v>
      </c>
      <c r="BC2881" s="22">
        <v>39533.316874999997</v>
      </c>
      <c r="BI2881" s="22">
        <v>39549.294907407406</v>
      </c>
      <c r="BL2881">
        <v>16999</v>
      </c>
      <c r="BM2881">
        <v>1588160</v>
      </c>
      <c r="BN2881" t="s">
        <v>2014</v>
      </c>
      <c r="BO2881" s="17">
        <f t="shared" ca="1" si="44"/>
        <v>15.992530902782164</v>
      </c>
      <c r="BP2881" t="b">
        <v>0</v>
      </c>
      <c r="BQ2881">
        <v>1</v>
      </c>
      <c r="BR2881" t="s">
        <v>1667</v>
      </c>
      <c r="BS2881" t="s">
        <v>1687</v>
      </c>
      <c r="BT2881" t="b">
        <v>0</v>
      </c>
      <c r="BV2881" t="s">
        <v>1668</v>
      </c>
      <c r="BW2881">
        <v>6403</v>
      </c>
      <c r="BX2881" t="s">
        <v>1738</v>
      </c>
      <c r="BY2881">
        <v>320544</v>
      </c>
      <c r="BZ2881" t="s">
        <v>1713</v>
      </c>
      <c r="CA2881">
        <v>1</v>
      </c>
      <c r="CB2881" t="b">
        <v>1</v>
      </c>
      <c r="CC2881">
        <v>0</v>
      </c>
      <c r="CD2881" t="b">
        <v>0</v>
      </c>
      <c r="CE2881" t="b">
        <v>1</v>
      </c>
      <c r="CF2881" t="b">
        <v>0</v>
      </c>
      <c r="CG2881">
        <v>2976905</v>
      </c>
      <c r="CH2881" t="s">
        <v>1681</v>
      </c>
      <c r="CI2881" s="10">
        <v>849950</v>
      </c>
    </row>
    <row r="2882" spans="1:90">
      <c r="A2882">
        <v>28051323</v>
      </c>
      <c r="B2882" s="2" t="str">
        <f>HYPERLINK("http://www.redfin.com/stingray/do/printable-listing?listing-id=1587040","Active")</f>
        <v>Active</v>
      </c>
      <c r="D2882" t="s">
        <v>1058</v>
      </c>
      <c r="E2882" t="s">
        <v>6410</v>
      </c>
      <c r="F2882">
        <v>700000</v>
      </c>
      <c r="G2882">
        <v>1982</v>
      </c>
      <c r="H2882">
        <v>1200</v>
      </c>
      <c r="I2882">
        <v>8800</v>
      </c>
      <c r="J2882">
        <v>3</v>
      </c>
      <c r="K2882">
        <v>1.75</v>
      </c>
      <c r="M2882" s="2" t="str">
        <f>HYPERLINK("http://maps.live.com/default.aspx?v=2&amp;lvl=15&amp;sp=Point.47.711337_-122.188705_11422 124th St NE&amp;cp=47.711337~-122.188705","Map")</f>
        <v>Map</v>
      </c>
      <c r="N2882" s="2" t="str">
        <f>HYPERLINK("http://i-0.rfimg.us/photo/1/bigphoto/323/28051323_0.jpg","Photo")</f>
        <v>Photo</v>
      </c>
      <c r="AG2882">
        <v>47.711337</v>
      </c>
      <c r="AH2882">
        <v>-122.188705</v>
      </c>
      <c r="AI2882" t="s">
        <v>1058</v>
      </c>
      <c r="AJ2882">
        <v>98033</v>
      </c>
      <c r="BC2882" s="22">
        <v>39532.765439814815</v>
      </c>
      <c r="BI2882" s="22">
        <v>39549.294907407406</v>
      </c>
      <c r="BL2882">
        <v>14000</v>
      </c>
      <c r="BM2882">
        <v>1587040</v>
      </c>
      <c r="BN2882" t="s">
        <v>1810</v>
      </c>
      <c r="BO2882" s="17">
        <f t="shared" ref="BO2882:BO2945" ca="1" si="45">NOW()-BC2882</f>
        <v>16.543966087963781</v>
      </c>
      <c r="BP2882" t="b">
        <v>0</v>
      </c>
      <c r="BQ2882">
        <v>1</v>
      </c>
      <c r="BR2882" t="s">
        <v>1686</v>
      </c>
      <c r="BS2882" t="s">
        <v>4507</v>
      </c>
      <c r="BT2882" t="b">
        <v>0</v>
      </c>
      <c r="BV2882" t="s">
        <v>1668</v>
      </c>
      <c r="BW2882">
        <v>11422</v>
      </c>
      <c r="BX2882" t="s">
        <v>1738</v>
      </c>
      <c r="BY2882">
        <v>12434421</v>
      </c>
      <c r="BZ2882" t="s">
        <v>1684</v>
      </c>
      <c r="CA2882">
        <v>1</v>
      </c>
      <c r="CB2882" t="b">
        <v>1</v>
      </c>
      <c r="CC2882">
        <v>0</v>
      </c>
      <c r="CD2882" t="b">
        <v>0</v>
      </c>
      <c r="CE2882" t="b">
        <v>1</v>
      </c>
      <c r="CF2882" t="b">
        <v>0</v>
      </c>
      <c r="CG2882">
        <v>15638169</v>
      </c>
      <c r="CH2882" t="s">
        <v>1681</v>
      </c>
      <c r="CI2882" s="10">
        <v>700000</v>
      </c>
    </row>
    <row r="2883" spans="1:90">
      <c r="A2883">
        <v>28051332</v>
      </c>
      <c r="B2883" s="2" t="str">
        <f>HYPERLINK("http://www.redfin.com/stingray/do/printable-listing?listing-id=1586359","Active")</f>
        <v>Active</v>
      </c>
      <c r="D2883" t="s">
        <v>63</v>
      </c>
      <c r="E2883" t="s">
        <v>2291</v>
      </c>
      <c r="F2883" s="19">
        <v>475000</v>
      </c>
      <c r="G2883">
        <v>2003</v>
      </c>
      <c r="H2883">
        <v>1550</v>
      </c>
      <c r="I2883">
        <v>0</v>
      </c>
      <c r="J2883">
        <v>3</v>
      </c>
      <c r="K2883">
        <v>3.5</v>
      </c>
      <c r="M2883" s="2" t="str">
        <f>HYPERLINK("http://maps.live.com/default.aspx?v=2&amp;lvl=15&amp;sp=Point.47.678186_-122.373895_6716 14th Ave NW&amp;cp=47.678186~-122.373895","Map")</f>
        <v>Map</v>
      </c>
      <c r="N2883" s="2" t="str">
        <f>HYPERLINK("http://i-0.rfimg.us/photo/1/bigphoto/332/28051332_1.jpg","Photo")</f>
        <v>Photo</v>
      </c>
      <c r="AG2883">
        <v>47.678185999999997</v>
      </c>
      <c r="AH2883">
        <v>-122.373895</v>
      </c>
      <c r="AI2883" t="s">
        <v>66</v>
      </c>
      <c r="AJ2883">
        <v>98117</v>
      </c>
      <c r="BC2883" s="22">
        <v>39532.57849537037</v>
      </c>
      <c r="BI2883" s="22">
        <v>39549.294907407406</v>
      </c>
      <c r="BL2883">
        <v>9780</v>
      </c>
      <c r="BM2883">
        <v>1586359</v>
      </c>
      <c r="BN2883" t="s">
        <v>1680</v>
      </c>
      <c r="BO2883" s="17">
        <f t="shared" ca="1" si="45"/>
        <v>16.730910532409325</v>
      </c>
      <c r="BP2883" t="b">
        <v>0</v>
      </c>
      <c r="BQ2883">
        <v>1</v>
      </c>
      <c r="BR2883" t="s">
        <v>1667</v>
      </c>
      <c r="BS2883" t="s">
        <v>1900</v>
      </c>
      <c r="BT2883" t="b">
        <v>0</v>
      </c>
      <c r="BV2883" t="s">
        <v>1668</v>
      </c>
      <c r="BW2883">
        <v>6716</v>
      </c>
      <c r="BX2883" t="s">
        <v>1669</v>
      </c>
      <c r="BY2883">
        <v>12434337</v>
      </c>
      <c r="BZ2883" t="s">
        <v>2200</v>
      </c>
      <c r="CA2883">
        <v>1</v>
      </c>
      <c r="CB2883" t="b">
        <v>1</v>
      </c>
      <c r="CC2883">
        <v>0</v>
      </c>
      <c r="CD2883" t="b">
        <v>0</v>
      </c>
      <c r="CE2883" t="b">
        <v>1</v>
      </c>
      <c r="CF2883" t="b">
        <v>0</v>
      </c>
      <c r="CG2883">
        <v>15638085</v>
      </c>
      <c r="CH2883" t="s">
        <v>1681</v>
      </c>
      <c r="CI2883" s="10">
        <v>489000</v>
      </c>
    </row>
    <row r="2884" spans="1:90">
      <c r="A2884">
        <v>28051366</v>
      </c>
      <c r="B2884" s="2" t="str">
        <f>HYPERLINK("http://www.redfin.com/stingray/do/printable-listing?listing-id=1586467","Active")</f>
        <v>Active</v>
      </c>
      <c r="D2884" t="s">
        <v>5119</v>
      </c>
      <c r="E2884" t="s">
        <v>6443</v>
      </c>
      <c r="F2884">
        <v>949950</v>
      </c>
      <c r="G2884">
        <v>1966</v>
      </c>
      <c r="H2884">
        <v>4230</v>
      </c>
      <c r="I2884">
        <v>8706</v>
      </c>
      <c r="J2884">
        <v>4</v>
      </c>
      <c r="K2884">
        <v>3</v>
      </c>
      <c r="M2884" s="2" t="str">
        <f>HYPERLINK("http://maps.live.com/default.aspx?v=2&amp;lvl=15&amp;sp=Point.47.59885_-122.178144_1318 121st Ave SE&amp;cp=47.59885~-122.178144","Map")</f>
        <v>Map</v>
      </c>
      <c r="N2884" s="2" t="str">
        <f>HYPERLINK("http://i-0.rfimg.us/photo/1/bigphoto/366/28051366_0.jpg","Photo")</f>
        <v>Photo</v>
      </c>
      <c r="AG2884">
        <v>47.598849999999999</v>
      </c>
      <c r="AH2884">
        <v>-122.178144</v>
      </c>
      <c r="AI2884" t="s">
        <v>369</v>
      </c>
      <c r="AJ2884">
        <v>98005</v>
      </c>
      <c r="AN2884">
        <v>647000</v>
      </c>
      <c r="BC2884" s="22">
        <v>39532.599780092591</v>
      </c>
      <c r="BI2884" s="22">
        <v>39549.294907407406</v>
      </c>
      <c r="BL2884">
        <v>18999</v>
      </c>
      <c r="BM2884">
        <v>1586467</v>
      </c>
      <c r="BN2884" t="s">
        <v>5439</v>
      </c>
      <c r="BO2884" s="17">
        <f t="shared" ca="1" si="45"/>
        <v>16.7096258101883</v>
      </c>
      <c r="BP2884" t="b">
        <v>0</v>
      </c>
      <c r="BQ2884">
        <v>1</v>
      </c>
      <c r="BR2884" t="s">
        <v>1667</v>
      </c>
      <c r="BS2884" t="s">
        <v>4414</v>
      </c>
      <c r="BT2884" t="b">
        <v>0</v>
      </c>
      <c r="BV2884" t="s">
        <v>1668</v>
      </c>
      <c r="BW2884">
        <v>1318</v>
      </c>
      <c r="BX2884" t="s">
        <v>3856</v>
      </c>
      <c r="BY2884">
        <v>509372</v>
      </c>
      <c r="BZ2884" t="s">
        <v>1713</v>
      </c>
      <c r="CA2884">
        <v>1</v>
      </c>
      <c r="CB2884" t="b">
        <v>1</v>
      </c>
      <c r="CC2884">
        <v>0</v>
      </c>
      <c r="CD2884" t="b">
        <v>0</v>
      </c>
      <c r="CE2884" t="b">
        <v>1</v>
      </c>
      <c r="CF2884" t="b">
        <v>0</v>
      </c>
      <c r="CG2884">
        <v>2484841</v>
      </c>
      <c r="CH2884" t="s">
        <v>1681</v>
      </c>
      <c r="CI2884" s="10">
        <v>949950</v>
      </c>
      <c r="CJ2884" s="7">
        <v>39274</v>
      </c>
    </row>
    <row r="2885" spans="1:90">
      <c r="A2885">
        <v>28051415</v>
      </c>
      <c r="B2885" s="2" t="str">
        <f>HYPERLINK("http://www.redfin.com/stingray/do/printable-listing?listing-id=1586553","Active")</f>
        <v>Active</v>
      </c>
      <c r="D2885" t="s">
        <v>3249</v>
      </c>
      <c r="E2885" t="s">
        <v>3609</v>
      </c>
      <c r="F2885">
        <v>399000</v>
      </c>
      <c r="G2885">
        <v>1920</v>
      </c>
      <c r="H2885">
        <v>1640</v>
      </c>
      <c r="I2885">
        <v>6875</v>
      </c>
      <c r="J2885">
        <v>2</v>
      </c>
      <c r="K2885">
        <v>1</v>
      </c>
      <c r="M2885" s="2" t="str">
        <f>HYPERLINK("http://maps.live.com/default.aspx?v=2&amp;lvl=15&amp;sp=Point.47.652411_-122.369891_909 W Emerson St&amp;cp=47.652411~-122.369891","Map")</f>
        <v>Map</v>
      </c>
      <c r="N2885" s="2" t="str">
        <f>HYPERLINK("http://i-0.rfimg.us/photo/1/bigphoto/415/28051415_0.jpg","Photo")</f>
        <v>Photo</v>
      </c>
      <c r="AG2885">
        <v>47.652411000000001</v>
      </c>
      <c r="AH2885">
        <v>-122.369891</v>
      </c>
      <c r="AI2885" t="s">
        <v>66</v>
      </c>
      <c r="AJ2885">
        <v>98119</v>
      </c>
      <c r="BC2885" s="22">
        <v>39532.620185185187</v>
      </c>
      <c r="BI2885" s="7">
        <v>39539</v>
      </c>
      <c r="BL2885">
        <v>7980</v>
      </c>
      <c r="BM2885">
        <v>1586553</v>
      </c>
      <c r="BN2885" t="s">
        <v>1700</v>
      </c>
      <c r="BO2885" s="17">
        <f t="shared" ca="1" si="45"/>
        <v>16.689220717591525</v>
      </c>
      <c r="BP2885" t="b">
        <v>0</v>
      </c>
      <c r="BQ2885">
        <v>1</v>
      </c>
      <c r="BR2885" t="s">
        <v>1686</v>
      </c>
      <c r="BS2885" t="s">
        <v>3490</v>
      </c>
      <c r="BT2885" t="b">
        <v>0</v>
      </c>
      <c r="BU2885" t="s">
        <v>2423</v>
      </c>
      <c r="BV2885" t="s">
        <v>1668</v>
      </c>
      <c r="BW2885">
        <v>909</v>
      </c>
      <c r="BY2885">
        <v>130302</v>
      </c>
      <c r="BZ2885" t="s">
        <v>1696</v>
      </c>
      <c r="CA2885">
        <v>1</v>
      </c>
      <c r="CB2885" t="b">
        <v>1</v>
      </c>
      <c r="CC2885">
        <v>0</v>
      </c>
      <c r="CD2885" t="b">
        <v>1</v>
      </c>
      <c r="CE2885" t="b">
        <v>1</v>
      </c>
      <c r="CF2885" t="b">
        <v>0</v>
      </c>
      <c r="CG2885">
        <v>2925089</v>
      </c>
      <c r="CH2885" t="s">
        <v>1681</v>
      </c>
      <c r="CI2885" s="10">
        <v>399000</v>
      </c>
    </row>
    <row r="2886" spans="1:90">
      <c r="A2886">
        <v>28051432</v>
      </c>
      <c r="B2886" s="2" t="str">
        <f>HYPERLINK("http://www.redfin.com/stingray/do/printable-listing?listing-id=1586595","Active")</f>
        <v>Active</v>
      </c>
      <c r="D2886" t="s">
        <v>3066</v>
      </c>
      <c r="E2886" t="s">
        <v>6426</v>
      </c>
      <c r="F2886">
        <v>449900</v>
      </c>
      <c r="G2886">
        <v>1963</v>
      </c>
      <c r="H2886">
        <v>1310</v>
      </c>
      <c r="I2886">
        <v>9386</v>
      </c>
      <c r="J2886">
        <v>3</v>
      </c>
      <c r="K2886">
        <v>1.75</v>
      </c>
      <c r="M2886" s="2" t="str">
        <f>HYPERLINK("http://maps.live.com/default.aspx?v=2&amp;lvl=15&amp;sp=Point.47.672016_-122.157434_7513 137th Ave NE&amp;cp=47.672016~-122.157434","Map")</f>
        <v>Map</v>
      </c>
      <c r="N2886" s="2" t="str">
        <f>HYPERLINK("http://i-0.rfimg.us/photo/1/bigphoto/432/28051432_0.jpg","Photo")</f>
        <v>Photo</v>
      </c>
      <c r="AG2886">
        <v>47.672015999999999</v>
      </c>
      <c r="AH2886">
        <v>-122.15743399999999</v>
      </c>
      <c r="AI2886" t="s">
        <v>4363</v>
      </c>
      <c r="AJ2886">
        <v>98052</v>
      </c>
      <c r="AN2886">
        <v>188000</v>
      </c>
      <c r="BC2886" s="22">
        <v>39532.633310185185</v>
      </c>
      <c r="BI2886" s="22">
        <v>39549.294907407406</v>
      </c>
      <c r="BL2886">
        <v>8998</v>
      </c>
      <c r="BM2886">
        <v>1586595</v>
      </c>
      <c r="BN2886" t="s">
        <v>1673</v>
      </c>
      <c r="BO2886" s="17">
        <f t="shared" ca="1" si="45"/>
        <v>16.676095717593853</v>
      </c>
      <c r="BP2886" t="b">
        <v>0</v>
      </c>
      <c r="BQ2886">
        <v>1</v>
      </c>
      <c r="BR2886" t="s">
        <v>1667</v>
      </c>
      <c r="BS2886" t="s">
        <v>3855</v>
      </c>
      <c r="BT2886" t="b">
        <v>0</v>
      </c>
      <c r="BV2886" t="s">
        <v>1668</v>
      </c>
      <c r="BW2886">
        <v>7513</v>
      </c>
      <c r="BX2886" t="s">
        <v>1738</v>
      </c>
      <c r="BY2886">
        <v>516311</v>
      </c>
      <c r="BZ2886" t="s">
        <v>6427</v>
      </c>
      <c r="CA2886">
        <v>1</v>
      </c>
      <c r="CB2886" t="b">
        <v>1</v>
      </c>
      <c r="CC2886">
        <v>0</v>
      </c>
      <c r="CD2886" t="b">
        <v>0</v>
      </c>
      <c r="CE2886" t="b">
        <v>1</v>
      </c>
      <c r="CF2886" t="b">
        <v>0</v>
      </c>
      <c r="CG2886">
        <v>2759054</v>
      </c>
      <c r="CH2886" t="s">
        <v>1681</v>
      </c>
      <c r="CI2886" s="10">
        <v>449900</v>
      </c>
      <c r="CJ2886" s="7">
        <v>38960</v>
      </c>
    </row>
    <row r="2887" spans="1:90">
      <c r="A2887">
        <v>28051459</v>
      </c>
      <c r="B2887" s="2" t="str">
        <f>HYPERLINK("http://www.redfin.com/stingray/do/printable-listing?listing-id=1586684","Active")</f>
        <v>Active</v>
      </c>
      <c r="D2887" t="s">
        <v>1023</v>
      </c>
      <c r="E2887" t="s">
        <v>1286</v>
      </c>
      <c r="F2887" s="19">
        <v>939900</v>
      </c>
      <c r="G2887">
        <v>2008</v>
      </c>
      <c r="H2887">
        <v>3078</v>
      </c>
      <c r="I2887">
        <v>6476</v>
      </c>
      <c r="J2887">
        <v>5</v>
      </c>
      <c r="K2887">
        <v>3</v>
      </c>
      <c r="M2887" s="2" t="str">
        <f>HYPERLINK("http://maps.live.com/default.aspx?v=2&amp;lvl=15&amp;sp=Point.47.683892_-122.397894_7526 32nd Ave NW&amp;cp=47.683892~-122.397894","Map")</f>
        <v>Map</v>
      </c>
      <c r="N2887" s="2" t="str">
        <f>HYPERLINK("http://i-0.rfimg.us/photo/1/bigphoto/459/28051459_0.jpg","Photo")</f>
        <v>Photo</v>
      </c>
      <c r="AG2887">
        <v>47.683892</v>
      </c>
      <c r="AH2887">
        <v>-122.39789399999999</v>
      </c>
      <c r="AI2887" t="s">
        <v>66</v>
      </c>
      <c r="AJ2887">
        <v>98117</v>
      </c>
      <c r="AN2887">
        <v>405000</v>
      </c>
      <c r="BC2887" s="22">
        <v>39532.652662037035</v>
      </c>
      <c r="BI2887" s="22">
        <v>39549.294907407406</v>
      </c>
      <c r="BL2887">
        <v>19390</v>
      </c>
      <c r="BM2887">
        <v>1586684</v>
      </c>
      <c r="BN2887" t="s">
        <v>1744</v>
      </c>
      <c r="BO2887" s="17">
        <f t="shared" ca="1" si="45"/>
        <v>16.65674386574392</v>
      </c>
      <c r="BP2887" t="b">
        <v>0</v>
      </c>
      <c r="BQ2887">
        <v>1</v>
      </c>
      <c r="BR2887" t="s">
        <v>1667</v>
      </c>
      <c r="BS2887" t="s">
        <v>1733</v>
      </c>
      <c r="BT2887" t="b">
        <v>0</v>
      </c>
      <c r="BV2887" t="s">
        <v>1668</v>
      </c>
      <c r="BW2887">
        <v>7526</v>
      </c>
      <c r="BX2887" t="s">
        <v>1669</v>
      </c>
      <c r="BY2887">
        <v>165801</v>
      </c>
      <c r="BZ2887" t="s">
        <v>1672</v>
      </c>
      <c r="CA2887">
        <v>1</v>
      </c>
      <c r="CB2887" t="b">
        <v>1</v>
      </c>
      <c r="CC2887">
        <v>0</v>
      </c>
      <c r="CD2887" t="b">
        <v>0</v>
      </c>
      <c r="CE2887" t="b">
        <v>1</v>
      </c>
      <c r="CF2887" t="b">
        <v>0</v>
      </c>
      <c r="CG2887">
        <v>2584128</v>
      </c>
      <c r="CH2887" t="s">
        <v>1681</v>
      </c>
      <c r="CI2887" s="10">
        <v>969500</v>
      </c>
      <c r="CJ2887" s="7">
        <v>39157</v>
      </c>
    </row>
    <row r="2888" spans="1:90">
      <c r="A2888">
        <v>28051460</v>
      </c>
      <c r="B2888" s="2" t="str">
        <f>HYPERLINK("http://www.redfin.com/stingray/do/printable-listing?listing-id=1586679","Active")</f>
        <v>Active</v>
      </c>
      <c r="D2888" t="s">
        <v>2850</v>
      </c>
      <c r="E2888" t="s">
        <v>6413</v>
      </c>
      <c r="F2888">
        <v>539500</v>
      </c>
      <c r="G2888">
        <v>1996</v>
      </c>
      <c r="H2888">
        <v>2000</v>
      </c>
      <c r="I2888">
        <v>7720</v>
      </c>
      <c r="J2888">
        <v>3</v>
      </c>
      <c r="K2888">
        <v>2.5</v>
      </c>
      <c r="M2888" s="2" t="str">
        <f>HYPERLINK("http://maps.live.com/default.aspx?v=2&amp;lvl=15&amp;sp=Point.47.704607_-122.19909_10616 NE 116th St&amp;cp=47.704607~-122.19909","Map")</f>
        <v>Map</v>
      </c>
      <c r="N2888" s="2" t="str">
        <f>HYPERLINK("http://i-0.rfimg.us/photo/1/bigphoto/460/28051460_0.jpg","Photo")</f>
        <v>Photo</v>
      </c>
      <c r="AG2888">
        <v>47.704607000000003</v>
      </c>
      <c r="AH2888">
        <v>-122.19909</v>
      </c>
      <c r="AI2888" t="s">
        <v>1058</v>
      </c>
      <c r="AJ2888">
        <v>98034</v>
      </c>
      <c r="AN2888">
        <v>211000</v>
      </c>
      <c r="BC2888" s="22">
        <v>39532.652627314812</v>
      </c>
      <c r="BI2888" s="22">
        <v>39549.294907407406</v>
      </c>
      <c r="BL2888">
        <v>10790</v>
      </c>
      <c r="BM2888">
        <v>1586679</v>
      </c>
      <c r="BN2888" t="s">
        <v>1768</v>
      </c>
      <c r="BO2888" s="17">
        <f t="shared" ca="1" si="45"/>
        <v>16.656778587966983</v>
      </c>
      <c r="BP2888" t="b">
        <v>0</v>
      </c>
      <c r="BQ2888">
        <v>1</v>
      </c>
      <c r="BR2888" t="s">
        <v>1686</v>
      </c>
      <c r="BS2888" t="s">
        <v>4441</v>
      </c>
      <c r="BT2888" t="b">
        <v>0</v>
      </c>
      <c r="BU2888" t="s">
        <v>1738</v>
      </c>
      <c r="BV2888" t="s">
        <v>1668</v>
      </c>
      <c r="BW2888">
        <v>10616</v>
      </c>
      <c r="BY2888">
        <v>459294</v>
      </c>
      <c r="BZ2888" t="s">
        <v>1672</v>
      </c>
      <c r="CA2888">
        <v>1</v>
      </c>
      <c r="CB2888" t="b">
        <v>1</v>
      </c>
      <c r="CC2888">
        <v>0</v>
      </c>
      <c r="CD2888" t="b">
        <v>0</v>
      </c>
      <c r="CE2888" t="b">
        <v>1</v>
      </c>
      <c r="CF2888" t="b">
        <v>0</v>
      </c>
      <c r="CG2888">
        <v>481839</v>
      </c>
      <c r="CH2888" t="s">
        <v>1681</v>
      </c>
      <c r="CI2888" s="10">
        <v>539500</v>
      </c>
      <c r="CJ2888" s="7">
        <v>35523</v>
      </c>
    </row>
    <row r="2889" spans="1:90">
      <c r="A2889">
        <v>28051484</v>
      </c>
      <c r="B2889" s="15" t="str">
        <f>HYPERLINK("http://www.redfin.com/stingray/do/printable-listing?listing-id=1601761","Subject To Inspection")</f>
        <v>Subject To Inspection</v>
      </c>
      <c r="D2889" t="s">
        <v>60</v>
      </c>
      <c r="E2889" t="s">
        <v>6601</v>
      </c>
      <c r="F2889">
        <v>350000</v>
      </c>
      <c r="G2889">
        <v>1928</v>
      </c>
      <c r="H2889">
        <v>1520</v>
      </c>
      <c r="I2889">
        <v>3060</v>
      </c>
      <c r="J2889">
        <v>3</v>
      </c>
      <c r="K2889">
        <v>1</v>
      </c>
      <c r="M2889" s="2" t="str">
        <f>HYPERLINK("http://maps.live.com/default.aspx?v=2&amp;lvl=15&amp;sp=Point.47.688611_-122.346656_910 N 82nd St&amp;cp=47.688611~-122.346656","Map")</f>
        <v>Map</v>
      </c>
      <c r="N2889" s="2" t="str">
        <f>HYPERLINK("http://i-0.rfimg.us/photo/1/bigphoto/484/28051484_0.jpg","Photo")</f>
        <v>Photo</v>
      </c>
      <c r="AG2889">
        <v>47.688611000000002</v>
      </c>
      <c r="AH2889">
        <v>-122.346656</v>
      </c>
      <c r="AI2889" t="s">
        <v>66</v>
      </c>
      <c r="AJ2889">
        <v>98103</v>
      </c>
      <c r="AN2889">
        <v>470000</v>
      </c>
      <c r="BC2889" s="22">
        <v>39538.442916666667</v>
      </c>
      <c r="BI2889" s="22">
        <v>39549.294907407406</v>
      </c>
      <c r="BL2889">
        <v>7000</v>
      </c>
      <c r="BM2889">
        <v>1601761</v>
      </c>
      <c r="BN2889" t="s">
        <v>1737</v>
      </c>
      <c r="BO2889" s="17">
        <f t="shared" ca="1" si="45"/>
        <v>10.866489236112102</v>
      </c>
      <c r="BP2889" t="b">
        <v>0</v>
      </c>
      <c r="BQ2889">
        <v>1</v>
      </c>
      <c r="BR2889" t="s">
        <v>1686</v>
      </c>
      <c r="BS2889" t="s">
        <v>2359</v>
      </c>
      <c r="BT2889" t="b">
        <v>0</v>
      </c>
      <c r="BU2889" t="s">
        <v>1712</v>
      </c>
      <c r="BV2889" t="s">
        <v>1668</v>
      </c>
      <c r="BW2889">
        <v>910</v>
      </c>
      <c r="BY2889">
        <v>301698</v>
      </c>
      <c r="BZ2889" t="s">
        <v>1743</v>
      </c>
      <c r="CA2889">
        <v>1</v>
      </c>
      <c r="CB2889" t="b">
        <v>1</v>
      </c>
      <c r="CC2889">
        <v>0</v>
      </c>
      <c r="CD2889" t="b">
        <v>0</v>
      </c>
      <c r="CE2889" t="b">
        <v>1</v>
      </c>
      <c r="CF2889" t="b">
        <v>0</v>
      </c>
      <c r="CG2889">
        <v>2402771</v>
      </c>
      <c r="CH2889" t="s">
        <v>1681</v>
      </c>
      <c r="CI2889" s="10">
        <v>350000</v>
      </c>
      <c r="CJ2889" s="7">
        <v>39080</v>
      </c>
    </row>
    <row r="2890" spans="1:90">
      <c r="A2890">
        <v>28051521</v>
      </c>
      <c r="B2890" s="2" t="str">
        <f>HYPERLINK("http://www.redfin.com/stingray/do/printable-listing?listing-id=1586796","Active")</f>
        <v>Active</v>
      </c>
      <c r="D2890" t="s">
        <v>1058</v>
      </c>
      <c r="E2890" t="s">
        <v>6415</v>
      </c>
      <c r="F2890">
        <v>609950</v>
      </c>
      <c r="G2890">
        <v>2000</v>
      </c>
      <c r="H2890">
        <v>2190</v>
      </c>
      <c r="I2890">
        <v>6200</v>
      </c>
      <c r="J2890">
        <v>3</v>
      </c>
      <c r="K2890">
        <v>3.5</v>
      </c>
      <c r="M2890" s="2" t="str">
        <f>HYPERLINK("http://maps.live.com/default.aspx?v=2&amp;lvl=15&amp;sp=Point.47.705001_-122.18971_11320 NE 117th Pl&amp;cp=47.705001~-122.18971","Map")</f>
        <v>Map</v>
      </c>
      <c r="N2890" s="2" t="str">
        <f>HYPERLINK("http://i-0.rfimg.us/photo/1/bigphoto/521/28051521_0.jpg","Photo")</f>
        <v>Photo</v>
      </c>
      <c r="AG2890">
        <v>47.705001000000003</v>
      </c>
      <c r="AH2890">
        <v>-122.18971000000001</v>
      </c>
      <c r="AI2890" t="s">
        <v>1058</v>
      </c>
      <c r="AJ2890">
        <v>98034</v>
      </c>
      <c r="BC2890" s="22">
        <v>39532.673159722224</v>
      </c>
      <c r="BI2890" s="22">
        <v>39549.294907407406</v>
      </c>
      <c r="BL2890">
        <v>12199</v>
      </c>
      <c r="BM2890">
        <v>1586796</v>
      </c>
      <c r="BN2890" t="s">
        <v>6414</v>
      </c>
      <c r="BO2890" s="17">
        <f t="shared" ca="1" si="45"/>
        <v>16.636246180554735</v>
      </c>
      <c r="BP2890" t="b">
        <v>0</v>
      </c>
      <c r="BQ2890">
        <v>1</v>
      </c>
      <c r="BR2890" t="s">
        <v>1842</v>
      </c>
      <c r="BS2890" t="s">
        <v>2743</v>
      </c>
      <c r="BT2890" t="b">
        <v>0</v>
      </c>
      <c r="BU2890" t="s">
        <v>1738</v>
      </c>
      <c r="BV2890" t="s">
        <v>1668</v>
      </c>
      <c r="BW2890">
        <v>11320</v>
      </c>
      <c r="BY2890">
        <v>12434389</v>
      </c>
      <c r="BZ2890" t="s">
        <v>1672</v>
      </c>
      <c r="CA2890">
        <v>1</v>
      </c>
      <c r="CB2890" t="b">
        <v>1</v>
      </c>
      <c r="CC2890">
        <v>0</v>
      </c>
      <c r="CD2890" t="b">
        <v>0</v>
      </c>
      <c r="CE2890" t="b">
        <v>1</v>
      </c>
      <c r="CF2890" t="b">
        <v>0</v>
      </c>
      <c r="CG2890">
        <v>15638137</v>
      </c>
      <c r="CH2890" t="s">
        <v>1681</v>
      </c>
      <c r="CI2890" s="10">
        <v>609950</v>
      </c>
    </row>
    <row r="2891" spans="1:90">
      <c r="A2891">
        <v>28051525</v>
      </c>
      <c r="B2891" s="2" t="str">
        <f>HYPERLINK("http://www.redfin.com/stingray/do/printable-listing?listing-id=1586795","Active")</f>
        <v>Active</v>
      </c>
      <c r="D2891" t="s">
        <v>109</v>
      </c>
      <c r="E2891" t="s">
        <v>6355</v>
      </c>
      <c r="F2891">
        <v>1695000</v>
      </c>
      <c r="G2891">
        <v>2006</v>
      </c>
      <c r="H2891">
        <v>5058</v>
      </c>
      <c r="I2891">
        <v>6840</v>
      </c>
      <c r="J2891">
        <v>4</v>
      </c>
      <c r="K2891">
        <v>3.5</v>
      </c>
      <c r="M2891" s="2" t="str">
        <f>HYPERLINK("http://maps.live.com/default.aspx?v=2&amp;lvl=15&amp;sp=Point.47.652135_-122.333038_3701 Bagley Ave N&amp;cp=47.652135~-122.333038","Map")</f>
        <v>Map</v>
      </c>
      <c r="N2891" s="2" t="str">
        <f>HYPERLINK("http://i-0.rfimg.us/photo/1/bigphoto/525/28051525_0.jpg","Photo")</f>
        <v>Photo</v>
      </c>
      <c r="AG2891">
        <v>47.652135000000001</v>
      </c>
      <c r="AH2891">
        <v>-122.333038</v>
      </c>
      <c r="AI2891" t="s">
        <v>66</v>
      </c>
      <c r="AJ2891">
        <v>98103</v>
      </c>
      <c r="AN2891">
        <v>537500</v>
      </c>
      <c r="BC2891" s="22">
        <v>39532.673113425924</v>
      </c>
      <c r="BI2891" s="22">
        <v>39549.294907407406</v>
      </c>
      <c r="BL2891">
        <v>33900</v>
      </c>
      <c r="BM2891">
        <v>1586795</v>
      </c>
      <c r="BN2891" t="s">
        <v>1710</v>
      </c>
      <c r="BO2891" s="17">
        <f t="shared" ca="1" si="45"/>
        <v>16.636292476854578</v>
      </c>
      <c r="BP2891" t="b">
        <v>0</v>
      </c>
      <c r="BQ2891">
        <v>1</v>
      </c>
      <c r="BR2891" t="s">
        <v>1667</v>
      </c>
      <c r="BS2891" t="s">
        <v>6356</v>
      </c>
      <c r="BT2891" t="b">
        <v>0</v>
      </c>
      <c r="BV2891" t="s">
        <v>1668</v>
      </c>
      <c r="BW2891">
        <v>3701</v>
      </c>
      <c r="BX2891" t="s">
        <v>1712</v>
      </c>
      <c r="BY2891">
        <v>119597</v>
      </c>
      <c r="BZ2891" t="s">
        <v>1672</v>
      </c>
      <c r="CA2891">
        <v>1</v>
      </c>
      <c r="CB2891" t="b">
        <v>1</v>
      </c>
      <c r="CC2891">
        <v>0</v>
      </c>
      <c r="CD2891" t="b">
        <v>0</v>
      </c>
      <c r="CE2891" t="b">
        <v>1</v>
      </c>
      <c r="CF2891" t="b">
        <v>0</v>
      </c>
      <c r="CG2891">
        <v>2372082</v>
      </c>
      <c r="CH2891" t="s">
        <v>1681</v>
      </c>
      <c r="CI2891" s="10">
        <v>1695000</v>
      </c>
      <c r="CJ2891" s="7">
        <v>38520</v>
      </c>
    </row>
    <row r="2892" spans="1:90">
      <c r="A2892">
        <v>28051526</v>
      </c>
      <c r="B2892" s="2" t="str">
        <f>HYPERLINK("http://www.redfin.com/stingray/do/printable-listing?listing-id=1590262","Active")</f>
        <v>Active</v>
      </c>
      <c r="D2892" t="s">
        <v>3966</v>
      </c>
      <c r="E2892" t="s">
        <v>6378</v>
      </c>
      <c r="F2892" s="19">
        <v>824950</v>
      </c>
      <c r="G2892">
        <v>1906</v>
      </c>
      <c r="H2892">
        <v>2040</v>
      </c>
      <c r="I2892">
        <v>3000</v>
      </c>
      <c r="J2892">
        <v>3</v>
      </c>
      <c r="K2892">
        <v>2</v>
      </c>
      <c r="M2892" s="2" t="str">
        <f>HYPERLINK("http://maps.live.com/default.aspx?v=2&amp;lvl=15&amp;sp=Point.47.607523_-122.293317_546 30th Ave&amp;cp=47.607523~-122.293317","Map")</f>
        <v>Map</v>
      </c>
      <c r="N2892" s="2" t="str">
        <f>HYPERLINK("http://i-0.rfimg.us/photo/1/bigphoto/526/28051526_0.jpg","Photo")</f>
        <v>Photo</v>
      </c>
      <c r="AG2892">
        <v>47.607523</v>
      </c>
      <c r="AH2892">
        <v>-122.293317</v>
      </c>
      <c r="AI2892" t="s">
        <v>66</v>
      </c>
      <c r="AJ2892">
        <v>98122</v>
      </c>
      <c r="AN2892">
        <v>475000</v>
      </c>
      <c r="BC2892" s="22">
        <v>39533.848703703705</v>
      </c>
      <c r="BI2892" s="22">
        <v>39549.294907407406</v>
      </c>
      <c r="BL2892">
        <v>16519</v>
      </c>
      <c r="BM2892">
        <v>1590262</v>
      </c>
      <c r="BN2892" t="s">
        <v>1766</v>
      </c>
      <c r="BO2892" s="17">
        <f t="shared" ca="1" si="45"/>
        <v>15.460702199074149</v>
      </c>
      <c r="BP2892" t="b">
        <v>0</v>
      </c>
      <c r="BQ2892">
        <v>1</v>
      </c>
      <c r="BR2892" t="s">
        <v>1667</v>
      </c>
      <c r="BS2892" t="s">
        <v>1818</v>
      </c>
      <c r="BT2892" t="b">
        <v>0</v>
      </c>
      <c r="BV2892" t="s">
        <v>1668</v>
      </c>
      <c r="BW2892">
        <v>546</v>
      </c>
      <c r="BY2892">
        <v>148511</v>
      </c>
      <c r="BZ2892" t="s">
        <v>6379</v>
      </c>
      <c r="CA2892">
        <v>1</v>
      </c>
      <c r="CB2892" t="b">
        <v>1</v>
      </c>
      <c r="CC2892">
        <v>0</v>
      </c>
      <c r="CD2892" t="b">
        <v>0</v>
      </c>
      <c r="CE2892" t="b">
        <v>1</v>
      </c>
      <c r="CF2892" t="b">
        <v>0</v>
      </c>
      <c r="CG2892">
        <v>2796953</v>
      </c>
      <c r="CH2892" t="s">
        <v>1681</v>
      </c>
      <c r="CI2892" s="10">
        <v>825950</v>
      </c>
      <c r="CJ2892" s="7">
        <v>39262</v>
      </c>
    </row>
    <row r="2893" spans="1:90">
      <c r="A2893">
        <v>28051539</v>
      </c>
      <c r="B2893" s="2" t="str">
        <f>HYPERLINK("http://www.redfin.com/stingray/do/printable-listing?listing-id=1586856","Active")</f>
        <v>Active</v>
      </c>
      <c r="D2893" t="s">
        <v>109</v>
      </c>
      <c r="E2893" t="s">
        <v>6328</v>
      </c>
      <c r="F2893">
        <v>875000</v>
      </c>
      <c r="G2893">
        <v>2002</v>
      </c>
      <c r="H2893">
        <v>2640</v>
      </c>
      <c r="I2893">
        <v>2142</v>
      </c>
      <c r="J2893">
        <v>3</v>
      </c>
      <c r="K2893">
        <v>3</v>
      </c>
      <c r="M2893" s="2" t="str">
        <f>HYPERLINK("http://maps.live.com/default.aspx?v=2&amp;lvl=15&amp;sp=Point.47.66244_-122.345873_4606 Whitman Ave N&amp;cp=47.66244~-122.345873","Map")</f>
        <v>Map</v>
      </c>
      <c r="N2893" s="2" t="str">
        <f>HYPERLINK("http://i-0.rfimg.us/photo/1/bigphoto/539/28051539_0.jpg","Photo")</f>
        <v>Photo</v>
      </c>
      <c r="AG2893">
        <v>47.662439999999997</v>
      </c>
      <c r="AH2893">
        <v>-122.345873</v>
      </c>
      <c r="AI2893" t="s">
        <v>66</v>
      </c>
      <c r="AJ2893">
        <v>98103</v>
      </c>
      <c r="AN2893">
        <v>60000</v>
      </c>
      <c r="BC2893" s="22">
        <v>39532.695787037039</v>
      </c>
      <c r="BI2893" s="22">
        <v>39549.294907407406</v>
      </c>
      <c r="BL2893">
        <v>17500</v>
      </c>
      <c r="BM2893">
        <v>1586856</v>
      </c>
      <c r="BN2893" t="s">
        <v>1710</v>
      </c>
      <c r="BO2893" s="17">
        <f t="shared" ca="1" si="45"/>
        <v>16.613618865740136</v>
      </c>
      <c r="BP2893" t="b">
        <v>0</v>
      </c>
      <c r="BQ2893">
        <v>1</v>
      </c>
      <c r="BR2893" t="s">
        <v>1667</v>
      </c>
      <c r="BS2893" t="s">
        <v>2811</v>
      </c>
      <c r="BT2893" t="b">
        <v>0</v>
      </c>
      <c r="BV2893" t="s">
        <v>1668</v>
      </c>
      <c r="BW2893">
        <v>4606</v>
      </c>
      <c r="BX2893" t="s">
        <v>1712</v>
      </c>
      <c r="BY2893">
        <v>118988</v>
      </c>
      <c r="BZ2893" t="s">
        <v>1672</v>
      </c>
      <c r="CA2893">
        <v>1</v>
      </c>
      <c r="CB2893" t="b">
        <v>1</v>
      </c>
      <c r="CC2893">
        <v>0</v>
      </c>
      <c r="CD2893" t="b">
        <v>0</v>
      </c>
      <c r="CE2893" t="b">
        <v>1</v>
      </c>
      <c r="CF2893" t="b">
        <v>0</v>
      </c>
      <c r="CG2893">
        <v>2616127</v>
      </c>
      <c r="CH2893" t="s">
        <v>1681</v>
      </c>
      <c r="CI2893" s="10">
        <v>875000</v>
      </c>
      <c r="CJ2893" s="7">
        <v>37134</v>
      </c>
    </row>
    <row r="2894" spans="1:90">
      <c r="A2894">
        <v>28051585</v>
      </c>
      <c r="B2894" s="2" t="str">
        <f>HYPERLINK("http://www.redfin.com/stingray/do/printable-listing?listing-id=1596030","Active")</f>
        <v>Active</v>
      </c>
      <c r="D2894" t="s">
        <v>3961</v>
      </c>
      <c r="E2894" t="s">
        <v>6529</v>
      </c>
      <c r="F2894">
        <v>599950</v>
      </c>
      <c r="G2894">
        <v>1901</v>
      </c>
      <c r="H2894">
        <v>2370</v>
      </c>
      <c r="I2894">
        <v>4000</v>
      </c>
      <c r="J2894">
        <v>3</v>
      </c>
      <c r="K2894">
        <v>1.5</v>
      </c>
      <c r="M2894" s="2" t="str">
        <f>HYPERLINK("http://maps.live.com/default.aspx?v=2&amp;lvl=15&amp;sp=Point.47.601877_-122.29353_102 30th Ave&amp;cp=47.601877~-122.29353","Map")</f>
        <v>Map</v>
      </c>
      <c r="N2894" s="2" t="str">
        <f>HYPERLINK("http://i-0.rfimg.us/photo/1/bigphoto/585/28051585_0.jpg","Photo")</f>
        <v>Photo</v>
      </c>
      <c r="AG2894">
        <v>47.601877000000002</v>
      </c>
      <c r="AH2894">
        <v>-122.29353</v>
      </c>
      <c r="AI2894" t="s">
        <v>66</v>
      </c>
      <c r="AJ2894">
        <v>98122</v>
      </c>
      <c r="BC2894" s="22">
        <v>39535.494664351849</v>
      </c>
      <c r="BI2894" s="22">
        <v>39549.294907407406</v>
      </c>
      <c r="BL2894">
        <v>11999</v>
      </c>
      <c r="BM2894">
        <v>1596030</v>
      </c>
      <c r="BN2894" t="s">
        <v>6528</v>
      </c>
      <c r="BO2894" s="17">
        <f t="shared" ca="1" si="45"/>
        <v>13.814741550930194</v>
      </c>
      <c r="BP2894" t="b">
        <v>0</v>
      </c>
      <c r="BQ2894">
        <v>1</v>
      </c>
      <c r="BR2894" t="s">
        <v>1667</v>
      </c>
      <c r="BS2894" t="s">
        <v>1818</v>
      </c>
      <c r="BT2894" t="b">
        <v>0</v>
      </c>
      <c r="BV2894" t="s">
        <v>1668</v>
      </c>
      <c r="BW2894">
        <v>102</v>
      </c>
      <c r="BY2894">
        <v>148670</v>
      </c>
      <c r="BZ2894" t="s">
        <v>1813</v>
      </c>
      <c r="CA2894">
        <v>1</v>
      </c>
      <c r="CB2894" t="b">
        <v>1</v>
      </c>
      <c r="CC2894">
        <v>0</v>
      </c>
      <c r="CD2894" t="b">
        <v>0</v>
      </c>
      <c r="CE2894" t="b">
        <v>1</v>
      </c>
      <c r="CF2894" t="b">
        <v>0</v>
      </c>
      <c r="CG2894">
        <v>2750460</v>
      </c>
      <c r="CH2894" t="s">
        <v>1681</v>
      </c>
      <c r="CI2894" s="10">
        <v>599950</v>
      </c>
    </row>
    <row r="2895" spans="1:90">
      <c r="A2895">
        <v>28051595</v>
      </c>
      <c r="B2895" s="2" t="str">
        <f>HYPERLINK("http://www.redfin.com/stingray/do/printable-listing?listing-id=1587228","Active")</f>
        <v>Active</v>
      </c>
      <c r="D2895" t="s">
        <v>88</v>
      </c>
      <c r="E2895" t="s">
        <v>2292</v>
      </c>
      <c r="F2895">
        <v>465000</v>
      </c>
      <c r="G2895">
        <v>1926</v>
      </c>
      <c r="H2895">
        <v>2380</v>
      </c>
      <c r="I2895">
        <v>3010</v>
      </c>
      <c r="J2895">
        <v>3</v>
      </c>
      <c r="K2895">
        <v>2.25</v>
      </c>
      <c r="M2895" s="2" t="str">
        <f>HYPERLINK("http://maps.live.com/default.aspx?v=2&amp;lvl=15&amp;sp=Point.47.684303_-122.360409_7608 3rd Ave NW&amp;cp=47.684303~-122.360409","Map")</f>
        <v>Map</v>
      </c>
      <c r="N2895" s="2" t="str">
        <f>HYPERLINK("http://i-0.rfimg.us/photo/1/bigphoto/595/28051595_0.jpg","Photo")</f>
        <v>Photo</v>
      </c>
      <c r="AG2895">
        <v>47.684303</v>
      </c>
      <c r="AH2895">
        <v>-122.360409</v>
      </c>
      <c r="AI2895" t="s">
        <v>66</v>
      </c>
      <c r="AJ2895">
        <v>98117</v>
      </c>
      <c r="AN2895">
        <v>239500</v>
      </c>
      <c r="BC2895" s="22">
        <v>39532.839097222219</v>
      </c>
      <c r="BI2895" s="7">
        <v>39536</v>
      </c>
      <c r="BL2895">
        <v>9300</v>
      </c>
      <c r="BM2895">
        <v>1587228</v>
      </c>
      <c r="BN2895" t="s">
        <v>1702</v>
      </c>
      <c r="BO2895" s="17">
        <f t="shared" ca="1" si="45"/>
        <v>16.470308680560265</v>
      </c>
      <c r="BP2895" t="b">
        <v>0</v>
      </c>
      <c r="BQ2895">
        <v>1</v>
      </c>
      <c r="BR2895" t="s">
        <v>1667</v>
      </c>
      <c r="BS2895" t="s">
        <v>1796</v>
      </c>
      <c r="BT2895" t="b">
        <v>0</v>
      </c>
      <c r="BV2895" t="s">
        <v>1668</v>
      </c>
      <c r="BW2895">
        <v>7608</v>
      </c>
      <c r="BX2895" t="s">
        <v>1669</v>
      </c>
      <c r="BY2895">
        <v>498335</v>
      </c>
      <c r="BZ2895" t="s">
        <v>1741</v>
      </c>
      <c r="CA2895">
        <v>1</v>
      </c>
      <c r="CB2895" t="b">
        <v>1</v>
      </c>
      <c r="CC2895">
        <v>0</v>
      </c>
      <c r="CD2895" t="b">
        <v>0</v>
      </c>
      <c r="CE2895" t="b">
        <v>1</v>
      </c>
      <c r="CF2895" t="b">
        <v>0</v>
      </c>
      <c r="CG2895">
        <v>2635652</v>
      </c>
      <c r="CH2895" t="s">
        <v>1681</v>
      </c>
      <c r="CI2895" s="10">
        <v>465000</v>
      </c>
      <c r="CJ2895" s="7">
        <v>36307</v>
      </c>
      <c r="CL2895" t="s">
        <v>2204</v>
      </c>
    </row>
    <row r="2896" spans="1:90">
      <c r="A2896">
        <v>28051604</v>
      </c>
      <c r="B2896" s="2" t="str">
        <f>HYPERLINK("http://www.redfin.com/stingray/do/printable-listing?listing-id=1589273","Active")</f>
        <v>Active</v>
      </c>
      <c r="D2896" t="s">
        <v>3961</v>
      </c>
      <c r="E2896" t="s">
        <v>6376</v>
      </c>
      <c r="F2896">
        <v>725000</v>
      </c>
      <c r="G2896">
        <v>1978</v>
      </c>
      <c r="H2896">
        <v>1760</v>
      </c>
      <c r="I2896">
        <v>7425</v>
      </c>
      <c r="J2896">
        <v>3</v>
      </c>
      <c r="K2896">
        <v>2.5</v>
      </c>
      <c r="M2896" s="2" t="str">
        <f>HYPERLINK("http://maps.live.com/default.aspx?v=2&amp;lvl=15&amp;sp=Point.47.603803_-122.288423_3440 E SPRUCE St&amp;cp=47.603803~-122.288423","Map")</f>
        <v>Map</v>
      </c>
      <c r="N2896" s="2" t="str">
        <f>HYPERLINK("http://i-0.rfimg.us/photo/1/bigphoto/604/28051604_.jpg","Photo")</f>
        <v>Photo</v>
      </c>
      <c r="AG2896">
        <v>47.603802999999999</v>
      </c>
      <c r="AH2896">
        <v>-122.28842299999999</v>
      </c>
      <c r="AI2896" t="s">
        <v>66</v>
      </c>
      <c r="AJ2896">
        <v>98122</v>
      </c>
      <c r="AN2896">
        <v>279500</v>
      </c>
      <c r="BC2896" s="22">
        <v>39533.546956018516</v>
      </c>
      <c r="BI2896" s="22">
        <v>39549.294907407406</v>
      </c>
      <c r="BL2896">
        <v>14500</v>
      </c>
      <c r="BM2896">
        <v>1589273</v>
      </c>
      <c r="BN2896" t="s">
        <v>6375</v>
      </c>
      <c r="BO2896" s="17">
        <f t="shared" ca="1" si="45"/>
        <v>15.762449884263333</v>
      </c>
      <c r="BP2896" t="b">
        <v>0</v>
      </c>
      <c r="BQ2896">
        <v>1</v>
      </c>
      <c r="BR2896" t="s">
        <v>1686</v>
      </c>
      <c r="BS2896" t="s">
        <v>6377</v>
      </c>
      <c r="BT2896" t="b">
        <v>0</v>
      </c>
      <c r="BU2896" t="s">
        <v>2436</v>
      </c>
      <c r="BV2896" t="s">
        <v>1668</v>
      </c>
      <c r="BW2896">
        <v>3440</v>
      </c>
      <c r="BY2896">
        <v>141474</v>
      </c>
      <c r="BZ2896" t="s">
        <v>2342</v>
      </c>
      <c r="CA2896">
        <v>1</v>
      </c>
      <c r="CB2896" t="b">
        <v>1</v>
      </c>
      <c r="CC2896">
        <v>0</v>
      </c>
      <c r="CD2896" t="b">
        <v>0</v>
      </c>
      <c r="CE2896" t="b">
        <v>1</v>
      </c>
      <c r="CF2896" t="b">
        <v>0</v>
      </c>
      <c r="CG2896">
        <v>2723968</v>
      </c>
      <c r="CH2896" t="s">
        <v>1681</v>
      </c>
      <c r="CI2896" s="10">
        <v>725000</v>
      </c>
      <c r="CJ2896" s="7">
        <v>34926</v>
      </c>
    </row>
    <row r="2897" spans="1:90">
      <c r="A2897">
        <v>28051628</v>
      </c>
      <c r="B2897" s="2" t="str">
        <f>HYPERLINK("http://www.redfin.com/stingray/do/printable-listing?listing-id=1587852","Active")</f>
        <v>Active</v>
      </c>
      <c r="D2897" t="s">
        <v>4542</v>
      </c>
      <c r="E2897" t="s">
        <v>6423</v>
      </c>
      <c r="F2897">
        <v>849950</v>
      </c>
      <c r="G2897">
        <v>1991</v>
      </c>
      <c r="H2897">
        <v>2420</v>
      </c>
      <c r="I2897">
        <v>7200</v>
      </c>
      <c r="J2897">
        <v>3</v>
      </c>
      <c r="K2897">
        <v>3</v>
      </c>
      <c r="M2897" s="2" t="str">
        <f>HYPERLINK("http://maps.live.com/default.aspx?v=2&amp;lvl=15&amp;sp=Point.47.689398_-122.196596_620 17TH&amp;cp=47.689398~-122.196596","Map")</f>
        <v>Map</v>
      </c>
      <c r="N2897" s="2" t="str">
        <f>HYPERLINK("http://i-0.rfimg.us/photo/1/bigphoto/628/28051628_0.jpg","Photo")</f>
        <v>Photo</v>
      </c>
      <c r="AG2897">
        <v>47.689397999999997</v>
      </c>
      <c r="AH2897">
        <v>-122.196596</v>
      </c>
      <c r="AI2897" t="s">
        <v>1058</v>
      </c>
      <c r="AJ2897">
        <v>98033</v>
      </c>
      <c r="AN2897">
        <v>224885</v>
      </c>
      <c r="BC2897" s="22">
        <v>39533.046469907407</v>
      </c>
      <c r="BI2897" s="7">
        <v>39534</v>
      </c>
      <c r="BL2897">
        <v>16999</v>
      </c>
      <c r="BM2897">
        <v>1587852</v>
      </c>
      <c r="BN2897" t="s">
        <v>3117</v>
      </c>
      <c r="BO2897" s="17">
        <f t="shared" ca="1" si="45"/>
        <v>16.262935995371663</v>
      </c>
      <c r="BP2897" t="b">
        <v>0</v>
      </c>
      <c r="BQ2897">
        <v>1</v>
      </c>
      <c r="BS2897" t="s">
        <v>6424</v>
      </c>
      <c r="BT2897" t="b">
        <v>0</v>
      </c>
      <c r="BV2897" t="s">
        <v>1668</v>
      </c>
      <c r="BW2897">
        <v>620</v>
      </c>
      <c r="BY2897">
        <v>463409</v>
      </c>
      <c r="BZ2897" t="s">
        <v>1813</v>
      </c>
      <c r="CA2897">
        <v>1</v>
      </c>
      <c r="CB2897" t="b">
        <v>1</v>
      </c>
      <c r="CC2897">
        <v>0</v>
      </c>
      <c r="CD2897" t="b">
        <v>0</v>
      </c>
      <c r="CE2897" t="b">
        <v>1</v>
      </c>
      <c r="CF2897" t="b">
        <v>0</v>
      </c>
      <c r="CG2897">
        <v>2658865</v>
      </c>
      <c r="CH2897" t="s">
        <v>1681</v>
      </c>
      <c r="CI2897" s="10">
        <v>849950</v>
      </c>
      <c r="CJ2897" s="7">
        <v>33345</v>
      </c>
    </row>
    <row r="2898" spans="1:90">
      <c r="A2898">
        <v>28051633</v>
      </c>
      <c r="B2898" s="2" t="str">
        <f>HYPERLINK("http://www.redfin.com/stingray/do/printable-listing?listing-id=1587985","Active")</f>
        <v>Active</v>
      </c>
      <c r="D2898" t="s">
        <v>3089</v>
      </c>
      <c r="E2898" t="s">
        <v>6340</v>
      </c>
      <c r="F2898">
        <v>869000</v>
      </c>
      <c r="G2898">
        <v>1915</v>
      </c>
      <c r="H2898">
        <v>2680</v>
      </c>
      <c r="I2898">
        <v>7657</v>
      </c>
      <c r="J2898">
        <v>4</v>
      </c>
      <c r="K2898">
        <v>2.5</v>
      </c>
      <c r="M2898" s="2" t="str">
        <f>HYPERLINK("http://maps.live.com/default.aspx?v=2&amp;lvl=15&amp;sp=Point.47.662052_-122.276706_4526 47th Ave NE&amp;cp=47.662052~-122.276706","Map")</f>
        <v>Map</v>
      </c>
      <c r="N2898" s="2" t="str">
        <f>HYPERLINK("http://i-0.rfimg.us/photo/1/bigphoto/633/28051633_4.jpg","Photo")</f>
        <v>Photo</v>
      </c>
      <c r="AG2898">
        <v>47.662052000000003</v>
      </c>
      <c r="AH2898">
        <v>-122.276706</v>
      </c>
      <c r="AI2898" t="s">
        <v>66</v>
      </c>
      <c r="AJ2898">
        <v>98105</v>
      </c>
      <c r="AN2898">
        <v>475000</v>
      </c>
      <c r="BC2898" s="22">
        <v>39533.223726851851</v>
      </c>
      <c r="BI2898" s="22">
        <v>39549.294907407406</v>
      </c>
      <c r="BL2898">
        <v>17380</v>
      </c>
      <c r="BM2898">
        <v>1587985</v>
      </c>
      <c r="BN2898" t="s">
        <v>1702</v>
      </c>
      <c r="BO2898" s="17">
        <f t="shared" ca="1" si="45"/>
        <v>16.085679050927865</v>
      </c>
      <c r="BP2898" t="b">
        <v>0</v>
      </c>
      <c r="BQ2898">
        <v>1</v>
      </c>
      <c r="BR2898" t="s">
        <v>1667</v>
      </c>
      <c r="BS2898" t="s">
        <v>2453</v>
      </c>
      <c r="BT2898" t="b">
        <v>0</v>
      </c>
      <c r="BV2898" t="s">
        <v>1668</v>
      </c>
      <c r="BW2898">
        <v>4526</v>
      </c>
      <c r="BX2898" t="s">
        <v>1738</v>
      </c>
      <c r="BY2898">
        <v>122362</v>
      </c>
      <c r="BZ2898" t="s">
        <v>6341</v>
      </c>
      <c r="CA2898">
        <v>1</v>
      </c>
      <c r="CB2898" t="b">
        <v>1</v>
      </c>
      <c r="CC2898">
        <v>0</v>
      </c>
      <c r="CD2898" t="b">
        <v>0</v>
      </c>
      <c r="CE2898" t="b">
        <v>1</v>
      </c>
      <c r="CF2898" t="b">
        <v>0</v>
      </c>
      <c r="CG2898">
        <v>2746398</v>
      </c>
      <c r="CH2898" t="s">
        <v>1681</v>
      </c>
      <c r="CI2898" s="10">
        <v>869000</v>
      </c>
      <c r="CJ2898" s="7">
        <v>37533</v>
      </c>
      <c r="CL2898" t="s">
        <v>2325</v>
      </c>
    </row>
    <row r="2899" spans="1:90">
      <c r="A2899">
        <v>28051642</v>
      </c>
      <c r="B2899" s="2" t="str">
        <f>HYPERLINK("http://www.redfin.com/stingray/do/printable-listing?listing-id=1595013","Active")</f>
        <v>Active</v>
      </c>
      <c r="D2899" t="s">
        <v>3691</v>
      </c>
      <c r="E2899" t="s">
        <v>6523</v>
      </c>
      <c r="F2899">
        <v>615000</v>
      </c>
      <c r="G2899">
        <v>2005</v>
      </c>
      <c r="H2899">
        <v>1970</v>
      </c>
      <c r="I2899">
        <v>0</v>
      </c>
      <c r="J2899">
        <v>3</v>
      </c>
      <c r="K2899">
        <v>1.75</v>
      </c>
      <c r="M2899" s="2" t="str">
        <f>HYPERLINK("http://maps.live.com/default.aspx?v=2&amp;lvl=15&amp;sp=Point.47.649775_-122.320826_3140 Franklin Ave E&amp;cp=47.649775~-122.320826","Map")</f>
        <v>Map</v>
      </c>
      <c r="N2899" s="2" t="str">
        <f>HYPERLINK("http://i-0.rfimg.us/photo/1/bigphoto/642/28051642_6.jpg","Photo")</f>
        <v>Photo</v>
      </c>
      <c r="AG2899">
        <v>47.649774999999998</v>
      </c>
      <c r="AH2899">
        <v>-122.320826</v>
      </c>
      <c r="AI2899" t="s">
        <v>66</v>
      </c>
      <c r="AJ2899">
        <v>98102</v>
      </c>
      <c r="BC2899" s="22">
        <v>39535.264560185184</v>
      </c>
      <c r="BI2899" s="22">
        <v>39549.294907407406</v>
      </c>
      <c r="BL2899">
        <v>12300</v>
      </c>
      <c r="BM2899">
        <v>1595013</v>
      </c>
      <c r="BN2899" t="s">
        <v>3236</v>
      </c>
      <c r="BO2899" s="17">
        <f t="shared" ca="1" si="45"/>
        <v>14.044845717595308</v>
      </c>
      <c r="BP2899" t="b">
        <v>0</v>
      </c>
      <c r="BQ2899">
        <v>1</v>
      </c>
      <c r="BR2899" t="s">
        <v>1667</v>
      </c>
      <c r="BS2899" t="s">
        <v>3699</v>
      </c>
      <c r="BT2899" t="b">
        <v>0</v>
      </c>
      <c r="BV2899" t="s">
        <v>1668</v>
      </c>
      <c r="BW2899">
        <v>3140</v>
      </c>
      <c r="BX2899" t="s">
        <v>2436</v>
      </c>
      <c r="BY2899">
        <v>11900858</v>
      </c>
      <c r="BZ2899" s="21">
        <v>6.9444444444444447E-4</v>
      </c>
      <c r="CA2899">
        <v>1</v>
      </c>
      <c r="CB2899" t="b">
        <v>1</v>
      </c>
      <c r="CC2899">
        <v>0</v>
      </c>
      <c r="CD2899" t="b">
        <v>0</v>
      </c>
      <c r="CE2899" t="b">
        <v>1</v>
      </c>
      <c r="CF2899" t="b">
        <v>0</v>
      </c>
      <c r="CG2899">
        <v>15155083</v>
      </c>
      <c r="CH2899" t="s">
        <v>1681</v>
      </c>
      <c r="CI2899" s="10">
        <v>615000</v>
      </c>
    </row>
    <row r="2900" spans="1:90">
      <c r="A2900">
        <v>28051696</v>
      </c>
      <c r="B2900" s="2" t="str">
        <f>HYPERLINK("http://www.redfin.com/stingray/do/printable-listing?listing-id=1591048","Active")</f>
        <v>Active</v>
      </c>
      <c r="D2900" t="s">
        <v>1058</v>
      </c>
      <c r="E2900" t="s">
        <v>6481</v>
      </c>
      <c r="F2900">
        <v>399000</v>
      </c>
      <c r="G2900">
        <v>1960</v>
      </c>
      <c r="H2900">
        <v>1110</v>
      </c>
      <c r="I2900">
        <v>9583</v>
      </c>
      <c r="J2900">
        <v>3</v>
      </c>
      <c r="K2900">
        <v>1.5</v>
      </c>
      <c r="M2900" s="2" t="str">
        <f>HYPERLINK("http://maps.live.com/default.aspx?v=2&amp;lvl=15&amp;sp=Point.47.699575_-122.175463_12405 NE 111 Pl&amp;cp=47.699575~-122.175463","Map")</f>
        <v>Map</v>
      </c>
      <c r="N2900" s="2" t="str">
        <f>HYPERLINK("http://i-0.rfimg.us/photo/1/bigphoto/696/28051696_0.jpg","Photo")</f>
        <v>Photo</v>
      </c>
      <c r="AG2900">
        <v>47.699575000000003</v>
      </c>
      <c r="AH2900">
        <v>-122.17546299999999</v>
      </c>
      <c r="AI2900" t="s">
        <v>1058</v>
      </c>
      <c r="AJ2900">
        <v>98003</v>
      </c>
      <c r="AN2900">
        <v>145000</v>
      </c>
      <c r="BC2900" s="22">
        <v>39534.223020833335</v>
      </c>
      <c r="BI2900" s="22">
        <v>39549.294907407406</v>
      </c>
      <c r="BL2900">
        <v>7980</v>
      </c>
      <c r="BM2900">
        <v>1591048</v>
      </c>
      <c r="BN2900" t="s">
        <v>1775</v>
      </c>
      <c r="BO2900" s="17">
        <f t="shared" ca="1" si="45"/>
        <v>15.086385069444077</v>
      </c>
      <c r="BP2900" t="b">
        <v>0</v>
      </c>
      <c r="BQ2900">
        <v>1</v>
      </c>
      <c r="BR2900" t="s">
        <v>1842</v>
      </c>
      <c r="BS2900">
        <v>111</v>
      </c>
      <c r="BT2900" t="b">
        <v>0</v>
      </c>
      <c r="BU2900" t="s">
        <v>1738</v>
      </c>
      <c r="BV2900" t="s">
        <v>1668</v>
      </c>
      <c r="BW2900">
        <v>12405</v>
      </c>
      <c r="BY2900">
        <v>513983</v>
      </c>
      <c r="BZ2900" t="s">
        <v>1741</v>
      </c>
      <c r="CA2900">
        <v>1</v>
      </c>
      <c r="CB2900" t="b">
        <v>1</v>
      </c>
      <c r="CC2900">
        <v>0</v>
      </c>
      <c r="CD2900" t="b">
        <v>0</v>
      </c>
      <c r="CE2900" t="b">
        <v>1</v>
      </c>
      <c r="CF2900" t="b">
        <v>0</v>
      </c>
      <c r="CG2900">
        <v>2868287</v>
      </c>
      <c r="CH2900" t="s">
        <v>1681</v>
      </c>
      <c r="CI2900" s="10">
        <v>399000</v>
      </c>
      <c r="CJ2900" s="7">
        <v>35898</v>
      </c>
    </row>
    <row r="2901" spans="1:90">
      <c r="A2901">
        <v>28051712</v>
      </c>
      <c r="B2901" s="15" t="str">
        <f>HYPERLINK("http://www.redfin.com/stingray/do/printable-listing?listing-id=1598745","Active")</f>
        <v>Active</v>
      </c>
      <c r="D2901" t="s">
        <v>3249</v>
      </c>
      <c r="E2901" t="s">
        <v>6578</v>
      </c>
      <c r="F2901">
        <v>837500</v>
      </c>
      <c r="G2901">
        <v>1929</v>
      </c>
      <c r="H2901">
        <v>2650</v>
      </c>
      <c r="I2901">
        <v>3200</v>
      </c>
      <c r="J2901">
        <v>3</v>
      </c>
      <c r="K2901">
        <v>2.5</v>
      </c>
      <c r="M2901" s="2" t="str">
        <f>HYPERLINK("http://maps.live.com/default.aspx?v=2&amp;lvl=15&amp;sp=Point.47.64209_-122.349947_365 Halladay&amp;cp=47.64209~-122.349947","Map")</f>
        <v>Map</v>
      </c>
      <c r="N2901" s="2" t="str">
        <f>HYPERLINK("http://i-0.rfimg.us/photo/1/bigphoto/712/28051712_1.jpg","Photo")</f>
        <v>Photo</v>
      </c>
      <c r="AG2901">
        <v>47.642090000000003</v>
      </c>
      <c r="AH2901">
        <v>-122.349947</v>
      </c>
      <c r="AI2901" t="s">
        <v>66</v>
      </c>
      <c r="AJ2901">
        <v>98109</v>
      </c>
      <c r="BC2901" s="22">
        <v>39536.33766203704</v>
      </c>
      <c r="BI2901" s="22">
        <v>39549.294907407406</v>
      </c>
      <c r="BL2901">
        <v>16750</v>
      </c>
      <c r="BM2901">
        <v>1598745</v>
      </c>
      <c r="BN2901" t="s">
        <v>1678</v>
      </c>
      <c r="BO2901" s="17">
        <f t="shared" ca="1" si="45"/>
        <v>12.971743865738972</v>
      </c>
      <c r="BP2901" t="b">
        <v>0</v>
      </c>
      <c r="BQ2901">
        <v>1</v>
      </c>
      <c r="BS2901" t="s">
        <v>3335</v>
      </c>
      <c r="BT2901" t="b">
        <v>0</v>
      </c>
      <c r="BV2901" t="s">
        <v>1668</v>
      </c>
      <c r="BW2901">
        <v>365</v>
      </c>
      <c r="BY2901">
        <v>135102</v>
      </c>
      <c r="BZ2901" t="s">
        <v>1709</v>
      </c>
      <c r="CA2901">
        <v>1</v>
      </c>
      <c r="CB2901" t="b">
        <v>1</v>
      </c>
      <c r="CC2901">
        <v>0</v>
      </c>
      <c r="CD2901" t="b">
        <v>0</v>
      </c>
      <c r="CE2901" t="b">
        <v>1</v>
      </c>
      <c r="CF2901" t="b">
        <v>0</v>
      </c>
      <c r="CG2901">
        <v>2951783</v>
      </c>
      <c r="CH2901" t="s">
        <v>1681</v>
      </c>
      <c r="CI2901" s="10">
        <v>837500</v>
      </c>
    </row>
    <row r="2902" spans="1:90">
      <c r="A2902">
        <v>28051743</v>
      </c>
      <c r="B2902" s="2" t="str">
        <f>HYPERLINK("http://www.redfin.com/stingray/do/printable-listing?listing-id=1588368","Active")</f>
        <v>Active</v>
      </c>
      <c r="D2902" t="s">
        <v>5565</v>
      </c>
      <c r="E2902" t="s">
        <v>6450</v>
      </c>
      <c r="F2902">
        <v>789950</v>
      </c>
      <c r="G2902">
        <v>2008</v>
      </c>
      <c r="H2902">
        <v>3436</v>
      </c>
      <c r="I2902">
        <v>0</v>
      </c>
      <c r="J2902">
        <v>5</v>
      </c>
      <c r="K2902">
        <v>2.5</v>
      </c>
      <c r="M2902" s="2" t="str">
        <f>HYPERLINK("http://maps.live.com/default.aspx?v=2&amp;lvl=15&amp;sp=adr.11612 SE 63rd St (Unable to map),98006","Map")</f>
        <v>Map</v>
      </c>
      <c r="N2902" s="2" t="str">
        <f>HYPERLINK("http://i-0.rfimg.us/photo/1/bigphoto/743/28051743_.jpg","Photo")</f>
        <v>Photo</v>
      </c>
      <c r="AI2902" t="s">
        <v>369</v>
      </c>
      <c r="AJ2902">
        <v>98006</v>
      </c>
      <c r="BC2902" s="22">
        <v>39533.389953703707</v>
      </c>
      <c r="BI2902" s="22">
        <v>39549.294907407406</v>
      </c>
      <c r="BL2902">
        <v>15799</v>
      </c>
      <c r="BM2902">
        <v>1588368</v>
      </c>
      <c r="BN2902" t="s">
        <v>5540</v>
      </c>
      <c r="BO2902" s="17">
        <f t="shared" ca="1" si="45"/>
        <v>15.919452199072111</v>
      </c>
      <c r="BP2902" t="b">
        <v>0</v>
      </c>
      <c r="BQ2902">
        <v>1</v>
      </c>
      <c r="BR2902" t="s">
        <v>1686</v>
      </c>
      <c r="BS2902" t="s">
        <v>2529</v>
      </c>
      <c r="BT2902" t="b">
        <v>0</v>
      </c>
      <c r="BU2902" t="s">
        <v>3856</v>
      </c>
      <c r="BV2902" t="s">
        <v>1668</v>
      </c>
      <c r="BW2902">
        <v>11612</v>
      </c>
      <c r="BY2902">
        <v>0</v>
      </c>
      <c r="CA2902">
        <v>1</v>
      </c>
      <c r="CB2902" t="b">
        <v>1</v>
      </c>
      <c r="CC2902">
        <v>0</v>
      </c>
      <c r="CD2902" t="b">
        <v>0</v>
      </c>
      <c r="CE2902" t="b">
        <v>1</v>
      </c>
      <c r="CF2902" t="b">
        <v>0</v>
      </c>
      <c r="CG2902" t="s">
        <v>1870</v>
      </c>
      <c r="CH2902" t="s">
        <v>1681</v>
      </c>
      <c r="CI2902" s="10">
        <v>789950</v>
      </c>
    </row>
    <row r="2903" spans="1:90">
      <c r="A2903">
        <v>28051744</v>
      </c>
      <c r="B2903" s="2" t="str">
        <f>HYPERLINK("http://www.redfin.com/stingray/do/printable-listing?listing-id=1588604","Active")</f>
        <v>Active</v>
      </c>
      <c r="D2903" t="s">
        <v>5195</v>
      </c>
      <c r="E2903" t="s">
        <v>6447</v>
      </c>
      <c r="F2903">
        <v>739800</v>
      </c>
      <c r="G2903">
        <v>1972</v>
      </c>
      <c r="H2903">
        <v>2560</v>
      </c>
      <c r="I2903">
        <v>7434</v>
      </c>
      <c r="J2903">
        <v>5</v>
      </c>
      <c r="K2903">
        <v>2.5</v>
      </c>
      <c r="M2903" s="2" t="str">
        <f>HYPERLINK("http://maps.live.com/default.aspx?v=2&amp;lvl=15&amp;sp=Point.47.582431_-122.117768_16600 SE 31 St&amp;cp=47.582431~-122.117768","Map")</f>
        <v>Map</v>
      </c>
      <c r="N2903" s="2" t="str">
        <f>HYPERLINK("http://i-0.rfimg.us/photo/1/bigphoto/744/28051744_1.jpg","Photo")</f>
        <v>Photo</v>
      </c>
      <c r="AG2903">
        <v>47.582431</v>
      </c>
      <c r="AH2903">
        <v>-122.117768</v>
      </c>
      <c r="AI2903" t="s">
        <v>369</v>
      </c>
      <c r="AJ2903">
        <v>98008</v>
      </c>
      <c r="AN2903">
        <v>349900</v>
      </c>
      <c r="BC2903" s="22">
        <v>39533.453321759262</v>
      </c>
      <c r="BI2903" s="22">
        <v>39549.294907407406</v>
      </c>
      <c r="BL2903">
        <v>14796</v>
      </c>
      <c r="BM2903">
        <v>1588604</v>
      </c>
      <c r="BN2903" t="s">
        <v>1768</v>
      </c>
      <c r="BO2903" s="17">
        <f t="shared" ca="1" si="45"/>
        <v>15.856084143517364</v>
      </c>
      <c r="BP2903" t="b">
        <v>0</v>
      </c>
      <c r="BQ2903">
        <v>1</v>
      </c>
      <c r="BR2903" t="s">
        <v>1686</v>
      </c>
      <c r="BS2903">
        <v>31</v>
      </c>
      <c r="BT2903" t="b">
        <v>0</v>
      </c>
      <c r="BU2903" t="s">
        <v>3856</v>
      </c>
      <c r="BV2903" t="s">
        <v>1668</v>
      </c>
      <c r="BW2903">
        <v>16600</v>
      </c>
      <c r="BY2903">
        <v>429594</v>
      </c>
      <c r="BZ2903" t="s">
        <v>2689</v>
      </c>
      <c r="CA2903">
        <v>1</v>
      </c>
      <c r="CB2903" t="b">
        <v>1</v>
      </c>
      <c r="CC2903">
        <v>0</v>
      </c>
      <c r="CD2903" t="b">
        <v>0</v>
      </c>
      <c r="CE2903" t="b">
        <v>1</v>
      </c>
      <c r="CF2903" t="b">
        <v>0</v>
      </c>
      <c r="CG2903">
        <v>2924335</v>
      </c>
      <c r="CH2903" t="s">
        <v>1681</v>
      </c>
      <c r="CI2903" s="10">
        <v>739800</v>
      </c>
      <c r="CJ2903" s="7">
        <v>36651</v>
      </c>
    </row>
    <row r="2904" spans="1:90">
      <c r="A2904">
        <v>28051764</v>
      </c>
      <c r="B2904" s="15" t="str">
        <f>HYPERLINK("http://www.redfin.com/stingray/do/printable-listing?listing-id=1606387","Active")</f>
        <v>Active</v>
      </c>
      <c r="D2904" t="s">
        <v>213</v>
      </c>
      <c r="E2904" t="s">
        <v>6667</v>
      </c>
      <c r="F2904">
        <v>359950</v>
      </c>
      <c r="G2904">
        <v>1926</v>
      </c>
      <c r="H2904">
        <v>1400</v>
      </c>
      <c r="I2904">
        <v>4851</v>
      </c>
      <c r="J2904">
        <v>2</v>
      </c>
      <c r="K2904">
        <v>1</v>
      </c>
      <c r="M2904" s="2" t="str">
        <f>HYPERLINK("http://maps.live.com/default.aspx?v=2&amp;lvl=15&amp;sp=Point.47.713945_-122.287758_3636 NE 117th St&amp;cp=47.713945~-122.287758","Map")</f>
        <v>Map</v>
      </c>
      <c r="N2904" s="2" t="str">
        <f>HYPERLINK("http://i-0.rfimg.us/photo/1/bigphoto/764/28051764_0.jpg","Photo")</f>
        <v>Photo</v>
      </c>
      <c r="AG2904">
        <v>47.713945000000002</v>
      </c>
      <c r="AH2904">
        <v>-122.287758</v>
      </c>
      <c r="AI2904" t="s">
        <v>66</v>
      </c>
      <c r="AJ2904">
        <v>98125</v>
      </c>
      <c r="AN2904">
        <v>254000</v>
      </c>
      <c r="BC2904" s="22">
        <v>39539.637094907404</v>
      </c>
      <c r="BI2904" s="22">
        <v>39549.294907407406</v>
      </c>
      <c r="BL2904">
        <v>7199</v>
      </c>
      <c r="BM2904">
        <v>1606387</v>
      </c>
      <c r="BN2904" t="s">
        <v>1710</v>
      </c>
      <c r="BO2904" s="17">
        <f t="shared" ca="1" si="45"/>
        <v>9.6723109953745734</v>
      </c>
      <c r="BP2904" t="b">
        <v>0</v>
      </c>
      <c r="BQ2904">
        <v>1</v>
      </c>
      <c r="BR2904" t="s">
        <v>1686</v>
      </c>
      <c r="BS2904" t="s">
        <v>2743</v>
      </c>
      <c r="BT2904" t="b">
        <v>0</v>
      </c>
      <c r="BU2904" t="s">
        <v>1738</v>
      </c>
      <c r="BV2904" t="s">
        <v>1668</v>
      </c>
      <c r="BW2904">
        <v>3636</v>
      </c>
      <c r="BY2904">
        <v>111882</v>
      </c>
      <c r="BZ2904" t="s">
        <v>1741</v>
      </c>
      <c r="CA2904">
        <v>1</v>
      </c>
      <c r="CB2904" t="b">
        <v>1</v>
      </c>
      <c r="CC2904">
        <v>0</v>
      </c>
      <c r="CD2904" t="b">
        <v>0</v>
      </c>
      <c r="CE2904" t="b">
        <v>1</v>
      </c>
      <c r="CF2904" t="b">
        <v>0</v>
      </c>
      <c r="CG2904">
        <v>2978645</v>
      </c>
      <c r="CH2904" t="s">
        <v>1681</v>
      </c>
      <c r="CI2904" s="10">
        <v>359950</v>
      </c>
      <c r="CJ2904" s="7">
        <v>39491</v>
      </c>
    </row>
    <row r="2905" spans="1:90">
      <c r="A2905">
        <v>28051797</v>
      </c>
      <c r="B2905" s="2" t="str">
        <f>HYPERLINK("http://www.redfin.com/stingray/do/printable-listing?listing-id=1588508","Active")</f>
        <v>Active</v>
      </c>
      <c r="D2905" t="s">
        <v>5280</v>
      </c>
      <c r="E2905" t="s">
        <v>5478</v>
      </c>
      <c r="F2905">
        <v>850000</v>
      </c>
      <c r="G2905">
        <v>1988</v>
      </c>
      <c r="H2905">
        <v>2960</v>
      </c>
      <c r="I2905">
        <v>9628</v>
      </c>
      <c r="J2905">
        <v>4</v>
      </c>
      <c r="K2905">
        <v>2.5</v>
      </c>
      <c r="M2905" s="2" t="str">
        <f>HYPERLINK("http://maps.live.com/default.aspx?v=2&amp;lvl=15&amp;sp=Point.47.568731_-122.093718_4243 185th Pl SE&amp;cp=47.568731~-122.093718","Map")</f>
        <v>Map</v>
      </c>
      <c r="N2905" s="2" t="str">
        <f>HYPERLINK("http://i-0.rfimg.us/photo/1/bigphoto/797/28051797_0.jpg","Photo")</f>
        <v>Photo</v>
      </c>
      <c r="AG2905">
        <v>47.568731</v>
      </c>
      <c r="AH2905">
        <v>-122.093718</v>
      </c>
      <c r="AI2905" t="s">
        <v>5280</v>
      </c>
      <c r="AJ2905">
        <v>98027</v>
      </c>
      <c r="AN2905">
        <v>379500</v>
      </c>
      <c r="BC2905" s="22">
        <v>39533.433425925927</v>
      </c>
      <c r="BI2905" s="22">
        <v>39549.294907407406</v>
      </c>
      <c r="BL2905">
        <v>17000</v>
      </c>
      <c r="BM2905">
        <v>1588508</v>
      </c>
      <c r="BN2905" t="s">
        <v>1674</v>
      </c>
      <c r="BO2905" s="17">
        <f t="shared" ca="1" si="45"/>
        <v>15.87597997685225</v>
      </c>
      <c r="BP2905" t="b">
        <v>0</v>
      </c>
      <c r="BQ2905">
        <v>1</v>
      </c>
      <c r="BR2905" t="s">
        <v>1842</v>
      </c>
      <c r="BS2905" t="s">
        <v>5479</v>
      </c>
      <c r="BT2905" t="b">
        <v>0</v>
      </c>
      <c r="BV2905" t="s">
        <v>1668</v>
      </c>
      <c r="BW2905">
        <v>4243</v>
      </c>
      <c r="BX2905" t="s">
        <v>3856</v>
      </c>
      <c r="BY2905">
        <v>326580</v>
      </c>
      <c r="BZ2905" t="s">
        <v>1676</v>
      </c>
      <c r="CA2905">
        <v>1</v>
      </c>
      <c r="CB2905" t="b">
        <v>1</v>
      </c>
      <c r="CC2905">
        <v>0</v>
      </c>
      <c r="CD2905" t="b">
        <v>0</v>
      </c>
      <c r="CE2905" t="b">
        <v>1</v>
      </c>
      <c r="CF2905" t="b">
        <v>0</v>
      </c>
      <c r="CG2905">
        <v>2396574</v>
      </c>
      <c r="CH2905" t="s">
        <v>1681</v>
      </c>
      <c r="CI2905" s="10">
        <v>850000</v>
      </c>
      <c r="CJ2905" s="7">
        <v>34771</v>
      </c>
    </row>
    <row r="2906" spans="1:90">
      <c r="A2906">
        <v>28051844</v>
      </c>
      <c r="B2906" s="2" t="str">
        <f>HYPERLINK("http://www.redfin.com/stingray/do/printable-listing?listing-id=1589682","Active")</f>
        <v>Active</v>
      </c>
      <c r="D2906" s="19" t="s">
        <v>983</v>
      </c>
      <c r="E2906" t="s">
        <v>6338</v>
      </c>
      <c r="F2906">
        <v>512500</v>
      </c>
      <c r="G2906">
        <v>1910</v>
      </c>
      <c r="H2906">
        <v>0</v>
      </c>
      <c r="I2906">
        <v>5140</v>
      </c>
      <c r="J2906">
        <v>3</v>
      </c>
      <c r="K2906">
        <v>2</v>
      </c>
      <c r="M2906" s="2" t="str">
        <f>HYPERLINK("http://maps.live.com/default.aspx?v=2&amp;lvl=15&amp;sp=Point.47.71643_-122.282599_4216 NE 120 St&amp;cp=47.71643~-122.282599","Map")</f>
        <v>Map</v>
      </c>
      <c r="N2906" s="2" t="str">
        <f>HYPERLINK("http://i-0.rfimg.us/photo/1/bigphoto/844/28051844_.jpg","Photo")</f>
        <v>Photo</v>
      </c>
      <c r="AG2906">
        <v>47.716430000000003</v>
      </c>
      <c r="AH2906">
        <v>-122.282599</v>
      </c>
      <c r="AI2906" t="s">
        <v>66</v>
      </c>
      <c r="AJ2906">
        <v>98125</v>
      </c>
      <c r="AN2906">
        <v>115000</v>
      </c>
      <c r="BC2906" s="22">
        <v>39533.640902777777</v>
      </c>
      <c r="BI2906" s="22">
        <v>39549.294907407406</v>
      </c>
      <c r="BL2906">
        <v>10250</v>
      </c>
      <c r="BM2906">
        <v>1589682</v>
      </c>
      <c r="BN2906" t="s">
        <v>2136</v>
      </c>
      <c r="BO2906" s="17">
        <f t="shared" ca="1" si="45"/>
        <v>15.668503125001735</v>
      </c>
      <c r="BP2906" t="b">
        <v>0</v>
      </c>
      <c r="BQ2906">
        <v>1</v>
      </c>
      <c r="BR2906" t="s">
        <v>1686</v>
      </c>
      <c r="BS2906">
        <v>120</v>
      </c>
      <c r="BT2906" t="b">
        <v>0</v>
      </c>
      <c r="BU2906" t="s">
        <v>1738</v>
      </c>
      <c r="BV2906" t="s">
        <v>1668</v>
      </c>
      <c r="BW2906">
        <v>4216</v>
      </c>
      <c r="BY2906">
        <v>318815</v>
      </c>
      <c r="BZ2906" t="s">
        <v>1813</v>
      </c>
      <c r="CA2906">
        <v>1</v>
      </c>
      <c r="CB2906" t="b">
        <v>1</v>
      </c>
      <c r="CC2906">
        <v>0</v>
      </c>
      <c r="CD2906" t="b">
        <v>0</v>
      </c>
      <c r="CE2906" t="b">
        <v>1</v>
      </c>
      <c r="CF2906" t="b">
        <v>0</v>
      </c>
      <c r="CG2906">
        <v>2421903</v>
      </c>
      <c r="CH2906" t="s">
        <v>1681</v>
      </c>
      <c r="CI2906" s="10">
        <v>512500</v>
      </c>
      <c r="CJ2906" s="7">
        <v>32479</v>
      </c>
    </row>
    <row r="2907" spans="1:90">
      <c r="A2907">
        <v>28051872</v>
      </c>
      <c r="B2907" s="2" t="str">
        <f>HYPERLINK("http://www.redfin.com/stingray/do/printable-listing?listing-id=1588755","Active")</f>
        <v>Active</v>
      </c>
      <c r="D2907" t="s">
        <v>919</v>
      </c>
      <c r="E2907" t="s">
        <v>6337</v>
      </c>
      <c r="F2907">
        <v>523000</v>
      </c>
      <c r="G2907">
        <v>1962</v>
      </c>
      <c r="H2907">
        <v>2200</v>
      </c>
      <c r="I2907">
        <v>6380</v>
      </c>
      <c r="J2907">
        <v>5</v>
      </c>
      <c r="K2907">
        <v>1.75</v>
      </c>
      <c r="M2907" s="2" t="str">
        <f>HYPERLINK("http://maps.live.com/default.aspx?v=2&amp;lvl=15&amp;sp=Point.47.704291_-122.321457_540 NE 104 St&amp;cp=47.704291~-122.321457","Map")</f>
        <v>Map</v>
      </c>
      <c r="N2907" s="2" t="str">
        <f>HYPERLINK("http://i-0.rfimg.us/photo/1/bigphoto/872/28051872_0.jpg","Photo")</f>
        <v>Photo</v>
      </c>
      <c r="AG2907">
        <v>47.704290999999998</v>
      </c>
      <c r="AH2907">
        <v>-122.321457</v>
      </c>
      <c r="AI2907" t="s">
        <v>66</v>
      </c>
      <c r="AJ2907">
        <v>98125</v>
      </c>
      <c r="BC2907" s="22">
        <v>39533.485081018516</v>
      </c>
      <c r="BI2907" s="22">
        <v>39549.294907407406</v>
      </c>
      <c r="BL2907">
        <v>10460</v>
      </c>
      <c r="BM2907">
        <v>1588755</v>
      </c>
      <c r="BN2907" t="s">
        <v>1688</v>
      </c>
      <c r="BO2907" s="17">
        <f t="shared" ca="1" si="45"/>
        <v>15.824324884262751</v>
      </c>
      <c r="BP2907" t="b">
        <v>0</v>
      </c>
      <c r="BQ2907">
        <v>1</v>
      </c>
      <c r="BR2907" t="s">
        <v>1686</v>
      </c>
      <c r="BS2907">
        <v>104</v>
      </c>
      <c r="BT2907" t="b">
        <v>0</v>
      </c>
      <c r="BU2907" t="s">
        <v>1738</v>
      </c>
      <c r="BV2907" t="s">
        <v>1668</v>
      </c>
      <c r="BW2907">
        <v>540</v>
      </c>
      <c r="BY2907">
        <v>106781</v>
      </c>
      <c r="BZ2907" t="s">
        <v>1747</v>
      </c>
      <c r="CA2907">
        <v>1</v>
      </c>
      <c r="CB2907" t="b">
        <v>1</v>
      </c>
      <c r="CC2907">
        <v>0</v>
      </c>
      <c r="CD2907" t="b">
        <v>0</v>
      </c>
      <c r="CE2907" t="b">
        <v>1</v>
      </c>
      <c r="CF2907" t="b">
        <v>0</v>
      </c>
      <c r="CG2907">
        <v>2659297</v>
      </c>
      <c r="CH2907" t="s">
        <v>1681</v>
      </c>
      <c r="CI2907" s="10">
        <v>523000</v>
      </c>
    </row>
    <row r="2908" spans="1:90">
      <c r="A2908">
        <v>28051873</v>
      </c>
      <c r="B2908" s="2" t="str">
        <f>HYPERLINK("http://www.redfin.com/stingray/do/printable-listing?listing-id=1591550","Active")</f>
        <v>Active</v>
      </c>
      <c r="D2908" t="s">
        <v>88</v>
      </c>
      <c r="E2908" t="s">
        <v>2295</v>
      </c>
      <c r="F2908">
        <v>800000</v>
      </c>
      <c r="G2908">
        <v>1924</v>
      </c>
      <c r="H2908">
        <v>2570</v>
      </c>
      <c r="I2908">
        <v>4429</v>
      </c>
      <c r="J2908">
        <v>5</v>
      </c>
      <c r="K2908">
        <v>4</v>
      </c>
      <c r="M2908" s="2" t="str">
        <f>HYPERLINK("http://maps.live.com/default.aspx?v=2&amp;lvl=15&amp;sp=Point.47.683785_-122.359949_145 NW 76th St&amp;cp=47.683785~-122.359949","Map")</f>
        <v>Map</v>
      </c>
      <c r="N2908" s="2" t="str">
        <f>HYPERLINK("http://i-0.rfimg.us/photo/1/bigphoto/873/28051873_2.jpg","Photo")</f>
        <v>Photo</v>
      </c>
      <c r="AG2908">
        <v>47.683785</v>
      </c>
      <c r="AH2908">
        <v>-122.359949</v>
      </c>
      <c r="AI2908" t="s">
        <v>66</v>
      </c>
      <c r="AJ2908">
        <v>98117</v>
      </c>
      <c r="AN2908">
        <v>315000</v>
      </c>
      <c r="BC2908" s="22">
        <v>39534.368900462963</v>
      </c>
      <c r="BI2908" s="22">
        <v>39549.294907407406</v>
      </c>
      <c r="BL2908">
        <v>16000</v>
      </c>
      <c r="BM2908">
        <v>1591550</v>
      </c>
      <c r="BN2908" t="s">
        <v>1674</v>
      </c>
      <c r="BO2908" s="17">
        <f t="shared" ca="1" si="45"/>
        <v>14.940505439815752</v>
      </c>
      <c r="BP2908" t="b">
        <v>0</v>
      </c>
      <c r="BQ2908">
        <v>1</v>
      </c>
      <c r="BR2908" t="s">
        <v>1686</v>
      </c>
      <c r="BS2908" t="s">
        <v>2057</v>
      </c>
      <c r="BT2908" t="b">
        <v>0</v>
      </c>
      <c r="BU2908" t="s">
        <v>1669</v>
      </c>
      <c r="BV2908" t="s">
        <v>1668</v>
      </c>
      <c r="BW2908">
        <v>145</v>
      </c>
      <c r="BY2908">
        <v>496285</v>
      </c>
      <c r="BZ2908" t="s">
        <v>2296</v>
      </c>
      <c r="CA2908">
        <v>1</v>
      </c>
      <c r="CB2908" t="b">
        <v>1</v>
      </c>
      <c r="CC2908">
        <v>0</v>
      </c>
      <c r="CD2908" t="b">
        <v>0</v>
      </c>
      <c r="CE2908" t="b">
        <v>1</v>
      </c>
      <c r="CF2908" t="b">
        <v>0</v>
      </c>
      <c r="CG2908">
        <v>2905763</v>
      </c>
      <c r="CH2908" t="s">
        <v>1681</v>
      </c>
      <c r="CI2908" s="10">
        <v>800000</v>
      </c>
      <c r="CJ2908" s="7">
        <v>38565</v>
      </c>
      <c r="CK2908" t="s">
        <v>6879</v>
      </c>
    </row>
    <row r="2909" spans="1:90">
      <c r="A2909">
        <v>28051879</v>
      </c>
      <c r="B2909" s="2" t="str">
        <f>HYPERLINK("http://www.redfin.com/stingray/do/printable-listing?listing-id=1588756","Active")</f>
        <v>Active</v>
      </c>
      <c r="D2909" t="s">
        <v>70</v>
      </c>
      <c r="E2909" t="s">
        <v>6332</v>
      </c>
      <c r="F2909" s="19">
        <v>319999</v>
      </c>
      <c r="G2909">
        <v>2007</v>
      </c>
      <c r="H2909">
        <v>1426</v>
      </c>
      <c r="I2909">
        <v>0</v>
      </c>
      <c r="J2909">
        <v>2</v>
      </c>
      <c r="K2909">
        <v>2.5</v>
      </c>
      <c r="M2909" s="2" t="str">
        <f>HYPERLINK("http://maps.live.com/default.aspx?v=2&amp;lvl=15&amp;sp=Point.47.714487_-122.355071_11708 Greenwood Ave N nA&amp;cp=47.714487~-122.355071","Map")</f>
        <v>Map</v>
      </c>
      <c r="N2909" s="2" t="str">
        <f>HYPERLINK("http://i-0.rfimg.us/photo/1/bigphoto/879/28051879_0.jpg","Photo")</f>
        <v>Photo</v>
      </c>
      <c r="AG2909">
        <v>47.714486999999998</v>
      </c>
      <c r="AH2909">
        <v>-122.355071</v>
      </c>
      <c r="AI2909" t="s">
        <v>66</v>
      </c>
      <c r="AJ2909">
        <v>98133</v>
      </c>
      <c r="AM2909" t="s">
        <v>1722</v>
      </c>
      <c r="BC2909" s="22">
        <v>39533.485092592593</v>
      </c>
      <c r="BI2909" s="22">
        <v>39549.294907407406</v>
      </c>
      <c r="BL2909">
        <v>6598</v>
      </c>
      <c r="BM2909">
        <v>1588756</v>
      </c>
      <c r="BN2909" t="s">
        <v>1725</v>
      </c>
      <c r="BO2909" s="17">
        <f t="shared" ca="1" si="45"/>
        <v>15.824313310185971</v>
      </c>
      <c r="BP2909" t="b">
        <v>0</v>
      </c>
      <c r="BQ2909">
        <v>1</v>
      </c>
      <c r="BR2909" t="s">
        <v>1667</v>
      </c>
      <c r="BS2909" t="s">
        <v>55</v>
      </c>
      <c r="BT2909" t="b">
        <v>0</v>
      </c>
      <c r="BV2909" t="s">
        <v>1668</v>
      </c>
      <c r="BW2909">
        <v>11708</v>
      </c>
      <c r="BX2909" t="s">
        <v>1712</v>
      </c>
      <c r="BY2909">
        <v>12434592</v>
      </c>
      <c r="BZ2909" t="s">
        <v>1747</v>
      </c>
      <c r="CA2909">
        <v>1</v>
      </c>
      <c r="CB2909" t="b">
        <v>1</v>
      </c>
      <c r="CC2909">
        <v>0</v>
      </c>
      <c r="CD2909" t="b">
        <v>0</v>
      </c>
      <c r="CE2909" t="b">
        <v>0</v>
      </c>
      <c r="CF2909" t="b">
        <v>0</v>
      </c>
      <c r="CG2909">
        <v>15629696</v>
      </c>
      <c r="CH2909" t="s">
        <v>1681</v>
      </c>
      <c r="CI2909" s="10">
        <v>329888</v>
      </c>
      <c r="CL2909" t="s">
        <v>2325</v>
      </c>
    </row>
    <row r="2910" spans="1:90">
      <c r="A2910">
        <v>28051917</v>
      </c>
      <c r="B2910" s="15" t="str">
        <f>HYPERLINK("http://www.redfin.com/stingray/do/printable-listing?listing-id=1599488","Subject To Inspection")</f>
        <v>Subject To Inspection</v>
      </c>
      <c r="D2910" t="s">
        <v>4359</v>
      </c>
      <c r="E2910" t="s">
        <v>6586</v>
      </c>
      <c r="F2910">
        <v>389950</v>
      </c>
      <c r="G2910">
        <v>1958</v>
      </c>
      <c r="H2910">
        <v>1228</v>
      </c>
      <c r="I2910">
        <v>12300</v>
      </c>
      <c r="J2910">
        <v>3</v>
      </c>
      <c r="K2910">
        <v>2</v>
      </c>
      <c r="M2910" s="2" t="str">
        <f>HYPERLINK("http://maps.live.com/default.aspx?v=2&amp;lvl=15&amp;sp=Point.47.692453_-122.164429_10234 132nd Ave NE&amp;cp=47.692453~-122.164429","Map")</f>
        <v>Map</v>
      </c>
      <c r="N2910" s="2" t="str">
        <f>HYPERLINK("http://i-0.rfimg.us/photo/1/bigphoto/917/28051917_1.jpg","Photo")</f>
        <v>Photo</v>
      </c>
      <c r="AG2910">
        <v>47.692453</v>
      </c>
      <c r="AH2910">
        <v>-122.164429</v>
      </c>
      <c r="AI2910" t="s">
        <v>1058</v>
      </c>
      <c r="AJ2910">
        <v>98033</v>
      </c>
      <c r="AN2910">
        <v>330000</v>
      </c>
      <c r="BC2910" s="22">
        <v>39536.619456018518</v>
      </c>
      <c r="BI2910" s="22">
        <v>39549.294907407406</v>
      </c>
      <c r="BL2910">
        <v>7799</v>
      </c>
      <c r="BM2910">
        <v>1599488</v>
      </c>
      <c r="BN2910" t="s">
        <v>2203</v>
      </c>
      <c r="BO2910" s="17">
        <f t="shared" ca="1" si="45"/>
        <v>12.689949884261296</v>
      </c>
      <c r="BP2910" t="b">
        <v>0</v>
      </c>
      <c r="BQ2910">
        <v>1</v>
      </c>
      <c r="BR2910" t="s">
        <v>1667</v>
      </c>
      <c r="BS2910" t="s">
        <v>4362</v>
      </c>
      <c r="BT2910" t="b">
        <v>0</v>
      </c>
      <c r="BV2910" t="s">
        <v>1668</v>
      </c>
      <c r="BW2910">
        <v>10234</v>
      </c>
      <c r="BX2910" t="s">
        <v>1738</v>
      </c>
      <c r="BY2910">
        <v>513024</v>
      </c>
      <c r="BZ2910" t="s">
        <v>1689</v>
      </c>
      <c r="CA2910">
        <v>1</v>
      </c>
      <c r="CB2910" t="b">
        <v>1</v>
      </c>
      <c r="CC2910">
        <v>0</v>
      </c>
      <c r="CD2910" t="b">
        <v>0</v>
      </c>
      <c r="CE2910" t="b">
        <v>1</v>
      </c>
      <c r="CF2910" t="b">
        <v>0</v>
      </c>
      <c r="CG2910">
        <v>2835046</v>
      </c>
      <c r="CH2910" t="s">
        <v>1681</v>
      </c>
      <c r="CI2910" s="10">
        <v>389950</v>
      </c>
      <c r="CJ2910" s="7">
        <v>38470</v>
      </c>
    </row>
    <row r="2911" spans="1:90">
      <c r="A2911">
        <v>28051937</v>
      </c>
      <c r="B2911" s="2" t="str">
        <f>HYPERLINK("http://www.redfin.com/stingray/do/printable-listing?listing-id=1588856","Active")</f>
        <v>Active</v>
      </c>
      <c r="D2911" t="s">
        <v>5490</v>
      </c>
      <c r="E2911" t="s">
        <v>6452</v>
      </c>
      <c r="F2911">
        <v>660000</v>
      </c>
      <c r="G2911">
        <v>2001</v>
      </c>
      <c r="H2911">
        <v>2010</v>
      </c>
      <c r="I2911">
        <v>0</v>
      </c>
      <c r="J2911">
        <v>3</v>
      </c>
      <c r="K2911">
        <v>2.5</v>
      </c>
      <c r="M2911" s="2" t="str">
        <f>HYPERLINK("http://maps.live.com/default.aspx?v=2&amp;lvl=15&amp;sp=Point.47.553936_-122.124409_5501 Lakemont Blvd SE&amp;cp=47.553936~-122.124409","Map")</f>
        <v>Map</v>
      </c>
      <c r="N2911" s="2" t="str">
        <f>HYPERLINK("http://i-0.rfimg.us/photo/1/bigphoto/937/28051937_.jpg","Photo")</f>
        <v>Photo</v>
      </c>
      <c r="AG2911">
        <v>47.553936</v>
      </c>
      <c r="AH2911">
        <v>-122.124409</v>
      </c>
      <c r="AI2911" t="s">
        <v>369</v>
      </c>
      <c r="AJ2911">
        <v>98006</v>
      </c>
      <c r="BC2911" s="22">
        <v>39533.515196759261</v>
      </c>
      <c r="BI2911" s="22">
        <v>39549.294907407406</v>
      </c>
      <c r="BL2911">
        <v>13200</v>
      </c>
      <c r="BM2911">
        <v>1588856</v>
      </c>
      <c r="BN2911" t="s">
        <v>1688</v>
      </c>
      <c r="BO2911" s="17">
        <f t="shared" ca="1" si="45"/>
        <v>15.794209143517946</v>
      </c>
      <c r="BP2911" t="b">
        <v>0</v>
      </c>
      <c r="BQ2911">
        <v>1</v>
      </c>
      <c r="BR2911" t="s">
        <v>3141</v>
      </c>
      <c r="BS2911" t="s">
        <v>5490</v>
      </c>
      <c r="BT2911" t="b">
        <v>0</v>
      </c>
      <c r="BV2911" t="s">
        <v>1668</v>
      </c>
      <c r="BW2911">
        <v>5501</v>
      </c>
      <c r="BX2911" t="s">
        <v>3856</v>
      </c>
      <c r="BY2911">
        <v>2095564</v>
      </c>
      <c r="BZ2911" t="s">
        <v>1684</v>
      </c>
      <c r="CA2911">
        <v>1</v>
      </c>
      <c r="CB2911" t="b">
        <v>1</v>
      </c>
      <c r="CC2911">
        <v>0</v>
      </c>
      <c r="CD2911" t="b">
        <v>0</v>
      </c>
      <c r="CE2911" t="b">
        <v>1</v>
      </c>
      <c r="CF2911" t="b">
        <v>0</v>
      </c>
      <c r="CG2911">
        <v>2954238</v>
      </c>
      <c r="CH2911" t="s">
        <v>1681</v>
      </c>
      <c r="CI2911" s="10">
        <v>660000</v>
      </c>
    </row>
    <row r="2912" spans="1:90">
      <c r="A2912">
        <v>28052000</v>
      </c>
      <c r="B2912" s="2" t="str">
        <f>HYPERLINK("http://www.redfin.com/stingray/do/printable-listing?listing-id=1590243","Active")</f>
        <v>Active</v>
      </c>
      <c r="D2912" t="s">
        <v>4630</v>
      </c>
      <c r="E2912" t="s">
        <v>6420</v>
      </c>
      <c r="F2912">
        <v>729950</v>
      </c>
      <c r="G2912">
        <v>2008</v>
      </c>
      <c r="H2912">
        <v>2625</v>
      </c>
      <c r="I2912">
        <v>0</v>
      </c>
      <c r="J2912">
        <v>4</v>
      </c>
      <c r="K2912">
        <v>3.5</v>
      </c>
      <c r="M2912" s="2" t="str">
        <f>HYPERLINK("http://maps.live.com/default.aspx?v=2&amp;lvl=15&amp;sp=adr.9102 177th Pl NE (Unable to map),98052","Map")</f>
        <v>Map</v>
      </c>
      <c r="N2912" s="2" t="str">
        <f>HYPERLINK("http://i-0.rfimg.us/photo/1/bigphoto/000/28052000_0.jpg","Photo")</f>
        <v>Photo</v>
      </c>
      <c r="AI2912" t="s">
        <v>4363</v>
      </c>
      <c r="AJ2912">
        <v>98052</v>
      </c>
      <c r="BC2912" s="22">
        <v>39533.839375000003</v>
      </c>
      <c r="BI2912" s="22">
        <v>39549.294907407406</v>
      </c>
      <c r="BL2912">
        <v>14599</v>
      </c>
      <c r="BM2912">
        <v>1590243</v>
      </c>
      <c r="BN2912" t="s">
        <v>2959</v>
      </c>
      <c r="BO2912" s="17">
        <f t="shared" ca="1" si="45"/>
        <v>15.470030902775761</v>
      </c>
      <c r="BP2912" t="b">
        <v>0</v>
      </c>
      <c r="BQ2912">
        <v>1</v>
      </c>
      <c r="BR2912" t="s">
        <v>1842</v>
      </c>
      <c r="BS2912" t="s">
        <v>6418</v>
      </c>
      <c r="BT2912" t="b">
        <v>0</v>
      </c>
      <c r="BV2912" t="s">
        <v>1668</v>
      </c>
      <c r="BW2912">
        <v>9102</v>
      </c>
      <c r="BX2912" t="s">
        <v>1738</v>
      </c>
      <c r="BY2912">
        <v>0</v>
      </c>
      <c r="BZ2912" s="21">
        <v>0</v>
      </c>
      <c r="CA2912">
        <v>1</v>
      </c>
      <c r="CB2912" t="b">
        <v>1</v>
      </c>
      <c r="CC2912">
        <v>0</v>
      </c>
      <c r="CD2912" t="b">
        <v>0</v>
      </c>
      <c r="CE2912" t="b">
        <v>1</v>
      </c>
      <c r="CF2912" t="b">
        <v>0</v>
      </c>
      <c r="CG2912" t="s">
        <v>1870</v>
      </c>
      <c r="CH2912" t="s">
        <v>1681</v>
      </c>
      <c r="CI2912" s="10">
        <v>729950</v>
      </c>
    </row>
    <row r="2913" spans="1:90">
      <c r="A2913">
        <v>28052006</v>
      </c>
      <c r="B2913" s="2" t="str">
        <f>HYPERLINK("http://www.redfin.com/stingray/do/printable-listing?listing-id=1590242","Active")</f>
        <v>Active</v>
      </c>
      <c r="D2913" t="s">
        <v>4630</v>
      </c>
      <c r="E2913" t="s">
        <v>6419</v>
      </c>
      <c r="F2913">
        <v>729950</v>
      </c>
      <c r="G2913">
        <v>2008</v>
      </c>
      <c r="H2913">
        <v>2625</v>
      </c>
      <c r="I2913">
        <v>0</v>
      </c>
      <c r="J2913">
        <v>4</v>
      </c>
      <c r="K2913">
        <v>3.5</v>
      </c>
      <c r="M2913" s="2" t="str">
        <f>HYPERLINK("http://maps.live.com/default.aspx?v=2&amp;lvl=15&amp;sp=adr.9106 177th Pl NE (Unable to map),98052","Map")</f>
        <v>Map</v>
      </c>
      <c r="N2913" s="2" t="str">
        <f>HYPERLINK("http://i-0.rfimg.us/photo/1/bigphoto/006/28052006_0.jpg","Photo")</f>
        <v>Photo</v>
      </c>
      <c r="AI2913" t="s">
        <v>4363</v>
      </c>
      <c r="AJ2913">
        <v>98052</v>
      </c>
      <c r="BC2913" s="22">
        <v>39533.839259259257</v>
      </c>
      <c r="BI2913" s="22">
        <v>39545.917314814818</v>
      </c>
      <c r="BL2913">
        <v>14599</v>
      </c>
      <c r="BM2913">
        <v>1590242</v>
      </c>
      <c r="BN2913" t="s">
        <v>2959</v>
      </c>
      <c r="BO2913" s="17">
        <f t="shared" ca="1" si="45"/>
        <v>15.47014664352173</v>
      </c>
      <c r="BP2913" t="b">
        <v>0</v>
      </c>
      <c r="BQ2913">
        <v>1</v>
      </c>
      <c r="BR2913" t="s">
        <v>1842</v>
      </c>
      <c r="BS2913" t="s">
        <v>6418</v>
      </c>
      <c r="BT2913" t="b">
        <v>0</v>
      </c>
      <c r="BV2913" t="s">
        <v>1668</v>
      </c>
      <c r="BW2913">
        <v>9106</v>
      </c>
      <c r="BX2913" t="s">
        <v>1738</v>
      </c>
      <c r="BY2913">
        <v>0</v>
      </c>
      <c r="BZ2913" s="21">
        <v>0</v>
      </c>
      <c r="CA2913">
        <v>1</v>
      </c>
      <c r="CB2913" t="b">
        <v>1</v>
      </c>
      <c r="CC2913">
        <v>0</v>
      </c>
      <c r="CD2913" t="b">
        <v>0</v>
      </c>
      <c r="CE2913" t="b">
        <v>1</v>
      </c>
      <c r="CF2913" t="b">
        <v>0</v>
      </c>
      <c r="CG2913" t="s">
        <v>1870</v>
      </c>
      <c r="CH2913" t="s">
        <v>1681</v>
      </c>
      <c r="CI2913" s="10">
        <v>729950</v>
      </c>
    </row>
    <row r="2914" spans="1:90">
      <c r="A2914">
        <v>28052012</v>
      </c>
      <c r="B2914" s="2" t="str">
        <f>HYPERLINK("http://www.redfin.com/stingray/do/printable-listing?listing-id=1590241","Active")</f>
        <v>Active</v>
      </c>
      <c r="D2914" t="s">
        <v>4630</v>
      </c>
      <c r="E2914" t="s">
        <v>6417</v>
      </c>
      <c r="F2914">
        <v>739950</v>
      </c>
      <c r="G2914">
        <v>2008</v>
      </c>
      <c r="H2914">
        <v>2911</v>
      </c>
      <c r="I2914">
        <v>0</v>
      </c>
      <c r="J2914">
        <v>4</v>
      </c>
      <c r="K2914">
        <v>3.5</v>
      </c>
      <c r="M2914" s="2" t="str">
        <f>HYPERLINK("http://maps.live.com/default.aspx?v=2&amp;lvl=15&amp;sp=adr.9110 177th Pl NE (Unable to map),98052","Map")</f>
        <v>Map</v>
      </c>
      <c r="N2914" s="2" t="str">
        <f>HYPERLINK("http://i-0.rfimg.us/photo/1/bigphoto/012/28052012_0.jpg","Photo")</f>
        <v>Photo</v>
      </c>
      <c r="AI2914" t="s">
        <v>4363</v>
      </c>
      <c r="AJ2914">
        <v>98052</v>
      </c>
      <c r="BC2914" s="22">
        <v>39533.839259259257</v>
      </c>
      <c r="BI2914" s="22">
        <v>39549.294907407406</v>
      </c>
      <c r="BL2914">
        <v>14799</v>
      </c>
      <c r="BM2914">
        <v>1590241</v>
      </c>
      <c r="BN2914" t="s">
        <v>2959</v>
      </c>
      <c r="BO2914" s="17">
        <f t="shared" ca="1" si="45"/>
        <v>15.47014664352173</v>
      </c>
      <c r="BP2914" t="b">
        <v>0</v>
      </c>
      <c r="BQ2914">
        <v>1</v>
      </c>
      <c r="BR2914" t="s">
        <v>1842</v>
      </c>
      <c r="BS2914" t="s">
        <v>6418</v>
      </c>
      <c r="BT2914" t="b">
        <v>0</v>
      </c>
      <c r="BV2914" t="s">
        <v>1668</v>
      </c>
      <c r="BW2914">
        <v>9110</v>
      </c>
      <c r="BX2914" t="s">
        <v>1738</v>
      </c>
      <c r="BY2914">
        <v>0</v>
      </c>
      <c r="BZ2914" s="21">
        <v>0</v>
      </c>
      <c r="CA2914">
        <v>1</v>
      </c>
      <c r="CB2914" t="b">
        <v>1</v>
      </c>
      <c r="CC2914">
        <v>0</v>
      </c>
      <c r="CD2914" t="b">
        <v>0</v>
      </c>
      <c r="CE2914" t="b">
        <v>1</v>
      </c>
      <c r="CF2914" t="b">
        <v>0</v>
      </c>
      <c r="CG2914" t="s">
        <v>1870</v>
      </c>
      <c r="CH2914" t="s">
        <v>1681</v>
      </c>
      <c r="CI2914" s="10">
        <v>739950</v>
      </c>
    </row>
    <row r="2915" spans="1:90">
      <c r="A2915">
        <v>28052025</v>
      </c>
      <c r="B2915" s="2" t="str">
        <f>HYPERLINK("http://www.redfin.com/stingray/do/printable-listing?listing-id=1589647","Active")</f>
        <v>Active</v>
      </c>
      <c r="D2915" t="s">
        <v>3691</v>
      </c>
      <c r="E2915" t="s">
        <v>6360</v>
      </c>
      <c r="F2915" s="19">
        <v>825000</v>
      </c>
      <c r="G2915">
        <v>1906</v>
      </c>
      <c r="H2915">
        <v>3410</v>
      </c>
      <c r="I2915">
        <v>4056</v>
      </c>
      <c r="J2915">
        <v>5</v>
      </c>
      <c r="K2915">
        <v>2.75</v>
      </c>
      <c r="M2915" s="2" t="str">
        <f>HYPERLINK("http://maps.live.com/default.aspx?v=2&amp;lvl=15&amp;sp=Point.47.645405_-122.316492_1205 E Hamlin St&amp;cp=47.645405~-122.316492","Map")</f>
        <v>Map</v>
      </c>
      <c r="N2915" s="2" t="str">
        <f>HYPERLINK("http://i-0.rfimg.us/photo/1/bigphoto/025/28052025_0.jpg","Photo")</f>
        <v>Photo</v>
      </c>
      <c r="AG2915">
        <v>47.645404999999997</v>
      </c>
      <c r="AH2915">
        <v>-122.316492</v>
      </c>
      <c r="AI2915" t="s">
        <v>66</v>
      </c>
      <c r="AJ2915">
        <v>98102</v>
      </c>
      <c r="AN2915">
        <v>700000</v>
      </c>
      <c r="BC2915" s="22">
        <v>39533.631574074076</v>
      </c>
      <c r="BI2915" s="22">
        <v>39549.294907407406</v>
      </c>
      <c r="BL2915">
        <v>17980</v>
      </c>
      <c r="BM2915">
        <v>1589647</v>
      </c>
      <c r="BN2915" t="s">
        <v>1939</v>
      </c>
      <c r="BO2915" s="17">
        <f t="shared" ca="1" si="45"/>
        <v>15.677831828703347</v>
      </c>
      <c r="BP2915" t="b">
        <v>0</v>
      </c>
      <c r="BQ2915">
        <v>1</v>
      </c>
      <c r="BR2915" t="s">
        <v>1686</v>
      </c>
      <c r="BS2915" t="s">
        <v>3680</v>
      </c>
      <c r="BT2915" t="b">
        <v>0</v>
      </c>
      <c r="BU2915" t="s">
        <v>2436</v>
      </c>
      <c r="BV2915" t="s">
        <v>1668</v>
      </c>
      <c r="BW2915">
        <v>1205</v>
      </c>
      <c r="BY2915">
        <v>138056</v>
      </c>
      <c r="BZ2915" t="s">
        <v>1747</v>
      </c>
      <c r="CA2915">
        <v>1</v>
      </c>
      <c r="CB2915" t="b">
        <v>1</v>
      </c>
      <c r="CC2915">
        <v>0</v>
      </c>
      <c r="CD2915" t="b">
        <v>0</v>
      </c>
      <c r="CE2915" t="b">
        <v>1</v>
      </c>
      <c r="CF2915" t="b">
        <v>0</v>
      </c>
      <c r="CG2915">
        <v>2364262</v>
      </c>
      <c r="CH2915" t="s">
        <v>1681</v>
      </c>
      <c r="CI2915" s="10">
        <v>899000</v>
      </c>
      <c r="CJ2915" s="7">
        <v>38775</v>
      </c>
    </row>
    <row r="2916" spans="1:90">
      <c r="A2916">
        <v>28052090</v>
      </c>
      <c r="B2916" s="15" t="str">
        <f>HYPERLINK("http://www.redfin.com/stingray/do/printable-listing?listing-id=1589416","Subject To Inspection")</f>
        <v>Subject To Inspection</v>
      </c>
      <c r="D2916" t="s">
        <v>99</v>
      </c>
      <c r="E2916" t="s">
        <v>2287</v>
      </c>
      <c r="F2916">
        <v>315000</v>
      </c>
      <c r="G2916">
        <v>1980</v>
      </c>
      <c r="H2916">
        <v>1255</v>
      </c>
      <c r="I2916">
        <v>0</v>
      </c>
      <c r="J2916">
        <v>2</v>
      </c>
      <c r="K2916">
        <v>1.75</v>
      </c>
      <c r="M2916" s="2" t="str">
        <f>HYPERLINK("http://maps.live.com/default.aspx?v=2&amp;lvl=15&amp;sp=Point.47.691391_-122.371603_8501 12th Ave NW n103&amp;cp=47.691391~-122.371603","Map")</f>
        <v>Map</v>
      </c>
      <c r="N2916" s="2" t="str">
        <f>HYPERLINK("http://i-0.rfimg.us/photo/1/bigphoto/090/28052090_.jpg","Photo")</f>
        <v>Photo</v>
      </c>
      <c r="AG2916">
        <v>47.691391000000003</v>
      </c>
      <c r="AH2916">
        <v>-122.37160299999999</v>
      </c>
      <c r="AI2916" t="s">
        <v>66</v>
      </c>
      <c r="AJ2916">
        <v>98117</v>
      </c>
      <c r="AM2916" t="s">
        <v>2288</v>
      </c>
      <c r="BC2916" s="22">
        <v>39533.579085648147</v>
      </c>
      <c r="BI2916" s="22">
        <v>39545.917314814818</v>
      </c>
      <c r="BL2916">
        <v>6300</v>
      </c>
      <c r="BM2916">
        <v>1589416</v>
      </c>
      <c r="BN2916" t="s">
        <v>1770</v>
      </c>
      <c r="BO2916" s="17">
        <f t="shared" ca="1" si="45"/>
        <v>15.730320254631806</v>
      </c>
      <c r="BP2916" t="b">
        <v>0</v>
      </c>
      <c r="BQ2916">
        <v>1</v>
      </c>
      <c r="BR2916" t="s">
        <v>1667</v>
      </c>
      <c r="BS2916" t="s">
        <v>1803</v>
      </c>
      <c r="BT2916" t="b">
        <v>0</v>
      </c>
      <c r="BV2916" t="s">
        <v>1668</v>
      </c>
      <c r="BW2916">
        <v>8501</v>
      </c>
      <c r="BX2916" t="s">
        <v>1669</v>
      </c>
      <c r="BY2916">
        <v>14472</v>
      </c>
      <c r="BZ2916" t="s">
        <v>1701</v>
      </c>
      <c r="CA2916">
        <v>1</v>
      </c>
      <c r="CB2916" t="b">
        <v>1</v>
      </c>
      <c r="CC2916">
        <v>0</v>
      </c>
      <c r="CD2916" t="b">
        <v>0</v>
      </c>
      <c r="CE2916" t="b">
        <v>1</v>
      </c>
      <c r="CF2916" t="b">
        <v>0</v>
      </c>
      <c r="CG2916">
        <v>2974392</v>
      </c>
      <c r="CH2916" t="s">
        <v>1666</v>
      </c>
      <c r="CI2916" s="10">
        <v>315000</v>
      </c>
    </row>
    <row r="2917" spans="1:90">
      <c r="A2917">
        <v>28052096</v>
      </c>
      <c r="B2917" s="2" t="str">
        <f>HYPERLINK("http://www.redfin.com/stingray/do/printable-listing?listing-id=1596921","Active")</f>
        <v>Active</v>
      </c>
      <c r="D2917" t="s">
        <v>3064</v>
      </c>
      <c r="E2917" t="s">
        <v>4793</v>
      </c>
      <c r="F2917">
        <v>1100000</v>
      </c>
      <c r="G2917">
        <v>2003</v>
      </c>
      <c r="H2917">
        <v>3760</v>
      </c>
      <c r="I2917">
        <v>9958</v>
      </c>
      <c r="J2917">
        <v>4</v>
      </c>
      <c r="K2917">
        <v>3.5</v>
      </c>
      <c r="M2917" s="2" t="str">
        <f>HYPERLINK("http://maps.live.com/default.aspx?v=2&amp;lvl=15&amp;sp=Point.47.692956_-122.192652_11019 NE 104th St&amp;cp=47.692956~-122.192652","Map")</f>
        <v>Map</v>
      </c>
      <c r="N2917" s="2" t="str">
        <f>HYPERLINK("http://i-0.rfimg.us/photo/1/bigphoto/096/28052096_1.jpg","Photo")</f>
        <v>Photo</v>
      </c>
      <c r="AG2917">
        <v>47.692956000000002</v>
      </c>
      <c r="AH2917">
        <v>-122.192652</v>
      </c>
      <c r="AI2917" t="s">
        <v>1058</v>
      </c>
      <c r="AJ2917">
        <v>98033</v>
      </c>
      <c r="AN2917">
        <v>750000</v>
      </c>
      <c r="BC2917" s="22">
        <v>39535.610729166663</v>
      </c>
      <c r="BI2917" s="22">
        <v>39549.294907407406</v>
      </c>
      <c r="BL2917">
        <v>22000</v>
      </c>
      <c r="BM2917">
        <v>1596921</v>
      </c>
      <c r="BN2917" t="s">
        <v>1674</v>
      </c>
      <c r="BO2917" s="17">
        <f t="shared" ca="1" si="45"/>
        <v>13.698676736115885</v>
      </c>
      <c r="BP2917" t="b">
        <v>0</v>
      </c>
      <c r="BQ2917">
        <v>1</v>
      </c>
      <c r="BR2917" t="s">
        <v>1686</v>
      </c>
      <c r="BS2917" t="s">
        <v>2910</v>
      </c>
      <c r="BT2917" t="b">
        <v>0</v>
      </c>
      <c r="BU2917" t="s">
        <v>1738</v>
      </c>
      <c r="BV2917" t="s">
        <v>1668</v>
      </c>
      <c r="BW2917">
        <v>11019</v>
      </c>
      <c r="BY2917">
        <v>462715</v>
      </c>
      <c r="BZ2917" t="s">
        <v>1704</v>
      </c>
      <c r="CA2917">
        <v>1</v>
      </c>
      <c r="CB2917" t="b">
        <v>1</v>
      </c>
      <c r="CC2917">
        <v>0</v>
      </c>
      <c r="CD2917" t="b">
        <v>0</v>
      </c>
      <c r="CE2917" t="b">
        <v>1</v>
      </c>
      <c r="CF2917" t="b">
        <v>0</v>
      </c>
      <c r="CG2917">
        <v>2813833</v>
      </c>
      <c r="CH2917" t="s">
        <v>1681</v>
      </c>
      <c r="CI2917" s="10">
        <v>1100000</v>
      </c>
      <c r="CJ2917" s="7">
        <v>38177</v>
      </c>
    </row>
    <row r="2918" spans="1:90">
      <c r="A2918">
        <v>28052102</v>
      </c>
      <c r="B2918" s="2" t="str">
        <f>HYPERLINK("http://www.redfin.com/stingray/do/printable-listing?listing-id=1589468","Active")</f>
        <v>Active</v>
      </c>
      <c r="D2918" t="s">
        <v>3691</v>
      </c>
      <c r="E2918" t="s">
        <v>6357</v>
      </c>
      <c r="F2918">
        <v>649950</v>
      </c>
      <c r="G2918">
        <v>2008</v>
      </c>
      <c r="H2918">
        <v>2094</v>
      </c>
      <c r="I2918">
        <v>0</v>
      </c>
      <c r="J2918">
        <v>3</v>
      </c>
      <c r="K2918">
        <v>2.5</v>
      </c>
      <c r="M2918" s="2" t="str">
        <f>HYPERLINK("http://maps.live.com/default.aspx?v=2&amp;lvl=15&amp;sp=Point.47.64897_-122.321676_3124 Franklin Ave E&amp;cp=47.64897~-122.321676","Map")</f>
        <v>Map</v>
      </c>
      <c r="N2918" s="2" t="str">
        <f>HYPERLINK("http://i-0.rfimg.us/photo/1/bigphoto/102/28052102_0.jpg","Photo")</f>
        <v>Photo</v>
      </c>
      <c r="AG2918">
        <v>47.648969999999998</v>
      </c>
      <c r="AH2918">
        <v>-122.321676</v>
      </c>
      <c r="AI2918" t="s">
        <v>66</v>
      </c>
      <c r="AJ2918">
        <v>98102</v>
      </c>
      <c r="BC2918" s="22">
        <v>39533.58965277778</v>
      </c>
      <c r="BI2918" s="22">
        <v>39549.294907407406</v>
      </c>
      <c r="BL2918">
        <v>12999</v>
      </c>
      <c r="BM2918">
        <v>1589468</v>
      </c>
      <c r="BN2918" t="s">
        <v>1710</v>
      </c>
      <c r="BO2918" s="17">
        <f t="shared" ca="1" si="45"/>
        <v>15.719753124998533</v>
      </c>
      <c r="BP2918" t="b">
        <v>0</v>
      </c>
      <c r="BQ2918">
        <v>1</v>
      </c>
      <c r="BR2918" t="s">
        <v>1667</v>
      </c>
      <c r="BS2918" t="s">
        <v>3699</v>
      </c>
      <c r="BT2918" t="b">
        <v>0</v>
      </c>
      <c r="BV2918" t="s">
        <v>1668</v>
      </c>
      <c r="BW2918">
        <v>3124</v>
      </c>
      <c r="BX2918" t="s">
        <v>2436</v>
      </c>
      <c r="BY2918">
        <v>12434670</v>
      </c>
      <c r="BZ2918" t="s">
        <v>1741</v>
      </c>
      <c r="CA2918">
        <v>1</v>
      </c>
      <c r="CB2918" t="b">
        <v>1</v>
      </c>
      <c r="CC2918">
        <v>0</v>
      </c>
      <c r="CD2918" t="b">
        <v>0</v>
      </c>
      <c r="CE2918" t="b">
        <v>1</v>
      </c>
      <c r="CF2918" t="b">
        <v>0</v>
      </c>
      <c r="CG2918">
        <v>15638418</v>
      </c>
      <c r="CH2918" t="s">
        <v>1681</v>
      </c>
      <c r="CI2918" s="10">
        <v>649950</v>
      </c>
    </row>
    <row r="2919" spans="1:90">
      <c r="A2919">
        <v>28052104</v>
      </c>
      <c r="B2919" s="15" t="str">
        <f>HYPERLINK("http://www.redfin.com/stingray/do/printable-listing?listing-id=1589464","Subject To Inspection")</f>
        <v>Subject To Inspection</v>
      </c>
      <c r="D2919" t="s">
        <v>5121</v>
      </c>
      <c r="E2919" t="s">
        <v>6434</v>
      </c>
      <c r="F2919">
        <v>710000</v>
      </c>
      <c r="G2919">
        <v>1955</v>
      </c>
      <c r="H2919">
        <v>1730</v>
      </c>
      <c r="I2919">
        <v>10875</v>
      </c>
      <c r="J2919">
        <v>3</v>
      </c>
      <c r="K2919">
        <v>1.75</v>
      </c>
      <c r="M2919" s="2" t="str">
        <f>HYPERLINK("http://maps.live.com/default.aspx?v=2&amp;lvl=15&amp;sp=Point.47.587405_-122.199259_10625 Woodhaven Ln&amp;cp=47.587405~-122.199259","Map")</f>
        <v>Map</v>
      </c>
      <c r="N2919" s="2" t="str">
        <f>HYPERLINK("http://i-0.rfimg.us/photo/1/bigphoto/104/28052104_.jpg","Photo")</f>
        <v>Photo</v>
      </c>
      <c r="AG2919">
        <v>47.587404999999997</v>
      </c>
      <c r="AH2919">
        <v>-122.199259</v>
      </c>
      <c r="AI2919" t="s">
        <v>369</v>
      </c>
      <c r="AJ2919">
        <v>98004</v>
      </c>
      <c r="BC2919" s="22">
        <v>39533.589641203704</v>
      </c>
      <c r="BI2919" s="22">
        <v>39549.294907407406</v>
      </c>
      <c r="BL2919">
        <v>14200</v>
      </c>
      <c r="BM2919">
        <v>1589464</v>
      </c>
      <c r="BN2919" t="s">
        <v>1768</v>
      </c>
      <c r="BO2919" s="17">
        <f t="shared" ca="1" si="45"/>
        <v>15.719764699075313</v>
      </c>
      <c r="BP2919" t="b">
        <v>0</v>
      </c>
      <c r="BQ2919">
        <v>1</v>
      </c>
      <c r="BR2919" t="s">
        <v>2963</v>
      </c>
      <c r="BS2919" t="s">
        <v>6435</v>
      </c>
      <c r="BT2919" t="b">
        <v>0</v>
      </c>
      <c r="BV2919" t="s">
        <v>1668</v>
      </c>
      <c r="BW2919">
        <v>10625</v>
      </c>
      <c r="BY2919">
        <v>510004</v>
      </c>
      <c r="CA2919">
        <v>1</v>
      </c>
      <c r="CB2919" t="b">
        <v>1</v>
      </c>
      <c r="CC2919">
        <v>0</v>
      </c>
      <c r="CD2919" t="b">
        <v>0</v>
      </c>
      <c r="CE2919" t="b">
        <v>1</v>
      </c>
      <c r="CF2919" t="b">
        <v>0</v>
      </c>
      <c r="CG2919">
        <v>2575034</v>
      </c>
      <c r="CH2919" t="s">
        <v>1681</v>
      </c>
      <c r="CI2919" s="10">
        <v>710000</v>
      </c>
    </row>
    <row r="2920" spans="1:90">
      <c r="A2920">
        <v>28052111</v>
      </c>
      <c r="B2920" s="2" t="str">
        <f>HYPERLINK("http://www.redfin.com/stingray/do/printable-listing?listing-id=1589959","Active")</f>
        <v>Active</v>
      </c>
      <c r="D2920" t="s">
        <v>3066</v>
      </c>
      <c r="E2920" t="s">
        <v>6425</v>
      </c>
      <c r="F2920">
        <v>399000</v>
      </c>
      <c r="G2920">
        <v>1965</v>
      </c>
      <c r="H2920">
        <v>1360</v>
      </c>
      <c r="I2920">
        <v>9089</v>
      </c>
      <c r="J2920">
        <v>2</v>
      </c>
      <c r="K2920">
        <v>1</v>
      </c>
      <c r="M2920" s="2" t="str">
        <f>HYPERLINK("http://maps.live.com/default.aspx?v=2&amp;lvl=15&amp;sp=Point.47.685819_-122.174754_12425 NE 95th St&amp;cp=47.685819~-122.174754","Map")</f>
        <v>Map</v>
      </c>
      <c r="N2920" s="2" t="str">
        <f>HYPERLINK("http://i-0.rfimg.us/photo/1/bigphoto/111/28052111_0.jpg","Photo")</f>
        <v>Photo</v>
      </c>
      <c r="AG2920">
        <v>47.685819000000002</v>
      </c>
      <c r="AH2920">
        <v>-122.17475399999999</v>
      </c>
      <c r="AI2920" t="s">
        <v>1058</v>
      </c>
      <c r="AJ2920">
        <v>98033</v>
      </c>
      <c r="AN2920">
        <v>302640</v>
      </c>
      <c r="BC2920" s="22">
        <v>39533.72415509259</v>
      </c>
      <c r="BI2920" s="22">
        <v>39549.294907407406</v>
      </c>
      <c r="BL2920">
        <v>7980</v>
      </c>
      <c r="BM2920">
        <v>1589959</v>
      </c>
      <c r="BN2920" t="s">
        <v>1768</v>
      </c>
      <c r="BO2920" s="17">
        <f t="shared" ca="1" si="45"/>
        <v>15.585250810188882</v>
      </c>
      <c r="BP2920" t="b">
        <v>0</v>
      </c>
      <c r="BQ2920">
        <v>1</v>
      </c>
      <c r="BR2920" t="s">
        <v>1686</v>
      </c>
      <c r="BS2920" t="s">
        <v>2722</v>
      </c>
      <c r="BT2920" t="b">
        <v>0</v>
      </c>
      <c r="BU2920" t="s">
        <v>1738</v>
      </c>
      <c r="BV2920" t="s">
        <v>1668</v>
      </c>
      <c r="BW2920">
        <v>12425</v>
      </c>
      <c r="BY2920">
        <v>511936</v>
      </c>
      <c r="BZ2920" t="s">
        <v>1670</v>
      </c>
      <c r="CA2920">
        <v>1</v>
      </c>
      <c r="CB2920" t="b">
        <v>1</v>
      </c>
      <c r="CC2920">
        <v>0</v>
      </c>
      <c r="CD2920" t="b">
        <v>0</v>
      </c>
      <c r="CE2920" t="b">
        <v>1</v>
      </c>
      <c r="CF2920" t="b">
        <v>0</v>
      </c>
      <c r="CG2920">
        <v>2460757</v>
      </c>
      <c r="CH2920" t="s">
        <v>1681</v>
      </c>
      <c r="CI2920" s="10">
        <v>399000</v>
      </c>
      <c r="CJ2920" s="7">
        <v>38471</v>
      </c>
    </row>
    <row r="2921" spans="1:90">
      <c r="A2921">
        <v>28052119</v>
      </c>
      <c r="B2921" s="2" t="str">
        <f>HYPERLINK("http://www.redfin.com/stingray/do/printable-listing?listing-id=1589512","Active")</f>
        <v>Active</v>
      </c>
      <c r="D2921" t="s">
        <v>3691</v>
      </c>
      <c r="E2921" t="s">
        <v>6358</v>
      </c>
      <c r="F2921">
        <v>659950</v>
      </c>
      <c r="G2921">
        <v>2008</v>
      </c>
      <c r="H2921">
        <v>2094</v>
      </c>
      <c r="I2921">
        <v>0</v>
      </c>
      <c r="J2921">
        <v>3</v>
      </c>
      <c r="K2921">
        <v>2.5</v>
      </c>
      <c r="M2921" s="2" t="str">
        <f>HYPERLINK("http://maps.live.com/default.aspx?v=2&amp;lvl=15&amp;sp=Point.47.649005_-122.321651_3128 Franklin Ave E&amp;cp=47.649005~-122.321651","Map")</f>
        <v>Map</v>
      </c>
      <c r="N2921" s="2" t="str">
        <f>HYPERLINK("http://i-0.rfimg.us/photo/1/bigphoto/119/28052119_0.jpg","Photo")</f>
        <v>Photo</v>
      </c>
      <c r="AG2921">
        <v>47.649005000000002</v>
      </c>
      <c r="AH2921">
        <v>-122.321651</v>
      </c>
      <c r="AI2921" t="s">
        <v>66</v>
      </c>
      <c r="AJ2921">
        <v>98102</v>
      </c>
      <c r="BC2921" s="22">
        <v>39533.599965277775</v>
      </c>
      <c r="BI2921" s="22">
        <v>39549.294907407406</v>
      </c>
      <c r="BL2921">
        <v>13199</v>
      </c>
      <c r="BM2921">
        <v>1589512</v>
      </c>
      <c r="BN2921" t="s">
        <v>1710</v>
      </c>
      <c r="BO2921" s="17">
        <f t="shared" ca="1" si="45"/>
        <v>15.709440625003481</v>
      </c>
      <c r="BP2921" t="b">
        <v>0</v>
      </c>
      <c r="BQ2921">
        <v>1</v>
      </c>
      <c r="BR2921" t="s">
        <v>1667</v>
      </c>
      <c r="BS2921" t="s">
        <v>3699</v>
      </c>
      <c r="BT2921" t="b">
        <v>0</v>
      </c>
      <c r="BV2921" t="s">
        <v>1668</v>
      </c>
      <c r="BW2921">
        <v>3128</v>
      </c>
      <c r="BX2921" t="s">
        <v>2436</v>
      </c>
      <c r="BY2921">
        <v>12434671</v>
      </c>
      <c r="BZ2921" t="s">
        <v>1741</v>
      </c>
      <c r="CA2921">
        <v>1</v>
      </c>
      <c r="CB2921" t="b">
        <v>1</v>
      </c>
      <c r="CC2921">
        <v>0</v>
      </c>
      <c r="CD2921" t="b">
        <v>0</v>
      </c>
      <c r="CE2921" t="b">
        <v>1</v>
      </c>
      <c r="CF2921" t="b">
        <v>0</v>
      </c>
      <c r="CG2921">
        <v>15638419</v>
      </c>
      <c r="CH2921" t="s">
        <v>1681</v>
      </c>
      <c r="CI2921" s="10">
        <v>659950</v>
      </c>
    </row>
    <row r="2922" spans="1:90">
      <c r="A2922">
        <v>28052169</v>
      </c>
      <c r="B2922" s="2" t="str">
        <f>HYPERLINK("http://www.redfin.com/stingray/do/printable-listing?listing-id=1591156","Active")</f>
        <v>Active</v>
      </c>
      <c r="D2922" t="s">
        <v>3704</v>
      </c>
      <c r="E2922" t="s">
        <v>6478</v>
      </c>
      <c r="F2922" s="19">
        <v>499950</v>
      </c>
      <c r="G2922">
        <v>1900</v>
      </c>
      <c r="H2922">
        <v>1680</v>
      </c>
      <c r="I2922">
        <v>3465</v>
      </c>
      <c r="J2922">
        <v>2</v>
      </c>
      <c r="K2922">
        <v>1.75</v>
      </c>
      <c r="M2922" s="2" t="str">
        <f>HYPERLINK("http://maps.live.com/default.aspx?v=2&amp;lvl=15&amp;sp=Point.47.624143_-122.30209_530 23rd Ave E&amp;cp=47.624143~-122.30209","Map")</f>
        <v>Map</v>
      </c>
      <c r="N2922" s="2" t="str">
        <f>HYPERLINK("http://i-0.rfimg.us/photo/1/bigphoto/169/28052169_1.jpg","Photo")</f>
        <v>Photo</v>
      </c>
      <c r="AG2922">
        <v>47.624142999999997</v>
      </c>
      <c r="AH2922">
        <v>-122.30209000000001</v>
      </c>
      <c r="AI2922" t="s">
        <v>66</v>
      </c>
      <c r="AJ2922">
        <v>98112</v>
      </c>
      <c r="AN2922">
        <v>390000</v>
      </c>
      <c r="BC2922" s="22">
        <v>39534.285381944443</v>
      </c>
      <c r="BI2922" s="22">
        <v>39549.294907407406</v>
      </c>
      <c r="BL2922">
        <v>10399</v>
      </c>
      <c r="BM2922">
        <v>1591156</v>
      </c>
      <c r="BN2922" t="s">
        <v>1710</v>
      </c>
      <c r="BO2922" s="17">
        <f t="shared" ca="1" si="45"/>
        <v>15.024023958336329</v>
      </c>
      <c r="BP2922" t="b">
        <v>0</v>
      </c>
      <c r="BQ2922">
        <v>1</v>
      </c>
      <c r="BR2922" t="s">
        <v>1667</v>
      </c>
      <c r="BS2922" t="s">
        <v>1839</v>
      </c>
      <c r="BT2922" t="b">
        <v>0</v>
      </c>
      <c r="BV2922" t="s">
        <v>1668</v>
      </c>
      <c r="BW2922">
        <v>530</v>
      </c>
      <c r="BX2922" t="s">
        <v>2436</v>
      </c>
      <c r="BY2922">
        <v>147547</v>
      </c>
      <c r="BZ2922" t="s">
        <v>1709</v>
      </c>
      <c r="CA2922">
        <v>1</v>
      </c>
      <c r="CB2922" t="b">
        <v>1</v>
      </c>
      <c r="CC2922">
        <v>0</v>
      </c>
      <c r="CD2922" t="b">
        <v>0</v>
      </c>
      <c r="CE2922" t="b">
        <v>1</v>
      </c>
      <c r="CF2922" t="b">
        <v>0</v>
      </c>
      <c r="CG2922">
        <v>2424621</v>
      </c>
      <c r="CH2922" t="s">
        <v>1681</v>
      </c>
      <c r="CI2922" s="10">
        <v>519950</v>
      </c>
      <c r="CJ2922" s="7">
        <v>38835</v>
      </c>
    </row>
    <row r="2923" spans="1:90">
      <c r="A2923">
        <v>28052186</v>
      </c>
      <c r="B2923" s="2" t="str">
        <f>HYPERLINK("http://www.redfin.com/stingray/do/printable-listing?listing-id=1620127","Active")</f>
        <v>Active</v>
      </c>
      <c r="D2923" t="s">
        <v>3066</v>
      </c>
      <c r="E2923" t="s">
        <v>6903</v>
      </c>
      <c r="F2923">
        <v>779000</v>
      </c>
      <c r="G2923">
        <v>2004</v>
      </c>
      <c r="H2923">
        <v>3230</v>
      </c>
      <c r="I2923">
        <v>4290</v>
      </c>
      <c r="J2923">
        <v>4</v>
      </c>
      <c r="K2923">
        <v>3</v>
      </c>
      <c r="M2923" s="2" t="str">
        <f>HYPERLINK("http://maps.live.com/default.aspx?v=2&amp;lvl=15&amp;sp=Point.47.687429_-122.161455_13426 NE 97th St&amp;cp=47.687429~-122.161455","Map")</f>
        <v>Map</v>
      </c>
      <c r="N2923" s="2" t="str">
        <f>HYPERLINK("http://i-0.rfimg.us/photo/1/bigphoto/186/28052186_1.jpg","Photo")</f>
        <v>Photo</v>
      </c>
      <c r="AG2923">
        <v>47.687429000000002</v>
      </c>
      <c r="AH2923">
        <v>-122.161455</v>
      </c>
      <c r="AI2923" t="s">
        <v>4363</v>
      </c>
      <c r="AJ2923">
        <v>98052</v>
      </c>
      <c r="AN2923">
        <v>555410</v>
      </c>
      <c r="BC2923" s="22">
        <v>39543.38994212963</v>
      </c>
      <c r="BI2923" s="22">
        <v>39549.294907407406</v>
      </c>
      <c r="BL2923">
        <v>15580</v>
      </c>
      <c r="BM2923">
        <v>1620127</v>
      </c>
      <c r="BN2923" t="s">
        <v>2419</v>
      </c>
      <c r="BO2923" s="17">
        <f t="shared" ca="1" si="45"/>
        <v>5.9194637731488911</v>
      </c>
      <c r="BP2923" t="b">
        <v>0</v>
      </c>
      <c r="BQ2923">
        <v>1</v>
      </c>
      <c r="BR2923" t="s">
        <v>1686</v>
      </c>
      <c r="BS2923" t="s">
        <v>1840</v>
      </c>
      <c r="BT2923" t="b">
        <v>0</v>
      </c>
      <c r="BU2923" t="s">
        <v>1738</v>
      </c>
      <c r="BV2923" t="s">
        <v>1668</v>
      </c>
      <c r="BW2923">
        <v>13426</v>
      </c>
      <c r="BY2923">
        <v>511342</v>
      </c>
      <c r="BZ2923" t="s">
        <v>6904</v>
      </c>
      <c r="CA2923">
        <v>1</v>
      </c>
      <c r="CB2923" t="b">
        <v>1</v>
      </c>
      <c r="CC2923">
        <v>0</v>
      </c>
      <c r="CD2923" t="b">
        <v>0</v>
      </c>
      <c r="CE2923" t="b">
        <v>1</v>
      </c>
      <c r="CF2923" t="b">
        <v>0</v>
      </c>
      <c r="CG2923">
        <v>2981503</v>
      </c>
      <c r="CH2923" t="s">
        <v>1681</v>
      </c>
      <c r="CI2923" s="10">
        <v>779000</v>
      </c>
      <c r="CJ2923" s="7">
        <v>38208</v>
      </c>
    </row>
    <row r="2924" spans="1:90">
      <c r="A2924">
        <v>28052274</v>
      </c>
      <c r="B2924" s="2" t="str">
        <f>HYPERLINK("http://www.redfin.com/stingray/do/printable-listing?listing-id=1589797","Active")</f>
        <v>Active</v>
      </c>
      <c r="D2924" t="s">
        <v>2850</v>
      </c>
      <c r="E2924" t="s">
        <v>6412</v>
      </c>
      <c r="F2924">
        <v>598000</v>
      </c>
      <c r="G2924">
        <v>1993</v>
      </c>
      <c r="H2924">
        <v>2340</v>
      </c>
      <c r="I2924">
        <v>6306</v>
      </c>
      <c r="J2924">
        <v>4</v>
      </c>
      <c r="K2924">
        <v>2.5</v>
      </c>
      <c r="M2924" s="2" t="str">
        <f>HYPERLINK("http://maps.live.com/default.aspx?v=2&amp;lvl=15&amp;sp=Point.47.712668_-122.239209_7631 NE 125 St&amp;cp=47.712668~-122.239209","Map")</f>
        <v>Map</v>
      </c>
      <c r="N2924" s="2" t="str">
        <f>HYPERLINK("http://i-0.rfimg.us/photo/1/bigphoto/274/28052274_0.jpg","Photo")</f>
        <v>Photo</v>
      </c>
      <c r="AG2924">
        <v>47.712668000000001</v>
      </c>
      <c r="AH2924">
        <v>-122.239209</v>
      </c>
      <c r="AI2924" t="s">
        <v>1058</v>
      </c>
      <c r="AJ2924">
        <v>98034</v>
      </c>
      <c r="AN2924">
        <v>466000</v>
      </c>
      <c r="BC2924" s="22">
        <v>39533.662199074075</v>
      </c>
      <c r="BI2924" s="22">
        <v>39549.294907407406</v>
      </c>
      <c r="BL2924">
        <v>11960</v>
      </c>
      <c r="BM2924">
        <v>1589797</v>
      </c>
      <c r="BN2924" t="s">
        <v>1674</v>
      </c>
      <c r="BO2924" s="17">
        <f t="shared" ca="1" si="45"/>
        <v>15.647206828703929</v>
      </c>
      <c r="BP2924" t="b">
        <v>0</v>
      </c>
      <c r="BQ2924">
        <v>1</v>
      </c>
      <c r="BR2924" t="s">
        <v>1686</v>
      </c>
      <c r="BS2924">
        <v>125</v>
      </c>
      <c r="BT2924" t="b">
        <v>0</v>
      </c>
      <c r="BU2924" t="s">
        <v>1738</v>
      </c>
      <c r="BV2924" t="s">
        <v>1668</v>
      </c>
      <c r="BW2924">
        <v>7631</v>
      </c>
      <c r="BY2924">
        <v>281734</v>
      </c>
      <c r="BZ2924" t="s">
        <v>1745</v>
      </c>
      <c r="CA2924">
        <v>1</v>
      </c>
      <c r="CB2924" t="b">
        <v>1</v>
      </c>
      <c r="CC2924">
        <v>0</v>
      </c>
      <c r="CD2924" t="b">
        <v>0</v>
      </c>
      <c r="CE2924" t="b">
        <v>1</v>
      </c>
      <c r="CF2924" t="b">
        <v>0</v>
      </c>
      <c r="CG2924">
        <v>2834104</v>
      </c>
      <c r="CH2924" t="s">
        <v>1681</v>
      </c>
      <c r="CI2924" s="10">
        <v>598000</v>
      </c>
      <c r="CJ2924" s="7">
        <v>38541</v>
      </c>
    </row>
    <row r="2925" spans="1:90">
      <c r="A2925">
        <v>28052301</v>
      </c>
      <c r="B2925" s="15" t="str">
        <f>HYPERLINK("http://www.redfin.com/stingray/do/printable-listing?listing-id=1604301","Subject To Inspection")</f>
        <v>Subject To Inspection</v>
      </c>
      <c r="D2925" t="s">
        <v>3066</v>
      </c>
      <c r="E2925" t="s">
        <v>6686</v>
      </c>
      <c r="F2925">
        <v>500000</v>
      </c>
      <c r="G2925">
        <v>1966</v>
      </c>
      <c r="H2925">
        <v>2321</v>
      </c>
      <c r="I2925">
        <v>10284</v>
      </c>
      <c r="J2925">
        <v>3</v>
      </c>
      <c r="K2925">
        <v>2.75</v>
      </c>
      <c r="M2925" s="2" t="str">
        <f>HYPERLINK("http://maps.live.com/default.aspx?v=2&amp;lvl=15&amp;sp=Point.47.67258_-122.158781_7612 135th Pl NE&amp;cp=47.67258~-122.158781","Map")</f>
        <v>Map</v>
      </c>
      <c r="N2925" s="2" t="str">
        <f>HYPERLINK("http://i-0.rfimg.us/photo/1/bigphoto/301/28052301_2.jpg","Photo")</f>
        <v>Photo</v>
      </c>
      <c r="AG2925">
        <v>47.672580000000004</v>
      </c>
      <c r="AH2925">
        <v>-122.158781</v>
      </c>
      <c r="AI2925" t="s">
        <v>4363</v>
      </c>
      <c r="AJ2925">
        <v>98052</v>
      </c>
      <c r="AN2925">
        <v>350000</v>
      </c>
      <c r="BC2925" s="22">
        <v>39539.21292824074</v>
      </c>
      <c r="BI2925" s="22">
        <v>39549.294907407406</v>
      </c>
      <c r="BL2925">
        <v>10000</v>
      </c>
      <c r="BM2925">
        <v>1604301</v>
      </c>
      <c r="BN2925" t="s">
        <v>1725</v>
      </c>
      <c r="BO2925" s="17">
        <f t="shared" ca="1" si="45"/>
        <v>10.096477662038524</v>
      </c>
      <c r="BP2925" t="b">
        <v>0</v>
      </c>
      <c r="BQ2925">
        <v>1</v>
      </c>
      <c r="BR2925" t="s">
        <v>1842</v>
      </c>
      <c r="BS2925" t="s">
        <v>3909</v>
      </c>
      <c r="BT2925" t="b">
        <v>0</v>
      </c>
      <c r="BV2925" t="s">
        <v>1668</v>
      </c>
      <c r="BW2925">
        <v>7612</v>
      </c>
      <c r="BX2925" t="s">
        <v>1738</v>
      </c>
      <c r="BY2925">
        <v>517085</v>
      </c>
      <c r="BZ2925" t="s">
        <v>2641</v>
      </c>
      <c r="CA2925">
        <v>1</v>
      </c>
      <c r="CB2925" t="b">
        <v>1</v>
      </c>
      <c r="CC2925">
        <v>0</v>
      </c>
      <c r="CD2925" t="b">
        <v>0</v>
      </c>
      <c r="CE2925" t="b">
        <v>1</v>
      </c>
      <c r="CF2925" t="b">
        <v>0</v>
      </c>
      <c r="CG2925">
        <v>2735185</v>
      </c>
      <c r="CH2925" t="s">
        <v>1681</v>
      </c>
      <c r="CI2925" s="10">
        <v>500000</v>
      </c>
      <c r="CJ2925" s="7">
        <v>38321</v>
      </c>
      <c r="CL2925" s="19" t="s">
        <v>2325</v>
      </c>
    </row>
    <row r="2926" spans="1:90">
      <c r="A2926">
        <v>28052309</v>
      </c>
      <c r="B2926" s="2" t="str">
        <f>HYPERLINK("http://www.redfin.com/stingray/do/printable-listing?listing-id=1589900","Active")</f>
        <v>Active</v>
      </c>
      <c r="D2926" t="s">
        <v>4974</v>
      </c>
      <c r="E2926" t="s">
        <v>6436</v>
      </c>
      <c r="F2926">
        <v>1089000</v>
      </c>
      <c r="G2926">
        <v>1948</v>
      </c>
      <c r="H2926">
        <v>1810</v>
      </c>
      <c r="I2926">
        <v>22400</v>
      </c>
      <c r="J2926">
        <v>3</v>
      </c>
      <c r="K2926">
        <v>1.75</v>
      </c>
      <c r="M2926" s="2" t="str">
        <f>HYPERLINK("http://maps.live.com/default.aspx?v=2&amp;lvl=15&amp;sp=Point.47.600041_-122.202867_102 Cedar Crest Ln&amp;cp=47.600041~-122.202867","Map")</f>
        <v>Map</v>
      </c>
      <c r="N2926" s="2" t="str">
        <f>HYPERLINK("http://i-0.rfimg.us/photo/1/bigphoto/309/28052309_0.jpg","Photo")</f>
        <v>Photo</v>
      </c>
      <c r="AG2926">
        <v>47.600040999999997</v>
      </c>
      <c r="AH2926">
        <v>-122.202867</v>
      </c>
      <c r="AI2926" t="s">
        <v>369</v>
      </c>
      <c r="AJ2926">
        <v>98004</v>
      </c>
      <c r="BC2926" s="22">
        <v>39533.697233796294</v>
      </c>
      <c r="BI2926" s="22">
        <v>39549.294907407406</v>
      </c>
      <c r="BL2926">
        <v>21780</v>
      </c>
      <c r="BM2926">
        <v>1589900</v>
      </c>
      <c r="BN2926" t="s">
        <v>1680</v>
      </c>
      <c r="BO2926" s="17">
        <f t="shared" ca="1" si="45"/>
        <v>15.61217210648465</v>
      </c>
      <c r="BP2926" t="b">
        <v>0</v>
      </c>
      <c r="BQ2926">
        <v>1</v>
      </c>
      <c r="BR2926" t="s">
        <v>2963</v>
      </c>
      <c r="BS2926" t="s">
        <v>5523</v>
      </c>
      <c r="BT2926" t="b">
        <v>0</v>
      </c>
      <c r="BV2926" t="s">
        <v>1668</v>
      </c>
      <c r="BW2926">
        <v>102</v>
      </c>
      <c r="BY2926">
        <v>253853</v>
      </c>
      <c r="BZ2926" s="21">
        <v>0</v>
      </c>
      <c r="CA2926">
        <v>1</v>
      </c>
      <c r="CB2926" t="b">
        <v>1</v>
      </c>
      <c r="CC2926">
        <v>0</v>
      </c>
      <c r="CD2926" t="b">
        <v>0</v>
      </c>
      <c r="CE2926" t="b">
        <v>1</v>
      </c>
      <c r="CF2926" t="b">
        <v>0</v>
      </c>
      <c r="CG2926">
        <v>2685239</v>
      </c>
      <c r="CH2926" t="s">
        <v>1681</v>
      </c>
      <c r="CI2926" s="10">
        <v>1089000</v>
      </c>
    </row>
    <row r="2927" spans="1:90">
      <c r="A2927">
        <v>28052332</v>
      </c>
      <c r="B2927" s="2" t="str">
        <f>HYPERLINK("http://www.redfin.com/stingray/do/printable-listing?listing-id=1589936","Active")</f>
        <v>Active</v>
      </c>
      <c r="D2927" t="s">
        <v>3071</v>
      </c>
      <c r="E2927" t="s">
        <v>6409</v>
      </c>
      <c r="F2927">
        <v>575000</v>
      </c>
      <c r="G2927">
        <v>1962</v>
      </c>
      <c r="H2927">
        <v>2490</v>
      </c>
      <c r="I2927">
        <v>9670</v>
      </c>
      <c r="J2927">
        <v>5</v>
      </c>
      <c r="K2927">
        <v>3</v>
      </c>
      <c r="M2927" s="2" t="str">
        <f>HYPERLINK("http://maps.live.com/default.aspx?v=2&amp;lvl=15&amp;sp=Point.47.720308_-122.225093_13320 87 Ave NE&amp;cp=47.720308~-122.225093","Map")</f>
        <v>Map</v>
      </c>
      <c r="N2927" s="2" t="str">
        <f>HYPERLINK("http://i-0.rfimg.us/photo/1/bigphoto/332/28052332_1.jpg","Photo")</f>
        <v>Photo</v>
      </c>
      <c r="AG2927">
        <v>47.720308000000003</v>
      </c>
      <c r="AH2927">
        <v>-122.225093</v>
      </c>
      <c r="AI2927" t="s">
        <v>1058</v>
      </c>
      <c r="AJ2927">
        <v>98034</v>
      </c>
      <c r="AN2927">
        <v>345000</v>
      </c>
      <c r="BC2927" s="22">
        <v>39533.715810185182</v>
      </c>
      <c r="BI2927" s="22">
        <v>39549.294907407406</v>
      </c>
      <c r="BL2927">
        <v>11500</v>
      </c>
      <c r="BM2927">
        <v>1589936</v>
      </c>
      <c r="BN2927" t="s">
        <v>5114</v>
      </c>
      <c r="BO2927" s="17">
        <f t="shared" ca="1" si="45"/>
        <v>15.593595717597054</v>
      </c>
      <c r="BP2927" t="b">
        <v>0</v>
      </c>
      <c r="BQ2927">
        <v>1</v>
      </c>
      <c r="BR2927" t="s">
        <v>1667</v>
      </c>
      <c r="BS2927">
        <v>87</v>
      </c>
      <c r="BT2927" t="b">
        <v>0</v>
      </c>
      <c r="BV2927" t="s">
        <v>1668</v>
      </c>
      <c r="BW2927">
        <v>13320</v>
      </c>
      <c r="BX2927" t="s">
        <v>1738</v>
      </c>
      <c r="BY2927">
        <v>277445</v>
      </c>
      <c r="BZ2927" t="s">
        <v>1704</v>
      </c>
      <c r="CA2927">
        <v>1</v>
      </c>
      <c r="CB2927" t="b">
        <v>1</v>
      </c>
      <c r="CC2927">
        <v>0</v>
      </c>
      <c r="CD2927" t="b">
        <v>0</v>
      </c>
      <c r="CE2927" t="b">
        <v>1</v>
      </c>
      <c r="CF2927" t="b">
        <v>0</v>
      </c>
      <c r="CG2927">
        <v>2616503</v>
      </c>
      <c r="CH2927" t="s">
        <v>1681</v>
      </c>
      <c r="CI2927" s="10">
        <v>575000</v>
      </c>
      <c r="CJ2927" s="7">
        <v>39314</v>
      </c>
    </row>
    <row r="2928" spans="1:90">
      <c r="A2928">
        <v>28052349</v>
      </c>
      <c r="B2928" s="2" t="str">
        <f>HYPERLINK("http://www.redfin.com/stingray/do/printable-listing?listing-id=1594251","Active")</f>
        <v>Active</v>
      </c>
      <c r="D2928" t="s">
        <v>5490</v>
      </c>
      <c r="E2928" t="s">
        <v>6556</v>
      </c>
      <c r="F2928">
        <v>825000</v>
      </c>
      <c r="G2928">
        <v>2001</v>
      </c>
      <c r="H2928">
        <v>3440</v>
      </c>
      <c r="I2928">
        <v>6185</v>
      </c>
      <c r="J2928">
        <v>5</v>
      </c>
      <c r="K2928">
        <v>3.5</v>
      </c>
      <c r="M2928" s="2" t="str">
        <f>HYPERLINK("http://maps.live.com/default.aspx?v=2&amp;lvl=15&amp;sp=Point.47.541837_-122.123978_6595 163rd Pl SE&amp;cp=47.541837~-122.123978","Map")</f>
        <v>Map</v>
      </c>
      <c r="N2928" s="2" t="str">
        <f>HYPERLINK("http://i-0.rfimg.us/photo/1/bigphoto/349/28052349_1.jpg","Photo")</f>
        <v>Photo</v>
      </c>
      <c r="AG2928">
        <v>47.541837000000001</v>
      </c>
      <c r="AH2928">
        <v>-122.12397799999999</v>
      </c>
      <c r="AI2928" t="s">
        <v>369</v>
      </c>
      <c r="AJ2928">
        <v>98006</v>
      </c>
      <c r="AN2928">
        <v>514950</v>
      </c>
      <c r="BC2928" s="22">
        <v>39534.91097222222</v>
      </c>
      <c r="BI2928" s="22">
        <v>39549.294907407406</v>
      </c>
      <c r="BL2928">
        <v>16500</v>
      </c>
      <c r="BM2928">
        <v>1594251</v>
      </c>
      <c r="BN2928" t="s">
        <v>1768</v>
      </c>
      <c r="BO2928" s="17">
        <f t="shared" ca="1" si="45"/>
        <v>14.39843368055881</v>
      </c>
      <c r="BP2928" t="b">
        <v>0</v>
      </c>
      <c r="BQ2928">
        <v>1</v>
      </c>
      <c r="BR2928" t="s">
        <v>1842</v>
      </c>
      <c r="BS2928" t="s">
        <v>5885</v>
      </c>
      <c r="BT2928" t="b">
        <v>0</v>
      </c>
      <c r="BV2928" t="s">
        <v>1668</v>
      </c>
      <c r="BW2928">
        <v>6595</v>
      </c>
      <c r="BX2928" t="s">
        <v>3856</v>
      </c>
      <c r="BY2928">
        <v>418439</v>
      </c>
      <c r="BZ2928" t="s">
        <v>1756</v>
      </c>
      <c r="CA2928">
        <v>1</v>
      </c>
      <c r="CB2928" t="b">
        <v>1</v>
      </c>
      <c r="CC2928">
        <v>0</v>
      </c>
      <c r="CD2928" t="b">
        <v>0</v>
      </c>
      <c r="CE2928" t="b">
        <v>1</v>
      </c>
      <c r="CF2928" t="b">
        <v>0</v>
      </c>
      <c r="CG2928">
        <v>2659946</v>
      </c>
      <c r="CH2928" t="s">
        <v>1681</v>
      </c>
      <c r="CI2928" s="10">
        <v>825000</v>
      </c>
      <c r="CJ2928" s="7">
        <v>37158</v>
      </c>
    </row>
    <row r="2929" spans="1:90">
      <c r="A2929">
        <v>28052379</v>
      </c>
      <c r="B2929" s="2" t="str">
        <f>HYPERLINK("http://www.redfin.com/stingray/do/printable-listing?listing-id=1591264","Active")</f>
        <v>Active</v>
      </c>
      <c r="D2929" t="s">
        <v>192</v>
      </c>
      <c r="E2929" t="s">
        <v>6464</v>
      </c>
      <c r="F2929">
        <v>545000</v>
      </c>
      <c r="G2929">
        <v>1928</v>
      </c>
      <c r="H2929">
        <v>1640</v>
      </c>
      <c r="I2929">
        <v>6380</v>
      </c>
      <c r="J2929">
        <v>3</v>
      </c>
      <c r="K2929">
        <v>1.75</v>
      </c>
      <c r="M2929" s="2" t="str">
        <f>HYPERLINK("http://maps.live.com/default.aspx?v=2&amp;lvl=15&amp;sp=Point.47.70242_-122.313299_1240 NE 102nd St&amp;cp=47.70242~-122.313299","Map")</f>
        <v>Map</v>
      </c>
      <c r="N2929" s="2" t="str">
        <f>HYPERLINK("http://i-0.rfimg.us/photo/1/bigphoto/379/28052379_0.jpg","Photo")</f>
        <v>Photo</v>
      </c>
      <c r="AG2929">
        <v>47.702419999999996</v>
      </c>
      <c r="AH2929">
        <v>-122.313299</v>
      </c>
      <c r="AI2929" t="s">
        <v>66</v>
      </c>
      <c r="AJ2929">
        <v>98115</v>
      </c>
      <c r="BC2929" s="22">
        <v>39534.327268518522</v>
      </c>
      <c r="BI2929" s="22">
        <v>39549.294907407406</v>
      </c>
      <c r="BL2929">
        <v>10900</v>
      </c>
      <c r="BM2929">
        <v>1591264</v>
      </c>
      <c r="BN2929" t="s">
        <v>1685</v>
      </c>
      <c r="BO2929" s="17">
        <f t="shared" ca="1" si="45"/>
        <v>14.98213738425693</v>
      </c>
      <c r="BP2929" t="b">
        <v>0</v>
      </c>
      <c r="BQ2929">
        <v>1</v>
      </c>
      <c r="BR2929" t="s">
        <v>1686</v>
      </c>
      <c r="BS2929" t="s">
        <v>5020</v>
      </c>
      <c r="BT2929" t="b">
        <v>0</v>
      </c>
      <c r="BU2929" t="s">
        <v>1738</v>
      </c>
      <c r="BV2929" t="s">
        <v>1668</v>
      </c>
      <c r="BW2929">
        <v>1240</v>
      </c>
      <c r="BY2929">
        <v>109222</v>
      </c>
      <c r="BZ2929" t="s">
        <v>1672</v>
      </c>
      <c r="CA2929">
        <v>1</v>
      </c>
      <c r="CB2929" t="b">
        <v>1</v>
      </c>
      <c r="CC2929">
        <v>0</v>
      </c>
      <c r="CD2929" t="b">
        <v>0</v>
      </c>
      <c r="CE2929" t="b">
        <v>1</v>
      </c>
      <c r="CF2929" t="b">
        <v>0</v>
      </c>
      <c r="CG2929">
        <v>2873630</v>
      </c>
      <c r="CH2929" t="s">
        <v>1681</v>
      </c>
      <c r="CI2929" s="10">
        <v>545000</v>
      </c>
    </row>
    <row r="2930" spans="1:90">
      <c r="A2930">
        <v>28052383</v>
      </c>
      <c r="B2930" s="2" t="str">
        <f>HYPERLINK("http://www.redfin.com/stingray/do/printable-listing?listing-id=1593923","Active")</f>
        <v>Active</v>
      </c>
      <c r="D2930" t="s">
        <v>5050</v>
      </c>
      <c r="E2930" t="s">
        <v>6495</v>
      </c>
      <c r="F2930">
        <v>639000</v>
      </c>
      <c r="G2930">
        <v>1963</v>
      </c>
      <c r="H2930">
        <v>1960</v>
      </c>
      <c r="I2930">
        <v>11495</v>
      </c>
      <c r="J2930">
        <v>3</v>
      </c>
      <c r="K2930">
        <v>2.75</v>
      </c>
      <c r="M2930" s="2" t="str">
        <f>HYPERLINK("http://maps.live.com/default.aspx?v=2&amp;lvl=15&amp;sp=Point.47.612122_-122.166586_168 130th Pl NE&amp;cp=47.612122~-122.166586","Map")</f>
        <v>Map</v>
      </c>
      <c r="N2930" s="2" t="str">
        <f>HYPERLINK("http://i-0.rfimg.us/photo/1/bigphoto/383/28052383_1.jpg","Photo")</f>
        <v>Photo</v>
      </c>
      <c r="AG2930">
        <v>47.612121999999999</v>
      </c>
      <c r="AH2930">
        <v>-122.166586</v>
      </c>
      <c r="AI2930" t="s">
        <v>369</v>
      </c>
      <c r="AJ2930">
        <v>98005</v>
      </c>
      <c r="AN2930">
        <v>197500</v>
      </c>
      <c r="BC2930" s="22">
        <v>39534.776597222219</v>
      </c>
      <c r="BI2930" s="22">
        <v>39549.294907407406</v>
      </c>
      <c r="BL2930">
        <v>12780</v>
      </c>
      <c r="BM2930">
        <v>1593923</v>
      </c>
      <c r="BN2930" t="s">
        <v>1768</v>
      </c>
      <c r="BO2930" s="17">
        <f t="shared" ca="1" si="45"/>
        <v>14.532808680560265</v>
      </c>
      <c r="BP2930" t="b">
        <v>0</v>
      </c>
      <c r="BQ2930">
        <v>1</v>
      </c>
      <c r="BR2930" t="s">
        <v>1842</v>
      </c>
      <c r="BS2930" t="s">
        <v>2964</v>
      </c>
      <c r="BT2930" t="b">
        <v>0</v>
      </c>
      <c r="BV2930" t="s">
        <v>1668</v>
      </c>
      <c r="BW2930">
        <v>168</v>
      </c>
      <c r="BX2930" t="s">
        <v>1738</v>
      </c>
      <c r="BY2930">
        <v>508182</v>
      </c>
      <c r="BZ2930" t="s">
        <v>1704</v>
      </c>
      <c r="CA2930">
        <v>1</v>
      </c>
      <c r="CB2930" t="b">
        <v>1</v>
      </c>
      <c r="CC2930">
        <v>0</v>
      </c>
      <c r="CD2930" t="b">
        <v>0</v>
      </c>
      <c r="CE2930" t="b">
        <v>1</v>
      </c>
      <c r="CF2930" t="b">
        <v>0</v>
      </c>
      <c r="CG2930">
        <v>2884712</v>
      </c>
      <c r="CH2930" t="s">
        <v>1681</v>
      </c>
      <c r="CI2930" s="10">
        <v>639000</v>
      </c>
      <c r="CJ2930" s="7">
        <v>35654</v>
      </c>
    </row>
    <row r="2931" spans="1:90">
      <c r="A2931">
        <v>28052394</v>
      </c>
      <c r="B2931" s="2" t="str">
        <f>HYPERLINK("http://www.redfin.com/stingray/do/printable-listing?listing-id=1590906","Active")</f>
        <v>Active</v>
      </c>
      <c r="D2931" t="s">
        <v>3959</v>
      </c>
      <c r="E2931" t="s">
        <v>6477</v>
      </c>
      <c r="F2931">
        <v>649950</v>
      </c>
      <c r="G2931">
        <v>1903</v>
      </c>
      <c r="H2931">
        <v>1610</v>
      </c>
      <c r="I2931">
        <v>3600</v>
      </c>
      <c r="J2931">
        <v>2</v>
      </c>
      <c r="K2931">
        <v>2.25</v>
      </c>
      <c r="M2931" s="2" t="str">
        <f>HYPERLINK("http://maps.live.com/default.aspx?v=2&amp;lvl=15&amp;sp=Point.47.616058_-122.30101_1622 24th Ave&amp;cp=47.616058~-122.30101","Map")</f>
        <v>Map</v>
      </c>
      <c r="N2931" s="2" t="str">
        <f>HYPERLINK("http://i-0.rfimg.us/photo/1/bigphoto/394/28052394_0.jpg","Photo")</f>
        <v>Photo</v>
      </c>
      <c r="AG2931">
        <v>47.616058000000002</v>
      </c>
      <c r="AH2931">
        <v>-122.30101000000001</v>
      </c>
      <c r="AI2931" t="s">
        <v>66</v>
      </c>
      <c r="AJ2931">
        <v>98122</v>
      </c>
      <c r="AN2931">
        <v>310000</v>
      </c>
      <c r="BC2931" s="22">
        <v>39534.046111111114</v>
      </c>
      <c r="BI2931" s="22">
        <v>39549.294907407406</v>
      </c>
      <c r="BL2931">
        <v>12999</v>
      </c>
      <c r="BM2931">
        <v>1590906</v>
      </c>
      <c r="BN2931" t="s">
        <v>2014</v>
      </c>
      <c r="BO2931" s="17">
        <f t="shared" ca="1" si="45"/>
        <v>15.263294791664521</v>
      </c>
      <c r="BP2931" t="b">
        <v>0</v>
      </c>
      <c r="BQ2931">
        <v>1</v>
      </c>
      <c r="BR2931" t="s">
        <v>1667</v>
      </c>
      <c r="BS2931" t="s">
        <v>1740</v>
      </c>
      <c r="BT2931" t="b">
        <v>0</v>
      </c>
      <c r="BV2931" t="s">
        <v>1668</v>
      </c>
      <c r="BW2931">
        <v>1622</v>
      </c>
      <c r="BY2931">
        <v>146874</v>
      </c>
      <c r="BZ2931" t="s">
        <v>1672</v>
      </c>
      <c r="CA2931">
        <v>1</v>
      </c>
      <c r="CB2931" t="b">
        <v>1</v>
      </c>
      <c r="CC2931">
        <v>0</v>
      </c>
      <c r="CD2931" t="b">
        <v>0</v>
      </c>
      <c r="CE2931" t="b">
        <v>1</v>
      </c>
      <c r="CF2931" t="b">
        <v>0</v>
      </c>
      <c r="CG2931">
        <v>2429519</v>
      </c>
      <c r="CH2931" t="s">
        <v>1681</v>
      </c>
      <c r="CI2931" s="10">
        <v>649950</v>
      </c>
      <c r="CJ2931" s="7">
        <v>38231</v>
      </c>
    </row>
    <row r="2932" spans="1:90">
      <c r="A2932">
        <v>28052397</v>
      </c>
      <c r="B2932" s="2" t="str">
        <f>HYPERLINK("http://www.redfin.com/stingray/do/printable-listing?listing-id=1611233","Active")</f>
        <v>Active</v>
      </c>
      <c r="D2932" t="s">
        <v>4542</v>
      </c>
      <c r="E2932" t="s">
        <v>6737</v>
      </c>
      <c r="F2932">
        <v>995000</v>
      </c>
      <c r="G2932">
        <v>2001</v>
      </c>
      <c r="H2932">
        <v>3590</v>
      </c>
      <c r="I2932">
        <v>9946</v>
      </c>
      <c r="J2932">
        <v>4</v>
      </c>
      <c r="K2932">
        <v>3.5</v>
      </c>
      <c r="M2932" s="2" t="str">
        <f>HYPERLINK("http://maps.live.com/default.aspx?v=2&amp;lvl=15&amp;sp=Point.47.692465_-122.20299_1929 4 St&amp;cp=47.692465~-122.20299","Map")</f>
        <v>Map</v>
      </c>
      <c r="N2932" s="2" t="str">
        <f>HYPERLINK("http://i-0.rfimg.us/photo/1/bigphoto/397/28052397_.jpg","Photo")</f>
        <v>Photo</v>
      </c>
      <c r="AG2932">
        <v>47.692464999999999</v>
      </c>
      <c r="AH2932">
        <v>-122.20299</v>
      </c>
      <c r="AI2932" t="s">
        <v>1058</v>
      </c>
      <c r="AJ2932">
        <v>98033</v>
      </c>
      <c r="BC2932" s="22">
        <v>39540.840115740742</v>
      </c>
      <c r="BI2932" s="22">
        <v>39549.294907407406</v>
      </c>
      <c r="BL2932">
        <v>19900</v>
      </c>
      <c r="BM2932">
        <v>1611233</v>
      </c>
      <c r="BN2932" t="s">
        <v>1737</v>
      </c>
      <c r="BO2932" s="17">
        <f t="shared" ca="1" si="45"/>
        <v>8.4692901620364864</v>
      </c>
      <c r="BP2932" t="b">
        <v>0</v>
      </c>
      <c r="BQ2932">
        <v>1</v>
      </c>
      <c r="BR2932" t="s">
        <v>1686</v>
      </c>
      <c r="BS2932">
        <v>4</v>
      </c>
      <c r="BT2932" t="b">
        <v>0</v>
      </c>
      <c r="BV2932" t="s">
        <v>1668</v>
      </c>
      <c r="BW2932">
        <v>1929</v>
      </c>
      <c r="BY2932">
        <v>463579</v>
      </c>
      <c r="CA2932">
        <v>1</v>
      </c>
      <c r="CB2932" t="b">
        <v>1</v>
      </c>
      <c r="CC2932">
        <v>0</v>
      </c>
      <c r="CD2932" t="b">
        <v>0</v>
      </c>
      <c r="CE2932" t="b">
        <v>1</v>
      </c>
      <c r="CF2932" t="b">
        <v>0</v>
      </c>
      <c r="CG2932">
        <v>2589997</v>
      </c>
      <c r="CH2932" t="s">
        <v>1681</v>
      </c>
      <c r="CI2932" s="10">
        <v>995000</v>
      </c>
    </row>
    <row r="2933" spans="1:90">
      <c r="A2933">
        <v>28052399</v>
      </c>
      <c r="B2933" s="2" t="str">
        <f>HYPERLINK("http://www.redfin.com/stingray/do/printable-listing?listing-id=1593584","Active")</f>
        <v>Active</v>
      </c>
      <c r="D2933" t="s">
        <v>4401</v>
      </c>
      <c r="E2933" t="s">
        <v>6483</v>
      </c>
      <c r="F2933">
        <v>424950</v>
      </c>
      <c r="G2933">
        <v>1976</v>
      </c>
      <c r="H2933">
        <v>2310</v>
      </c>
      <c r="I2933">
        <v>0</v>
      </c>
      <c r="J2933">
        <v>4</v>
      </c>
      <c r="K2933">
        <v>2.5</v>
      </c>
      <c r="M2933" s="2" t="str">
        <f>HYPERLINK("http://maps.live.com/default.aspx?v=2&amp;lvl=15&amp;sp=Point.47.726333_-122.174168_12455 NE 141 St&amp;cp=47.726333~-122.174168","Map")</f>
        <v>Map</v>
      </c>
      <c r="N2933" s="2" t="str">
        <f>HYPERLINK("http://i-0.rfimg.us/photo/1/bigphoto/399/28052399_.jpg","Photo")</f>
        <v>Photo</v>
      </c>
      <c r="AG2933">
        <v>47.726332999999997</v>
      </c>
      <c r="AH2933">
        <v>-122.17416799999999</v>
      </c>
      <c r="AI2933" t="s">
        <v>1058</v>
      </c>
      <c r="AJ2933">
        <v>98034</v>
      </c>
      <c r="AN2933">
        <v>248000</v>
      </c>
      <c r="BC2933" s="22">
        <v>39534.695752314816</v>
      </c>
      <c r="BI2933" s="22">
        <v>39549.294907407406</v>
      </c>
      <c r="BL2933">
        <v>8499</v>
      </c>
      <c r="BM2933">
        <v>1593584</v>
      </c>
      <c r="BN2933" t="s">
        <v>1737</v>
      </c>
      <c r="BO2933" s="17">
        <f t="shared" ca="1" si="45"/>
        <v>14.613653587963199</v>
      </c>
      <c r="BP2933" t="b">
        <v>0</v>
      </c>
      <c r="BQ2933">
        <v>1</v>
      </c>
      <c r="BR2933" t="s">
        <v>1686</v>
      </c>
      <c r="BS2933">
        <v>141</v>
      </c>
      <c r="BT2933" t="b">
        <v>0</v>
      </c>
      <c r="BU2933" t="s">
        <v>1738</v>
      </c>
      <c r="BV2933" t="s">
        <v>1668</v>
      </c>
      <c r="BW2933">
        <v>12455</v>
      </c>
      <c r="BY2933">
        <v>455635</v>
      </c>
      <c r="CA2933">
        <v>1</v>
      </c>
      <c r="CB2933" t="b">
        <v>1</v>
      </c>
      <c r="CC2933">
        <v>0</v>
      </c>
      <c r="CD2933" t="b">
        <v>0</v>
      </c>
      <c r="CE2933" t="b">
        <v>1</v>
      </c>
      <c r="CF2933" t="b">
        <v>0</v>
      </c>
      <c r="CG2933">
        <v>2464268</v>
      </c>
      <c r="CH2933" t="s">
        <v>1681</v>
      </c>
      <c r="CI2933" s="10">
        <v>424950</v>
      </c>
      <c r="CJ2933" s="7">
        <v>37239</v>
      </c>
      <c r="CL2933" t="s">
        <v>2325</v>
      </c>
    </row>
    <row r="2934" spans="1:90">
      <c r="A2934">
        <v>28052414</v>
      </c>
      <c r="B2934" s="2" t="str">
        <f>HYPERLINK("http://www.redfin.com/stingray/do/printable-listing?listing-id=1590907","Active")</f>
        <v>Active</v>
      </c>
      <c r="D2934" t="s">
        <v>5191</v>
      </c>
      <c r="E2934" t="s">
        <v>6500</v>
      </c>
      <c r="F2934" s="19">
        <v>810000</v>
      </c>
      <c r="G2934">
        <v>1979</v>
      </c>
      <c r="H2934">
        <v>2840</v>
      </c>
      <c r="I2934">
        <v>9900</v>
      </c>
      <c r="J2934">
        <v>4</v>
      </c>
      <c r="K2934">
        <v>2.5</v>
      </c>
      <c r="M2934" s="2" t="str">
        <f>HYPERLINK("http://maps.live.com/default.aspx?v=2&amp;lvl=15&amp;sp=Point.47.557866_-122.153278_14001 SE 50th St&amp;cp=47.557866~-122.153278","Map")</f>
        <v>Map</v>
      </c>
      <c r="N2934" s="2" t="str">
        <f>HYPERLINK("http://i-0.rfimg.us/photo/1/bigphoto/414/28052414_0.jpg","Photo")</f>
        <v>Photo</v>
      </c>
      <c r="AG2934">
        <v>47.557865999999997</v>
      </c>
      <c r="AH2934">
        <v>-122.153278</v>
      </c>
      <c r="AI2934" t="s">
        <v>369</v>
      </c>
      <c r="AJ2934">
        <v>98006</v>
      </c>
      <c r="AN2934">
        <v>407500</v>
      </c>
      <c r="BC2934" s="22">
        <v>39534.046111111114</v>
      </c>
      <c r="BI2934" s="22">
        <v>39549.294907407406</v>
      </c>
      <c r="BL2934">
        <v>16580</v>
      </c>
      <c r="BM2934">
        <v>1590907</v>
      </c>
      <c r="BN2934" t="s">
        <v>1737</v>
      </c>
      <c r="BO2934" s="17">
        <f t="shared" ca="1" si="45"/>
        <v>15.263294791664521</v>
      </c>
      <c r="BP2934" t="b">
        <v>0</v>
      </c>
      <c r="BQ2934">
        <v>1</v>
      </c>
      <c r="BR2934" t="s">
        <v>1686</v>
      </c>
      <c r="BS2934" t="s">
        <v>2638</v>
      </c>
      <c r="BT2934" t="b">
        <v>0</v>
      </c>
      <c r="BU2934" t="s">
        <v>3856</v>
      </c>
      <c r="BV2934" t="s">
        <v>1668</v>
      </c>
      <c r="BW2934">
        <v>14001</v>
      </c>
      <c r="BY2934">
        <v>239630</v>
      </c>
      <c r="BZ2934" t="s">
        <v>1672</v>
      </c>
      <c r="CA2934">
        <v>1</v>
      </c>
      <c r="CB2934" t="b">
        <v>1</v>
      </c>
      <c r="CC2934">
        <v>0</v>
      </c>
      <c r="CD2934" t="b">
        <v>0</v>
      </c>
      <c r="CE2934" t="b">
        <v>1</v>
      </c>
      <c r="CF2934" t="b">
        <v>0</v>
      </c>
      <c r="CG2934">
        <v>2619121</v>
      </c>
      <c r="CH2934" t="s">
        <v>1681</v>
      </c>
      <c r="CI2934" s="10">
        <v>829000</v>
      </c>
      <c r="CJ2934" s="7">
        <v>36661</v>
      </c>
      <c r="CL2934" t="s">
        <v>5283</v>
      </c>
    </row>
    <row r="2935" spans="1:90">
      <c r="A2935">
        <v>28052417</v>
      </c>
      <c r="B2935" s="2" t="str">
        <f>HYPERLINK("http://www.redfin.com/stingray/do/printable-listing?listing-id=1592026","Active")</f>
        <v>Active</v>
      </c>
      <c r="D2935" t="s">
        <v>5490</v>
      </c>
      <c r="E2935" t="s">
        <v>5886</v>
      </c>
      <c r="F2935">
        <v>799950</v>
      </c>
      <c r="G2935">
        <v>2000</v>
      </c>
      <c r="H2935">
        <v>3180</v>
      </c>
      <c r="I2935">
        <v>7349</v>
      </c>
      <c r="J2935">
        <v>4</v>
      </c>
      <c r="K2935">
        <v>2.5</v>
      </c>
      <c r="M2935" s="2" t="str">
        <f>HYPERLINK("http://maps.live.com/default.aspx?v=2&amp;lvl=15&amp;sp=Point.47.559263_-122.121602_16399 SE 48th Dr&amp;cp=47.559263~-122.121602","Map")</f>
        <v>Map</v>
      </c>
      <c r="N2935" s="2" t="str">
        <f>HYPERLINK("http://i-0.rfimg.us/photo/1/bigphoto/417/28052417_0.jpg","Photo")</f>
        <v>Photo</v>
      </c>
      <c r="AG2935">
        <v>47.559263000000001</v>
      </c>
      <c r="AH2935">
        <v>-122.121602</v>
      </c>
      <c r="AI2935" t="s">
        <v>369</v>
      </c>
      <c r="AJ2935">
        <v>98006</v>
      </c>
      <c r="AN2935">
        <v>625000</v>
      </c>
      <c r="BC2935" s="22">
        <v>39534.485196759262</v>
      </c>
      <c r="BI2935" s="22">
        <v>39549.294907407406</v>
      </c>
      <c r="BL2935">
        <v>15999</v>
      </c>
      <c r="BM2935">
        <v>1592026</v>
      </c>
      <c r="BN2935" t="s">
        <v>2014</v>
      </c>
      <c r="BO2935" s="17">
        <f t="shared" ca="1" si="45"/>
        <v>14.824209143516782</v>
      </c>
      <c r="BP2935" t="b">
        <v>0</v>
      </c>
      <c r="BQ2935">
        <v>1</v>
      </c>
      <c r="BR2935" t="s">
        <v>1816</v>
      </c>
      <c r="BS2935" t="s">
        <v>2443</v>
      </c>
      <c r="BT2935" t="b">
        <v>0</v>
      </c>
      <c r="BU2935" t="s">
        <v>3856</v>
      </c>
      <c r="BV2935" t="s">
        <v>1668</v>
      </c>
      <c r="BW2935">
        <v>16399</v>
      </c>
      <c r="BY2935">
        <v>240777</v>
      </c>
      <c r="BZ2935" t="s">
        <v>1672</v>
      </c>
      <c r="CA2935">
        <v>1</v>
      </c>
      <c r="CB2935" t="b">
        <v>1</v>
      </c>
      <c r="CC2935">
        <v>0</v>
      </c>
      <c r="CD2935" t="b">
        <v>0</v>
      </c>
      <c r="CE2935" t="b">
        <v>1</v>
      </c>
      <c r="CF2935" t="b">
        <v>0</v>
      </c>
      <c r="CG2935">
        <v>2823571</v>
      </c>
      <c r="CH2935" t="s">
        <v>1681</v>
      </c>
      <c r="CI2935" s="10">
        <v>799950</v>
      </c>
      <c r="CJ2935" s="7">
        <v>36987</v>
      </c>
    </row>
    <row r="2936" spans="1:90">
      <c r="A2936">
        <v>28052446</v>
      </c>
      <c r="B2936" s="2" t="str">
        <f>HYPERLINK("http://www.redfin.com/stingray/do/printable-listing?listing-id=1591265","Active")</f>
        <v>Active</v>
      </c>
      <c r="D2936" t="s">
        <v>184</v>
      </c>
      <c r="E2936" t="s">
        <v>6471</v>
      </c>
      <c r="F2936">
        <v>348950</v>
      </c>
      <c r="G2936">
        <v>1997</v>
      </c>
      <c r="H2936">
        <v>1650</v>
      </c>
      <c r="I2936">
        <v>0</v>
      </c>
      <c r="J2936">
        <v>3</v>
      </c>
      <c r="K2936">
        <v>2.75</v>
      </c>
      <c r="M2936" s="2" t="str">
        <f>HYPERLINK("http://maps.live.com/default.aspx?v=2&amp;lvl=15&amp;sp=Point.47.720122_-122.319024_12549 Roosevelt Way NE&amp;cp=47.720122~-122.319024","Map")</f>
        <v>Map</v>
      </c>
      <c r="N2936" s="2" t="str">
        <f>HYPERLINK("http://i-0.rfimg.us/photo/1/bigphoto/446/28052446_0.jpg","Photo")</f>
        <v>Photo</v>
      </c>
      <c r="AG2936">
        <v>47.720122000000003</v>
      </c>
      <c r="AH2936">
        <v>-122.319024</v>
      </c>
      <c r="AI2936" t="s">
        <v>66</v>
      </c>
      <c r="AJ2936">
        <v>98125</v>
      </c>
      <c r="BC2936" s="22">
        <v>39534.327268518522</v>
      </c>
      <c r="BI2936" s="22">
        <v>39549.294907407406</v>
      </c>
      <c r="BL2936">
        <v>6979</v>
      </c>
      <c r="BM2936">
        <v>1591265</v>
      </c>
      <c r="BN2936" t="s">
        <v>3775</v>
      </c>
      <c r="BO2936" s="17">
        <f t="shared" ca="1" si="45"/>
        <v>14.98213738425693</v>
      </c>
      <c r="BP2936" t="b">
        <v>0</v>
      </c>
      <c r="BQ2936">
        <v>1</v>
      </c>
      <c r="BR2936" t="s">
        <v>2463</v>
      </c>
      <c r="BS2936" t="s">
        <v>190</v>
      </c>
      <c r="BT2936" t="b">
        <v>0</v>
      </c>
      <c r="BV2936" t="s">
        <v>1668</v>
      </c>
      <c r="BW2936">
        <v>12549</v>
      </c>
      <c r="BX2936" t="s">
        <v>1738</v>
      </c>
      <c r="BY2936">
        <v>2093242</v>
      </c>
      <c r="BZ2936" t="s">
        <v>1741</v>
      </c>
      <c r="CA2936">
        <v>1</v>
      </c>
      <c r="CB2936" t="b">
        <v>1</v>
      </c>
      <c r="CC2936">
        <v>0</v>
      </c>
      <c r="CD2936" t="b">
        <v>0</v>
      </c>
      <c r="CE2936" t="b">
        <v>1</v>
      </c>
      <c r="CF2936" t="b">
        <v>0</v>
      </c>
      <c r="CG2936">
        <v>2945704</v>
      </c>
      <c r="CH2936" t="s">
        <v>1681</v>
      </c>
      <c r="CI2936" s="10">
        <v>348950</v>
      </c>
    </row>
    <row r="2937" spans="1:90">
      <c r="A2937">
        <v>28052465</v>
      </c>
      <c r="B2937" s="2" t="str">
        <f>HYPERLINK("http://www.redfin.com/stingray/do/printable-listing?listing-id=1591777","Active")</f>
        <v>Active</v>
      </c>
      <c r="D2937" t="s">
        <v>188</v>
      </c>
      <c r="E2937" t="s">
        <v>6465</v>
      </c>
      <c r="F2937">
        <v>529000</v>
      </c>
      <c r="G2937">
        <v>1955</v>
      </c>
      <c r="H2937">
        <v>2390</v>
      </c>
      <c r="I2937">
        <v>10110</v>
      </c>
      <c r="J2937">
        <v>3</v>
      </c>
      <c r="K2937">
        <v>2.5</v>
      </c>
      <c r="M2937" s="2" t="str">
        <f>HYPERLINK("http://maps.live.com/default.aspx?v=2&amp;lvl=15&amp;sp=Point.47.703463_-122.279709_10316 45th Ave NE&amp;cp=47.703463~-122.279709","Map")</f>
        <v>Map</v>
      </c>
      <c r="N2937" s="2" t="str">
        <f>HYPERLINK("http://i-0.rfimg.us/photo/1/bigphoto/465/28052465_0.jpg","Photo")</f>
        <v>Photo</v>
      </c>
      <c r="AG2937">
        <v>47.703462999999999</v>
      </c>
      <c r="AH2937">
        <v>-122.279709</v>
      </c>
      <c r="AI2937" t="s">
        <v>66</v>
      </c>
      <c r="AJ2937">
        <v>98125</v>
      </c>
      <c r="AN2937">
        <v>217000</v>
      </c>
      <c r="BC2937" s="22">
        <v>39534.432210648149</v>
      </c>
      <c r="BI2937" s="22">
        <v>39549.294907407406</v>
      </c>
      <c r="BL2937">
        <v>10580</v>
      </c>
      <c r="BM2937">
        <v>1591777</v>
      </c>
      <c r="BN2937" t="s">
        <v>1710</v>
      </c>
      <c r="BO2937" s="17">
        <f t="shared" ca="1" si="45"/>
        <v>14.877195254630351</v>
      </c>
      <c r="BP2937" t="b">
        <v>0</v>
      </c>
      <c r="BQ2937">
        <v>1</v>
      </c>
      <c r="BR2937" t="s">
        <v>1667</v>
      </c>
      <c r="BS2937" t="s">
        <v>2667</v>
      </c>
      <c r="BT2937" t="b">
        <v>0</v>
      </c>
      <c r="BV2937" t="s">
        <v>1668</v>
      </c>
      <c r="BW2937">
        <v>10316</v>
      </c>
      <c r="BX2937" t="s">
        <v>1738</v>
      </c>
      <c r="BY2937">
        <v>113501</v>
      </c>
      <c r="BZ2937" t="s">
        <v>1670</v>
      </c>
      <c r="CA2937">
        <v>1</v>
      </c>
      <c r="CB2937" t="b">
        <v>1</v>
      </c>
      <c r="CC2937">
        <v>0</v>
      </c>
      <c r="CD2937" t="b">
        <v>0</v>
      </c>
      <c r="CE2937" t="b">
        <v>1</v>
      </c>
      <c r="CF2937" t="b">
        <v>0</v>
      </c>
      <c r="CG2937">
        <v>2873313</v>
      </c>
      <c r="CH2937" t="s">
        <v>1681</v>
      </c>
      <c r="CI2937" s="10">
        <v>529000</v>
      </c>
      <c r="CJ2937" s="7">
        <v>35859</v>
      </c>
    </row>
    <row r="2938" spans="1:90">
      <c r="A2938">
        <v>28052507</v>
      </c>
      <c r="B2938" s="2" t="str">
        <f>HYPERLINK("http://www.redfin.com/stingray/do/printable-listing?listing-id=1591605","Active")</f>
        <v>Active</v>
      </c>
      <c r="D2938" t="s">
        <v>78</v>
      </c>
      <c r="E2938" t="s">
        <v>1578</v>
      </c>
      <c r="F2938">
        <v>421900</v>
      </c>
      <c r="G2938">
        <v>1925</v>
      </c>
      <c r="H2938">
        <v>2040</v>
      </c>
      <c r="I2938">
        <v>5100</v>
      </c>
      <c r="J2938">
        <v>2</v>
      </c>
      <c r="K2938">
        <v>1.25</v>
      </c>
      <c r="M2938" s="2" t="str">
        <f>HYPERLINK("http://maps.live.com/default.aspx?v=2&amp;lvl=15&amp;sp=Point.47.680485_-122.383972_7032 22nd Ave NW&amp;cp=47.680485~-122.383972","Map")</f>
        <v>Map</v>
      </c>
      <c r="N2938" s="2" t="str">
        <f>HYPERLINK("http://i-0.rfimg.us/photo/1/bigphoto/507/28052507_0.jpg","Photo")</f>
        <v>Photo</v>
      </c>
      <c r="AG2938">
        <v>47.680484999999997</v>
      </c>
      <c r="AH2938">
        <v>-122.383972</v>
      </c>
      <c r="AI2938" t="s">
        <v>66</v>
      </c>
      <c r="AJ2938">
        <v>98117</v>
      </c>
      <c r="AN2938">
        <v>427500</v>
      </c>
      <c r="BC2938" s="22">
        <v>39534.379849537036</v>
      </c>
      <c r="BI2938" s="22">
        <v>39549.294907407406</v>
      </c>
      <c r="BL2938">
        <v>8438</v>
      </c>
      <c r="BM2938">
        <v>1591605</v>
      </c>
      <c r="BN2938" t="s">
        <v>1691</v>
      </c>
      <c r="BO2938" s="17">
        <f t="shared" ca="1" si="45"/>
        <v>14.929556365743338</v>
      </c>
      <c r="BP2938" t="b">
        <v>0</v>
      </c>
      <c r="BQ2938">
        <v>1</v>
      </c>
      <c r="BR2938" t="s">
        <v>1667</v>
      </c>
      <c r="BS2938" t="s">
        <v>1692</v>
      </c>
      <c r="BT2938" t="b">
        <v>0</v>
      </c>
      <c r="BV2938" t="s">
        <v>1668</v>
      </c>
      <c r="BW2938">
        <v>7032</v>
      </c>
      <c r="BX2938" t="s">
        <v>1669</v>
      </c>
      <c r="BY2938">
        <v>165019</v>
      </c>
      <c r="BZ2938" t="s">
        <v>1684</v>
      </c>
      <c r="CA2938">
        <v>1</v>
      </c>
      <c r="CB2938" t="b">
        <v>1</v>
      </c>
      <c r="CC2938">
        <v>0</v>
      </c>
      <c r="CD2938" t="b">
        <v>1</v>
      </c>
      <c r="CE2938" t="b">
        <v>1</v>
      </c>
      <c r="CF2938" t="b">
        <v>0</v>
      </c>
      <c r="CG2938">
        <v>2809782</v>
      </c>
      <c r="CH2938" t="s">
        <v>1681</v>
      </c>
      <c r="CI2938" s="10">
        <v>421900</v>
      </c>
      <c r="CJ2938" s="7">
        <v>39450</v>
      </c>
    </row>
    <row r="2939" spans="1:90">
      <c r="A2939">
        <v>28052551</v>
      </c>
      <c r="B2939" s="15" t="str">
        <f>HYPERLINK("http://www.redfin.com/stingray/do/printable-listing?listing-id=1591684","Subject To Inspection")</f>
        <v>Subject To Inspection</v>
      </c>
      <c r="D2939" t="s">
        <v>63</v>
      </c>
      <c r="E2939" t="s">
        <v>6459</v>
      </c>
      <c r="F2939">
        <v>409990</v>
      </c>
      <c r="G2939">
        <v>2008</v>
      </c>
      <c r="H2939">
        <v>1620</v>
      </c>
      <c r="I2939">
        <v>0</v>
      </c>
      <c r="J2939">
        <v>3</v>
      </c>
      <c r="K2939">
        <v>2.5</v>
      </c>
      <c r="M2939" s="2" t="str">
        <f>HYPERLINK("http://maps.live.com/default.aspx?v=2&amp;lvl=15&amp;sp=Point.47.671463_-122.383979_2015 NW 59th St nA&amp;cp=47.671463~-122.383979","Map")</f>
        <v>Map</v>
      </c>
      <c r="N2939" s="2" t="str">
        <f>HYPERLINK("http://i-0.rfimg.us/photo/1/bigphoto/551/28052551_0.jpg","Photo")</f>
        <v>Photo</v>
      </c>
      <c r="AG2939">
        <v>47.671463000000003</v>
      </c>
      <c r="AH2939">
        <v>-122.383979</v>
      </c>
      <c r="AI2939" t="s">
        <v>66</v>
      </c>
      <c r="AJ2939">
        <v>98107</v>
      </c>
      <c r="AM2939" t="s">
        <v>1722</v>
      </c>
      <c r="BC2939" s="22">
        <v>39534.400787037041</v>
      </c>
      <c r="BI2939" s="22">
        <v>39549.294907407406</v>
      </c>
      <c r="BL2939">
        <v>8200</v>
      </c>
      <c r="BM2939">
        <v>1591684</v>
      </c>
      <c r="BN2939" t="s">
        <v>1766</v>
      </c>
      <c r="BO2939" s="17">
        <f t="shared" ca="1" si="45"/>
        <v>14.90861886573839</v>
      </c>
      <c r="BP2939" t="b">
        <v>0</v>
      </c>
      <c r="BQ2939">
        <v>1</v>
      </c>
      <c r="BR2939" t="s">
        <v>1686</v>
      </c>
      <c r="BS2939" t="s">
        <v>2492</v>
      </c>
      <c r="BT2939" t="b">
        <v>0</v>
      </c>
      <c r="BU2939" t="s">
        <v>1669</v>
      </c>
      <c r="BV2939" t="s">
        <v>1668</v>
      </c>
      <c r="BW2939">
        <v>2015</v>
      </c>
      <c r="BY2939">
        <v>12434977</v>
      </c>
      <c r="BZ2939" s="21">
        <v>0</v>
      </c>
      <c r="CA2939">
        <v>1</v>
      </c>
      <c r="CB2939" t="b">
        <v>1</v>
      </c>
      <c r="CC2939">
        <v>0</v>
      </c>
      <c r="CD2939" t="b">
        <v>0</v>
      </c>
      <c r="CE2939" t="b">
        <v>1</v>
      </c>
      <c r="CF2939" t="b">
        <v>0</v>
      </c>
      <c r="CG2939">
        <v>15638725</v>
      </c>
      <c r="CH2939" t="s">
        <v>1681</v>
      </c>
      <c r="CI2939" s="10">
        <v>409990</v>
      </c>
    </row>
    <row r="2940" spans="1:90">
      <c r="A2940">
        <v>28052559</v>
      </c>
      <c r="B2940" s="2" t="str">
        <f>HYPERLINK("http://www.redfin.com/stingray/do/printable-listing?listing-id=1591709","Active")</f>
        <v>Active</v>
      </c>
      <c r="D2940" t="s">
        <v>63</v>
      </c>
      <c r="E2940" t="s">
        <v>6461</v>
      </c>
      <c r="F2940">
        <v>409990</v>
      </c>
      <c r="G2940">
        <v>2008</v>
      </c>
      <c r="H2940">
        <v>1349</v>
      </c>
      <c r="I2940">
        <v>0</v>
      </c>
      <c r="J2940">
        <v>2</v>
      </c>
      <c r="K2940">
        <v>2.5</v>
      </c>
      <c r="M2940" s="2" t="str">
        <f>HYPERLINK("http://maps.live.com/default.aspx?v=2&amp;lvl=15&amp;sp=Point.47.670763_-122.391902_2633 NW 58th St nA&amp;cp=47.670763~-122.391902","Map")</f>
        <v>Map</v>
      </c>
      <c r="N2940" s="2" t="str">
        <f>HYPERLINK("http://i-0.rfimg.us/photo/1/bigphoto/559/28052559_0.jpg","Photo")</f>
        <v>Photo</v>
      </c>
      <c r="AG2940">
        <v>47.670763000000001</v>
      </c>
      <c r="AH2940">
        <v>-122.391902</v>
      </c>
      <c r="AI2940" t="s">
        <v>66</v>
      </c>
      <c r="AJ2940">
        <v>98107</v>
      </c>
      <c r="AM2940" t="s">
        <v>1722</v>
      </c>
      <c r="BC2940" s="22">
        <v>39534.412141203706</v>
      </c>
      <c r="BI2940" s="22">
        <v>39549.294907407406</v>
      </c>
      <c r="BL2940">
        <v>8200</v>
      </c>
      <c r="BM2940">
        <v>1591709</v>
      </c>
      <c r="BN2940" t="s">
        <v>1766</v>
      </c>
      <c r="BO2940" s="17">
        <f t="shared" ca="1" si="45"/>
        <v>14.897264699073276</v>
      </c>
      <c r="BP2940" t="b">
        <v>0</v>
      </c>
      <c r="BQ2940">
        <v>1</v>
      </c>
      <c r="BR2940" t="s">
        <v>1686</v>
      </c>
      <c r="BS2940" t="s">
        <v>2490</v>
      </c>
      <c r="BT2940" t="b">
        <v>0</v>
      </c>
      <c r="BU2940" t="s">
        <v>1669</v>
      </c>
      <c r="BV2940" t="s">
        <v>1668</v>
      </c>
      <c r="BW2940">
        <v>2633</v>
      </c>
      <c r="BY2940">
        <v>12175279</v>
      </c>
      <c r="BZ2940" s="21">
        <v>0</v>
      </c>
      <c r="CA2940">
        <v>1</v>
      </c>
      <c r="CB2940" t="b">
        <v>1</v>
      </c>
      <c r="CC2940">
        <v>0</v>
      </c>
      <c r="CD2940" t="b">
        <v>0</v>
      </c>
      <c r="CE2940" t="b">
        <v>1</v>
      </c>
      <c r="CF2940" t="b">
        <v>0</v>
      </c>
      <c r="CG2940">
        <v>15405886</v>
      </c>
      <c r="CH2940" t="s">
        <v>1681</v>
      </c>
      <c r="CI2940" s="10">
        <v>409990</v>
      </c>
    </row>
    <row r="2941" spans="1:90">
      <c r="A2941">
        <v>28052560</v>
      </c>
      <c r="B2941" s="2" t="str">
        <f>HYPERLINK("http://www.redfin.com/stingray/do/printable-listing?listing-id=1591712","Active")</f>
        <v>Active</v>
      </c>
      <c r="D2941" t="s">
        <v>63</v>
      </c>
      <c r="E2941" t="s">
        <v>2299</v>
      </c>
      <c r="F2941">
        <v>589900</v>
      </c>
      <c r="G2941">
        <v>1924</v>
      </c>
      <c r="H2941">
        <v>0</v>
      </c>
      <c r="I2941">
        <v>0</v>
      </c>
      <c r="J2941">
        <v>4</v>
      </c>
      <c r="K2941">
        <v>2.25</v>
      </c>
      <c r="M2941" s="2" t="str">
        <f>HYPERLINK("http://maps.live.com/default.aspx?v=2&amp;lvl=15&amp;sp=Point.47.685882_-122.373714_7726 14th Ave NW&amp;cp=47.685882~-122.373714","Map")</f>
        <v>Map</v>
      </c>
      <c r="N2941" s="2" t="str">
        <f>HYPERLINK("http://i-0.rfimg.us/photo/1/bigphoto/560/28052560_0.jpg","Photo")</f>
        <v>Photo</v>
      </c>
      <c r="AG2941">
        <v>47.685881999999999</v>
      </c>
      <c r="AH2941">
        <v>-122.37371400000001</v>
      </c>
      <c r="AI2941" t="s">
        <v>66</v>
      </c>
      <c r="AJ2941">
        <v>98117</v>
      </c>
      <c r="AN2941">
        <v>500000</v>
      </c>
      <c r="BC2941" s="22">
        <v>39534.412280092591</v>
      </c>
      <c r="BI2941" s="22">
        <v>39549.294907407406</v>
      </c>
      <c r="BL2941">
        <v>11798</v>
      </c>
      <c r="BM2941">
        <v>1591712</v>
      </c>
      <c r="BN2941" t="s">
        <v>1823</v>
      </c>
      <c r="BO2941" s="17">
        <f t="shared" ca="1" si="45"/>
        <v>14.8971258101883</v>
      </c>
      <c r="BP2941" t="b">
        <v>0</v>
      </c>
      <c r="BQ2941">
        <v>1</v>
      </c>
      <c r="BR2941" t="s">
        <v>1667</v>
      </c>
      <c r="BS2941" t="s">
        <v>1900</v>
      </c>
      <c r="BT2941" t="b">
        <v>0</v>
      </c>
      <c r="BV2941" t="s">
        <v>1668</v>
      </c>
      <c r="BW2941">
        <v>7726</v>
      </c>
      <c r="BX2941" t="s">
        <v>1669</v>
      </c>
      <c r="BY2941">
        <v>498174</v>
      </c>
      <c r="BZ2941" t="s">
        <v>1672</v>
      </c>
      <c r="CA2941">
        <v>1</v>
      </c>
      <c r="CB2941" t="b">
        <v>1</v>
      </c>
      <c r="CC2941">
        <v>0</v>
      </c>
      <c r="CD2941" t="b">
        <v>0</v>
      </c>
      <c r="CE2941" t="b">
        <v>1</v>
      </c>
      <c r="CF2941" t="b">
        <v>0</v>
      </c>
      <c r="CG2941">
        <v>2767025</v>
      </c>
      <c r="CH2941" t="s">
        <v>1681</v>
      </c>
      <c r="CI2941" s="10">
        <v>589900</v>
      </c>
      <c r="CJ2941" s="7">
        <v>38443</v>
      </c>
    </row>
    <row r="2942" spans="1:90">
      <c r="A2942">
        <v>28052567</v>
      </c>
      <c r="B2942" s="2" t="str">
        <f>HYPERLINK("http://www.redfin.com/stingray/do/printable-listing?listing-id=1591710","Active")</f>
        <v>Active</v>
      </c>
      <c r="D2942" t="s">
        <v>70</v>
      </c>
      <c r="E2942" t="s">
        <v>6463</v>
      </c>
      <c r="F2942">
        <v>2950000</v>
      </c>
      <c r="G2942">
        <v>1952</v>
      </c>
      <c r="H2942">
        <v>9690</v>
      </c>
      <c r="I2942">
        <v>60984</v>
      </c>
      <c r="J2942">
        <v>6</v>
      </c>
      <c r="K2942">
        <v>7.5</v>
      </c>
      <c r="M2942" s="2" t="str">
        <f>HYPERLINK("http://maps.live.com/default.aspx?v=2&amp;lvl=15&amp;sp=Point.47.717436_-122.372298_1230 NW 121 St&amp;cp=47.717436~-122.372298","Map")</f>
        <v>Map</v>
      </c>
      <c r="N2942" s="2" t="str">
        <f>HYPERLINK("http://i-0.rfimg.us/photo/1/bigphoto/567/28052567_1.jpg","Photo")</f>
        <v>Photo</v>
      </c>
      <c r="AG2942">
        <v>47.717435999999999</v>
      </c>
      <c r="AH2942">
        <v>-122.372298</v>
      </c>
      <c r="AI2942" t="s">
        <v>66</v>
      </c>
      <c r="AJ2942">
        <v>98177</v>
      </c>
      <c r="AN2942">
        <v>1935000</v>
      </c>
      <c r="BC2942" s="22">
        <v>39534.412175925929</v>
      </c>
      <c r="BI2942" s="22">
        <v>39549.294907407406</v>
      </c>
      <c r="BL2942">
        <v>59000</v>
      </c>
      <c r="BM2942">
        <v>1591710</v>
      </c>
      <c r="BN2942" t="s">
        <v>1737</v>
      </c>
      <c r="BO2942" s="17">
        <f t="shared" ca="1" si="45"/>
        <v>14.897229976850213</v>
      </c>
      <c r="BP2942" t="b">
        <v>0</v>
      </c>
      <c r="BQ2942">
        <v>1</v>
      </c>
      <c r="BR2942" t="s">
        <v>1686</v>
      </c>
      <c r="BS2942">
        <v>121</v>
      </c>
      <c r="BT2942" t="b">
        <v>0</v>
      </c>
      <c r="BU2942" t="s">
        <v>1669</v>
      </c>
      <c r="BV2942" t="s">
        <v>1668</v>
      </c>
      <c r="BW2942">
        <v>1230</v>
      </c>
      <c r="BY2942">
        <v>288483</v>
      </c>
      <c r="BZ2942" t="s">
        <v>1704</v>
      </c>
      <c r="CA2942">
        <v>1</v>
      </c>
      <c r="CB2942" t="b">
        <v>1</v>
      </c>
      <c r="CC2942">
        <v>0</v>
      </c>
      <c r="CD2942" t="b">
        <v>0</v>
      </c>
      <c r="CE2942" t="b">
        <v>1</v>
      </c>
      <c r="CF2942" t="b">
        <v>0</v>
      </c>
      <c r="CG2942">
        <v>2608177</v>
      </c>
      <c r="CH2942" t="s">
        <v>1681</v>
      </c>
      <c r="CI2942" s="10">
        <v>2950000</v>
      </c>
      <c r="CJ2942" s="7">
        <v>37578</v>
      </c>
    </row>
    <row r="2943" spans="1:90">
      <c r="A2943">
        <v>28052572</v>
      </c>
      <c r="B2943" s="2" t="str">
        <f>HYPERLINK("http://www.redfin.com/stingray/do/printable-listing?listing-id=1591705","Active")</f>
        <v>Active</v>
      </c>
      <c r="D2943" t="s">
        <v>5926</v>
      </c>
      <c r="E2943" t="s">
        <v>6456</v>
      </c>
      <c r="F2943">
        <v>585000</v>
      </c>
      <c r="G2943">
        <v>1974</v>
      </c>
      <c r="H2943">
        <v>1610</v>
      </c>
      <c r="I2943">
        <v>5401</v>
      </c>
      <c r="J2943">
        <v>3</v>
      </c>
      <c r="K2943">
        <v>2.5</v>
      </c>
      <c r="M2943" s="2" t="str">
        <f>HYPERLINK("http://maps.live.com/default.aspx?v=2&amp;lvl=15&amp;sp=Point.47.517473_-122.206904_2820 N Burnett Ave&amp;cp=47.517473~-122.206904","Map")</f>
        <v>Map</v>
      </c>
      <c r="N2943" s="2" t="str">
        <f>HYPERLINK("http://i-0.rfimg.us/photo/1/bigphoto/572/28052572_0.jpg","Photo")</f>
        <v>Photo</v>
      </c>
      <c r="AG2943">
        <v>47.517473000000003</v>
      </c>
      <c r="AH2943">
        <v>-122.20690399999999</v>
      </c>
      <c r="AI2943" t="s">
        <v>1077</v>
      </c>
      <c r="AJ2943">
        <v>98056</v>
      </c>
      <c r="AN2943">
        <v>450000</v>
      </c>
      <c r="BC2943" s="22">
        <v>39534.412083333336</v>
      </c>
      <c r="BI2943" s="22">
        <v>39549.294907407406</v>
      </c>
      <c r="BL2943">
        <v>11700</v>
      </c>
      <c r="BM2943">
        <v>1591705</v>
      </c>
      <c r="BN2943" t="s">
        <v>3092</v>
      </c>
      <c r="BO2943" s="17">
        <f t="shared" ca="1" si="45"/>
        <v>14.897322569442622</v>
      </c>
      <c r="BP2943" t="b">
        <v>0</v>
      </c>
      <c r="BQ2943">
        <v>1</v>
      </c>
      <c r="BR2943" t="s">
        <v>1667</v>
      </c>
      <c r="BS2943" t="s">
        <v>6457</v>
      </c>
      <c r="BT2943" t="b">
        <v>0</v>
      </c>
      <c r="BU2943" t="s">
        <v>1712</v>
      </c>
      <c r="BV2943" t="s">
        <v>1668</v>
      </c>
      <c r="BW2943">
        <v>2820</v>
      </c>
      <c r="BY2943">
        <v>408862</v>
      </c>
      <c r="BZ2943" t="s">
        <v>1676</v>
      </c>
      <c r="CA2943">
        <v>1</v>
      </c>
      <c r="CB2943" t="b">
        <v>1</v>
      </c>
      <c r="CC2943">
        <v>0</v>
      </c>
      <c r="CD2943" t="b">
        <v>0</v>
      </c>
      <c r="CE2943" t="b">
        <v>0</v>
      </c>
      <c r="CF2943" t="b">
        <v>0</v>
      </c>
      <c r="CG2943">
        <v>2670880</v>
      </c>
      <c r="CH2943" t="s">
        <v>1681</v>
      </c>
      <c r="CI2943" s="10">
        <v>585000</v>
      </c>
      <c r="CJ2943" s="7">
        <v>39175</v>
      </c>
      <c r="CL2943" t="s">
        <v>6758</v>
      </c>
    </row>
    <row r="2944" spans="1:90">
      <c r="A2944">
        <v>28052585</v>
      </c>
      <c r="B2944" s="2" t="str">
        <f>HYPERLINK("http://www.redfin.com/stingray/do/printable-listing?listing-id=1591776","Active")</f>
        <v>Active</v>
      </c>
      <c r="D2944" t="s">
        <v>1023</v>
      </c>
      <c r="E2944" t="s">
        <v>6460</v>
      </c>
      <c r="F2944">
        <v>635000</v>
      </c>
      <c r="G2944">
        <v>1922</v>
      </c>
      <c r="H2944">
        <v>2030</v>
      </c>
      <c r="I2944">
        <v>3741</v>
      </c>
      <c r="J2944">
        <v>4</v>
      </c>
      <c r="K2944">
        <v>2.5</v>
      </c>
      <c r="M2944" s="2" t="str">
        <f>HYPERLINK("http://maps.live.com/default.aspx?v=2&amp;lvl=15&amp;sp=Point.47.671842_-122.394856_2844 NW 59th St&amp;cp=47.671842~-122.394856","Map")</f>
        <v>Map</v>
      </c>
      <c r="N2944" s="2" t="str">
        <f>HYPERLINK("http://i-0.rfimg.us/photo/1/bigphoto/585/28052585_0.jpg","Photo")</f>
        <v>Photo</v>
      </c>
      <c r="AG2944">
        <v>47.671841999999998</v>
      </c>
      <c r="AH2944">
        <v>-122.394856</v>
      </c>
      <c r="AI2944" t="s">
        <v>66</v>
      </c>
      <c r="AJ2944">
        <v>98107</v>
      </c>
      <c r="AN2944">
        <v>449950</v>
      </c>
      <c r="BC2944" s="22">
        <v>39534.432199074072</v>
      </c>
      <c r="BI2944" s="22">
        <v>39549.294907407406</v>
      </c>
      <c r="BL2944">
        <v>12700</v>
      </c>
      <c r="BM2944">
        <v>1591776</v>
      </c>
      <c r="BN2944" t="s">
        <v>1688</v>
      </c>
      <c r="BO2944" s="17">
        <f t="shared" ca="1" si="45"/>
        <v>14.877206828707131</v>
      </c>
      <c r="BP2944" t="b">
        <v>0</v>
      </c>
      <c r="BQ2944">
        <v>1</v>
      </c>
      <c r="BR2944" t="s">
        <v>1686</v>
      </c>
      <c r="BS2944" t="s">
        <v>2492</v>
      </c>
      <c r="BT2944" t="b">
        <v>0</v>
      </c>
      <c r="BU2944" t="s">
        <v>1669</v>
      </c>
      <c r="BV2944" t="s">
        <v>1668</v>
      </c>
      <c r="BW2944">
        <v>2844</v>
      </c>
      <c r="BY2944">
        <v>161978</v>
      </c>
      <c r="BZ2944" t="s">
        <v>1672</v>
      </c>
      <c r="CA2944">
        <v>1</v>
      </c>
      <c r="CB2944" t="b">
        <v>1</v>
      </c>
      <c r="CC2944">
        <v>0</v>
      </c>
      <c r="CD2944" t="b">
        <v>0</v>
      </c>
      <c r="CE2944" t="b">
        <v>1</v>
      </c>
      <c r="CF2944" t="b">
        <v>0</v>
      </c>
      <c r="CG2944">
        <v>2976945</v>
      </c>
      <c r="CH2944" t="s">
        <v>1681</v>
      </c>
      <c r="CI2944" s="10">
        <v>635000</v>
      </c>
      <c r="CJ2944" s="7">
        <v>38660</v>
      </c>
    </row>
    <row r="2945" spans="1:88">
      <c r="A2945">
        <v>28052606</v>
      </c>
      <c r="B2945" s="2" t="str">
        <f>HYPERLINK("http://www.redfin.com/stingray/do/printable-listing?listing-id=1591783","Active")</f>
        <v>Active</v>
      </c>
      <c r="D2945" t="s">
        <v>1058</v>
      </c>
      <c r="E2945" t="s">
        <v>6491</v>
      </c>
      <c r="F2945">
        <v>659950</v>
      </c>
      <c r="G2945">
        <v>1996</v>
      </c>
      <c r="H2945">
        <v>2540</v>
      </c>
      <c r="I2945">
        <v>3871</v>
      </c>
      <c r="J2945">
        <v>3</v>
      </c>
      <c r="K2945">
        <v>2.5</v>
      </c>
      <c r="M2945" s="2" t="str">
        <f>HYPERLINK("http://maps.live.com/default.aspx?v=2&amp;lvl=15&amp;sp=Point.47.667184_-122.183141_6828 117th Ave NE&amp;cp=47.667184~-122.183141","Map")</f>
        <v>Map</v>
      </c>
      <c r="N2945" s="2" t="str">
        <f>HYPERLINK("http://i-0.rfimg.us/photo/1/bigphoto/606/28052606_0.jpg","Photo")</f>
        <v>Photo</v>
      </c>
      <c r="AG2945">
        <v>47.667183999999999</v>
      </c>
      <c r="AH2945">
        <v>-122.18314100000001</v>
      </c>
      <c r="AI2945" t="s">
        <v>1058</v>
      </c>
      <c r="AJ2945">
        <v>98033</v>
      </c>
      <c r="AN2945">
        <v>299000</v>
      </c>
      <c r="BC2945" s="22">
        <v>39534.432280092595</v>
      </c>
      <c r="BI2945" s="22">
        <v>39549.294907407406</v>
      </c>
      <c r="BL2945">
        <v>13199</v>
      </c>
      <c r="BM2945">
        <v>1591783</v>
      </c>
      <c r="BN2945" t="s">
        <v>3171</v>
      </c>
      <c r="BO2945" s="17">
        <f t="shared" ca="1" si="45"/>
        <v>14.877125810184225</v>
      </c>
      <c r="BP2945" t="b">
        <v>0</v>
      </c>
      <c r="BQ2945">
        <v>1</v>
      </c>
      <c r="BR2945" t="s">
        <v>1667</v>
      </c>
      <c r="BS2945" t="s">
        <v>2743</v>
      </c>
      <c r="BT2945" t="b">
        <v>0</v>
      </c>
      <c r="BV2945" t="s">
        <v>1668</v>
      </c>
      <c r="BW2945">
        <v>6828</v>
      </c>
      <c r="BX2945" t="s">
        <v>1738</v>
      </c>
      <c r="BY2945">
        <v>514694</v>
      </c>
      <c r="BZ2945" t="s">
        <v>1745</v>
      </c>
      <c r="CA2945">
        <v>1</v>
      </c>
      <c r="CB2945" t="b">
        <v>1</v>
      </c>
      <c r="CC2945">
        <v>0</v>
      </c>
      <c r="CD2945" t="b">
        <v>0</v>
      </c>
      <c r="CE2945" t="b">
        <v>1</v>
      </c>
      <c r="CF2945" t="b">
        <v>0</v>
      </c>
      <c r="CG2945">
        <v>2552166</v>
      </c>
      <c r="CH2945" t="s">
        <v>1681</v>
      </c>
      <c r="CI2945" s="10">
        <v>659950</v>
      </c>
      <c r="CJ2945" s="7">
        <v>35611</v>
      </c>
    </row>
    <row r="2946" spans="1:88">
      <c r="A2946">
        <v>28052626</v>
      </c>
      <c r="B2946" s="2" t="str">
        <f>HYPERLINK("http://www.redfin.com/stingray/do/printable-listing?listing-id=1610130","Active")</f>
        <v>Active</v>
      </c>
      <c r="D2946" t="s">
        <v>1058</v>
      </c>
      <c r="E2946" t="s">
        <v>6736</v>
      </c>
      <c r="F2946">
        <v>629000</v>
      </c>
      <c r="G2946">
        <v>1958</v>
      </c>
      <c r="H2946">
        <v>2400</v>
      </c>
      <c r="I2946">
        <v>11360</v>
      </c>
      <c r="J2946">
        <v>5</v>
      </c>
      <c r="K2946">
        <v>1.5</v>
      </c>
      <c r="M2946" s="2" t="str">
        <f>HYPERLINK("http://maps.live.com/default.aspx?v=2&amp;lvl=15&amp;sp=Point.47.691093_-122.186044_10052 116th Ave NE&amp;cp=47.691093~-122.186044","Map")</f>
        <v>Map</v>
      </c>
      <c r="N2946" s="2" t="str">
        <f>HYPERLINK("http://i-0.rfimg.us/photo/1/bigphoto/626/28052626_2.jpg","Photo")</f>
        <v>Photo</v>
      </c>
      <c r="AG2946">
        <v>47.691093000000002</v>
      </c>
      <c r="AH2946">
        <v>-122.186044</v>
      </c>
      <c r="AI2946" t="s">
        <v>1058</v>
      </c>
      <c r="AJ2946">
        <v>98033</v>
      </c>
      <c r="AN2946">
        <v>105000</v>
      </c>
      <c r="BC2946" s="22">
        <v>39540.641585648147</v>
      </c>
      <c r="BI2946" s="22">
        <v>39549.294907407406</v>
      </c>
      <c r="BL2946">
        <v>12580</v>
      </c>
      <c r="BM2946">
        <v>1610130</v>
      </c>
      <c r="BN2946" t="s">
        <v>1673</v>
      </c>
      <c r="BO2946" s="17">
        <f t="shared" ref="BO2946:BO3009" ca="1" si="46">NOW()-BC2946</f>
        <v>8.6678202546318062</v>
      </c>
      <c r="BP2946" t="b">
        <v>0</v>
      </c>
      <c r="BQ2946">
        <v>1</v>
      </c>
      <c r="BR2946" t="s">
        <v>1667</v>
      </c>
      <c r="BS2946" t="s">
        <v>4441</v>
      </c>
      <c r="BT2946" t="b">
        <v>0</v>
      </c>
      <c r="BV2946" t="s">
        <v>1668</v>
      </c>
      <c r="BW2946">
        <v>10052</v>
      </c>
      <c r="BX2946" t="s">
        <v>1738</v>
      </c>
      <c r="BY2946">
        <v>463300</v>
      </c>
      <c r="BZ2946" t="s">
        <v>3381</v>
      </c>
      <c r="CA2946">
        <v>1</v>
      </c>
      <c r="CB2946" t="b">
        <v>1</v>
      </c>
      <c r="CC2946">
        <v>0</v>
      </c>
      <c r="CD2946" t="b">
        <v>0</v>
      </c>
      <c r="CE2946" t="b">
        <v>1</v>
      </c>
      <c r="CF2946" t="b">
        <v>0</v>
      </c>
      <c r="CG2946">
        <v>2467181</v>
      </c>
      <c r="CH2946" t="s">
        <v>1681</v>
      </c>
      <c r="CI2946" s="10">
        <v>629000</v>
      </c>
      <c r="CJ2946" s="7">
        <v>32626</v>
      </c>
    </row>
    <row r="2947" spans="1:88">
      <c r="A2947">
        <v>28052676</v>
      </c>
      <c r="B2947" s="2" t="str">
        <f>HYPERLINK("http://www.redfin.com/stingray/do/printable-listing?listing-id=1591998","Active")</f>
        <v>Active</v>
      </c>
      <c r="D2947" t="s">
        <v>63</v>
      </c>
      <c r="E2947" t="s">
        <v>656</v>
      </c>
      <c r="F2947">
        <v>375000</v>
      </c>
      <c r="G2947">
        <v>1909</v>
      </c>
      <c r="H2947">
        <v>0</v>
      </c>
      <c r="I2947">
        <v>3000</v>
      </c>
      <c r="J2947">
        <v>2</v>
      </c>
      <c r="K2947">
        <v>1</v>
      </c>
      <c r="M2947" s="2" t="str">
        <f>HYPERLINK("http://maps.live.com/default.aspx?v=2&amp;lvl=15&amp;sp=Point.47.660031_-122.36221_4337 4th Ave NW&amp;cp=47.660031~-122.36221","Map")</f>
        <v>Map</v>
      </c>
      <c r="N2947" s="2" t="str">
        <f>HYPERLINK("http://i-0.rfimg.us/photo/1/bigphoto/676/28052676_0.jpg","Photo")</f>
        <v>Photo</v>
      </c>
      <c r="AG2947">
        <v>47.660030999999996</v>
      </c>
      <c r="AH2947">
        <v>-122.36221</v>
      </c>
      <c r="AI2947" t="s">
        <v>66</v>
      </c>
      <c r="AJ2947">
        <v>98107</v>
      </c>
      <c r="AN2947">
        <v>164000</v>
      </c>
      <c r="BC2947" s="22">
        <v>39534.473645833335</v>
      </c>
      <c r="BI2947" s="22">
        <v>39549.294907407406</v>
      </c>
      <c r="BL2947">
        <v>7500</v>
      </c>
      <c r="BM2947">
        <v>1591998</v>
      </c>
      <c r="BN2947" t="s">
        <v>1725</v>
      </c>
      <c r="BO2947" s="17">
        <f t="shared" ca="1" si="46"/>
        <v>14.835760069443495</v>
      </c>
      <c r="BP2947" t="b">
        <v>0</v>
      </c>
      <c r="BQ2947">
        <v>1</v>
      </c>
      <c r="BR2947" t="s">
        <v>1667</v>
      </c>
      <c r="BS2947" t="s">
        <v>1724</v>
      </c>
      <c r="BT2947" t="b">
        <v>0</v>
      </c>
      <c r="BV2947" t="s">
        <v>1668</v>
      </c>
      <c r="BW2947">
        <v>4337</v>
      </c>
      <c r="BX2947" t="s">
        <v>1669</v>
      </c>
      <c r="BY2947">
        <v>302427</v>
      </c>
      <c r="BZ2947" t="s">
        <v>1741</v>
      </c>
      <c r="CA2947">
        <v>1</v>
      </c>
      <c r="CB2947" t="b">
        <v>1</v>
      </c>
      <c r="CC2947">
        <v>0</v>
      </c>
      <c r="CD2947" t="b">
        <v>0</v>
      </c>
      <c r="CE2947" t="b">
        <v>1</v>
      </c>
      <c r="CF2947" t="b">
        <v>0</v>
      </c>
      <c r="CG2947">
        <v>2416659</v>
      </c>
      <c r="CH2947" t="s">
        <v>1681</v>
      </c>
      <c r="CI2947" s="10">
        <v>375000</v>
      </c>
      <c r="CJ2947" s="7">
        <v>36342</v>
      </c>
    </row>
    <row r="2948" spans="1:88">
      <c r="A2948">
        <v>28052679</v>
      </c>
      <c r="B2948" s="2" t="str">
        <f>HYPERLINK("http://www.redfin.com/stingray/do/printable-listing?listing-id=1592465","Active")</f>
        <v>Active</v>
      </c>
      <c r="D2948" t="s">
        <v>6494</v>
      </c>
      <c r="E2948" t="s">
        <v>6493</v>
      </c>
      <c r="F2948">
        <v>635000</v>
      </c>
      <c r="G2948">
        <v>1967</v>
      </c>
      <c r="H2948">
        <v>1640</v>
      </c>
      <c r="I2948">
        <v>15525</v>
      </c>
      <c r="J2948">
        <v>3</v>
      </c>
      <c r="K2948">
        <v>2</v>
      </c>
      <c r="M2948" s="2" t="str">
        <f>HYPERLINK("http://maps.live.com/default.aspx?v=2&amp;lvl=15&amp;sp=Point.47.638789_-122.171844_12530 NE 32nd St&amp;cp=47.638789~-122.171844","Map")</f>
        <v>Map</v>
      </c>
      <c r="N2948" s="2" t="str">
        <f>HYPERLINK("http://i-0.rfimg.us/photo/1/bigphoto/679/28052679_0.jpg","Photo")</f>
        <v>Photo</v>
      </c>
      <c r="AG2948">
        <v>47.638789000000003</v>
      </c>
      <c r="AH2948">
        <v>-122.17184399999999</v>
      </c>
      <c r="AI2948" t="s">
        <v>369</v>
      </c>
      <c r="AJ2948">
        <v>98005</v>
      </c>
      <c r="BC2948" s="22">
        <v>39534.59003472222</v>
      </c>
      <c r="BI2948" s="22">
        <v>39549.294907407406</v>
      </c>
      <c r="BL2948">
        <v>12700</v>
      </c>
      <c r="BM2948">
        <v>1592465</v>
      </c>
      <c r="BN2948" t="s">
        <v>2419</v>
      </c>
      <c r="BO2948" s="17">
        <f t="shared" ca="1" si="46"/>
        <v>14.719371180559392</v>
      </c>
      <c r="BP2948" t="b">
        <v>0</v>
      </c>
      <c r="BQ2948">
        <v>1</v>
      </c>
      <c r="BR2948" t="s">
        <v>1686</v>
      </c>
      <c r="BS2948" t="s">
        <v>1733</v>
      </c>
      <c r="BT2948" t="b">
        <v>0</v>
      </c>
      <c r="BU2948" t="s">
        <v>1738</v>
      </c>
      <c r="BV2948" t="s">
        <v>1668</v>
      </c>
      <c r="BW2948">
        <v>12530</v>
      </c>
      <c r="BY2948">
        <v>508052</v>
      </c>
      <c r="BZ2948" t="s">
        <v>1696</v>
      </c>
      <c r="CA2948">
        <v>1</v>
      </c>
      <c r="CB2948" t="b">
        <v>1</v>
      </c>
      <c r="CC2948">
        <v>0</v>
      </c>
      <c r="CD2948" t="b">
        <v>0</v>
      </c>
      <c r="CE2948" t="b">
        <v>1</v>
      </c>
      <c r="CF2948" t="b">
        <v>0</v>
      </c>
      <c r="CG2948">
        <v>2980711</v>
      </c>
      <c r="CH2948" t="s">
        <v>1681</v>
      </c>
      <c r="CI2948" s="10">
        <v>635000</v>
      </c>
    </row>
    <row r="2949" spans="1:88">
      <c r="A2949">
        <v>28052724</v>
      </c>
      <c r="B2949" s="2" t="str">
        <f>HYPERLINK("http://www.redfin.com/stingray/do/printable-listing?listing-id=1606254","Active")</f>
        <v>Active</v>
      </c>
      <c r="D2949" t="s">
        <v>3071</v>
      </c>
      <c r="E2949" t="s">
        <v>6681</v>
      </c>
      <c r="F2949">
        <v>449950</v>
      </c>
      <c r="G2949">
        <v>1963</v>
      </c>
      <c r="H2949">
        <v>1750</v>
      </c>
      <c r="I2949">
        <v>9180</v>
      </c>
      <c r="J2949">
        <v>4</v>
      </c>
      <c r="K2949">
        <v>2.5</v>
      </c>
      <c r="M2949" s="2" t="str">
        <f>HYPERLINK("http://maps.live.com/default.aspx?v=2&amp;lvl=15&amp;sp=Point.47.718837_-122.226149_8626 NE 132nd St&amp;cp=47.718837~-122.226149","Map")</f>
        <v>Map</v>
      </c>
      <c r="N2949" s="2" t="str">
        <f>HYPERLINK("http://i-0.rfimg.us/photo/1/bigphoto/724/28052724_2.jpg","Photo")</f>
        <v>Photo</v>
      </c>
      <c r="AG2949" s="19">
        <v>47.719653000000001</v>
      </c>
      <c r="AH2949" s="19">
        <v>-122.226129</v>
      </c>
      <c r="AI2949" t="s">
        <v>1058</v>
      </c>
      <c r="AJ2949">
        <v>98034</v>
      </c>
      <c r="BC2949" s="22">
        <v>39539.613599537035</v>
      </c>
      <c r="BI2949" s="22">
        <v>39549.294907407406</v>
      </c>
      <c r="BL2949">
        <v>8999</v>
      </c>
      <c r="BM2949">
        <v>1606254</v>
      </c>
      <c r="BN2949" t="s">
        <v>2735</v>
      </c>
      <c r="BO2949" s="17">
        <f t="shared" ca="1" si="46"/>
        <v>9.6958063657439197</v>
      </c>
      <c r="BP2949" t="b">
        <v>0</v>
      </c>
      <c r="BQ2949">
        <v>1</v>
      </c>
      <c r="BR2949" t="s">
        <v>1686</v>
      </c>
      <c r="BS2949" t="s">
        <v>4362</v>
      </c>
      <c r="BT2949" t="b">
        <v>0</v>
      </c>
      <c r="BU2949" t="s">
        <v>1738</v>
      </c>
      <c r="BV2949" t="s">
        <v>1668</v>
      </c>
      <c r="BW2949">
        <v>8626</v>
      </c>
      <c r="BY2949">
        <v>12436587</v>
      </c>
      <c r="BZ2949" t="s">
        <v>5184</v>
      </c>
      <c r="CA2949">
        <v>1</v>
      </c>
      <c r="CB2949" t="b">
        <v>1</v>
      </c>
      <c r="CC2949">
        <v>0</v>
      </c>
      <c r="CD2949" t="b">
        <v>0</v>
      </c>
      <c r="CE2949" t="b">
        <v>1</v>
      </c>
      <c r="CF2949" t="b">
        <v>0</v>
      </c>
      <c r="CG2949">
        <v>15640335</v>
      </c>
      <c r="CH2949" t="s">
        <v>1681</v>
      </c>
      <c r="CI2949" s="10">
        <v>449950</v>
      </c>
    </row>
    <row r="2950" spans="1:88">
      <c r="A2950">
        <v>28052781</v>
      </c>
      <c r="B2950" s="2" t="str">
        <f>HYPERLINK("http://www.redfin.com/stingray/do/printable-listing?listing-id=1596922","Active")</f>
        <v>Active</v>
      </c>
      <c r="D2950" t="s">
        <v>3249</v>
      </c>
      <c r="E2950" t="s">
        <v>6519</v>
      </c>
      <c r="F2950">
        <v>449950</v>
      </c>
      <c r="G2950">
        <v>2008</v>
      </c>
      <c r="H2950">
        <v>1100</v>
      </c>
      <c r="I2950">
        <v>0</v>
      </c>
      <c r="J2950">
        <v>2</v>
      </c>
      <c r="K2950">
        <v>2</v>
      </c>
      <c r="M2950" s="2" t="str">
        <f>HYPERLINK("http://maps.live.com/default.aspx?v=2&amp;lvl=15&amp;sp=Point.47.633799_-122.342095_1704 Dexter Ave N nB&amp;cp=47.633799~-122.342095","Map")</f>
        <v>Map</v>
      </c>
      <c r="N2950" s="2" t="str">
        <f>HYPERLINK("http://i-0.rfimg.us/photo/1/bigphoto/781/28052781_0.jpg","Photo")</f>
        <v>Photo</v>
      </c>
      <c r="AG2950">
        <v>47.633799000000003</v>
      </c>
      <c r="AH2950">
        <v>-122.342095</v>
      </c>
      <c r="AI2950" t="s">
        <v>66</v>
      </c>
      <c r="AJ2950">
        <v>98109</v>
      </c>
      <c r="AM2950" t="s">
        <v>1699</v>
      </c>
      <c r="BC2950" s="22">
        <v>39535.610752314817</v>
      </c>
      <c r="BI2950" s="22">
        <v>39549.294907407406</v>
      </c>
      <c r="BL2950">
        <v>8999</v>
      </c>
      <c r="BM2950">
        <v>1596922</v>
      </c>
      <c r="BN2950" t="s">
        <v>1766</v>
      </c>
      <c r="BO2950" s="17">
        <f t="shared" ca="1" si="46"/>
        <v>13.698653587962326</v>
      </c>
      <c r="BP2950" t="b">
        <v>0</v>
      </c>
      <c r="BQ2950">
        <v>1</v>
      </c>
      <c r="BR2950" t="s">
        <v>1667</v>
      </c>
      <c r="BS2950" t="s">
        <v>3668</v>
      </c>
      <c r="BT2950" t="b">
        <v>0</v>
      </c>
      <c r="BV2950" t="s">
        <v>1668</v>
      </c>
      <c r="BW2950">
        <v>1704</v>
      </c>
      <c r="BX2950" t="s">
        <v>1712</v>
      </c>
      <c r="BY2950">
        <v>12435601</v>
      </c>
      <c r="BZ2950" t="s">
        <v>1813</v>
      </c>
      <c r="CA2950">
        <v>1</v>
      </c>
      <c r="CB2950" t="b">
        <v>1</v>
      </c>
      <c r="CC2950">
        <v>0</v>
      </c>
      <c r="CD2950" t="b">
        <v>0</v>
      </c>
      <c r="CE2950" t="b">
        <v>1</v>
      </c>
      <c r="CF2950" t="b">
        <v>0</v>
      </c>
      <c r="CG2950">
        <v>15639349</v>
      </c>
      <c r="CH2950" t="s">
        <v>1681</v>
      </c>
      <c r="CI2950" s="10">
        <v>449950</v>
      </c>
    </row>
    <row r="2951" spans="1:88">
      <c r="A2951">
        <v>28052813</v>
      </c>
      <c r="B2951" s="2" t="str">
        <f>HYPERLINK("http://www.redfin.com/stingray/do/printable-listing?listing-id=1592271","Active")</f>
        <v>Active</v>
      </c>
      <c r="D2951" t="s">
        <v>4710</v>
      </c>
      <c r="E2951" t="s">
        <v>6498</v>
      </c>
      <c r="F2951">
        <v>1098000</v>
      </c>
      <c r="G2951">
        <v>1997</v>
      </c>
      <c r="H2951">
        <v>2704</v>
      </c>
      <c r="I2951">
        <v>20700</v>
      </c>
      <c r="J2951">
        <v>3</v>
      </c>
      <c r="K2951">
        <v>3</v>
      </c>
      <c r="M2951" s="2" t="str">
        <f>HYPERLINK("http://maps.live.com/default.aspx?v=2&amp;lvl=15&amp;sp=Point.47.580406_-122.23189_8035 SE 33rd Pl&amp;cp=47.580406~-122.23189","Map")</f>
        <v>Map</v>
      </c>
      <c r="N2951" s="2" t="str">
        <f>HYPERLINK("http://i-0.rfimg.us/photo/1/bigphoto/813/28052813_0.jpg","Photo")</f>
        <v>Photo</v>
      </c>
      <c r="AG2951">
        <v>47.580406000000004</v>
      </c>
      <c r="AH2951">
        <v>-122.23189000000001</v>
      </c>
      <c r="AI2951" t="s">
        <v>5139</v>
      </c>
      <c r="AJ2951">
        <v>98040</v>
      </c>
      <c r="BC2951" s="22">
        <v>39534.546932870369</v>
      </c>
      <c r="BI2951" s="22">
        <v>39549.294907407406</v>
      </c>
      <c r="BL2951">
        <v>21960</v>
      </c>
      <c r="BM2951">
        <v>1592271</v>
      </c>
      <c r="BN2951" t="s">
        <v>1674</v>
      </c>
      <c r="BO2951" s="17">
        <f t="shared" ca="1" si="46"/>
        <v>14.762473032409616</v>
      </c>
      <c r="BP2951" t="b">
        <v>0</v>
      </c>
      <c r="BQ2951">
        <v>1</v>
      </c>
      <c r="BR2951" t="s">
        <v>1842</v>
      </c>
      <c r="BS2951" t="s">
        <v>3460</v>
      </c>
      <c r="BT2951" t="b">
        <v>0</v>
      </c>
      <c r="BU2951" t="s">
        <v>3856</v>
      </c>
      <c r="BV2951" t="s">
        <v>1668</v>
      </c>
      <c r="BW2951">
        <v>8035</v>
      </c>
      <c r="BY2951">
        <v>2093267</v>
      </c>
      <c r="BZ2951" t="s">
        <v>1672</v>
      </c>
      <c r="CA2951">
        <v>1</v>
      </c>
      <c r="CB2951" t="b">
        <v>1</v>
      </c>
      <c r="CC2951">
        <v>0</v>
      </c>
      <c r="CD2951" t="b">
        <v>0</v>
      </c>
      <c r="CE2951" t="b">
        <v>1</v>
      </c>
      <c r="CF2951" t="b">
        <v>0</v>
      </c>
      <c r="CG2951">
        <v>2945786</v>
      </c>
      <c r="CH2951" t="s">
        <v>1681</v>
      </c>
      <c r="CI2951" s="10">
        <v>1098000</v>
      </c>
    </row>
    <row r="2952" spans="1:88">
      <c r="A2952">
        <v>28052822</v>
      </c>
      <c r="B2952" s="2" t="str">
        <f>HYPERLINK("http://www.redfin.com/stingray/do/printable-listing?listing-id=1596816","Active")</f>
        <v>Active</v>
      </c>
      <c r="D2952" t="s">
        <v>3704</v>
      </c>
      <c r="E2952" t="s">
        <v>6530</v>
      </c>
      <c r="F2952">
        <v>399000</v>
      </c>
      <c r="G2952">
        <v>2008</v>
      </c>
      <c r="H2952">
        <v>1320</v>
      </c>
      <c r="I2952">
        <v>0</v>
      </c>
      <c r="J2952">
        <v>3</v>
      </c>
      <c r="K2952">
        <v>2.5</v>
      </c>
      <c r="M2952" s="2" t="str">
        <f>HYPERLINK("http://maps.live.com/default.aspx?v=2&amp;lvl=15&amp;sp=Point.47.612382_-122.30924_1129 18th Ave nA&amp;cp=47.612382~-122.30924","Map")</f>
        <v>Map</v>
      </c>
      <c r="N2952" s="2" t="str">
        <f>HYPERLINK("http://i-0.rfimg.us/photo/1/bigphoto/822/28052822_1.jpg","Photo")</f>
        <v>Photo</v>
      </c>
      <c r="AG2952">
        <v>47.612381999999997</v>
      </c>
      <c r="AH2952">
        <v>-122.30924</v>
      </c>
      <c r="AI2952" t="s">
        <v>66</v>
      </c>
      <c r="AJ2952">
        <v>98122</v>
      </c>
      <c r="AM2952" t="s">
        <v>1722</v>
      </c>
      <c r="BC2952" s="22">
        <v>39535.590092592596</v>
      </c>
      <c r="BI2952" s="22">
        <v>39549.294907407406</v>
      </c>
      <c r="BL2952">
        <v>7980</v>
      </c>
      <c r="BM2952">
        <v>1596816</v>
      </c>
      <c r="BN2952" t="s">
        <v>1674</v>
      </c>
      <c r="BO2952" s="17">
        <f t="shared" ca="1" si="46"/>
        <v>13.71931331018277</v>
      </c>
      <c r="BP2952" t="b">
        <v>0</v>
      </c>
      <c r="BQ2952">
        <v>1</v>
      </c>
      <c r="BR2952" t="s">
        <v>1667</v>
      </c>
      <c r="BS2952" t="s">
        <v>1909</v>
      </c>
      <c r="BT2952" t="b">
        <v>0</v>
      </c>
      <c r="BV2952" t="s">
        <v>1668</v>
      </c>
      <c r="BW2952">
        <v>1129</v>
      </c>
      <c r="BY2952">
        <v>12435583</v>
      </c>
      <c r="BZ2952" t="s">
        <v>1935</v>
      </c>
      <c r="CA2952">
        <v>1</v>
      </c>
      <c r="CB2952" t="b">
        <v>1</v>
      </c>
      <c r="CC2952">
        <v>0</v>
      </c>
      <c r="CD2952" t="b">
        <v>0</v>
      </c>
      <c r="CE2952" t="b">
        <v>0</v>
      </c>
      <c r="CF2952" t="b">
        <v>0</v>
      </c>
      <c r="CG2952">
        <v>15639339</v>
      </c>
      <c r="CH2952" t="s">
        <v>1681</v>
      </c>
      <c r="CI2952" s="10">
        <v>399000</v>
      </c>
    </row>
    <row r="2953" spans="1:88">
      <c r="A2953">
        <v>28052839</v>
      </c>
      <c r="B2953" s="2" t="str">
        <f>HYPERLINK("http://www.redfin.com/stingray/do/printable-listing?listing-id=1597400","Active")</f>
        <v>Active</v>
      </c>
      <c r="D2953" t="s">
        <v>5204</v>
      </c>
      <c r="E2953" t="s">
        <v>6552</v>
      </c>
      <c r="F2953">
        <v>599000</v>
      </c>
      <c r="G2953">
        <v>1966</v>
      </c>
      <c r="H2953">
        <v>2600</v>
      </c>
      <c r="I2953">
        <v>7500</v>
      </c>
      <c r="J2953">
        <v>6</v>
      </c>
      <c r="K2953">
        <v>3</v>
      </c>
      <c r="M2953" s="2" t="str">
        <f>HYPERLINK("http://maps.live.com/default.aspx?v=2&amp;lvl=15&amp;sp=Point.47.600546_-122.147693_1011 144 Pl SE&amp;cp=47.600546~-122.147693","Map")</f>
        <v>Map</v>
      </c>
      <c r="N2953" s="2" t="str">
        <f>HYPERLINK("http://i-0.rfimg.us/photo/1/bigphoto/839/28052839_0.jpg","Photo")</f>
        <v>Photo</v>
      </c>
      <c r="AG2953">
        <v>47.600546000000001</v>
      </c>
      <c r="AH2953">
        <v>-122.147693</v>
      </c>
      <c r="AI2953" t="s">
        <v>369</v>
      </c>
      <c r="AJ2953">
        <v>98007</v>
      </c>
      <c r="AN2953">
        <v>180000</v>
      </c>
      <c r="BC2953" s="22">
        <v>39535.703969907408</v>
      </c>
      <c r="BI2953" s="22">
        <v>39549.294907407406</v>
      </c>
      <c r="BL2953">
        <v>11980</v>
      </c>
      <c r="BM2953">
        <v>1597400</v>
      </c>
      <c r="BN2953" t="s">
        <v>1735</v>
      </c>
      <c r="BO2953" s="17">
        <f t="shared" ca="1" si="46"/>
        <v>13.605435995370499</v>
      </c>
      <c r="BP2953" t="b">
        <v>0</v>
      </c>
      <c r="BQ2953">
        <v>1</v>
      </c>
      <c r="BR2953" t="s">
        <v>1842</v>
      </c>
      <c r="BS2953">
        <v>144</v>
      </c>
      <c r="BT2953" t="b">
        <v>0</v>
      </c>
      <c r="BV2953" t="s">
        <v>1668</v>
      </c>
      <c r="BW2953">
        <v>1011</v>
      </c>
      <c r="BX2953" t="s">
        <v>3856</v>
      </c>
      <c r="BY2953">
        <v>425693</v>
      </c>
      <c r="BZ2953" s="21">
        <v>0</v>
      </c>
      <c r="CA2953">
        <v>1</v>
      </c>
      <c r="CB2953" t="b">
        <v>1</v>
      </c>
      <c r="CC2953">
        <v>0</v>
      </c>
      <c r="CD2953" t="b">
        <v>0</v>
      </c>
      <c r="CE2953" t="b">
        <v>1</v>
      </c>
      <c r="CF2953" t="b">
        <v>0</v>
      </c>
      <c r="CG2953">
        <v>2973958</v>
      </c>
      <c r="CH2953" t="s">
        <v>1681</v>
      </c>
      <c r="CI2953" s="10">
        <v>599000</v>
      </c>
      <c r="CJ2953" s="7">
        <v>36321</v>
      </c>
    </row>
    <row r="2954" spans="1:88">
      <c r="A2954">
        <v>28052860</v>
      </c>
      <c r="B2954" s="2" t="str">
        <f>HYPERLINK("http://www.redfin.com/stingray/do/printable-listing?listing-id=1596975","Active")</f>
        <v>Active</v>
      </c>
      <c r="D2954" t="s">
        <v>3704</v>
      </c>
      <c r="E2954" t="s">
        <v>6533</v>
      </c>
      <c r="F2954">
        <v>379000</v>
      </c>
      <c r="G2954">
        <v>2008</v>
      </c>
      <c r="H2954">
        <v>1220</v>
      </c>
      <c r="I2954">
        <v>0</v>
      </c>
      <c r="J2954">
        <v>2</v>
      </c>
      <c r="K2954">
        <v>2.25</v>
      </c>
      <c r="M2954" s="2" t="str">
        <f>HYPERLINK("http://maps.live.com/default.aspx?v=2&amp;lvl=15&amp;sp=Point.47.612382_-122.309003_1125 18th Ave nB&amp;cp=47.612382~-122.309003","Map")</f>
        <v>Map</v>
      </c>
      <c r="N2954" s="2" t="str">
        <f>HYPERLINK("http://i-0.rfimg.us/photo/1/bigphoto/860/28052860_0.jpg","Photo")</f>
        <v>Photo</v>
      </c>
      <c r="AG2954">
        <v>47.612381999999997</v>
      </c>
      <c r="AH2954">
        <v>-122.309003</v>
      </c>
      <c r="AI2954" t="s">
        <v>66</v>
      </c>
      <c r="AJ2954">
        <v>98122</v>
      </c>
      <c r="AM2954" t="s">
        <v>1699</v>
      </c>
      <c r="BC2954" s="22">
        <v>39535.62096064815</v>
      </c>
      <c r="BI2954" s="22">
        <v>39549.294907407406</v>
      </c>
      <c r="BL2954">
        <v>7580</v>
      </c>
      <c r="BM2954">
        <v>1596975</v>
      </c>
      <c r="BN2954" t="s">
        <v>1674</v>
      </c>
      <c r="BO2954" s="17">
        <f t="shared" ca="1" si="46"/>
        <v>13.688445254629187</v>
      </c>
      <c r="BP2954" t="b">
        <v>0</v>
      </c>
      <c r="BQ2954">
        <v>1</v>
      </c>
      <c r="BR2954" t="s">
        <v>1667</v>
      </c>
      <c r="BS2954" t="s">
        <v>1909</v>
      </c>
      <c r="BT2954" t="b">
        <v>0</v>
      </c>
      <c r="BV2954" t="s">
        <v>1668</v>
      </c>
      <c r="BW2954">
        <v>1125</v>
      </c>
      <c r="BY2954">
        <v>12435608</v>
      </c>
      <c r="BZ2954" t="s">
        <v>1747</v>
      </c>
      <c r="CA2954">
        <v>1</v>
      </c>
      <c r="CB2954" t="b">
        <v>1</v>
      </c>
      <c r="CC2954">
        <v>0</v>
      </c>
      <c r="CD2954" t="b">
        <v>0</v>
      </c>
      <c r="CE2954" t="b">
        <v>1</v>
      </c>
      <c r="CF2954" t="b">
        <v>0</v>
      </c>
      <c r="CG2954">
        <v>15639356</v>
      </c>
      <c r="CH2954" t="s">
        <v>1681</v>
      </c>
      <c r="CI2954" s="10">
        <v>379000</v>
      </c>
    </row>
    <row r="2955" spans="1:88">
      <c r="A2955">
        <v>28052893</v>
      </c>
      <c r="B2955" s="2" t="str">
        <f>HYPERLINK("http://www.redfin.com/stingray/do/printable-listing?listing-id=1592418","Active")</f>
        <v>Active</v>
      </c>
      <c r="D2955" t="s">
        <v>192</v>
      </c>
      <c r="E2955" t="s">
        <v>6466</v>
      </c>
      <c r="F2955">
        <v>518000</v>
      </c>
      <c r="G2955">
        <v>1930</v>
      </c>
      <c r="H2955">
        <v>1690</v>
      </c>
      <c r="I2955">
        <v>4727</v>
      </c>
      <c r="J2955">
        <v>3</v>
      </c>
      <c r="K2955">
        <v>2</v>
      </c>
      <c r="M2955" s="2" t="str">
        <f>HYPERLINK("http://maps.live.com/default.aspx?v=2&amp;lvl=15&amp;sp=Point.47.698272_-122.312761_1249 NE 96th St&amp;cp=47.698272~-122.312761","Map")</f>
        <v>Map</v>
      </c>
      <c r="N2955" s="2" t="str">
        <f>HYPERLINK("http://i-0.rfimg.us/photo/1/bigphoto/893/28052893_0.jpg","Photo")</f>
        <v>Photo</v>
      </c>
      <c r="AG2955">
        <v>47.698272000000003</v>
      </c>
      <c r="AH2955">
        <v>-122.31276099999999</v>
      </c>
      <c r="AI2955" t="s">
        <v>66</v>
      </c>
      <c r="AJ2955">
        <v>98115</v>
      </c>
      <c r="AN2955">
        <v>260000</v>
      </c>
      <c r="BC2955" s="22">
        <v>39534.578784722224</v>
      </c>
      <c r="BI2955" s="22">
        <v>39549.294907407406</v>
      </c>
      <c r="BL2955">
        <v>10360</v>
      </c>
      <c r="BM2955">
        <v>1592418</v>
      </c>
      <c r="BN2955" t="s">
        <v>1688</v>
      </c>
      <c r="BO2955" s="17">
        <f t="shared" ca="1" si="46"/>
        <v>14.730621180555318</v>
      </c>
      <c r="BP2955" t="b">
        <v>0</v>
      </c>
      <c r="BQ2955">
        <v>1</v>
      </c>
      <c r="BR2955" t="s">
        <v>1686</v>
      </c>
      <c r="BS2955" t="s">
        <v>1961</v>
      </c>
      <c r="BT2955" t="b">
        <v>0</v>
      </c>
      <c r="BU2955" t="s">
        <v>1738</v>
      </c>
      <c r="BV2955" t="s">
        <v>1668</v>
      </c>
      <c r="BW2955">
        <v>1249</v>
      </c>
      <c r="BY2955">
        <v>110019</v>
      </c>
      <c r="BZ2955" t="s">
        <v>1741</v>
      </c>
      <c r="CA2955">
        <v>1</v>
      </c>
      <c r="CB2955" t="b">
        <v>1</v>
      </c>
      <c r="CC2955">
        <v>0</v>
      </c>
      <c r="CD2955" t="b">
        <v>0</v>
      </c>
      <c r="CE2955" t="b">
        <v>1</v>
      </c>
      <c r="CF2955" t="b">
        <v>0</v>
      </c>
      <c r="CG2955">
        <v>2963672</v>
      </c>
      <c r="CH2955" t="s">
        <v>1681</v>
      </c>
      <c r="CI2955" s="10">
        <v>518000</v>
      </c>
      <c r="CJ2955" s="7">
        <v>36958</v>
      </c>
    </row>
    <row r="2956" spans="1:88">
      <c r="A2956">
        <v>28052931</v>
      </c>
      <c r="B2956" s="2" t="str">
        <f>HYPERLINK("http://www.redfin.com/stingray/do/printable-listing?listing-id=1592511","Active")</f>
        <v>Active</v>
      </c>
      <c r="D2956" t="s">
        <v>109</v>
      </c>
      <c r="E2956" t="s">
        <v>6462</v>
      </c>
      <c r="F2956">
        <v>625000</v>
      </c>
      <c r="G2956">
        <v>1906</v>
      </c>
      <c r="H2956">
        <v>2190</v>
      </c>
      <c r="I2956">
        <v>3200</v>
      </c>
      <c r="J2956">
        <v>3</v>
      </c>
      <c r="K2956">
        <v>2</v>
      </c>
      <c r="M2956" s="2" t="str">
        <f>HYPERLINK("http://maps.live.com/default.aspx?v=2&amp;lvl=15&amp;sp=Point.47.663122_-122.350311_4707 Fremont Ave N&amp;cp=47.663122~-122.350311","Map")</f>
        <v>Map</v>
      </c>
      <c r="N2956" s="2" t="str">
        <f>HYPERLINK("http://i-0.rfimg.us/photo/1/bigphoto/931/28052931_1.jpg","Photo")</f>
        <v>Photo</v>
      </c>
      <c r="AG2956">
        <v>47.663122000000001</v>
      </c>
      <c r="AH2956">
        <v>-122.350311</v>
      </c>
      <c r="AI2956" t="s">
        <v>66</v>
      </c>
      <c r="AJ2956">
        <v>98103</v>
      </c>
      <c r="AN2956">
        <v>259960</v>
      </c>
      <c r="BC2956" s="22">
        <v>39534.600046296298</v>
      </c>
      <c r="BI2956" s="22">
        <v>39549.294907407406</v>
      </c>
      <c r="BL2956">
        <v>12500</v>
      </c>
      <c r="BM2956">
        <v>1592511</v>
      </c>
      <c r="BN2956" t="s">
        <v>1675</v>
      </c>
      <c r="BO2956" s="17">
        <f t="shared" ca="1" si="46"/>
        <v>14.709359606480575</v>
      </c>
      <c r="BP2956" t="b">
        <v>0</v>
      </c>
      <c r="BQ2956">
        <v>1</v>
      </c>
      <c r="BR2956" t="s">
        <v>1667</v>
      </c>
      <c r="BS2956" t="s">
        <v>100</v>
      </c>
      <c r="BT2956" t="b">
        <v>0</v>
      </c>
      <c r="BV2956" t="s">
        <v>1668</v>
      </c>
      <c r="BW2956">
        <v>4707</v>
      </c>
      <c r="BX2956" t="s">
        <v>1712</v>
      </c>
      <c r="BY2956">
        <v>298908</v>
      </c>
      <c r="BZ2956" t="s">
        <v>1689</v>
      </c>
      <c r="CA2956">
        <v>1</v>
      </c>
      <c r="CB2956" t="b">
        <v>1</v>
      </c>
      <c r="CC2956">
        <v>0</v>
      </c>
      <c r="CD2956" t="b">
        <v>0</v>
      </c>
      <c r="CE2956" t="b">
        <v>1</v>
      </c>
      <c r="CF2956" t="b">
        <v>0</v>
      </c>
      <c r="CG2956">
        <v>2703592</v>
      </c>
      <c r="CH2956" t="s">
        <v>1681</v>
      </c>
      <c r="CI2956" s="10">
        <v>625000</v>
      </c>
      <c r="CJ2956" s="7">
        <v>37253</v>
      </c>
    </row>
    <row r="2957" spans="1:88">
      <c r="A2957">
        <v>28052942</v>
      </c>
      <c r="B2957" s="2" t="str">
        <f>HYPERLINK("http://www.redfin.com/stingray/do/printable-listing?listing-id=1595297","Active")</f>
        <v>Active</v>
      </c>
      <c r="D2957" t="s">
        <v>218</v>
      </c>
      <c r="E2957" t="s">
        <v>6515</v>
      </c>
      <c r="F2957">
        <v>698575</v>
      </c>
      <c r="G2957">
        <v>1905</v>
      </c>
      <c r="H2957">
        <v>3530</v>
      </c>
      <c r="I2957">
        <v>6180</v>
      </c>
      <c r="J2957">
        <v>4</v>
      </c>
      <c r="K2957">
        <v>2.25</v>
      </c>
      <c r="M2957" s="2" t="str">
        <f>HYPERLINK("http://maps.live.com/default.aspx?v=2&amp;lvl=15&amp;sp=Point.47.683212_-122.309179_7503 18th Ave NE&amp;cp=47.683212~-122.309179","Map")</f>
        <v>Map</v>
      </c>
      <c r="N2957" s="2" t="str">
        <f>HYPERLINK("http://i-0.rfimg.us/photo/1/bigphoto/942/28052942_1.jpg","Photo")</f>
        <v>Photo</v>
      </c>
      <c r="AG2957">
        <v>47.683211999999997</v>
      </c>
      <c r="AH2957">
        <v>-122.309179</v>
      </c>
      <c r="AI2957" t="s">
        <v>66</v>
      </c>
      <c r="AJ2957">
        <v>98115</v>
      </c>
      <c r="AN2957">
        <v>410280</v>
      </c>
      <c r="BC2957" s="22">
        <v>39535.358912037038</v>
      </c>
      <c r="BI2957" s="22">
        <v>39549.294907407406</v>
      </c>
      <c r="BL2957">
        <v>13972</v>
      </c>
      <c r="BM2957">
        <v>1595297</v>
      </c>
      <c r="BN2957" t="s">
        <v>1700</v>
      </c>
      <c r="BO2957" s="17">
        <f t="shared" ca="1" si="46"/>
        <v>13.950493865741009</v>
      </c>
      <c r="BP2957" t="b">
        <v>0</v>
      </c>
      <c r="BQ2957">
        <v>1</v>
      </c>
      <c r="BR2957" t="s">
        <v>1667</v>
      </c>
      <c r="BS2957" t="s">
        <v>1909</v>
      </c>
      <c r="BT2957" t="b">
        <v>0</v>
      </c>
      <c r="BV2957" t="s">
        <v>1668</v>
      </c>
      <c r="BW2957">
        <v>7503</v>
      </c>
      <c r="BX2957" t="s">
        <v>1738</v>
      </c>
      <c r="BY2957">
        <v>311298</v>
      </c>
      <c r="BZ2957" t="s">
        <v>1748</v>
      </c>
      <c r="CA2957">
        <v>1</v>
      </c>
      <c r="CB2957" t="b">
        <v>1</v>
      </c>
      <c r="CC2957">
        <v>0</v>
      </c>
      <c r="CD2957" t="b">
        <v>0</v>
      </c>
      <c r="CE2957" t="b">
        <v>1</v>
      </c>
      <c r="CF2957" t="b">
        <v>0</v>
      </c>
      <c r="CG2957">
        <v>2655448</v>
      </c>
      <c r="CH2957" t="s">
        <v>1681</v>
      </c>
      <c r="CI2957" s="10">
        <v>698575</v>
      </c>
      <c r="CJ2957" s="7">
        <v>38135</v>
      </c>
    </row>
    <row r="2958" spans="1:88">
      <c r="A2958">
        <v>28052980</v>
      </c>
      <c r="B2958" s="2" t="str">
        <f>HYPERLINK("http://www.redfin.com/stingray/do/printable-listing?listing-id=1595597","Active")</f>
        <v>Active</v>
      </c>
      <c r="D2958" t="s">
        <v>88</v>
      </c>
      <c r="E2958" t="s">
        <v>2301</v>
      </c>
      <c r="F2958">
        <v>615000</v>
      </c>
      <c r="G2958">
        <v>1924</v>
      </c>
      <c r="H2958">
        <v>2750</v>
      </c>
      <c r="I2958">
        <v>4000</v>
      </c>
      <c r="J2958">
        <v>3</v>
      </c>
      <c r="K2958">
        <v>1.75</v>
      </c>
      <c r="M2958" s="2" t="str">
        <f>HYPERLINK("http://maps.live.com/default.aspx?v=2&amp;lvl=15&amp;sp=Point.47.680372_-122.36219_7026 5 Ave NW&amp;cp=47.680372~-122.36219","Map")</f>
        <v>Map</v>
      </c>
      <c r="N2958" s="2" t="str">
        <f>HYPERLINK("http://i-0.rfimg.us/photo/1/bigphoto/980/28052980_0.jpg","Photo")</f>
        <v>Photo</v>
      </c>
      <c r="AG2958">
        <v>47.680371999999998</v>
      </c>
      <c r="AH2958">
        <v>-122.36219</v>
      </c>
      <c r="AI2958" t="s">
        <v>66</v>
      </c>
      <c r="AJ2958">
        <v>98117</v>
      </c>
      <c r="BC2958" s="22">
        <v>39535.411087962966</v>
      </c>
      <c r="BI2958" s="22">
        <v>39549.294907407406</v>
      </c>
      <c r="BL2958">
        <v>12300</v>
      </c>
      <c r="BM2958">
        <v>1595597</v>
      </c>
      <c r="BN2958" t="s">
        <v>1702</v>
      </c>
      <c r="BO2958" s="17">
        <f t="shared" ca="1" si="46"/>
        <v>13.898317939812841</v>
      </c>
      <c r="BP2958" t="b">
        <v>0</v>
      </c>
      <c r="BQ2958">
        <v>1</v>
      </c>
      <c r="BR2958" t="s">
        <v>1667</v>
      </c>
      <c r="BS2958">
        <v>5</v>
      </c>
      <c r="BT2958" t="b">
        <v>0</v>
      </c>
      <c r="BV2958" t="s">
        <v>1668</v>
      </c>
      <c r="BW2958">
        <v>7026</v>
      </c>
      <c r="BX2958" t="s">
        <v>1669</v>
      </c>
      <c r="BY2958">
        <v>497180</v>
      </c>
      <c r="BZ2958" t="s">
        <v>2302</v>
      </c>
      <c r="CA2958">
        <v>1</v>
      </c>
      <c r="CB2958" t="b">
        <v>1</v>
      </c>
      <c r="CC2958">
        <v>0</v>
      </c>
      <c r="CD2958" t="b">
        <v>0</v>
      </c>
      <c r="CE2958" t="b">
        <v>1</v>
      </c>
      <c r="CF2958" t="b">
        <v>0</v>
      </c>
      <c r="CG2958">
        <v>2951235</v>
      </c>
      <c r="CH2958" t="s">
        <v>1681</v>
      </c>
      <c r="CI2958" s="10">
        <v>615000</v>
      </c>
    </row>
    <row r="2959" spans="1:88">
      <c r="A2959">
        <v>28052991</v>
      </c>
      <c r="B2959" s="2" t="str">
        <f>HYPERLINK("http://www.redfin.com/stingray/do/printable-listing?listing-id=1613402","Active")</f>
        <v>Active</v>
      </c>
      <c r="D2959" t="s">
        <v>5490</v>
      </c>
      <c r="E2959" t="s">
        <v>6800</v>
      </c>
      <c r="F2959">
        <v>869950</v>
      </c>
      <c r="G2959">
        <v>1993</v>
      </c>
      <c r="H2959">
        <v>2830</v>
      </c>
      <c r="I2959">
        <v>7335</v>
      </c>
      <c r="J2959">
        <v>4</v>
      </c>
      <c r="K2959">
        <v>2.5</v>
      </c>
      <c r="M2959" s="2" t="str">
        <f>HYPERLINK("http://maps.live.com/default.aspx?v=2&amp;lvl=15&amp;sp=Point.47.553169_-122.11988_5615 165th Pl SE&amp;cp=47.553169~-122.11988","Map")</f>
        <v>Map</v>
      </c>
      <c r="N2959" s="2" t="str">
        <f>HYPERLINK("http://i-0.rfimg.us/photo/1/bigphoto/991/28052991_0.jpg","Photo")</f>
        <v>Photo</v>
      </c>
      <c r="AG2959">
        <v>47.553168999999997</v>
      </c>
      <c r="AH2959">
        <v>-122.11987999999999</v>
      </c>
      <c r="AI2959" t="s">
        <v>369</v>
      </c>
      <c r="AJ2959">
        <v>98006</v>
      </c>
      <c r="AN2959">
        <v>342000</v>
      </c>
      <c r="BC2959" s="22">
        <v>39541.527743055558</v>
      </c>
      <c r="BI2959" s="22">
        <v>39549.294907407406</v>
      </c>
      <c r="BL2959">
        <v>17399</v>
      </c>
      <c r="BM2959">
        <v>1613402</v>
      </c>
      <c r="BN2959" t="s">
        <v>6799</v>
      </c>
      <c r="BO2959" s="17">
        <f t="shared" ca="1" si="46"/>
        <v>7.7816628472210141</v>
      </c>
      <c r="BP2959" t="b">
        <v>0</v>
      </c>
      <c r="BQ2959">
        <v>1</v>
      </c>
      <c r="BR2959" t="s">
        <v>1842</v>
      </c>
      <c r="BS2959" t="s">
        <v>5256</v>
      </c>
      <c r="BT2959" t="b">
        <v>0</v>
      </c>
      <c r="BV2959" t="s">
        <v>1668</v>
      </c>
      <c r="BW2959">
        <v>5615</v>
      </c>
      <c r="BX2959" t="s">
        <v>3856</v>
      </c>
      <c r="BY2959">
        <v>418756</v>
      </c>
      <c r="BZ2959" t="s">
        <v>1672</v>
      </c>
      <c r="CA2959">
        <v>1</v>
      </c>
      <c r="CB2959" t="b">
        <v>1</v>
      </c>
      <c r="CC2959">
        <v>0</v>
      </c>
      <c r="CD2959" t="b">
        <v>0</v>
      </c>
      <c r="CE2959" t="b">
        <v>1</v>
      </c>
      <c r="CF2959" t="b">
        <v>0</v>
      </c>
      <c r="CG2959">
        <v>2829113</v>
      </c>
      <c r="CH2959" t="s">
        <v>1681</v>
      </c>
      <c r="CI2959" s="10">
        <v>869950</v>
      </c>
      <c r="CJ2959" s="7">
        <v>34967</v>
      </c>
    </row>
    <row r="2960" spans="1:88">
      <c r="A2960">
        <v>28052992</v>
      </c>
      <c r="B2960" s="2" t="str">
        <f>HYPERLINK("http://www.redfin.com/stingray/do/printable-listing?listing-id=1604475","Active")</f>
        <v>Active</v>
      </c>
      <c r="D2960" t="s">
        <v>2552</v>
      </c>
      <c r="E2960" t="s">
        <v>6675</v>
      </c>
      <c r="F2960">
        <v>603500</v>
      </c>
      <c r="G2960">
        <v>1908</v>
      </c>
      <c r="H2960">
        <v>2181</v>
      </c>
      <c r="I2960">
        <v>5040</v>
      </c>
      <c r="J2960">
        <v>3</v>
      </c>
      <c r="K2960">
        <v>2.25</v>
      </c>
      <c r="M2960" s="2" t="str">
        <f>HYPERLINK("http://maps.live.com/default.aspx?v=2&amp;lvl=15&amp;sp=Point.47.653835_-122.402014_3654 35th Ave W&amp;cp=47.653835~-122.402014","Map")</f>
        <v>Map</v>
      </c>
      <c r="N2960" s="2" t="str">
        <f>HYPERLINK("http://i-0.rfimg.us/photo/1/bigphoto/992/28052992_1.jpg","Photo")</f>
        <v>Photo</v>
      </c>
      <c r="AG2960">
        <v>47.653835000000001</v>
      </c>
      <c r="AH2960">
        <v>-122.40201399999999</v>
      </c>
      <c r="AI2960" t="s">
        <v>66</v>
      </c>
      <c r="AJ2960">
        <v>98199</v>
      </c>
      <c r="AN2960">
        <v>425000</v>
      </c>
      <c r="BC2960" s="22">
        <v>39539.317175925928</v>
      </c>
      <c r="BI2960" s="22">
        <v>39549.294907407406</v>
      </c>
      <c r="BL2960">
        <v>12070</v>
      </c>
      <c r="BM2960">
        <v>1604475</v>
      </c>
      <c r="BN2960" t="s">
        <v>1688</v>
      </c>
      <c r="BO2960" s="17">
        <f t="shared" ca="1" si="46"/>
        <v>9.9922299768513767</v>
      </c>
      <c r="BP2960" t="b">
        <v>0</v>
      </c>
      <c r="BQ2960">
        <v>1</v>
      </c>
      <c r="BR2960" t="s">
        <v>1667</v>
      </c>
      <c r="BS2960" t="s">
        <v>2920</v>
      </c>
      <c r="BT2960" t="b">
        <v>0</v>
      </c>
      <c r="BV2960" t="s">
        <v>1668</v>
      </c>
      <c r="BW2960">
        <v>3654</v>
      </c>
      <c r="BX2960" t="s">
        <v>2423</v>
      </c>
      <c r="BY2960">
        <v>128443</v>
      </c>
      <c r="BZ2960" t="s">
        <v>1689</v>
      </c>
      <c r="CA2960">
        <v>1</v>
      </c>
      <c r="CB2960" t="b">
        <v>1</v>
      </c>
      <c r="CC2960">
        <v>0</v>
      </c>
      <c r="CD2960" t="b">
        <v>0</v>
      </c>
      <c r="CE2960" t="b">
        <v>1</v>
      </c>
      <c r="CF2960" t="b">
        <v>0</v>
      </c>
      <c r="CG2960">
        <v>2419306</v>
      </c>
      <c r="CH2960" t="s">
        <v>1681</v>
      </c>
      <c r="CI2960" s="10">
        <v>603500</v>
      </c>
      <c r="CJ2960" s="7">
        <v>37082</v>
      </c>
    </row>
    <row r="2961" spans="1:90">
      <c r="A2961">
        <v>28052994</v>
      </c>
      <c r="B2961" s="2" t="str">
        <f>HYPERLINK("http://www.redfin.com/stingray/do/printable-listing?listing-id=1593233","Active")</f>
        <v>Active</v>
      </c>
      <c r="D2961" t="s">
        <v>192</v>
      </c>
      <c r="E2961" t="s">
        <v>6467</v>
      </c>
      <c r="F2961">
        <v>389999</v>
      </c>
      <c r="G2961">
        <v>2008</v>
      </c>
      <c r="H2961">
        <v>1422</v>
      </c>
      <c r="I2961">
        <v>0</v>
      </c>
      <c r="J2961">
        <v>3</v>
      </c>
      <c r="K2961">
        <v>2.5</v>
      </c>
      <c r="M2961" s="2" t="str">
        <f>HYPERLINK("http://maps.live.com/default.aspx?v=2&amp;lvl=15&amp;sp=Point.47.695985_-122.317803_9213 Roosevelt Way NE&amp;cp=47.695985~-122.317803","Map")</f>
        <v>Map</v>
      </c>
      <c r="N2961" s="2" t="str">
        <f>HYPERLINK("http://i-0.rfimg.us/photo/1/bigphoto/994/28052994_1.jpg","Photo")</f>
        <v>Photo</v>
      </c>
      <c r="AG2961">
        <v>47.695985</v>
      </c>
      <c r="AH2961">
        <v>-122.317803</v>
      </c>
      <c r="AI2961" t="s">
        <v>66</v>
      </c>
      <c r="AJ2961">
        <v>98115</v>
      </c>
      <c r="BC2961" s="22">
        <v>39534.652129629627</v>
      </c>
      <c r="BI2961" s="22">
        <v>39549.294907407406</v>
      </c>
      <c r="BL2961">
        <v>7800</v>
      </c>
      <c r="BM2961">
        <v>1593233</v>
      </c>
      <c r="BN2961" t="s">
        <v>1718</v>
      </c>
      <c r="BO2961" s="17">
        <f t="shared" ca="1" si="46"/>
        <v>14.657276273152092</v>
      </c>
      <c r="BP2961" t="b">
        <v>0</v>
      </c>
      <c r="BQ2961">
        <v>1</v>
      </c>
      <c r="BR2961" t="s">
        <v>2463</v>
      </c>
      <c r="BS2961" t="s">
        <v>190</v>
      </c>
      <c r="BT2961" t="b">
        <v>0</v>
      </c>
      <c r="BV2961" t="s">
        <v>1668</v>
      </c>
      <c r="BW2961">
        <v>9213</v>
      </c>
      <c r="BX2961" t="s">
        <v>1738</v>
      </c>
      <c r="BY2961">
        <v>12435201</v>
      </c>
      <c r="BZ2961" t="s">
        <v>2689</v>
      </c>
      <c r="CA2961">
        <v>1</v>
      </c>
      <c r="CB2961" t="b">
        <v>1</v>
      </c>
      <c r="CC2961">
        <v>0</v>
      </c>
      <c r="CD2961" t="b">
        <v>0</v>
      </c>
      <c r="CE2961" t="b">
        <v>1</v>
      </c>
      <c r="CF2961" t="b">
        <v>0</v>
      </c>
      <c r="CG2961">
        <v>15638949</v>
      </c>
      <c r="CH2961" t="s">
        <v>1681</v>
      </c>
      <c r="CI2961" s="10">
        <v>389999</v>
      </c>
      <c r="CL2961" t="s">
        <v>2204</v>
      </c>
    </row>
    <row r="2962" spans="1:90">
      <c r="A2962">
        <v>28053010</v>
      </c>
      <c r="B2962" s="2" t="str">
        <f>HYPERLINK("http://www.redfin.com/stingray/do/printable-listing?listing-id=1593138","Active")</f>
        <v>Active</v>
      </c>
      <c r="D2962" t="s">
        <v>5926</v>
      </c>
      <c r="E2962" t="s">
        <v>6503</v>
      </c>
      <c r="F2962">
        <v>475000</v>
      </c>
      <c r="G2962">
        <v>1923</v>
      </c>
      <c r="H2962">
        <v>3220</v>
      </c>
      <c r="I2962">
        <v>9900</v>
      </c>
      <c r="J2962">
        <v>3</v>
      </c>
      <c r="K2962">
        <v>2.5</v>
      </c>
      <c r="M2962" s="2" t="str">
        <f>HYPERLINK("http://maps.live.com/default.aspx?v=2&amp;lvl=15&amp;sp=Point.47.515828_-122.196023_2702 Jones Ave NE&amp;cp=47.515828~-122.196023","Map")</f>
        <v>Map</v>
      </c>
      <c r="N2962" s="2" t="str">
        <f>HYPERLINK("http://i-0.rfimg.us/photo/1/bigphoto/010/28053010_1.jpg","Photo")</f>
        <v>Photo</v>
      </c>
      <c r="AG2962">
        <v>47.515827999999999</v>
      </c>
      <c r="AH2962">
        <v>-122.196023</v>
      </c>
      <c r="AI2962" t="s">
        <v>1077</v>
      </c>
      <c r="AJ2962">
        <v>98056</v>
      </c>
      <c r="AN2962">
        <v>386000</v>
      </c>
      <c r="BC2962" s="22">
        <v>39534.631423611114</v>
      </c>
      <c r="BI2962" s="22">
        <v>39549.294907407406</v>
      </c>
      <c r="BL2962">
        <v>9500</v>
      </c>
      <c r="BM2962">
        <v>1593138</v>
      </c>
      <c r="BN2962" t="s">
        <v>2590</v>
      </c>
      <c r="BO2962" s="17">
        <f t="shared" ca="1" si="46"/>
        <v>14.677982291665103</v>
      </c>
      <c r="BP2962" t="b">
        <v>0</v>
      </c>
      <c r="BQ2962">
        <v>1</v>
      </c>
      <c r="BR2962" t="s">
        <v>1667</v>
      </c>
      <c r="BS2962" t="s">
        <v>6148</v>
      </c>
      <c r="BT2962" t="b">
        <v>0</v>
      </c>
      <c r="BV2962" t="s">
        <v>1668</v>
      </c>
      <c r="BW2962">
        <v>2702</v>
      </c>
      <c r="BX2962" t="s">
        <v>1738</v>
      </c>
      <c r="BY2962">
        <v>409993</v>
      </c>
      <c r="BZ2962" t="s">
        <v>6504</v>
      </c>
      <c r="CA2962">
        <v>1</v>
      </c>
      <c r="CB2962" t="b">
        <v>1</v>
      </c>
      <c r="CC2962">
        <v>0</v>
      </c>
      <c r="CD2962" t="b">
        <v>0</v>
      </c>
      <c r="CE2962" t="b">
        <v>1</v>
      </c>
      <c r="CF2962" t="b">
        <v>0</v>
      </c>
      <c r="CG2962">
        <v>2766367</v>
      </c>
      <c r="CH2962" t="s">
        <v>1681</v>
      </c>
      <c r="CI2962" s="10">
        <v>475000</v>
      </c>
      <c r="CJ2962" s="7">
        <v>38482</v>
      </c>
    </row>
    <row r="2963" spans="1:90">
      <c r="A2963">
        <v>28053018</v>
      </c>
      <c r="B2963" s="2" t="str">
        <f>HYPERLINK("http://www.redfin.com/stingray/do/printable-listing?listing-id=1596595","Active")</f>
        <v>Active</v>
      </c>
      <c r="D2963" t="s">
        <v>4401</v>
      </c>
      <c r="E2963" t="s">
        <v>6542</v>
      </c>
      <c r="F2963">
        <v>428900</v>
      </c>
      <c r="G2963">
        <v>1977</v>
      </c>
      <c r="H2963">
        <v>1710</v>
      </c>
      <c r="I2963">
        <v>8000</v>
      </c>
      <c r="J2963">
        <v>4</v>
      </c>
      <c r="K2963">
        <v>2.25</v>
      </c>
      <c r="M2963" s="2" t="str">
        <f>HYPERLINK("http://maps.live.com/default.aspx?v=2&amp;lvl=15&amp;sp=Point.47.724521_-122.178101_12204 NE 138 Pl&amp;cp=47.724521~-122.178101","Map")</f>
        <v>Map</v>
      </c>
      <c r="N2963" s="2" t="str">
        <f>HYPERLINK("http://i-0.rfimg.us/photo/1/bigphoto/018/28053018_1.jpg","Photo")</f>
        <v>Photo</v>
      </c>
      <c r="AG2963">
        <v>47.724521000000003</v>
      </c>
      <c r="AH2963">
        <v>-122.178101</v>
      </c>
      <c r="AI2963" t="s">
        <v>1058</v>
      </c>
      <c r="AJ2963">
        <v>98034</v>
      </c>
      <c r="AN2963">
        <v>406000</v>
      </c>
      <c r="BC2963" s="22">
        <v>39535.547986111109</v>
      </c>
      <c r="BI2963" s="22">
        <v>39549.294907407406</v>
      </c>
      <c r="BL2963">
        <v>8578</v>
      </c>
      <c r="BM2963">
        <v>1596595</v>
      </c>
      <c r="BN2963" t="s">
        <v>5799</v>
      </c>
      <c r="BO2963" s="17">
        <f t="shared" ca="1" si="46"/>
        <v>13.76141979167005</v>
      </c>
      <c r="BP2963" t="b">
        <v>0</v>
      </c>
      <c r="BQ2963">
        <v>1</v>
      </c>
      <c r="BR2963" t="s">
        <v>1842</v>
      </c>
      <c r="BS2963">
        <v>138</v>
      </c>
      <c r="BT2963" t="b">
        <v>0</v>
      </c>
      <c r="BU2963" t="s">
        <v>1738</v>
      </c>
      <c r="BV2963" t="s">
        <v>1668</v>
      </c>
      <c r="BW2963">
        <v>12204</v>
      </c>
      <c r="BY2963">
        <v>454069</v>
      </c>
      <c r="BZ2963" t="s">
        <v>1704</v>
      </c>
      <c r="CA2963">
        <v>1</v>
      </c>
      <c r="CB2963" t="b">
        <v>1</v>
      </c>
      <c r="CC2963">
        <v>0</v>
      </c>
      <c r="CD2963" t="b">
        <v>0</v>
      </c>
      <c r="CE2963" t="b">
        <v>1</v>
      </c>
      <c r="CF2963" t="b">
        <v>0</v>
      </c>
      <c r="CG2963">
        <v>2425274</v>
      </c>
      <c r="CH2963" t="s">
        <v>1681</v>
      </c>
      <c r="CI2963" s="10">
        <v>428900</v>
      </c>
      <c r="CJ2963" s="7">
        <v>38929</v>
      </c>
    </row>
    <row r="2964" spans="1:90">
      <c r="A2964">
        <v>28053019</v>
      </c>
      <c r="B2964" s="15" t="str">
        <f>HYPERLINK("http://www.redfin.com/stingray/do/printable-listing?listing-id=1593140","Subject To Inspection")</f>
        <v>Subject To Inspection</v>
      </c>
      <c r="D2964" t="s">
        <v>109</v>
      </c>
      <c r="E2964" t="s">
        <v>6474</v>
      </c>
      <c r="F2964">
        <v>439950</v>
      </c>
      <c r="G2964">
        <v>2008</v>
      </c>
      <c r="H2964">
        <v>0</v>
      </c>
      <c r="I2964">
        <v>0</v>
      </c>
      <c r="J2964">
        <v>3</v>
      </c>
      <c r="K2964">
        <v>2.25</v>
      </c>
      <c r="M2964" s="2" t="str">
        <f>HYPERLINK("http://maps.live.com/default.aspx?v=2&amp;lvl=15&amp;sp=Point.47.650817_-122.341588_3609 Interlake Ave N nB&amp;cp=47.650817~-122.341588","Map")</f>
        <v>Map</v>
      </c>
      <c r="N2964" s="2" t="str">
        <f>HYPERLINK("http://i-0.rfimg.us/photo/1/bigphoto/019/28053019_2.jpg","Photo")</f>
        <v>Photo</v>
      </c>
      <c r="AG2964">
        <v>47.650817000000004</v>
      </c>
      <c r="AH2964">
        <v>-122.341588</v>
      </c>
      <c r="AI2964" t="s">
        <v>66</v>
      </c>
      <c r="AJ2964">
        <v>98103</v>
      </c>
      <c r="AM2964" t="s">
        <v>1699</v>
      </c>
      <c r="BC2964" s="22">
        <v>39534.631435185183</v>
      </c>
      <c r="BI2964" s="22">
        <v>39549.294907407406</v>
      </c>
      <c r="BL2964">
        <v>8799</v>
      </c>
      <c r="BM2964">
        <v>1593140</v>
      </c>
      <c r="BN2964" t="s">
        <v>1710</v>
      </c>
      <c r="BO2964" s="17">
        <f t="shared" ca="1" si="46"/>
        <v>14.677970717595599</v>
      </c>
      <c r="BP2964" t="b">
        <v>0</v>
      </c>
      <c r="BQ2964">
        <v>1</v>
      </c>
      <c r="BR2964" t="s">
        <v>1667</v>
      </c>
      <c r="BS2964" t="s">
        <v>2378</v>
      </c>
      <c r="BT2964" t="b">
        <v>0</v>
      </c>
      <c r="BV2964" t="s">
        <v>1668</v>
      </c>
      <c r="BW2964">
        <v>3609</v>
      </c>
      <c r="BX2964" t="s">
        <v>1712</v>
      </c>
      <c r="BY2964">
        <v>12435189</v>
      </c>
      <c r="BZ2964" t="s">
        <v>2340</v>
      </c>
      <c r="CA2964">
        <v>1</v>
      </c>
      <c r="CB2964" t="b">
        <v>1</v>
      </c>
      <c r="CC2964">
        <v>0</v>
      </c>
      <c r="CD2964" t="b">
        <v>0</v>
      </c>
      <c r="CE2964" t="b">
        <v>1</v>
      </c>
      <c r="CF2964" t="b">
        <v>0</v>
      </c>
      <c r="CG2964">
        <v>15626181</v>
      </c>
      <c r="CH2964" t="s">
        <v>1681</v>
      </c>
      <c r="CI2964" s="10">
        <v>439950</v>
      </c>
    </row>
    <row r="2965" spans="1:90">
      <c r="A2965">
        <v>28053035</v>
      </c>
      <c r="B2965" s="2" t="str">
        <f>HYPERLINK("http://www.redfin.com/stingray/do/printable-listing?listing-id=1600890","Active")</f>
        <v>Active</v>
      </c>
      <c r="D2965" t="s">
        <v>1023</v>
      </c>
      <c r="E2965" t="s">
        <v>2311</v>
      </c>
      <c r="F2965">
        <v>625000</v>
      </c>
      <c r="G2965">
        <v>1928</v>
      </c>
      <c r="H2965">
        <v>2350</v>
      </c>
      <c r="I2965">
        <v>6120</v>
      </c>
      <c r="J2965">
        <v>4</v>
      </c>
      <c r="K2965">
        <v>1.5</v>
      </c>
      <c r="M2965" s="2" t="str">
        <f>HYPERLINK("http://maps.live.com/default.aspx?v=2&amp;lvl=15&amp;sp=Point.47.676758_-122.400203_3311 NW 67th St&amp;cp=47.676758~-122.400203","Map")</f>
        <v>Map</v>
      </c>
      <c r="N2965" s="2" t="str">
        <f>HYPERLINK("http://i-0.rfimg.us/photo/1/bigphoto/035/28053035_1.jpg","Photo")</f>
        <v>Photo</v>
      </c>
      <c r="AG2965">
        <v>47.676758</v>
      </c>
      <c r="AH2965">
        <v>-122.400203</v>
      </c>
      <c r="AI2965" t="s">
        <v>66</v>
      </c>
      <c r="AJ2965">
        <v>98117</v>
      </c>
      <c r="AN2965">
        <v>122500</v>
      </c>
      <c r="BC2965" s="22">
        <v>39537.931504629632</v>
      </c>
      <c r="BI2965" s="22">
        <v>39546.925937499997</v>
      </c>
      <c r="BL2965">
        <v>12500</v>
      </c>
      <c r="BM2965">
        <v>1600890</v>
      </c>
      <c r="BN2965" t="s">
        <v>1700</v>
      </c>
      <c r="BO2965" s="17">
        <f t="shared" ca="1" si="46"/>
        <v>11.377901273146563</v>
      </c>
      <c r="BP2965" t="b">
        <v>0</v>
      </c>
      <c r="BQ2965">
        <v>1</v>
      </c>
      <c r="BR2965" t="s">
        <v>1686</v>
      </c>
      <c r="BS2965" t="s">
        <v>1864</v>
      </c>
      <c r="BT2965" t="b">
        <v>0</v>
      </c>
      <c r="BU2965" t="s">
        <v>1669</v>
      </c>
      <c r="BV2965" t="s">
        <v>1668</v>
      </c>
      <c r="BW2965">
        <v>3311</v>
      </c>
      <c r="BY2965">
        <v>290386</v>
      </c>
      <c r="BZ2965" t="s">
        <v>2205</v>
      </c>
      <c r="CA2965">
        <v>1</v>
      </c>
      <c r="CB2965" t="b">
        <v>1</v>
      </c>
      <c r="CC2965">
        <v>0</v>
      </c>
      <c r="CD2965" t="b">
        <v>0</v>
      </c>
      <c r="CE2965" t="b">
        <v>1</v>
      </c>
      <c r="CF2965" t="b">
        <v>0</v>
      </c>
      <c r="CG2965">
        <v>2373864</v>
      </c>
      <c r="CH2965" t="s">
        <v>1681</v>
      </c>
      <c r="CI2965" s="10">
        <v>625000</v>
      </c>
      <c r="CJ2965" s="7">
        <v>31742</v>
      </c>
    </row>
    <row r="2966" spans="1:90">
      <c r="A2966">
        <v>28053056</v>
      </c>
      <c r="B2966" s="2" t="str">
        <f>HYPERLINK("http://www.redfin.com/stingray/do/printable-listing?listing-id=1593341","Active")</f>
        <v>Active</v>
      </c>
      <c r="D2966" t="s">
        <v>192</v>
      </c>
      <c r="E2966" t="s">
        <v>6468</v>
      </c>
      <c r="F2966">
        <v>379999</v>
      </c>
      <c r="G2966">
        <v>2008</v>
      </c>
      <c r="H2966">
        <v>1422</v>
      </c>
      <c r="I2966">
        <v>0</v>
      </c>
      <c r="J2966">
        <v>3</v>
      </c>
      <c r="K2966">
        <v>2.5</v>
      </c>
      <c r="M2966" s="2" t="str">
        <f>HYPERLINK("http://maps.live.com/default.aspx?v=2&amp;lvl=15&amp;sp=Point.47.695999_-122.317803_9217 Roosevelt Way NE nB&amp;cp=47.695999~-122.317803","Map")</f>
        <v>Map</v>
      </c>
      <c r="N2966" s="2" t="str">
        <f>HYPERLINK("http://i-0.rfimg.us/photo/1/bigphoto/056/28053056_1.jpg","Photo")</f>
        <v>Photo</v>
      </c>
      <c r="AG2966">
        <v>47.695999</v>
      </c>
      <c r="AH2966">
        <v>-122.317803</v>
      </c>
      <c r="AI2966" t="s">
        <v>66</v>
      </c>
      <c r="AJ2966">
        <v>98115</v>
      </c>
      <c r="AM2966" t="s">
        <v>1699</v>
      </c>
      <c r="BC2966" s="22">
        <v>39534.662060185183</v>
      </c>
      <c r="BI2966" s="22">
        <v>39549.294907407406</v>
      </c>
      <c r="BL2966">
        <v>7600</v>
      </c>
      <c r="BM2966">
        <v>1593341</v>
      </c>
      <c r="BN2966" t="s">
        <v>1718</v>
      </c>
      <c r="BO2966" s="17">
        <f t="shared" ca="1" si="46"/>
        <v>14.647345717596181</v>
      </c>
      <c r="BP2966" t="b">
        <v>0</v>
      </c>
      <c r="BQ2966">
        <v>1</v>
      </c>
      <c r="BR2966" t="s">
        <v>2463</v>
      </c>
      <c r="BS2966" t="s">
        <v>190</v>
      </c>
      <c r="BT2966" t="b">
        <v>0</v>
      </c>
      <c r="BV2966" t="s">
        <v>1668</v>
      </c>
      <c r="BW2966">
        <v>9217</v>
      </c>
      <c r="BX2966" t="s">
        <v>1738</v>
      </c>
      <c r="BY2966">
        <v>12435212</v>
      </c>
      <c r="BZ2966" t="s">
        <v>2865</v>
      </c>
      <c r="CA2966">
        <v>1</v>
      </c>
      <c r="CB2966" t="b">
        <v>1</v>
      </c>
      <c r="CC2966">
        <v>0</v>
      </c>
      <c r="CD2966" t="b">
        <v>0</v>
      </c>
      <c r="CE2966" t="b">
        <v>1</v>
      </c>
      <c r="CF2966" t="b">
        <v>0</v>
      </c>
      <c r="CG2966">
        <v>15638960</v>
      </c>
      <c r="CH2966" t="s">
        <v>1681</v>
      </c>
      <c r="CI2966" s="10">
        <v>379999</v>
      </c>
      <c r="CL2966" t="s">
        <v>2204</v>
      </c>
    </row>
    <row r="2967" spans="1:90">
      <c r="A2967">
        <v>28053059</v>
      </c>
      <c r="B2967" s="2" t="str">
        <f>HYPERLINK("http://www.redfin.com/stingray/do/printable-listing?listing-id=1593338","Active")</f>
        <v>Active</v>
      </c>
      <c r="D2967" t="s">
        <v>88</v>
      </c>
      <c r="E2967" t="s">
        <v>1294</v>
      </c>
      <c r="F2967" s="19">
        <v>1135000</v>
      </c>
      <c r="G2967">
        <v>2007</v>
      </c>
      <c r="H2967">
        <v>4240</v>
      </c>
      <c r="I2967">
        <v>6180</v>
      </c>
      <c r="J2967">
        <v>5</v>
      </c>
      <c r="K2967">
        <v>3.5</v>
      </c>
      <c r="M2967" s="2" t="str">
        <f>HYPERLINK("http://maps.live.com/default.aspx?v=2&amp;lvl=15&amp;sp=Point.47.683503_-122.359315_128 NW 75th St&amp;cp=47.683503~-122.359315","Map")</f>
        <v>Map</v>
      </c>
      <c r="N2967" s="2" t="str">
        <f>HYPERLINK("http://i-0.rfimg.us/photo/1/bigphoto/059/28053059_0.jpg","Photo")</f>
        <v>Photo</v>
      </c>
      <c r="AG2967">
        <v>47.683503000000002</v>
      </c>
      <c r="AH2967">
        <v>-122.359315</v>
      </c>
      <c r="AI2967" t="s">
        <v>66</v>
      </c>
      <c r="AJ2967">
        <v>98117</v>
      </c>
      <c r="AN2967">
        <v>400000</v>
      </c>
      <c r="BC2967" s="22">
        <v>39534.662037037036</v>
      </c>
      <c r="BI2967" s="22">
        <v>39549.294907407406</v>
      </c>
      <c r="BL2967">
        <v>22980</v>
      </c>
      <c r="BM2967">
        <v>1593338</v>
      </c>
      <c r="BN2967" t="s">
        <v>1725</v>
      </c>
      <c r="BO2967" s="17">
        <f t="shared" ca="1" si="46"/>
        <v>14.647368865742465</v>
      </c>
      <c r="BP2967" t="b">
        <v>0</v>
      </c>
      <c r="BQ2967">
        <v>1</v>
      </c>
      <c r="BR2967" t="s">
        <v>1686</v>
      </c>
      <c r="BS2967" t="s">
        <v>1837</v>
      </c>
      <c r="BT2967" t="b">
        <v>0</v>
      </c>
      <c r="BU2967" t="s">
        <v>1669</v>
      </c>
      <c r="BV2967" t="s">
        <v>1668</v>
      </c>
      <c r="BW2967">
        <v>128</v>
      </c>
      <c r="BY2967">
        <v>496129</v>
      </c>
      <c r="BZ2967" t="s">
        <v>1713</v>
      </c>
      <c r="CA2967">
        <v>1</v>
      </c>
      <c r="CB2967" t="b">
        <v>1</v>
      </c>
      <c r="CC2967">
        <v>0</v>
      </c>
      <c r="CD2967" t="b">
        <v>0</v>
      </c>
      <c r="CE2967" t="b">
        <v>1</v>
      </c>
      <c r="CF2967" t="b">
        <v>0</v>
      </c>
      <c r="CG2967">
        <v>2944674</v>
      </c>
      <c r="CH2967" t="s">
        <v>1681</v>
      </c>
      <c r="CI2967" s="10">
        <v>1149000</v>
      </c>
      <c r="CJ2967" s="7">
        <v>38758</v>
      </c>
    </row>
    <row r="2968" spans="1:90">
      <c r="A2968">
        <v>28053063</v>
      </c>
      <c r="B2968" s="2" t="str">
        <f>HYPERLINK("http://www.redfin.com/stingray/do/printable-listing?listing-id=1594216","Active")</f>
        <v>Active</v>
      </c>
      <c r="D2968" t="s">
        <v>4777</v>
      </c>
      <c r="E2968" t="s">
        <v>6546</v>
      </c>
      <c r="F2968">
        <v>659950</v>
      </c>
      <c r="G2968">
        <v>1958</v>
      </c>
      <c r="H2968">
        <v>0</v>
      </c>
      <c r="I2968">
        <v>9100</v>
      </c>
      <c r="J2968">
        <v>3</v>
      </c>
      <c r="K2968">
        <v>2</v>
      </c>
      <c r="M2968" s="2" t="str">
        <f>HYPERLINK("http://maps.live.com/default.aspx?v=2&amp;lvl=15&amp;sp=Point.47.650779_-122.198241_10602 NE 45th St&amp;cp=47.650779~-122.198241","Map")</f>
        <v>Map</v>
      </c>
      <c r="N2968" s="2" t="str">
        <f>HYPERLINK("http://i-0.rfimg.us/photo/1/bigphoto/063/28053063_0.jpg","Photo")</f>
        <v>Photo</v>
      </c>
      <c r="AG2968">
        <v>47.650779</v>
      </c>
      <c r="AH2968">
        <v>-122.198241</v>
      </c>
      <c r="AI2968" t="s">
        <v>1058</v>
      </c>
      <c r="AJ2968">
        <v>98033</v>
      </c>
      <c r="AN2968">
        <v>610000</v>
      </c>
      <c r="BC2968" s="22">
        <v>39534.869675925926</v>
      </c>
      <c r="BI2968" s="22">
        <v>39549.294907407406</v>
      </c>
      <c r="BL2968">
        <v>13199</v>
      </c>
      <c r="BM2968">
        <v>1594216</v>
      </c>
      <c r="BN2968" t="s">
        <v>3171</v>
      </c>
      <c r="BO2968" s="17">
        <f t="shared" ca="1" si="46"/>
        <v>14.439729976853414</v>
      </c>
      <c r="BP2968" t="b">
        <v>0</v>
      </c>
      <c r="BQ2968">
        <v>1</v>
      </c>
      <c r="BR2968" t="s">
        <v>1686</v>
      </c>
      <c r="BS2968" t="s">
        <v>2667</v>
      </c>
      <c r="BT2968" t="b">
        <v>0</v>
      </c>
      <c r="BU2968" t="s">
        <v>1738</v>
      </c>
      <c r="BV2968" t="s">
        <v>1668</v>
      </c>
      <c r="BW2968">
        <v>10602</v>
      </c>
      <c r="BY2968">
        <v>459887</v>
      </c>
      <c r="BZ2968" t="s">
        <v>1713</v>
      </c>
      <c r="CA2968">
        <v>1</v>
      </c>
      <c r="CB2968" t="b">
        <v>1</v>
      </c>
      <c r="CC2968">
        <v>0</v>
      </c>
      <c r="CD2968" t="b">
        <v>0</v>
      </c>
      <c r="CE2968" t="b">
        <v>1</v>
      </c>
      <c r="CF2968" t="b">
        <v>0</v>
      </c>
      <c r="CG2968">
        <v>2865522</v>
      </c>
      <c r="CH2968" t="s">
        <v>1681</v>
      </c>
      <c r="CI2968" s="10">
        <v>659950</v>
      </c>
      <c r="CJ2968" s="7">
        <v>38811</v>
      </c>
    </row>
    <row r="2969" spans="1:90">
      <c r="A2969">
        <v>28053066</v>
      </c>
      <c r="B2969" s="2" t="str">
        <f>HYPERLINK("http://www.redfin.com/stingray/do/printable-listing?listing-id=1606731","Active")</f>
        <v>Active</v>
      </c>
      <c r="D2969" t="s">
        <v>5705</v>
      </c>
      <c r="E2969" t="s">
        <v>6699</v>
      </c>
      <c r="F2969">
        <v>849000</v>
      </c>
      <c r="G2969">
        <v>1963</v>
      </c>
      <c r="H2969">
        <v>3140</v>
      </c>
      <c r="I2969">
        <v>10389</v>
      </c>
      <c r="J2969">
        <v>5</v>
      </c>
      <c r="K2969">
        <v>3</v>
      </c>
      <c r="M2969" s="2" t="str">
        <f>HYPERLINK("http://maps.live.com/default.aspx?v=2&amp;lvl=15&amp;sp=Point.47.537207_-122.23629_7323 Mercer Terrace Dr&amp;cp=47.537207~-122.23629","Map")</f>
        <v>Map</v>
      </c>
      <c r="N2969" s="2" t="str">
        <f>HYPERLINK("http://i-0.rfimg.us/photo/1/bigphoto/066/28053066_0.jpg","Photo")</f>
        <v>Photo</v>
      </c>
      <c r="AG2969">
        <v>47.537207000000002</v>
      </c>
      <c r="AH2969">
        <v>-122.23629</v>
      </c>
      <c r="AI2969" t="s">
        <v>5139</v>
      </c>
      <c r="AJ2969">
        <v>98040</v>
      </c>
      <c r="AN2969">
        <v>279500</v>
      </c>
      <c r="BC2969" s="22">
        <v>39539.693935185183</v>
      </c>
      <c r="BI2969" s="22">
        <v>39549.294907407406</v>
      </c>
      <c r="BL2969">
        <v>16980</v>
      </c>
      <c r="BM2969">
        <v>1606731</v>
      </c>
      <c r="BN2969" t="s">
        <v>1674</v>
      </c>
      <c r="BO2969" s="17">
        <f t="shared" ca="1" si="46"/>
        <v>9.6154707175955991</v>
      </c>
      <c r="BP2969" t="b">
        <v>0</v>
      </c>
      <c r="BQ2969">
        <v>1</v>
      </c>
      <c r="BR2969" t="s">
        <v>1816</v>
      </c>
      <c r="BS2969" t="s">
        <v>6700</v>
      </c>
      <c r="BT2969" t="b">
        <v>0</v>
      </c>
      <c r="BV2969" t="s">
        <v>1668</v>
      </c>
      <c r="BW2969">
        <v>7323</v>
      </c>
      <c r="BY2969">
        <v>260550</v>
      </c>
      <c r="BZ2969" s="21">
        <v>0</v>
      </c>
      <c r="CA2969">
        <v>1</v>
      </c>
      <c r="CB2969" t="b">
        <v>1</v>
      </c>
      <c r="CC2969">
        <v>0</v>
      </c>
      <c r="CD2969" t="b">
        <v>0</v>
      </c>
      <c r="CE2969" t="b">
        <v>1</v>
      </c>
      <c r="CF2969" t="b">
        <v>0</v>
      </c>
      <c r="CG2969">
        <v>2543689</v>
      </c>
      <c r="CH2969" t="s">
        <v>1681</v>
      </c>
      <c r="CI2969" s="10">
        <v>849000</v>
      </c>
      <c r="CJ2969" s="7">
        <v>33536</v>
      </c>
    </row>
    <row r="2970" spans="1:90">
      <c r="A2970">
        <v>28053077</v>
      </c>
      <c r="B2970" s="2" t="str">
        <f>HYPERLINK("http://www.redfin.com/stingray/do/printable-listing?listing-id=1595643","Active")</f>
        <v>Active</v>
      </c>
      <c r="D2970" t="s">
        <v>63</v>
      </c>
      <c r="E2970" t="s">
        <v>2309</v>
      </c>
      <c r="F2970">
        <v>439950</v>
      </c>
      <c r="G2970">
        <v>2008</v>
      </c>
      <c r="H2970">
        <v>0</v>
      </c>
      <c r="I2970">
        <v>0</v>
      </c>
      <c r="J2970">
        <v>3</v>
      </c>
      <c r="K2970">
        <v>3.5</v>
      </c>
      <c r="M2970" s="2" t="str">
        <f>HYPERLINK("http://maps.live.com/default.aspx?v=2&amp;lvl=15&amp;sp=Point.47.678888_-122.387803_6737 24th Ave NW nA&amp;cp=47.678888~-122.387803","Map")</f>
        <v>Map</v>
      </c>
      <c r="N2970" s="2" t="str">
        <f>HYPERLINK("http://i-0.rfimg.us/photo/1/bigphoto/077/28053077_0.jpg","Photo")</f>
        <v>Photo</v>
      </c>
      <c r="AG2970">
        <v>47.678888000000001</v>
      </c>
      <c r="AH2970">
        <v>-122.38780300000001</v>
      </c>
      <c r="AI2970" t="s">
        <v>66</v>
      </c>
      <c r="AJ2970">
        <v>98107</v>
      </c>
      <c r="AM2970" t="s">
        <v>1722</v>
      </c>
      <c r="BC2970" s="22">
        <v>39535.422418981485</v>
      </c>
      <c r="BI2970" s="22">
        <v>39549.294907407406</v>
      </c>
      <c r="BL2970">
        <v>8799</v>
      </c>
      <c r="BM2970">
        <v>1595643</v>
      </c>
      <c r="BN2970" t="s">
        <v>1700</v>
      </c>
      <c r="BO2970" s="17">
        <f t="shared" ca="1" si="46"/>
        <v>13.88698692129401</v>
      </c>
      <c r="BP2970" t="b">
        <v>0</v>
      </c>
      <c r="BQ2970">
        <v>1</v>
      </c>
      <c r="BR2970" t="s">
        <v>1667</v>
      </c>
      <c r="BS2970" t="s">
        <v>1740</v>
      </c>
      <c r="BT2970" t="b">
        <v>0</v>
      </c>
      <c r="BV2970" t="s">
        <v>1668</v>
      </c>
      <c r="BW2970">
        <v>6737</v>
      </c>
      <c r="BX2970" t="s">
        <v>1669</v>
      </c>
      <c r="BY2970">
        <v>12435425</v>
      </c>
      <c r="BZ2970" t="s">
        <v>1696</v>
      </c>
      <c r="CA2970">
        <v>1</v>
      </c>
      <c r="CB2970" t="b">
        <v>1</v>
      </c>
      <c r="CC2970">
        <v>0</v>
      </c>
      <c r="CD2970" t="b">
        <v>0</v>
      </c>
      <c r="CE2970" t="b">
        <v>1</v>
      </c>
      <c r="CF2970" t="b">
        <v>0</v>
      </c>
      <c r="CG2970">
        <v>15639173</v>
      </c>
      <c r="CH2970" t="s">
        <v>1681</v>
      </c>
      <c r="CI2970" s="10">
        <v>439950</v>
      </c>
    </row>
    <row r="2971" spans="1:90">
      <c r="A2971">
        <v>28053085</v>
      </c>
      <c r="B2971" s="2" t="str">
        <f>HYPERLINK("http://www.redfin.com/stingray/do/printable-listing?listing-id=1593411","Active")</f>
        <v>Active</v>
      </c>
      <c r="D2971" t="s">
        <v>3071</v>
      </c>
      <c r="E2971" t="s">
        <v>6472</v>
      </c>
      <c r="F2971">
        <v>849500</v>
      </c>
      <c r="G2971">
        <v>2008</v>
      </c>
      <c r="H2971">
        <v>3300</v>
      </c>
      <c r="I2971">
        <v>0</v>
      </c>
      <c r="J2971">
        <v>4</v>
      </c>
      <c r="K2971">
        <v>3.5</v>
      </c>
      <c r="M2971" s="2" t="str">
        <f>HYPERLINK("http://maps.live.com/default.aspx?v=2&amp;lvl=15&amp;sp=adr.8517 NE 123rd Pl (Unable to map),98034","Map")</f>
        <v>Map</v>
      </c>
      <c r="N2971" s="2" t="str">
        <f>HYPERLINK("http://i-0.rfimg.us/photo/1/bigphoto/085/28053085_1.jpg","Photo")</f>
        <v>Photo</v>
      </c>
      <c r="AI2971" t="s">
        <v>1058</v>
      </c>
      <c r="AJ2971">
        <v>98034</v>
      </c>
      <c r="BC2971" s="22">
        <v>39534.683553240742</v>
      </c>
      <c r="BI2971" s="22">
        <v>39549.294907407406</v>
      </c>
      <c r="BL2971">
        <v>16990</v>
      </c>
      <c r="BM2971">
        <v>1593411</v>
      </c>
      <c r="BN2971" t="s">
        <v>1768</v>
      </c>
      <c r="BO2971" s="17">
        <f t="shared" ca="1" si="46"/>
        <v>14.625852662036777</v>
      </c>
      <c r="BP2971" t="b">
        <v>0</v>
      </c>
      <c r="BQ2971">
        <v>1</v>
      </c>
      <c r="BR2971" t="s">
        <v>1842</v>
      </c>
      <c r="BS2971" t="s">
        <v>2882</v>
      </c>
      <c r="BT2971" t="b">
        <v>0</v>
      </c>
      <c r="BU2971" t="s">
        <v>1738</v>
      </c>
      <c r="BV2971" t="s">
        <v>1668</v>
      </c>
      <c r="BW2971">
        <v>8517</v>
      </c>
      <c r="BY2971">
        <v>0</v>
      </c>
      <c r="BZ2971" t="s">
        <v>1704</v>
      </c>
      <c r="CA2971">
        <v>1</v>
      </c>
      <c r="CB2971" t="b">
        <v>1</v>
      </c>
      <c r="CC2971">
        <v>0</v>
      </c>
      <c r="CD2971" t="b">
        <v>0</v>
      </c>
      <c r="CE2971" t="b">
        <v>1</v>
      </c>
      <c r="CF2971" t="b">
        <v>0</v>
      </c>
      <c r="CG2971" t="s">
        <v>1870</v>
      </c>
      <c r="CH2971" t="s">
        <v>1681</v>
      </c>
      <c r="CI2971" s="10">
        <v>849500</v>
      </c>
    </row>
    <row r="2972" spans="1:90">
      <c r="A2972">
        <v>28053086</v>
      </c>
      <c r="B2972" s="2" t="str">
        <f>HYPERLINK("http://www.redfin.com/stingray/do/printable-listing?listing-id=1593413","Subject To Inspection")</f>
        <v>Subject To Inspection</v>
      </c>
      <c r="D2972" t="s">
        <v>192</v>
      </c>
      <c r="E2972" t="s">
        <v>6469</v>
      </c>
      <c r="F2972">
        <v>359999</v>
      </c>
      <c r="G2972">
        <v>2008</v>
      </c>
      <c r="H2972">
        <v>1251</v>
      </c>
      <c r="I2972">
        <v>0</v>
      </c>
      <c r="J2972">
        <v>3</v>
      </c>
      <c r="K2972">
        <v>2.25</v>
      </c>
      <c r="M2972" s="2" t="str">
        <f>HYPERLINK("http://maps.live.com/default.aspx?v=2&amp;lvl=15&amp;sp=Point.47.695992_-122.317803_9215 Roosevelt Way NE nA&amp;cp=47.695992~-122.317803","Map")</f>
        <v>Map</v>
      </c>
      <c r="N2972" s="2" t="str">
        <f>HYPERLINK("http://i-0.rfimg.us/photo/1/bigphoto/086/28053086_1.jpg","Photo")</f>
        <v>Photo</v>
      </c>
      <c r="AG2972">
        <v>47.695991999999997</v>
      </c>
      <c r="AH2972">
        <v>-122.317803</v>
      </c>
      <c r="AI2972" t="s">
        <v>66</v>
      </c>
      <c r="AJ2972">
        <v>98115</v>
      </c>
      <c r="AM2972" t="s">
        <v>1722</v>
      </c>
      <c r="BC2972" s="22">
        <v>39534.683576388888</v>
      </c>
      <c r="BI2972" s="22">
        <v>39549.294907407406</v>
      </c>
      <c r="BL2972">
        <v>7200</v>
      </c>
      <c r="BM2972">
        <v>1593413</v>
      </c>
      <c r="BN2972" t="s">
        <v>1718</v>
      </c>
      <c r="BO2972" s="17">
        <f t="shared" ca="1" si="46"/>
        <v>14.625829513890494</v>
      </c>
      <c r="BP2972" t="b">
        <v>0</v>
      </c>
      <c r="BQ2972">
        <v>2</v>
      </c>
      <c r="BR2972" t="s">
        <v>2463</v>
      </c>
      <c r="BS2972" t="s">
        <v>190</v>
      </c>
      <c r="BT2972" t="b">
        <v>0</v>
      </c>
      <c r="BV2972" t="s">
        <v>1668</v>
      </c>
      <c r="BW2972">
        <v>9215</v>
      </c>
      <c r="BX2972" t="s">
        <v>1738</v>
      </c>
      <c r="BY2972">
        <v>12435219</v>
      </c>
      <c r="BZ2972" t="s">
        <v>6512</v>
      </c>
      <c r="CA2972">
        <v>1</v>
      </c>
      <c r="CB2972" t="b">
        <v>1</v>
      </c>
      <c r="CC2972">
        <v>0</v>
      </c>
      <c r="CD2972" t="b">
        <v>0</v>
      </c>
      <c r="CE2972" t="b">
        <v>0</v>
      </c>
      <c r="CF2972" t="b">
        <v>0</v>
      </c>
      <c r="CG2972">
        <v>15638979</v>
      </c>
      <c r="CH2972" t="s">
        <v>1681</v>
      </c>
      <c r="CI2972" s="10">
        <v>359999</v>
      </c>
    </row>
    <row r="2973" spans="1:90">
      <c r="A2973">
        <v>28053090</v>
      </c>
      <c r="B2973" s="2" t="str">
        <f>HYPERLINK("http://www.redfin.com/stingray/do/printable-listing?listing-id=1602637","Active")</f>
        <v>Active</v>
      </c>
      <c r="D2973" t="s">
        <v>369</v>
      </c>
      <c r="E2973" t="s">
        <v>6646</v>
      </c>
      <c r="F2973" s="19">
        <v>899500</v>
      </c>
      <c r="G2973">
        <v>1953</v>
      </c>
      <c r="H2973">
        <v>1460</v>
      </c>
      <c r="I2973">
        <v>8534</v>
      </c>
      <c r="J2973">
        <v>3</v>
      </c>
      <c r="K2973">
        <v>1</v>
      </c>
      <c r="M2973" s="2" t="str">
        <f>HYPERLINK("http://maps.live.com/default.aspx?v=2&amp;lvl=15&amp;sp=Point.47.628228_-122.205453_1850 101 Ave NE&amp;cp=47.628228~-122.205453","Map")</f>
        <v>Map</v>
      </c>
      <c r="N2973" s="2" t="str">
        <f>HYPERLINK("http://i-0.rfimg.us/photo/1/bigphoto/090/28053090_2.jpg","Photo")</f>
        <v>Photo</v>
      </c>
      <c r="AG2973">
        <v>47.628228</v>
      </c>
      <c r="AH2973">
        <v>-122.20545300000001</v>
      </c>
      <c r="AI2973" t="s">
        <v>369</v>
      </c>
      <c r="AJ2973">
        <v>98004</v>
      </c>
      <c r="AN2973">
        <v>87350</v>
      </c>
      <c r="BC2973" s="22">
        <v>39538.621087962965</v>
      </c>
      <c r="BI2973" s="22">
        <v>39549.294907407406</v>
      </c>
      <c r="BL2973">
        <v>17999</v>
      </c>
      <c r="BM2973">
        <v>1602637</v>
      </c>
      <c r="BN2973" t="s">
        <v>1798</v>
      </c>
      <c r="BO2973" s="17">
        <f t="shared" ca="1" si="46"/>
        <v>10.688317939813714</v>
      </c>
      <c r="BP2973" t="b">
        <v>0</v>
      </c>
      <c r="BQ2973">
        <v>1</v>
      </c>
      <c r="BR2973" t="s">
        <v>1667</v>
      </c>
      <c r="BS2973">
        <v>101</v>
      </c>
      <c r="BT2973" t="b">
        <v>0</v>
      </c>
      <c r="BV2973" t="s">
        <v>1668</v>
      </c>
      <c r="BW2973">
        <v>1850</v>
      </c>
      <c r="BX2973" t="s">
        <v>1738</v>
      </c>
      <c r="BY2973">
        <v>506140</v>
      </c>
      <c r="BZ2973" t="s">
        <v>6565</v>
      </c>
      <c r="CA2973">
        <v>1</v>
      </c>
      <c r="CB2973" t="b">
        <v>1</v>
      </c>
      <c r="CC2973">
        <v>0</v>
      </c>
      <c r="CD2973" t="b">
        <v>0</v>
      </c>
      <c r="CE2973" t="b">
        <v>1</v>
      </c>
      <c r="CF2973" t="b">
        <v>0</v>
      </c>
      <c r="CG2973">
        <v>2412933</v>
      </c>
      <c r="CH2973" t="s">
        <v>1681</v>
      </c>
      <c r="CI2973" s="10">
        <v>899950</v>
      </c>
      <c r="CJ2973" s="7">
        <v>32360</v>
      </c>
    </row>
    <row r="2974" spans="1:90">
      <c r="A2974">
        <v>28053096</v>
      </c>
      <c r="B2974" s="2" t="str">
        <f>HYPERLINK("http://www.redfin.com/stingray/do/printable-listing?listing-id=1593587","Active")</f>
        <v>Active</v>
      </c>
      <c r="D2974" t="s">
        <v>192</v>
      </c>
      <c r="E2974" t="s">
        <v>6470</v>
      </c>
      <c r="F2974">
        <v>359999</v>
      </c>
      <c r="G2974">
        <v>2008</v>
      </c>
      <c r="H2974">
        <v>1251</v>
      </c>
      <c r="I2974">
        <v>0</v>
      </c>
      <c r="J2974">
        <v>3</v>
      </c>
      <c r="K2974">
        <v>2.25</v>
      </c>
      <c r="M2974" s="2" t="str">
        <f>HYPERLINK("http://maps.live.com/default.aspx?v=2&amp;lvl=15&amp;sp=Point.47.695992_-122.317803_9215 Roosevelt Way NE nB&amp;cp=47.695992~-122.317803","Map")</f>
        <v>Map</v>
      </c>
      <c r="N2974" s="2" t="str">
        <f>HYPERLINK("http://i-0.rfimg.us/photo/1/bigphoto/096/28053096_0.jpg","Photo")</f>
        <v>Photo</v>
      </c>
      <c r="AG2974">
        <v>47.695991999999997</v>
      </c>
      <c r="AH2974">
        <v>-122.317803</v>
      </c>
      <c r="AI2974" t="s">
        <v>66</v>
      </c>
      <c r="AJ2974">
        <v>98115</v>
      </c>
      <c r="AM2974" t="s">
        <v>1699</v>
      </c>
      <c r="BC2974" s="22">
        <v>39534.695787037039</v>
      </c>
      <c r="BI2974" s="22">
        <v>39549.294907407406</v>
      </c>
      <c r="BL2974">
        <v>7200</v>
      </c>
      <c r="BM2974">
        <v>1593587</v>
      </c>
      <c r="BN2974" t="s">
        <v>1718</v>
      </c>
      <c r="BO2974" s="17">
        <f t="shared" ca="1" si="46"/>
        <v>14.613618865740136</v>
      </c>
      <c r="BP2974" t="b">
        <v>0</v>
      </c>
      <c r="BQ2974">
        <v>1</v>
      </c>
      <c r="BR2974" t="s">
        <v>2463</v>
      </c>
      <c r="BS2974" t="s">
        <v>190</v>
      </c>
      <c r="BT2974" t="b">
        <v>0</v>
      </c>
      <c r="BV2974" t="s">
        <v>1668</v>
      </c>
      <c r="BW2974">
        <v>9215</v>
      </c>
      <c r="BX2974" t="s">
        <v>1738</v>
      </c>
      <c r="BY2974">
        <v>12435231</v>
      </c>
      <c r="BZ2974" t="s">
        <v>1813</v>
      </c>
      <c r="CA2974">
        <v>1</v>
      </c>
      <c r="CB2974" t="b">
        <v>1</v>
      </c>
      <c r="CC2974">
        <v>0</v>
      </c>
      <c r="CD2974" t="b">
        <v>0</v>
      </c>
      <c r="CE2974" t="b">
        <v>1</v>
      </c>
      <c r="CF2974" t="b">
        <v>0</v>
      </c>
      <c r="CG2974">
        <v>15638967</v>
      </c>
      <c r="CH2974" t="s">
        <v>1681</v>
      </c>
      <c r="CI2974" s="10">
        <v>359999</v>
      </c>
      <c r="CL2974" s="19" t="s">
        <v>2325</v>
      </c>
    </row>
    <row r="2975" spans="1:90">
      <c r="A2975">
        <v>28053104</v>
      </c>
      <c r="B2975" s="2" t="str">
        <f>HYPERLINK("http://www.redfin.com/stingray/do/printable-listing?listing-id=1602256","Active")</f>
        <v>Active</v>
      </c>
      <c r="D2975" t="s">
        <v>4542</v>
      </c>
      <c r="E2975" t="s">
        <v>6639</v>
      </c>
      <c r="F2975" s="19">
        <v>899950</v>
      </c>
      <c r="G2975">
        <v>1959</v>
      </c>
      <c r="H2975">
        <v>2000</v>
      </c>
      <c r="I2975">
        <v>12500</v>
      </c>
      <c r="J2975">
        <v>3</v>
      </c>
      <c r="K2975">
        <v>1</v>
      </c>
      <c r="M2975" s="2" t="str">
        <f>HYPERLINK("http://maps.live.com/default.aspx?v=2&amp;lvl=15&amp;sp=Point.47.684097_-122.203896_313 11th Pl&amp;cp=47.684097~-122.203896","Map")</f>
        <v>Map</v>
      </c>
      <c r="N2975" s="2" t="str">
        <f>HYPERLINK("http://i-0.rfimg.us/photo/1/bigphoto/104/28053104_0.jpg","Photo")</f>
        <v>Photo</v>
      </c>
      <c r="AG2975">
        <v>47.684097000000001</v>
      </c>
      <c r="AH2975">
        <v>-122.203896</v>
      </c>
      <c r="AI2975" t="s">
        <v>1058</v>
      </c>
      <c r="AJ2975">
        <v>98033</v>
      </c>
      <c r="AN2975">
        <v>72500</v>
      </c>
      <c r="BC2975" s="22">
        <v>39538.552581018521</v>
      </c>
      <c r="BI2975" s="22">
        <v>39549.294907407406</v>
      </c>
      <c r="BL2975">
        <v>17799</v>
      </c>
      <c r="BM2975">
        <v>1602256</v>
      </c>
      <c r="BN2975" t="s">
        <v>1798</v>
      </c>
      <c r="BO2975" s="17">
        <f t="shared" ca="1" si="46"/>
        <v>10.756824884258094</v>
      </c>
      <c r="BP2975" t="b">
        <v>0</v>
      </c>
      <c r="BQ2975">
        <v>1</v>
      </c>
      <c r="BR2975" t="s">
        <v>1842</v>
      </c>
      <c r="BS2975" t="s">
        <v>1792</v>
      </c>
      <c r="BT2975" t="b">
        <v>0</v>
      </c>
      <c r="BV2975" t="s">
        <v>1668</v>
      </c>
      <c r="BW2975">
        <v>313</v>
      </c>
      <c r="BY2975">
        <v>463775</v>
      </c>
      <c r="BZ2975" t="s">
        <v>1696</v>
      </c>
      <c r="CA2975">
        <v>1</v>
      </c>
      <c r="CB2975" t="b">
        <v>1</v>
      </c>
      <c r="CC2975">
        <v>0</v>
      </c>
      <c r="CD2975" t="b">
        <v>0</v>
      </c>
      <c r="CE2975" t="b">
        <v>1</v>
      </c>
      <c r="CF2975" t="b">
        <v>0</v>
      </c>
      <c r="CG2975">
        <v>2826892</v>
      </c>
      <c r="CH2975" t="s">
        <v>1681</v>
      </c>
      <c r="CI2975" s="10">
        <v>889950</v>
      </c>
      <c r="CJ2975" s="7">
        <v>30790</v>
      </c>
    </row>
    <row r="2976" spans="1:90">
      <c r="A2976">
        <v>28053107</v>
      </c>
      <c r="B2976" s="2" t="str">
        <f>HYPERLINK("http://www.redfin.com/stingray/do/printable-listing?listing-id=1599167","Active")</f>
        <v>Active</v>
      </c>
      <c r="D2976" t="s">
        <v>2850</v>
      </c>
      <c r="E2976" t="s">
        <v>1657</v>
      </c>
      <c r="F2976">
        <v>590000</v>
      </c>
      <c r="G2976">
        <v>1997</v>
      </c>
      <c r="H2976">
        <v>1934</v>
      </c>
      <c r="I2976">
        <v>5644</v>
      </c>
      <c r="J2976">
        <v>3</v>
      </c>
      <c r="K2976">
        <v>2.75</v>
      </c>
      <c r="M2976" s="2" t="str">
        <f>HYPERLINK("http://maps.live.com/default.aspx?v=2&amp;lvl=15&amp;sp=adr.Undisclosed,98034","Map")</f>
        <v>Map</v>
      </c>
      <c r="N2976" s="2" t="str">
        <f>HYPERLINK("http://i-0.rfimg.us/photo/1/bigphoto/107/28053107_1.jpg","Photo")</f>
        <v>Photo</v>
      </c>
      <c r="AI2976" t="s">
        <v>1058</v>
      </c>
      <c r="AJ2976">
        <v>98034</v>
      </c>
      <c r="BC2976" s="22">
        <v>39536.473402777781</v>
      </c>
      <c r="BI2976" s="22">
        <v>39549.294907407406</v>
      </c>
      <c r="BL2976">
        <v>11800</v>
      </c>
      <c r="BM2976">
        <v>1599167</v>
      </c>
      <c r="BN2976" t="s">
        <v>1725</v>
      </c>
      <c r="BO2976" s="17">
        <f t="shared" ca="1" si="46"/>
        <v>12.83600312499766</v>
      </c>
      <c r="BP2976" t="b">
        <v>0</v>
      </c>
      <c r="BQ2976">
        <v>1</v>
      </c>
      <c r="BT2976" t="b">
        <v>1</v>
      </c>
      <c r="BV2976" t="s">
        <v>1668</v>
      </c>
      <c r="BY2976">
        <v>0</v>
      </c>
      <c r="BZ2976" t="s">
        <v>1704</v>
      </c>
      <c r="CA2976">
        <v>1</v>
      </c>
      <c r="CB2976" t="b">
        <v>1</v>
      </c>
      <c r="CC2976">
        <v>0</v>
      </c>
      <c r="CD2976" t="b">
        <v>0</v>
      </c>
      <c r="CE2976" t="b">
        <v>1</v>
      </c>
      <c r="CF2976" t="b">
        <v>0</v>
      </c>
      <c r="CG2976" t="s">
        <v>1870</v>
      </c>
      <c r="CH2976" t="s">
        <v>1681</v>
      </c>
      <c r="CI2976" s="10">
        <v>590000</v>
      </c>
      <c r="CL2976" t="s">
        <v>2204</v>
      </c>
    </row>
    <row r="2977" spans="1:90">
      <c r="A2977">
        <v>28053113</v>
      </c>
      <c r="B2977" s="2" t="str">
        <f>HYPERLINK("http://www.redfin.com/stingray/do/printable-listing?listing-id=1593601","Active")</f>
        <v>Active</v>
      </c>
      <c r="D2977" t="s">
        <v>4542</v>
      </c>
      <c r="E2977" t="s">
        <v>6492</v>
      </c>
      <c r="F2977">
        <v>1234000</v>
      </c>
      <c r="G2977">
        <v>2007</v>
      </c>
      <c r="H2977">
        <v>3585</v>
      </c>
      <c r="I2977">
        <v>5934</v>
      </c>
      <c r="J2977">
        <v>3</v>
      </c>
      <c r="K2977">
        <v>4</v>
      </c>
      <c r="M2977" s="2" t="str">
        <f>HYPERLINK("http://maps.live.com/default.aspx?v=2&amp;lvl=15&amp;sp=Point.47.685721_-122.198052_1224 5th Pl&amp;cp=47.685721~-122.198052","Map")</f>
        <v>Map</v>
      </c>
      <c r="N2977" s="2" t="str">
        <f>HYPERLINK("http://i-0.rfimg.us/photo/1/bigphoto/113/28053113_0.jpg","Photo")</f>
        <v>Photo</v>
      </c>
      <c r="AG2977">
        <v>47.685721000000001</v>
      </c>
      <c r="AH2977">
        <v>-122.198052</v>
      </c>
      <c r="AI2977" t="s">
        <v>1058</v>
      </c>
      <c r="AJ2977">
        <v>98033</v>
      </c>
      <c r="AN2977">
        <v>470000</v>
      </c>
      <c r="BC2977" s="22">
        <v>39534.704155092593</v>
      </c>
      <c r="BI2977" s="7">
        <v>39538</v>
      </c>
      <c r="BL2977">
        <v>24680</v>
      </c>
      <c r="BM2977">
        <v>1593601</v>
      </c>
      <c r="BN2977" t="s">
        <v>3117</v>
      </c>
      <c r="BO2977" s="17">
        <f t="shared" ca="1" si="46"/>
        <v>14.60525081018568</v>
      </c>
      <c r="BP2977" t="b">
        <v>0</v>
      </c>
      <c r="BQ2977">
        <v>1</v>
      </c>
      <c r="BR2977" t="s">
        <v>1842</v>
      </c>
      <c r="BS2977" t="s">
        <v>1832</v>
      </c>
      <c r="BT2977" t="b">
        <v>0</v>
      </c>
      <c r="BV2977" t="s">
        <v>1668</v>
      </c>
      <c r="BW2977">
        <v>1224</v>
      </c>
      <c r="BY2977">
        <v>462159</v>
      </c>
      <c r="BZ2977" t="s">
        <v>1745</v>
      </c>
      <c r="CA2977">
        <v>1</v>
      </c>
      <c r="CB2977" t="b">
        <v>1</v>
      </c>
      <c r="CC2977">
        <v>0</v>
      </c>
      <c r="CD2977" t="b">
        <v>0</v>
      </c>
      <c r="CE2977" t="b">
        <v>1</v>
      </c>
      <c r="CF2977" t="b">
        <v>0</v>
      </c>
      <c r="CG2977">
        <v>2872846</v>
      </c>
      <c r="CH2977" t="s">
        <v>1681</v>
      </c>
      <c r="CI2977" s="10">
        <v>1234000</v>
      </c>
      <c r="CJ2977" s="7">
        <v>38792</v>
      </c>
    </row>
    <row r="2978" spans="1:90">
      <c r="A2978">
        <v>28053130</v>
      </c>
      <c r="B2978" s="15" t="str">
        <f>HYPERLINK("http://www.redfin.com/stingray/do/printable-listing?listing-id=1600926","Subject To Inspection")</f>
        <v>Subject To Inspection</v>
      </c>
      <c r="D2978" t="s">
        <v>109</v>
      </c>
      <c r="E2978" t="s">
        <v>6625</v>
      </c>
      <c r="F2978">
        <v>799000</v>
      </c>
      <c r="G2978">
        <v>1939</v>
      </c>
      <c r="H2978">
        <v>3290</v>
      </c>
      <c r="I2978">
        <v>5400</v>
      </c>
      <c r="J2978">
        <v>3</v>
      </c>
      <c r="K2978">
        <v>2.5</v>
      </c>
      <c r="M2978" s="2" t="str">
        <f>HYPERLINK("http://maps.live.com/default.aspx?v=2&amp;lvl=15&amp;sp=Point.47.656547_-122.33107_2305 N 41st St&amp;cp=47.656547~-122.33107","Map")</f>
        <v>Map</v>
      </c>
      <c r="N2978" s="2" t="str">
        <f>HYPERLINK("http://i-0.rfimg.us/photo/1/bigphoto/130/28053130_1.jpg","Photo")</f>
        <v>Photo</v>
      </c>
      <c r="AG2978">
        <v>47.656547000000003</v>
      </c>
      <c r="AH2978">
        <v>-122.33107</v>
      </c>
      <c r="AI2978" t="s">
        <v>66</v>
      </c>
      <c r="AJ2978">
        <v>98103</v>
      </c>
      <c r="AN2978">
        <v>760000</v>
      </c>
      <c r="BC2978" s="22">
        <v>39538.046134259261</v>
      </c>
      <c r="BI2978" s="22">
        <v>39549.294907407406</v>
      </c>
      <c r="BL2978">
        <v>15980</v>
      </c>
      <c r="BM2978">
        <v>1600926</v>
      </c>
      <c r="BN2978" t="s">
        <v>1685</v>
      </c>
      <c r="BO2978" s="17">
        <f t="shared" ca="1" si="46"/>
        <v>11.263271643518237</v>
      </c>
      <c r="BP2978" t="b">
        <v>0</v>
      </c>
      <c r="BQ2978">
        <v>1</v>
      </c>
      <c r="BR2978" t="s">
        <v>1686</v>
      </c>
      <c r="BS2978" t="s">
        <v>3222</v>
      </c>
      <c r="BT2978" t="b">
        <v>0</v>
      </c>
      <c r="BU2978" t="s">
        <v>1712</v>
      </c>
      <c r="BV2978" t="s">
        <v>1668</v>
      </c>
      <c r="BW2978">
        <v>2305</v>
      </c>
      <c r="BY2978">
        <v>118235</v>
      </c>
      <c r="BZ2978" t="s">
        <v>1704</v>
      </c>
      <c r="CA2978">
        <v>1</v>
      </c>
      <c r="CB2978" t="b">
        <v>1</v>
      </c>
      <c r="CC2978">
        <v>0</v>
      </c>
      <c r="CD2978" t="b">
        <v>0</v>
      </c>
      <c r="CE2978" t="b">
        <v>1</v>
      </c>
      <c r="CF2978" t="b">
        <v>0</v>
      </c>
      <c r="CG2978">
        <v>2495208</v>
      </c>
      <c r="CH2978" t="s">
        <v>1681</v>
      </c>
      <c r="CI2978" s="10">
        <v>799000</v>
      </c>
      <c r="CJ2978" s="7">
        <v>39435</v>
      </c>
    </row>
    <row r="2979" spans="1:90">
      <c r="A2979">
        <v>28053141</v>
      </c>
      <c r="B2979" s="15" t="str">
        <f>HYPERLINK("http://www.redfin.com/stingray/do/printable-listing?listing-id=1595744","Subject To Inspection")</f>
        <v>Subject To Inspection</v>
      </c>
      <c r="D2979" t="s">
        <v>1023</v>
      </c>
      <c r="E2979" t="s">
        <v>6506</v>
      </c>
      <c r="F2979">
        <v>725000</v>
      </c>
      <c r="G2979">
        <v>1929</v>
      </c>
      <c r="H2979">
        <v>2630</v>
      </c>
      <c r="I2979">
        <v>3750</v>
      </c>
      <c r="J2979">
        <v>3</v>
      </c>
      <c r="K2979">
        <v>1.5</v>
      </c>
      <c r="M2979" s="2" t="str">
        <f>HYPERLINK("http://maps.live.com/default.aspx?v=2&amp;lvl=15&amp;sp=Point.47.670232_-122.400898_3259 NW 57th St&amp;cp=47.670232~-122.400898","Map")</f>
        <v>Map</v>
      </c>
      <c r="N2979" s="2" t="str">
        <f>HYPERLINK("http://i-0.rfimg.us/photo/1/bigphoto/141/28053141_0.jpg","Photo")</f>
        <v>Photo</v>
      </c>
      <c r="AG2979">
        <v>47.670231999999999</v>
      </c>
      <c r="AH2979">
        <v>-122.400898</v>
      </c>
      <c r="AI2979" t="s">
        <v>66</v>
      </c>
      <c r="AJ2979">
        <v>98107</v>
      </c>
      <c r="AN2979">
        <v>245000</v>
      </c>
      <c r="BC2979" s="22">
        <v>39535.44326388889</v>
      </c>
      <c r="BI2979" s="22">
        <v>39547.913935185185</v>
      </c>
      <c r="BL2979">
        <v>14500</v>
      </c>
      <c r="BM2979">
        <v>1595744</v>
      </c>
      <c r="BN2979" t="s">
        <v>1725</v>
      </c>
      <c r="BO2979" s="17">
        <f t="shared" ca="1" si="46"/>
        <v>13.866142013888748</v>
      </c>
      <c r="BP2979" t="b">
        <v>0</v>
      </c>
      <c r="BQ2979">
        <v>1</v>
      </c>
      <c r="BR2979" t="s">
        <v>1686</v>
      </c>
      <c r="BS2979" t="s">
        <v>1687</v>
      </c>
      <c r="BT2979" t="b">
        <v>0</v>
      </c>
      <c r="BU2979" t="s">
        <v>1669</v>
      </c>
      <c r="BV2979" t="s">
        <v>1668</v>
      </c>
      <c r="BW2979">
        <v>3259</v>
      </c>
      <c r="BY2979">
        <v>162334</v>
      </c>
      <c r="BZ2979" t="s">
        <v>1672</v>
      </c>
      <c r="CA2979">
        <v>1</v>
      </c>
      <c r="CB2979" t="b">
        <v>1</v>
      </c>
      <c r="CC2979">
        <v>0</v>
      </c>
      <c r="CD2979" t="b">
        <v>0</v>
      </c>
      <c r="CE2979" t="b">
        <v>1</v>
      </c>
      <c r="CF2979" t="b">
        <v>0</v>
      </c>
      <c r="CG2979">
        <v>2742331</v>
      </c>
      <c r="CH2979" t="s">
        <v>1681</v>
      </c>
      <c r="CI2979" s="10">
        <v>725000</v>
      </c>
      <c r="CJ2979" s="7">
        <v>35205</v>
      </c>
      <c r="CL2979" t="s">
        <v>2204</v>
      </c>
    </row>
    <row r="2980" spans="1:90">
      <c r="A2980">
        <v>28053170</v>
      </c>
      <c r="B2980" s="2" t="str">
        <f>HYPERLINK("http://www.redfin.com/stingray/do/printable-listing?listing-id=1594213","Active")</f>
        <v>Active</v>
      </c>
      <c r="D2980" t="s">
        <v>5191</v>
      </c>
      <c r="E2980" t="s">
        <v>6501</v>
      </c>
      <c r="F2980">
        <v>1025000</v>
      </c>
      <c r="G2980">
        <v>1976</v>
      </c>
      <c r="H2980">
        <v>3400</v>
      </c>
      <c r="I2980">
        <v>16050</v>
      </c>
      <c r="J2980">
        <v>3</v>
      </c>
      <c r="K2980">
        <v>2.5</v>
      </c>
      <c r="M2980" s="2" t="str">
        <f>HYPERLINK("http://maps.live.com/default.aspx?v=2&amp;lvl=15&amp;sp=Point.47.564337_-122.15988_4517 Somerset Pl SE&amp;cp=47.564337~-122.15988","Map")</f>
        <v>Map</v>
      </c>
      <c r="N2980" s="2" t="str">
        <f>HYPERLINK("http://i-0.rfimg.us/photo/1/bigphoto/170/28053170_0.jpg","Photo")</f>
        <v>Photo</v>
      </c>
      <c r="AG2980">
        <v>47.564337000000002</v>
      </c>
      <c r="AH2980">
        <v>-122.15988</v>
      </c>
      <c r="AI2980" t="s">
        <v>369</v>
      </c>
      <c r="AJ2980">
        <v>98006</v>
      </c>
      <c r="BC2980" s="22">
        <v>39534.86005787037</v>
      </c>
      <c r="BI2980" s="22">
        <v>39549.294907407406</v>
      </c>
      <c r="BL2980">
        <v>20500</v>
      </c>
      <c r="BM2980">
        <v>1594213</v>
      </c>
      <c r="BN2980" t="s">
        <v>1674</v>
      </c>
      <c r="BO2980" s="17">
        <f t="shared" ca="1" si="46"/>
        <v>14.449348032409034</v>
      </c>
      <c r="BP2980" t="b">
        <v>0</v>
      </c>
      <c r="BQ2980">
        <v>1</v>
      </c>
      <c r="BR2980" t="s">
        <v>1842</v>
      </c>
      <c r="BS2980" t="s">
        <v>5191</v>
      </c>
      <c r="BT2980" t="b">
        <v>0</v>
      </c>
      <c r="BV2980" t="s">
        <v>1668</v>
      </c>
      <c r="BW2980">
        <v>4517</v>
      </c>
      <c r="BX2980" t="s">
        <v>3856</v>
      </c>
      <c r="BY2980">
        <v>236722</v>
      </c>
      <c r="BZ2980" t="s">
        <v>1813</v>
      </c>
      <c r="CA2980">
        <v>1</v>
      </c>
      <c r="CB2980" t="b">
        <v>1</v>
      </c>
      <c r="CC2980">
        <v>0</v>
      </c>
      <c r="CD2980" t="b">
        <v>0</v>
      </c>
      <c r="CE2980" t="b">
        <v>1</v>
      </c>
      <c r="CF2980" t="b">
        <v>0</v>
      </c>
      <c r="CG2980">
        <v>2697066</v>
      </c>
      <c r="CH2980" t="s">
        <v>1681</v>
      </c>
      <c r="CI2980" s="10">
        <v>1025000</v>
      </c>
    </row>
    <row r="2981" spans="1:90">
      <c r="A2981">
        <v>28053178</v>
      </c>
      <c r="B2981" s="2" t="str">
        <f>HYPERLINK("http://www.redfin.com/stingray/do/printable-listing?listing-id=1594984","Active")</f>
        <v>Active</v>
      </c>
      <c r="D2981" t="s">
        <v>5926</v>
      </c>
      <c r="E2981" t="s">
        <v>6562</v>
      </c>
      <c r="F2981">
        <v>424950</v>
      </c>
      <c r="G2981">
        <v>1996</v>
      </c>
      <c r="H2981">
        <v>1775</v>
      </c>
      <c r="I2981">
        <v>4502</v>
      </c>
      <c r="J2981">
        <v>3</v>
      </c>
      <c r="K2981">
        <v>2.75</v>
      </c>
      <c r="M2981" s="2" t="str">
        <f>HYPERLINK("http://maps.live.com/default.aspx?v=2&amp;lvl=15&amp;sp=Point.47.502707_-122.193037_1173 Monterey Ave NE&amp;cp=47.502707~-122.193037","Map")</f>
        <v>Map</v>
      </c>
      <c r="N2981" s="2" t="str">
        <f>HYPERLINK("http://i-0.rfimg.us/photo/1/bigphoto/178/28053178_1.jpg","Photo")</f>
        <v>Photo</v>
      </c>
      <c r="AG2981">
        <v>47.502707000000001</v>
      </c>
      <c r="AH2981">
        <v>-122.193037</v>
      </c>
      <c r="AI2981" t="s">
        <v>1077</v>
      </c>
      <c r="AJ2981">
        <v>98056</v>
      </c>
      <c r="AN2981">
        <v>176900</v>
      </c>
      <c r="BC2981" s="22">
        <v>39535.243784722225</v>
      </c>
      <c r="BI2981" s="22">
        <v>39549.294907407406</v>
      </c>
      <c r="BL2981">
        <v>8499</v>
      </c>
      <c r="BM2981">
        <v>1594984</v>
      </c>
      <c r="BN2981" t="s">
        <v>3236</v>
      </c>
      <c r="BO2981" s="17">
        <f t="shared" ca="1" si="46"/>
        <v>14.065621180554444</v>
      </c>
      <c r="BP2981" t="b">
        <v>0</v>
      </c>
      <c r="BQ2981">
        <v>1</v>
      </c>
      <c r="BR2981" t="s">
        <v>1667</v>
      </c>
      <c r="BS2981" t="s">
        <v>6056</v>
      </c>
      <c r="BT2981" t="b">
        <v>0</v>
      </c>
      <c r="BV2981" t="s">
        <v>1668</v>
      </c>
      <c r="BW2981">
        <v>1173</v>
      </c>
      <c r="BX2981" t="s">
        <v>1738</v>
      </c>
      <c r="BY2981">
        <v>410143</v>
      </c>
      <c r="BZ2981" t="s">
        <v>6563</v>
      </c>
      <c r="CA2981">
        <v>1</v>
      </c>
      <c r="CB2981" t="b">
        <v>1</v>
      </c>
      <c r="CC2981">
        <v>0</v>
      </c>
      <c r="CD2981" t="b">
        <v>0</v>
      </c>
      <c r="CE2981" t="b">
        <v>1</v>
      </c>
      <c r="CF2981" t="b">
        <v>0</v>
      </c>
      <c r="CG2981">
        <v>2968480</v>
      </c>
      <c r="CH2981" t="s">
        <v>1681</v>
      </c>
      <c r="CI2981" s="10">
        <v>424950</v>
      </c>
      <c r="CJ2981" s="7">
        <v>35272</v>
      </c>
    </row>
    <row r="2982" spans="1:90">
      <c r="A2982">
        <v>28053180</v>
      </c>
      <c r="B2982" s="2" t="str">
        <f>HYPERLINK("http://www.redfin.com/stingray/do/printable-listing?listing-id=1602871","Active")</f>
        <v>Active</v>
      </c>
      <c r="D2982" t="s">
        <v>3249</v>
      </c>
      <c r="E2982" t="s">
        <v>6627</v>
      </c>
      <c r="F2982">
        <v>675000</v>
      </c>
      <c r="G2982">
        <v>1925</v>
      </c>
      <c r="H2982">
        <v>1650</v>
      </c>
      <c r="I2982">
        <v>3720</v>
      </c>
      <c r="J2982">
        <v>4</v>
      </c>
      <c r="K2982">
        <v>1</v>
      </c>
      <c r="M2982" s="2" t="str">
        <f>HYPERLINK("http://maps.live.com/default.aspx?v=2&amp;lvl=15&amp;sp=Point.47.648032_-122.357882_2 W Eturia St&amp;cp=47.648032~-122.357882","Map")</f>
        <v>Map</v>
      </c>
      <c r="N2982" s="2" t="str">
        <f>HYPERLINK("http://i-0.rfimg.us/photo/1/bigphoto/180/28053180_.jpg","Photo")</f>
        <v>Photo</v>
      </c>
      <c r="AG2982">
        <v>47.648032000000001</v>
      </c>
      <c r="AH2982">
        <v>-122.357882</v>
      </c>
      <c r="AI2982" t="s">
        <v>66</v>
      </c>
      <c r="AJ2982">
        <v>98119</v>
      </c>
      <c r="BC2982" s="22">
        <v>39538.673784722225</v>
      </c>
      <c r="BI2982" s="22">
        <v>39549.294907407406</v>
      </c>
      <c r="BL2982">
        <v>13500</v>
      </c>
      <c r="BM2982">
        <v>1602871</v>
      </c>
      <c r="BN2982" t="s">
        <v>2588</v>
      </c>
      <c r="BO2982" s="17">
        <f t="shared" ca="1" si="46"/>
        <v>10.635621180554153</v>
      </c>
      <c r="BP2982" t="b">
        <v>0</v>
      </c>
      <c r="BQ2982">
        <v>1</v>
      </c>
      <c r="BR2982" t="s">
        <v>1686</v>
      </c>
      <c r="BS2982" t="s">
        <v>6628</v>
      </c>
      <c r="BT2982" t="b">
        <v>0</v>
      </c>
      <c r="BU2982" t="s">
        <v>2423</v>
      </c>
      <c r="BV2982" t="s">
        <v>1668</v>
      </c>
      <c r="BW2982">
        <v>2</v>
      </c>
      <c r="BY2982">
        <v>131219</v>
      </c>
      <c r="BZ2982" t="s">
        <v>2373</v>
      </c>
      <c r="CA2982">
        <v>1</v>
      </c>
      <c r="CB2982" t="b">
        <v>1</v>
      </c>
      <c r="CC2982">
        <v>0</v>
      </c>
      <c r="CD2982" t="b">
        <v>0</v>
      </c>
      <c r="CE2982" t="b">
        <v>1</v>
      </c>
      <c r="CF2982" t="b">
        <v>0</v>
      </c>
      <c r="CG2982">
        <v>2879716</v>
      </c>
      <c r="CH2982" t="s">
        <v>1681</v>
      </c>
      <c r="CI2982" s="10">
        <v>675000</v>
      </c>
    </row>
    <row r="2983" spans="1:90">
      <c r="A2983">
        <v>28053199</v>
      </c>
      <c r="B2983" s="2" t="str">
        <f>HYPERLINK("http://www.redfin.com/stingray/do/printable-listing?listing-id=1594264","Active")</f>
        <v>Active</v>
      </c>
      <c r="D2983" t="s">
        <v>88</v>
      </c>
      <c r="E2983" t="s">
        <v>2639</v>
      </c>
      <c r="F2983">
        <v>549650</v>
      </c>
      <c r="G2983">
        <v>1931</v>
      </c>
      <c r="H2983">
        <v>1800</v>
      </c>
      <c r="I2983">
        <v>0</v>
      </c>
      <c r="J2983">
        <v>3</v>
      </c>
      <c r="K2983">
        <v>1</v>
      </c>
      <c r="M2983" s="2" t="str">
        <f>HYPERLINK("http://maps.live.com/default.aspx?v=2&amp;lvl=15&amp;sp=Point.47.688819_-122.352325_8212 Dayton Ave N&amp;cp=47.688819~-122.352325","Map")</f>
        <v>Map</v>
      </c>
      <c r="N2983" s="2" t="str">
        <f>HYPERLINK("http://i-0.rfimg.us/photo/1/bigphoto/199/28053199_0.jpg","Photo")</f>
        <v>Photo</v>
      </c>
      <c r="AG2983">
        <v>47.688819000000002</v>
      </c>
      <c r="AH2983">
        <v>-122.35232499999999</v>
      </c>
      <c r="AI2983" t="s">
        <v>66</v>
      </c>
      <c r="AJ2983">
        <v>98103</v>
      </c>
      <c r="AN2983">
        <v>392000</v>
      </c>
      <c r="BC2983" s="22">
        <v>39534.942280092589</v>
      </c>
      <c r="BI2983" s="22">
        <v>39549.294907407406</v>
      </c>
      <c r="BL2983">
        <v>10993</v>
      </c>
      <c r="BM2983">
        <v>1594264</v>
      </c>
      <c r="BN2983" t="s">
        <v>1688</v>
      </c>
      <c r="BO2983" s="17">
        <f t="shared" ca="1" si="46"/>
        <v>14.367125810189464</v>
      </c>
      <c r="BP2983" t="b">
        <v>0</v>
      </c>
      <c r="BQ2983">
        <v>1</v>
      </c>
      <c r="BR2983" t="s">
        <v>1667</v>
      </c>
      <c r="BS2983" t="s">
        <v>2640</v>
      </c>
      <c r="BT2983" t="b">
        <v>0</v>
      </c>
      <c r="BV2983" t="s">
        <v>1668</v>
      </c>
      <c r="BW2983">
        <v>8212</v>
      </c>
      <c r="BX2983" t="s">
        <v>1712</v>
      </c>
      <c r="BY2983">
        <v>301578</v>
      </c>
      <c r="BZ2983" t="s">
        <v>1672</v>
      </c>
      <c r="CA2983">
        <v>1</v>
      </c>
      <c r="CB2983" t="b">
        <v>1</v>
      </c>
      <c r="CC2983">
        <v>0</v>
      </c>
      <c r="CD2983" t="b">
        <v>0</v>
      </c>
      <c r="CE2983" t="b">
        <v>1</v>
      </c>
      <c r="CF2983" t="b">
        <v>0</v>
      </c>
      <c r="CG2983">
        <v>2557489</v>
      </c>
      <c r="CH2983" t="s">
        <v>1681</v>
      </c>
      <c r="CI2983" s="10">
        <v>549650</v>
      </c>
      <c r="CJ2983" s="7">
        <v>38224</v>
      </c>
    </row>
    <row r="2984" spans="1:90">
      <c r="A2984">
        <v>28053227</v>
      </c>
      <c r="B2984" s="2" t="str">
        <f>HYPERLINK("http://www.redfin.com/stingray/do/printable-listing?listing-id=1595120","Active")</f>
        <v>Active</v>
      </c>
      <c r="D2984" t="s">
        <v>3249</v>
      </c>
      <c r="E2984" t="s">
        <v>6522</v>
      </c>
      <c r="F2984">
        <v>925000</v>
      </c>
      <c r="G2984">
        <v>1929</v>
      </c>
      <c r="H2984">
        <v>2952</v>
      </c>
      <c r="I2984">
        <v>0</v>
      </c>
      <c r="J2984">
        <v>4</v>
      </c>
      <c r="K2984">
        <v>2</v>
      </c>
      <c r="M2984" s="2" t="str">
        <f>HYPERLINK("http://maps.live.com/default.aspx?v=2&amp;lvl=15&amp;sp=Point.47.641987_-122.35107_2518 Nob Hill Place N&amp;cp=47.641987~-122.35107","Map")</f>
        <v>Map</v>
      </c>
      <c r="N2984" s="2" t="str">
        <f>HYPERLINK("http://i-0.rfimg.us/photo/1/bigphoto/227/28053227_1.jpg","Photo")</f>
        <v>Photo</v>
      </c>
      <c r="AG2984">
        <v>47.641987</v>
      </c>
      <c r="AH2984">
        <v>-122.35107000000001</v>
      </c>
      <c r="AI2984" t="s">
        <v>66</v>
      </c>
      <c r="AJ2984">
        <v>98109</v>
      </c>
      <c r="AN2984">
        <v>445000</v>
      </c>
      <c r="BC2984" s="22">
        <v>39535.29614583333</v>
      </c>
      <c r="BI2984" s="22">
        <v>39549.294907407406</v>
      </c>
      <c r="BL2984">
        <v>18500</v>
      </c>
      <c r="BM2984">
        <v>1595120</v>
      </c>
      <c r="BN2984" t="s">
        <v>1678</v>
      </c>
      <c r="BO2984" s="17">
        <f t="shared" ca="1" si="46"/>
        <v>14.013260069448734</v>
      </c>
      <c r="BP2984" t="b">
        <v>0</v>
      </c>
      <c r="BQ2984">
        <v>1</v>
      </c>
      <c r="BR2984" t="s">
        <v>4418</v>
      </c>
      <c r="BS2984" t="s">
        <v>3251</v>
      </c>
      <c r="BT2984" t="b">
        <v>0</v>
      </c>
      <c r="BV2984" t="s">
        <v>1668</v>
      </c>
      <c r="BW2984">
        <v>2518</v>
      </c>
      <c r="BX2984" t="s">
        <v>1712</v>
      </c>
      <c r="BY2984">
        <v>132296</v>
      </c>
      <c r="BZ2984" t="s">
        <v>1911</v>
      </c>
      <c r="CA2984">
        <v>1</v>
      </c>
      <c r="CB2984" t="b">
        <v>1</v>
      </c>
      <c r="CC2984">
        <v>0</v>
      </c>
      <c r="CD2984" t="b">
        <v>0</v>
      </c>
      <c r="CE2984" t="b">
        <v>1</v>
      </c>
      <c r="CF2984" t="b">
        <v>0</v>
      </c>
      <c r="CG2984">
        <v>2525346</v>
      </c>
      <c r="CH2984" t="s">
        <v>1681</v>
      </c>
      <c r="CI2984" s="10">
        <v>925000</v>
      </c>
      <c r="CJ2984" s="7">
        <v>37550</v>
      </c>
    </row>
    <row r="2985" spans="1:90">
      <c r="A2985">
        <v>28053228</v>
      </c>
      <c r="B2985" s="2" t="str">
        <f>HYPERLINK("http://www.redfin.com/stingray/do/printable-listing?listing-id=1595121","Active")</f>
        <v>Active</v>
      </c>
      <c r="D2985" t="s">
        <v>5113</v>
      </c>
      <c r="E2985" t="s">
        <v>6543</v>
      </c>
      <c r="F2985">
        <v>635000</v>
      </c>
      <c r="G2985">
        <v>1972</v>
      </c>
      <c r="H2985">
        <v>2470</v>
      </c>
      <c r="I2985">
        <v>7725</v>
      </c>
      <c r="J2985">
        <v>4</v>
      </c>
      <c r="K2985">
        <v>2.5</v>
      </c>
      <c r="M2985" s="2" t="str">
        <f>HYPERLINK("http://maps.live.com/default.aspx?v=2&amp;lvl=15&amp;sp=adr.15805 NE 21st St (Unable to map),98052","Map")</f>
        <v>Map</v>
      </c>
      <c r="N2985" s="2" t="str">
        <f>HYPERLINK("http://i-0.rfimg.us/photo/1/bigphoto/228/28053228_0.jpg","Photo")</f>
        <v>Photo</v>
      </c>
      <c r="AG2985">
        <v>47.629142999999999</v>
      </c>
      <c r="AH2985">
        <v>-122.092657</v>
      </c>
      <c r="AI2985" t="s">
        <v>4363</v>
      </c>
      <c r="AJ2985">
        <v>98052</v>
      </c>
      <c r="AN2985">
        <v>274000</v>
      </c>
      <c r="BC2985" s="22">
        <v>39535.296157407407</v>
      </c>
      <c r="BI2985" s="22">
        <v>39549.294907407406</v>
      </c>
      <c r="BL2985">
        <v>12700</v>
      </c>
      <c r="BM2985">
        <v>1595121</v>
      </c>
      <c r="BN2985" t="s">
        <v>1720</v>
      </c>
      <c r="BO2985" s="17">
        <f t="shared" ca="1" si="46"/>
        <v>14.013248495371954</v>
      </c>
      <c r="BP2985" t="b">
        <v>0</v>
      </c>
      <c r="BQ2985">
        <v>1</v>
      </c>
      <c r="BR2985" t="s">
        <v>1686</v>
      </c>
      <c r="BS2985" t="s">
        <v>1903</v>
      </c>
      <c r="BT2985" t="b">
        <v>0</v>
      </c>
      <c r="BU2985" t="s">
        <v>1738</v>
      </c>
      <c r="BV2985" t="s">
        <v>1668</v>
      </c>
      <c r="BW2985">
        <v>15805</v>
      </c>
      <c r="BY2985">
        <v>0</v>
      </c>
      <c r="BZ2985" t="s">
        <v>1672</v>
      </c>
      <c r="CA2985">
        <v>1</v>
      </c>
      <c r="CB2985" t="b">
        <v>1</v>
      </c>
      <c r="CC2985">
        <v>0</v>
      </c>
      <c r="CD2985" t="b">
        <v>0</v>
      </c>
      <c r="CE2985" t="b">
        <v>1</v>
      </c>
      <c r="CF2985" t="b">
        <v>0</v>
      </c>
      <c r="CG2985" t="s">
        <v>1870</v>
      </c>
      <c r="CH2985" t="s">
        <v>1681</v>
      </c>
      <c r="CI2985" s="10">
        <v>635000</v>
      </c>
      <c r="CJ2985" s="7">
        <v>36756</v>
      </c>
    </row>
    <row r="2986" spans="1:90">
      <c r="A2986">
        <v>28053239</v>
      </c>
      <c r="B2986" s="2" t="str">
        <f>HYPERLINK("http://www.redfin.com/stingray/do/printable-listing?listing-id=1606732","Active")</f>
        <v>Active</v>
      </c>
      <c r="D2986" t="s">
        <v>1058</v>
      </c>
      <c r="E2986" t="s">
        <v>6685</v>
      </c>
      <c r="F2986">
        <v>1200000</v>
      </c>
      <c r="G2986">
        <v>2004</v>
      </c>
      <c r="H2986">
        <v>3170</v>
      </c>
      <c r="I2986">
        <v>10625</v>
      </c>
      <c r="J2986">
        <v>5</v>
      </c>
      <c r="K2986">
        <v>3.5</v>
      </c>
      <c r="M2986" s="2" t="str">
        <f>HYPERLINK("http://maps.live.com/default.aspx?v=2&amp;lvl=15&amp;sp=Point.47.685693_-122.188012_9424 114th Ave NE&amp;cp=47.685693~-122.188012","Map")</f>
        <v>Map</v>
      </c>
      <c r="N2986" s="2" t="str">
        <f>HYPERLINK("http://i-0.rfimg.us/photo/1/bigphoto/239/28053239_0.jpg","Photo")</f>
        <v>Photo</v>
      </c>
      <c r="AG2986">
        <v>47.685693000000001</v>
      </c>
      <c r="AH2986">
        <v>-122.188012</v>
      </c>
      <c r="AI2986" t="s">
        <v>1058</v>
      </c>
      <c r="AJ2986">
        <v>98033</v>
      </c>
      <c r="AN2986">
        <v>806000</v>
      </c>
      <c r="BC2986" s="22">
        <v>39539.693935185183</v>
      </c>
      <c r="BI2986" s="22">
        <v>39549.294907407406</v>
      </c>
      <c r="BL2986">
        <v>24000</v>
      </c>
      <c r="BM2986">
        <v>1606732</v>
      </c>
      <c r="BN2986" t="s">
        <v>2136</v>
      </c>
      <c r="BO2986" s="17">
        <f t="shared" ca="1" si="46"/>
        <v>9.6154707175955991</v>
      </c>
      <c r="BP2986" t="b">
        <v>0</v>
      </c>
      <c r="BQ2986">
        <v>1</v>
      </c>
      <c r="BR2986" t="s">
        <v>1667</v>
      </c>
      <c r="BS2986" t="s">
        <v>4835</v>
      </c>
      <c r="BT2986" t="b">
        <v>0</v>
      </c>
      <c r="BV2986" t="s">
        <v>1668</v>
      </c>
      <c r="BW2986">
        <v>9424</v>
      </c>
      <c r="BX2986" t="s">
        <v>1738</v>
      </c>
      <c r="BY2986">
        <v>464466</v>
      </c>
      <c r="BZ2986" s="21">
        <v>0</v>
      </c>
      <c r="CA2986">
        <v>1</v>
      </c>
      <c r="CB2986" t="b">
        <v>1</v>
      </c>
      <c r="CC2986">
        <v>0</v>
      </c>
      <c r="CD2986" t="b">
        <v>0</v>
      </c>
      <c r="CE2986" t="b">
        <v>1</v>
      </c>
      <c r="CF2986" t="b">
        <v>0</v>
      </c>
      <c r="CG2986">
        <v>2464445</v>
      </c>
      <c r="CH2986" t="s">
        <v>1681</v>
      </c>
      <c r="CI2986" s="10">
        <v>1200000</v>
      </c>
      <c r="CJ2986" s="7">
        <v>38264</v>
      </c>
    </row>
    <row r="2987" spans="1:90">
      <c r="A2987">
        <v>28053246</v>
      </c>
      <c r="B2987" s="15" t="str">
        <f>HYPERLINK("http://www.redfin.com/stingray/do/printable-listing?listing-id=1596596","Subject To Inspection")</f>
        <v>Subject To Inspection</v>
      </c>
      <c r="D2987" t="s">
        <v>5204</v>
      </c>
      <c r="E2987" t="s">
        <v>6548</v>
      </c>
      <c r="F2987">
        <v>469000</v>
      </c>
      <c r="G2987">
        <v>1957</v>
      </c>
      <c r="H2987">
        <v>1800</v>
      </c>
      <c r="I2987">
        <v>8000</v>
      </c>
      <c r="J2987">
        <v>3</v>
      </c>
      <c r="K2987">
        <v>1.75</v>
      </c>
      <c r="M2987" s="2" t="str">
        <f>HYPERLINK("http://maps.live.com/default.aspx?v=2&amp;lvl=15&amp;sp=Point.47.60001_-122.121305_983 164th Ave SE&amp;cp=47.60001~-122.121305","Map")</f>
        <v>Map</v>
      </c>
      <c r="N2987" s="2" t="str">
        <f>HYPERLINK("http://i-0.rfimg.us/photo/1/bigphoto/246/28053246_0.jpg","Photo")</f>
        <v>Photo</v>
      </c>
      <c r="AG2987">
        <v>47.600009999999997</v>
      </c>
      <c r="AH2987">
        <v>-122.12130500000001</v>
      </c>
      <c r="AI2987" t="s">
        <v>369</v>
      </c>
      <c r="AJ2987">
        <v>98008</v>
      </c>
      <c r="AN2987">
        <v>265000</v>
      </c>
      <c r="BC2987" s="22">
        <v>39535.547997685186</v>
      </c>
      <c r="BI2987" s="7">
        <v>39541</v>
      </c>
      <c r="BL2987">
        <v>9380</v>
      </c>
      <c r="BM2987">
        <v>1596596</v>
      </c>
      <c r="BN2987" t="s">
        <v>1688</v>
      </c>
      <c r="BO2987" s="17">
        <f t="shared" ca="1" si="46"/>
        <v>13.761408217593271</v>
      </c>
      <c r="BP2987" t="b">
        <v>0</v>
      </c>
      <c r="BQ2987">
        <v>1</v>
      </c>
      <c r="BR2987" t="s">
        <v>1667</v>
      </c>
      <c r="BS2987" t="s">
        <v>5306</v>
      </c>
      <c r="BT2987" t="b">
        <v>0</v>
      </c>
      <c r="BV2987" t="s">
        <v>1668</v>
      </c>
      <c r="BW2987">
        <v>983</v>
      </c>
      <c r="BX2987" t="s">
        <v>3856</v>
      </c>
      <c r="BY2987">
        <v>426767</v>
      </c>
      <c r="BZ2987" t="s">
        <v>1672</v>
      </c>
      <c r="CA2987">
        <v>1</v>
      </c>
      <c r="CB2987" t="b">
        <v>1</v>
      </c>
      <c r="CC2987">
        <v>0</v>
      </c>
      <c r="CD2987" t="b">
        <v>0</v>
      </c>
      <c r="CE2987" t="b">
        <v>1</v>
      </c>
      <c r="CF2987" t="b">
        <v>0</v>
      </c>
      <c r="CG2987">
        <v>2460930</v>
      </c>
      <c r="CH2987" t="s">
        <v>1681</v>
      </c>
      <c r="CI2987" s="10">
        <v>469000</v>
      </c>
      <c r="CJ2987" s="7">
        <v>36784</v>
      </c>
    </row>
    <row r="2988" spans="1:90">
      <c r="A2988">
        <v>28053270</v>
      </c>
      <c r="B2988" s="2" t="str">
        <f>HYPERLINK("http://www.redfin.com/stingray/do/printable-listing?listing-id=1618286","Active")</f>
        <v>Active</v>
      </c>
      <c r="D2988" t="s">
        <v>4663</v>
      </c>
      <c r="E2988" t="s">
        <v>6853</v>
      </c>
      <c r="F2988">
        <v>625000</v>
      </c>
      <c r="G2988">
        <v>1963</v>
      </c>
      <c r="H2988">
        <v>2320</v>
      </c>
      <c r="I2988">
        <v>9525</v>
      </c>
      <c r="J2988">
        <v>5</v>
      </c>
      <c r="K2988">
        <v>2</v>
      </c>
      <c r="M2988" s="2" t="str">
        <f>HYPERLINK("http://maps.live.com/default.aspx?v=2&amp;lvl=15&amp;sp=Point.47.662885_-122.178647_12105 NE 64th St&amp;cp=47.662885~-122.178647","Map")</f>
        <v>Map</v>
      </c>
      <c r="N2988" s="2" t="str">
        <f>HYPERLINK("http://i-0.rfimg.us/photo/1/bigphoto/270/28053270_1.jpg","Photo")</f>
        <v>Photo</v>
      </c>
      <c r="AG2988">
        <v>47.662885000000003</v>
      </c>
      <c r="AH2988">
        <v>-122.178647</v>
      </c>
      <c r="AI2988" t="s">
        <v>1058</v>
      </c>
      <c r="AJ2988">
        <v>98033</v>
      </c>
      <c r="AN2988">
        <v>485000</v>
      </c>
      <c r="BC2988" s="22">
        <v>39542.67591435185</v>
      </c>
      <c r="BI2988" s="22">
        <v>39549.294907407406</v>
      </c>
      <c r="BL2988">
        <v>12500</v>
      </c>
      <c r="BM2988">
        <v>1618286</v>
      </c>
      <c r="BN2988" t="s">
        <v>2203</v>
      </c>
      <c r="BO2988" s="17">
        <f t="shared" ca="1" si="46"/>
        <v>6.6334915509287384</v>
      </c>
      <c r="BP2988" t="b">
        <v>0</v>
      </c>
      <c r="BQ2988">
        <v>1</v>
      </c>
      <c r="BR2988" t="s">
        <v>1686</v>
      </c>
      <c r="BS2988" t="s">
        <v>2405</v>
      </c>
      <c r="BT2988" t="b">
        <v>0</v>
      </c>
      <c r="BU2988" t="s">
        <v>1738</v>
      </c>
      <c r="BV2988" t="s">
        <v>1668</v>
      </c>
      <c r="BW2988">
        <v>12105</v>
      </c>
      <c r="BY2988">
        <v>514519</v>
      </c>
      <c r="BZ2988" t="s">
        <v>1709</v>
      </c>
      <c r="CA2988">
        <v>1</v>
      </c>
      <c r="CB2988" t="b">
        <v>1</v>
      </c>
      <c r="CC2988">
        <v>0</v>
      </c>
      <c r="CD2988" t="b">
        <v>0</v>
      </c>
      <c r="CE2988" t="b">
        <v>1</v>
      </c>
      <c r="CF2988" t="b">
        <v>0</v>
      </c>
      <c r="CG2988">
        <v>2549825</v>
      </c>
      <c r="CH2988" t="s">
        <v>1681</v>
      </c>
      <c r="CI2988" s="10">
        <v>625000</v>
      </c>
      <c r="CJ2988" s="7">
        <v>39470</v>
      </c>
    </row>
    <row r="2989" spans="1:90">
      <c r="A2989">
        <v>28053281</v>
      </c>
      <c r="B2989" s="15" t="str">
        <f>HYPERLINK("http://www.redfin.com/stingray/do/printable-listing?listing-id=1595298","Subject To Inspection")</f>
        <v>Subject To Inspection</v>
      </c>
      <c r="D2989" t="s">
        <v>1115</v>
      </c>
      <c r="E2989" t="s">
        <v>6513</v>
      </c>
      <c r="F2989">
        <v>1100000</v>
      </c>
      <c r="G2989">
        <v>1950</v>
      </c>
      <c r="H2989">
        <v>3840</v>
      </c>
      <c r="I2989">
        <v>11000</v>
      </c>
      <c r="J2989">
        <v>4</v>
      </c>
      <c r="K2989">
        <v>2.75</v>
      </c>
      <c r="M2989" s="2" t="str">
        <f>HYPERLINK("http://maps.live.com/default.aspx?v=2&amp;lvl=15&amp;sp=Point.47.681883_-122.273394_7315 51st Ave NE&amp;cp=47.681883~-122.273394","Map")</f>
        <v>Map</v>
      </c>
      <c r="N2989" s="2" t="str">
        <f>HYPERLINK("http://i-0.rfimg.us/photo/1/bigphoto/281/28053281_0.jpg","Photo")</f>
        <v>Photo</v>
      </c>
      <c r="AG2989">
        <v>47.681882999999999</v>
      </c>
      <c r="AH2989">
        <v>-122.273394</v>
      </c>
      <c r="AI2989" t="s">
        <v>66</v>
      </c>
      <c r="AJ2989">
        <v>98115</v>
      </c>
      <c r="BC2989" s="22">
        <v>39535.358923611115</v>
      </c>
      <c r="BI2989" s="22">
        <v>39549.294907407406</v>
      </c>
      <c r="BL2989">
        <v>22000</v>
      </c>
      <c r="BM2989">
        <v>1595298</v>
      </c>
      <c r="BN2989" t="s">
        <v>1685</v>
      </c>
      <c r="BO2989" s="17">
        <f t="shared" ca="1" si="46"/>
        <v>13.95048229166423</v>
      </c>
      <c r="BP2989" t="b">
        <v>0</v>
      </c>
      <c r="BQ2989">
        <v>1</v>
      </c>
      <c r="BR2989" t="s">
        <v>1667</v>
      </c>
      <c r="BS2989" t="s">
        <v>2469</v>
      </c>
      <c r="BT2989" t="b">
        <v>0</v>
      </c>
      <c r="BV2989" t="s">
        <v>1668</v>
      </c>
      <c r="BW2989">
        <v>7315</v>
      </c>
      <c r="BX2989" t="s">
        <v>1738</v>
      </c>
      <c r="BY2989">
        <v>321940</v>
      </c>
      <c r="BZ2989" t="s">
        <v>6514</v>
      </c>
      <c r="CA2989">
        <v>1</v>
      </c>
      <c r="CB2989" t="b">
        <v>1</v>
      </c>
      <c r="CC2989">
        <v>0</v>
      </c>
      <c r="CD2989" t="b">
        <v>0</v>
      </c>
      <c r="CE2989" t="b">
        <v>1</v>
      </c>
      <c r="CF2989" t="b">
        <v>0</v>
      </c>
      <c r="CG2989">
        <v>2716627</v>
      </c>
      <c r="CH2989" t="s">
        <v>1681</v>
      </c>
      <c r="CI2989" s="10">
        <v>1100000</v>
      </c>
    </row>
    <row r="2990" spans="1:90">
      <c r="A2990">
        <v>28053296</v>
      </c>
      <c r="B2990" s="2" t="str">
        <f>HYPERLINK("http://www.redfin.com/stingray/do/printable-listing?listing-id=1601313","Active")</f>
        <v>Active</v>
      </c>
      <c r="D2990" t="s">
        <v>3885</v>
      </c>
      <c r="E2990" t="s">
        <v>6654</v>
      </c>
      <c r="F2990">
        <v>610000</v>
      </c>
      <c r="G2990">
        <v>1988</v>
      </c>
      <c r="H2990">
        <v>2050</v>
      </c>
      <c r="I2990">
        <v>12142</v>
      </c>
      <c r="J2990">
        <v>3</v>
      </c>
      <c r="K2990">
        <v>2.5</v>
      </c>
      <c r="M2990" s="2" t="str">
        <f>HYPERLINK("http://maps.live.com/default.aspx?v=2&amp;lvl=15&amp;sp=Point.47.527212_-122.163201_13422 SE 85th St&amp;cp=47.527212~-122.163201","Map")</f>
        <v>Map</v>
      </c>
      <c r="N2990" s="2" t="str">
        <f>HYPERLINK("http://i-0.rfimg.us/photo/1/bigphoto/296/28053296_1.jpg","Photo")</f>
        <v>Photo</v>
      </c>
      <c r="AG2990">
        <v>47.527211999999999</v>
      </c>
      <c r="AH2990">
        <v>-122.163201</v>
      </c>
      <c r="AI2990" t="s">
        <v>3885</v>
      </c>
      <c r="AJ2990">
        <v>98059</v>
      </c>
      <c r="AN2990">
        <v>382000</v>
      </c>
      <c r="BC2990" s="22">
        <v>39538.34815972222</v>
      </c>
      <c r="BI2990" s="22">
        <v>39549.294907407406</v>
      </c>
      <c r="BL2990">
        <v>12200</v>
      </c>
      <c r="BM2990">
        <v>1601313</v>
      </c>
      <c r="BN2990" t="s">
        <v>1688</v>
      </c>
      <c r="BO2990" s="17">
        <f t="shared" ca="1" si="46"/>
        <v>10.961246180559101</v>
      </c>
      <c r="BP2990" t="b">
        <v>0</v>
      </c>
      <c r="BQ2990">
        <v>1</v>
      </c>
      <c r="BR2990" t="s">
        <v>1686</v>
      </c>
      <c r="BS2990" t="s">
        <v>1827</v>
      </c>
      <c r="BT2990" t="b">
        <v>0</v>
      </c>
      <c r="BU2990" t="s">
        <v>3856</v>
      </c>
      <c r="BV2990" t="s">
        <v>1668</v>
      </c>
      <c r="BW2990">
        <v>13422</v>
      </c>
      <c r="BY2990">
        <v>417661</v>
      </c>
      <c r="BZ2990" t="s">
        <v>1756</v>
      </c>
      <c r="CA2990">
        <v>1</v>
      </c>
      <c r="CB2990" t="b">
        <v>1</v>
      </c>
      <c r="CC2990">
        <v>0</v>
      </c>
      <c r="CD2990" t="b">
        <v>0</v>
      </c>
      <c r="CE2990" t="b">
        <v>1</v>
      </c>
      <c r="CF2990" t="b">
        <v>0</v>
      </c>
      <c r="CG2990">
        <v>2383820</v>
      </c>
      <c r="CH2990" t="s">
        <v>1681</v>
      </c>
      <c r="CI2990" s="10">
        <v>610000</v>
      </c>
      <c r="CJ2990" s="7">
        <v>37565</v>
      </c>
    </row>
    <row r="2991" spans="1:90">
      <c r="A2991">
        <v>28053363</v>
      </c>
      <c r="B2991" s="2" t="str">
        <f>HYPERLINK("http://www.redfin.com/stingray/do/printable-listing?listing-id=1596040","Active")</f>
        <v>Active</v>
      </c>
      <c r="D2991" t="s">
        <v>78</v>
      </c>
      <c r="E2991" t="s">
        <v>2307</v>
      </c>
      <c r="F2991">
        <v>574950</v>
      </c>
      <c r="G2991">
        <v>1938</v>
      </c>
      <c r="H2991">
        <v>2360</v>
      </c>
      <c r="I2991">
        <v>5230</v>
      </c>
      <c r="J2991">
        <v>3</v>
      </c>
      <c r="K2991">
        <v>2</v>
      </c>
      <c r="M2991" s="2" t="str">
        <f>HYPERLINK("http://maps.live.com/default.aspx?v=2&amp;lvl=15&amp;sp=Point.47.686696_-122.372511_1221 NW 80th St&amp;cp=47.686696~-122.372511","Map")</f>
        <v>Map</v>
      </c>
      <c r="N2991" s="2" t="str">
        <f>HYPERLINK("http://i-0.rfimg.us/photo/1/bigphoto/363/28053363_1.jpg","Photo")</f>
        <v>Photo</v>
      </c>
      <c r="AG2991">
        <v>47.686695999999998</v>
      </c>
      <c r="AH2991">
        <v>-122.372511</v>
      </c>
      <c r="AI2991" t="s">
        <v>66</v>
      </c>
      <c r="AJ2991">
        <v>98117</v>
      </c>
      <c r="AN2991">
        <v>520000</v>
      </c>
      <c r="BC2991" s="22">
        <v>39535.495358796295</v>
      </c>
      <c r="BI2991" s="22">
        <v>39549.294907407406</v>
      </c>
      <c r="BL2991">
        <v>11499</v>
      </c>
      <c r="BM2991">
        <v>1596040</v>
      </c>
      <c r="BN2991" t="s">
        <v>1710</v>
      </c>
      <c r="BO2991" s="17">
        <f t="shared" ca="1" si="46"/>
        <v>13.814047106483486</v>
      </c>
      <c r="BP2991" t="b">
        <v>0</v>
      </c>
      <c r="BQ2991">
        <v>1</v>
      </c>
      <c r="BR2991" t="s">
        <v>1686</v>
      </c>
      <c r="BS2991" t="s">
        <v>1711</v>
      </c>
      <c r="BT2991" t="b">
        <v>0</v>
      </c>
      <c r="BU2991" t="s">
        <v>1669</v>
      </c>
      <c r="BV2991" t="s">
        <v>1668</v>
      </c>
      <c r="BW2991">
        <v>1221</v>
      </c>
      <c r="BY2991">
        <v>495685</v>
      </c>
      <c r="BZ2991" t="s">
        <v>1709</v>
      </c>
      <c r="CA2991">
        <v>1</v>
      </c>
      <c r="CB2991" t="b">
        <v>1</v>
      </c>
      <c r="CC2991">
        <v>0</v>
      </c>
      <c r="CD2991" t="b">
        <v>0</v>
      </c>
      <c r="CE2991" t="b">
        <v>1</v>
      </c>
      <c r="CF2991" t="b">
        <v>0</v>
      </c>
      <c r="CG2991">
        <v>2677464</v>
      </c>
      <c r="CH2991" t="s">
        <v>1681</v>
      </c>
      <c r="CI2991" s="10">
        <v>574950</v>
      </c>
      <c r="CJ2991" s="7">
        <v>38530</v>
      </c>
    </row>
    <row r="2992" spans="1:90">
      <c r="A2992">
        <v>28053379</v>
      </c>
      <c r="B2992" s="2" t="str">
        <f>HYPERLINK("http://www.redfin.com/stingray/do/printable-listing?listing-id=1595742","Subject To Inspection")</f>
        <v>Subject To Inspection</v>
      </c>
      <c r="D2992" t="s">
        <v>5926</v>
      </c>
      <c r="E2992" t="s">
        <v>6564</v>
      </c>
      <c r="F2992">
        <v>410000</v>
      </c>
      <c r="G2992">
        <v>1900</v>
      </c>
      <c r="H2992">
        <v>0</v>
      </c>
      <c r="I2992">
        <v>0</v>
      </c>
      <c r="J2992">
        <v>3</v>
      </c>
      <c r="K2992">
        <v>1</v>
      </c>
      <c r="M2992" s="2" t="str">
        <f>HYPERLINK("http://maps.live.com/default.aspx?v=2&amp;lvl=15&amp;sp=adr.4401 Lincoln Ave NE (Unable to map),98055","Map")</f>
        <v>Map</v>
      </c>
      <c r="N2992" s="2" t="str">
        <f>HYPERLINK("http://i-0.rfimg.us/photo/1/bigphoto/379/28053379_.jpg","Photo")</f>
        <v>Photo</v>
      </c>
      <c r="AI2992" t="s">
        <v>1077</v>
      </c>
      <c r="AJ2992">
        <v>98055</v>
      </c>
      <c r="BC2992" s="22">
        <v>39535.443229166667</v>
      </c>
      <c r="BI2992" s="7">
        <v>39542</v>
      </c>
      <c r="BL2992">
        <v>8200</v>
      </c>
      <c r="BM2992">
        <v>1595742</v>
      </c>
      <c r="BN2992" t="s">
        <v>1688</v>
      </c>
      <c r="BO2992" s="17">
        <f t="shared" ca="1" si="46"/>
        <v>13.866176736111811</v>
      </c>
      <c r="BP2992" t="b">
        <v>0</v>
      </c>
      <c r="BQ2992">
        <v>2</v>
      </c>
      <c r="BR2992" t="s">
        <v>1667</v>
      </c>
      <c r="BS2992" t="s">
        <v>5939</v>
      </c>
      <c r="BT2992" t="b">
        <v>0</v>
      </c>
      <c r="BV2992" t="s">
        <v>1668</v>
      </c>
      <c r="BW2992">
        <v>4401</v>
      </c>
      <c r="BX2992" t="s">
        <v>1738</v>
      </c>
      <c r="BY2992">
        <v>0</v>
      </c>
      <c r="CA2992">
        <v>1</v>
      </c>
      <c r="CB2992" t="b">
        <v>1</v>
      </c>
      <c r="CC2992">
        <v>0</v>
      </c>
      <c r="CD2992" t="b">
        <v>0</v>
      </c>
      <c r="CE2992" t="b">
        <v>1</v>
      </c>
      <c r="CF2992" t="b">
        <v>0</v>
      </c>
      <c r="CG2992" t="s">
        <v>1870</v>
      </c>
      <c r="CH2992" t="s">
        <v>1681</v>
      </c>
      <c r="CI2992" s="10">
        <v>410000</v>
      </c>
    </row>
    <row r="2993" spans="1:90">
      <c r="A2993">
        <v>28053382</v>
      </c>
      <c r="B2993" s="2" t="str">
        <f>HYPERLINK("http://www.redfin.com/stingray/do/printable-listing?listing-id=1595708","Active")</f>
        <v>Active</v>
      </c>
      <c r="D2993" s="19" t="s">
        <v>1115</v>
      </c>
      <c r="E2993" t="s">
        <v>6517</v>
      </c>
      <c r="F2993">
        <v>449500</v>
      </c>
      <c r="G2993">
        <v>1950</v>
      </c>
      <c r="H2993">
        <v>1820</v>
      </c>
      <c r="I2993">
        <v>5576</v>
      </c>
      <c r="J2993">
        <v>2</v>
      </c>
      <c r="K2993">
        <v>1</v>
      </c>
      <c r="M2993" s="2" t="str">
        <f>HYPERLINK("http://maps.live.com/default.aspx?v=2&amp;lvl=15&amp;sp=Point.47.676563_-122.281843_6524 43rd Ave NE&amp;cp=47.676563~-122.281843","Map")</f>
        <v>Map</v>
      </c>
      <c r="N2993" s="2" t="str">
        <f>HYPERLINK("http://i-0.rfimg.us/photo/1/bigphoto/382/28053382_0.jpg","Photo")</f>
        <v>Photo</v>
      </c>
      <c r="AG2993">
        <v>47.676563000000002</v>
      </c>
      <c r="AH2993">
        <v>-122.28184299999999</v>
      </c>
      <c r="AI2993" t="s">
        <v>66</v>
      </c>
      <c r="AJ2993">
        <v>98115</v>
      </c>
      <c r="BC2993" s="22">
        <v>39535.432233796295</v>
      </c>
      <c r="BI2993" s="22">
        <v>39549.294907407406</v>
      </c>
      <c r="BL2993">
        <v>8990</v>
      </c>
      <c r="BM2993">
        <v>1595708</v>
      </c>
      <c r="BN2993" t="s">
        <v>1702</v>
      </c>
      <c r="BO2993" s="17">
        <f t="shared" ca="1" si="46"/>
        <v>13.877172106484068</v>
      </c>
      <c r="BP2993" t="b">
        <v>0</v>
      </c>
      <c r="BQ2993">
        <v>1</v>
      </c>
      <c r="BR2993" t="s">
        <v>1667</v>
      </c>
      <c r="BS2993" t="s">
        <v>3134</v>
      </c>
      <c r="BT2993" t="b">
        <v>0</v>
      </c>
      <c r="BV2993" t="s">
        <v>1668</v>
      </c>
      <c r="BW2993">
        <v>6524</v>
      </c>
      <c r="BX2993" t="s">
        <v>1738</v>
      </c>
      <c r="BY2993">
        <v>315067</v>
      </c>
      <c r="BZ2993" t="s">
        <v>1801</v>
      </c>
      <c r="CA2993">
        <v>1</v>
      </c>
      <c r="CB2993" t="b">
        <v>1</v>
      </c>
      <c r="CC2993">
        <v>0</v>
      </c>
      <c r="CD2993" t="b">
        <v>0</v>
      </c>
      <c r="CE2993" t="b">
        <v>1</v>
      </c>
      <c r="CF2993" t="b">
        <v>0</v>
      </c>
      <c r="CG2993">
        <v>2723805</v>
      </c>
      <c r="CH2993" t="s">
        <v>1681</v>
      </c>
      <c r="CI2993" s="10">
        <v>449500</v>
      </c>
    </row>
    <row r="2994" spans="1:90">
      <c r="A2994">
        <v>28053419</v>
      </c>
      <c r="B2994" s="2" t="str">
        <f>HYPERLINK("http://www.redfin.com/stingray/do/printable-listing?listing-id=1599348","Active")</f>
        <v>Active</v>
      </c>
      <c r="D2994" t="s">
        <v>5216</v>
      </c>
      <c r="E2994" t="s">
        <v>6593</v>
      </c>
      <c r="F2994">
        <v>889000</v>
      </c>
      <c r="G2994">
        <v>1961</v>
      </c>
      <c r="H2994">
        <v>3160</v>
      </c>
      <c r="I2994">
        <v>8468</v>
      </c>
      <c r="J2994">
        <v>4</v>
      </c>
      <c r="K2994">
        <v>3</v>
      </c>
      <c r="M2994" s="2" t="str">
        <f>HYPERLINK("http://maps.live.com/default.aspx?v=2&amp;lvl=15&amp;sp=Point.47.615539_-122.111216_510 172nd Ave NE&amp;cp=47.615539~-122.111216","Map")</f>
        <v>Map</v>
      </c>
      <c r="N2994" s="2" t="str">
        <f>HYPERLINK("http://i-0.rfimg.us/photo/1/bigphoto/419/28053419_0.jpg","Photo")</f>
        <v>Photo</v>
      </c>
      <c r="AG2994">
        <v>47.615538999999998</v>
      </c>
      <c r="AH2994">
        <v>-122.111216</v>
      </c>
      <c r="AI2994" t="s">
        <v>369</v>
      </c>
      <c r="AJ2994">
        <v>98008</v>
      </c>
      <c r="BC2994" s="22">
        <v>39536.547002314815</v>
      </c>
      <c r="BI2994" s="22">
        <v>39549.294907407406</v>
      </c>
      <c r="BL2994">
        <v>17780</v>
      </c>
      <c r="BM2994">
        <v>1599348</v>
      </c>
      <c r="BN2994" t="s">
        <v>2203</v>
      </c>
      <c r="BO2994" s="17">
        <f t="shared" ca="1" si="46"/>
        <v>12.76240358796349</v>
      </c>
      <c r="BP2994" t="b">
        <v>0</v>
      </c>
      <c r="BQ2994">
        <v>1</v>
      </c>
      <c r="BR2994" t="s">
        <v>1667</v>
      </c>
      <c r="BS2994" t="s">
        <v>4644</v>
      </c>
      <c r="BT2994" t="b">
        <v>0</v>
      </c>
      <c r="BV2994" t="s">
        <v>1668</v>
      </c>
      <c r="BW2994">
        <v>510</v>
      </c>
      <c r="BX2994" t="s">
        <v>1738</v>
      </c>
      <c r="BY2994">
        <v>501369</v>
      </c>
      <c r="BZ2994" t="s">
        <v>1701</v>
      </c>
      <c r="CA2994">
        <v>1</v>
      </c>
      <c r="CB2994" t="b">
        <v>1</v>
      </c>
      <c r="CC2994">
        <v>0</v>
      </c>
      <c r="CD2994" t="b">
        <v>0</v>
      </c>
      <c r="CE2994" t="b">
        <v>1</v>
      </c>
      <c r="CF2994" t="b">
        <v>0</v>
      </c>
      <c r="CG2994">
        <v>2952069</v>
      </c>
      <c r="CH2994" t="s">
        <v>1681</v>
      </c>
      <c r="CI2994" s="10">
        <v>889000</v>
      </c>
    </row>
    <row r="2995" spans="1:90">
      <c r="A2995">
        <v>28053426</v>
      </c>
      <c r="B2995" s="15" t="str">
        <f>HYPERLINK("http://www.redfin.com/stingray/do/printable-listing?listing-id=1596875","Subject To Inspection")</f>
        <v>Subject To Inspection</v>
      </c>
      <c r="D2995" t="s">
        <v>5119</v>
      </c>
      <c r="E2995" t="s">
        <v>6549</v>
      </c>
      <c r="F2995">
        <v>599000</v>
      </c>
      <c r="G2995">
        <v>1950</v>
      </c>
      <c r="H2995">
        <v>3050</v>
      </c>
      <c r="I2995">
        <v>15566</v>
      </c>
      <c r="J2995">
        <v>4</v>
      </c>
      <c r="K2995">
        <v>3</v>
      </c>
      <c r="M2995" s="2" t="str">
        <f>HYPERLINK("http://maps.live.com/default.aspx?v=2&amp;lvl=15&amp;sp=Point.47.587329_-122.175277_2604 123rd Ave SE&amp;cp=47.587329~-122.175277","Map")</f>
        <v>Map</v>
      </c>
      <c r="N2995" s="2" t="str">
        <f>HYPERLINK("http://i-0.rfimg.us/photo/1/bigphoto/426/28053426_3.jpg","Photo")</f>
        <v>Photo</v>
      </c>
      <c r="AG2995">
        <v>47.587328999999997</v>
      </c>
      <c r="AH2995">
        <v>-122.17527699999999</v>
      </c>
      <c r="AI2995" t="s">
        <v>369</v>
      </c>
      <c r="AJ2995">
        <v>98005</v>
      </c>
      <c r="BC2995" s="22">
        <v>39535.599803240744</v>
      </c>
      <c r="BI2995" s="22">
        <v>39549.294907407406</v>
      </c>
      <c r="BL2995">
        <v>11980</v>
      </c>
      <c r="BM2995">
        <v>1596875</v>
      </c>
      <c r="BN2995" t="s">
        <v>1674</v>
      </c>
      <c r="BO2995" s="17">
        <f t="shared" ca="1" si="46"/>
        <v>13.70960266203474</v>
      </c>
      <c r="BP2995" t="b">
        <v>0</v>
      </c>
      <c r="BQ2995">
        <v>1</v>
      </c>
      <c r="BR2995" t="s">
        <v>1667</v>
      </c>
      <c r="BS2995" t="s">
        <v>2882</v>
      </c>
      <c r="BT2995" t="b">
        <v>0</v>
      </c>
      <c r="BV2995" t="s">
        <v>1668</v>
      </c>
      <c r="BW2995">
        <v>2604</v>
      </c>
      <c r="BX2995" t="s">
        <v>3856</v>
      </c>
      <c r="BY2995">
        <v>507950</v>
      </c>
      <c r="BZ2995" t="s">
        <v>6550</v>
      </c>
      <c r="CA2995">
        <v>1</v>
      </c>
      <c r="CB2995" t="b">
        <v>1</v>
      </c>
      <c r="CC2995">
        <v>0</v>
      </c>
      <c r="CD2995" t="b">
        <v>0</v>
      </c>
      <c r="CE2995" t="b">
        <v>1</v>
      </c>
      <c r="CF2995" t="b">
        <v>0</v>
      </c>
      <c r="CG2995">
        <v>2796784</v>
      </c>
      <c r="CH2995" t="s">
        <v>1681</v>
      </c>
      <c r="CI2995" s="10">
        <v>599000</v>
      </c>
    </row>
    <row r="2996" spans="1:90">
      <c r="A2996">
        <v>28053429</v>
      </c>
      <c r="B2996" s="2" t="str">
        <f>HYPERLINK("http://www.redfin.com/stingray/do/printable-listing?listing-id=1595824","Active")</f>
        <v>Active</v>
      </c>
      <c r="D2996" t="s">
        <v>4611</v>
      </c>
      <c r="E2996" t="s">
        <v>6551</v>
      </c>
      <c r="F2996">
        <v>909800</v>
      </c>
      <c r="G2996">
        <v>2007</v>
      </c>
      <c r="H2996">
        <v>3119</v>
      </c>
      <c r="I2996">
        <v>5008</v>
      </c>
      <c r="J2996">
        <v>4</v>
      </c>
      <c r="K2996">
        <v>2.5</v>
      </c>
      <c r="M2996" s="2" t="str">
        <f>HYPERLINK("http://maps.live.com/default.aspx?v=2&amp;lvl=15&amp;sp=Point.47.625297_-122.12477_16125 Northup Way&amp;cp=47.625297~-122.12477","Map")</f>
        <v>Map</v>
      </c>
      <c r="N2996" s="2" t="str">
        <f>HYPERLINK("http://i-0.rfimg.us/photo/1/bigphoto/429/28053429_1.jpg","Photo")</f>
        <v>Photo</v>
      </c>
      <c r="AG2996">
        <v>47.625297000000003</v>
      </c>
      <c r="AH2996">
        <v>-122.12477</v>
      </c>
      <c r="AI2996" t="s">
        <v>369</v>
      </c>
      <c r="AJ2996">
        <v>98008</v>
      </c>
      <c r="BC2996" s="22">
        <v>39535.452777777777</v>
      </c>
      <c r="BI2996" s="22">
        <v>39549.294907407406</v>
      </c>
      <c r="BL2996">
        <v>18196</v>
      </c>
      <c r="BM2996">
        <v>1595824</v>
      </c>
      <c r="BN2996" t="s">
        <v>1798</v>
      </c>
      <c r="BO2996" s="17">
        <f t="shared" ca="1" si="46"/>
        <v>13.856628125002317</v>
      </c>
      <c r="BP2996" t="b">
        <v>0</v>
      </c>
      <c r="BQ2996">
        <v>1</v>
      </c>
      <c r="BR2996" t="s">
        <v>2463</v>
      </c>
      <c r="BS2996" t="s">
        <v>5135</v>
      </c>
      <c r="BT2996" t="b">
        <v>0</v>
      </c>
      <c r="BV2996" t="s">
        <v>1668</v>
      </c>
      <c r="BW2996">
        <v>16125</v>
      </c>
      <c r="BY2996">
        <v>12435452</v>
      </c>
      <c r="BZ2996" t="s">
        <v>2133</v>
      </c>
      <c r="CA2996">
        <v>1</v>
      </c>
      <c r="CB2996" t="b">
        <v>1</v>
      </c>
      <c r="CC2996">
        <v>0</v>
      </c>
      <c r="CD2996" t="b">
        <v>0</v>
      </c>
      <c r="CE2996" t="b">
        <v>1</v>
      </c>
      <c r="CF2996" t="b">
        <v>0</v>
      </c>
      <c r="CG2996">
        <v>15639200</v>
      </c>
      <c r="CH2996" t="s">
        <v>1681</v>
      </c>
      <c r="CI2996" s="10">
        <v>909800</v>
      </c>
    </row>
    <row r="2997" spans="1:90">
      <c r="A2997">
        <v>28053463</v>
      </c>
      <c r="B2997" s="15" t="str">
        <f>HYPERLINK("http://www.redfin.com/stingray/do/printable-listing?listing-id=1596706","Subject To Inspection")</f>
        <v>Subject To Inspection</v>
      </c>
      <c r="D2997" t="s">
        <v>6041</v>
      </c>
      <c r="E2997" t="s">
        <v>6559</v>
      </c>
      <c r="F2997">
        <v>357950</v>
      </c>
      <c r="G2997">
        <v>1960</v>
      </c>
      <c r="H2997">
        <v>2010</v>
      </c>
      <c r="I2997">
        <v>8750</v>
      </c>
      <c r="J2997">
        <v>4</v>
      </c>
      <c r="K2997">
        <v>1.75</v>
      </c>
      <c r="M2997" s="2" t="str">
        <f>HYPERLINK("http://maps.live.com/default.aspx?v=2&amp;lvl=15&amp;sp=Point.47.501225_-122.146941_14503 SE 114th Pl&amp;cp=47.501225~-122.146941","Map")</f>
        <v>Map</v>
      </c>
      <c r="N2997" s="2" t="str">
        <f>HYPERLINK("http://i-0.rfimg.us/photo/1/bigphoto/463/28053463_.jpg","Photo")</f>
        <v>Photo</v>
      </c>
      <c r="AG2997">
        <v>47.501224999999998</v>
      </c>
      <c r="AH2997">
        <v>-122.146941</v>
      </c>
      <c r="AI2997" t="s">
        <v>1077</v>
      </c>
      <c r="AJ2997">
        <v>98059</v>
      </c>
      <c r="AN2997">
        <v>205000</v>
      </c>
      <c r="BC2997" s="22">
        <v>39535.568865740737</v>
      </c>
      <c r="BI2997" s="22">
        <v>39549.294907407406</v>
      </c>
      <c r="BL2997">
        <v>7159</v>
      </c>
      <c r="BM2997">
        <v>1596706</v>
      </c>
      <c r="BN2997" t="s">
        <v>3236</v>
      </c>
      <c r="BO2997" s="17">
        <f t="shared" ca="1" si="46"/>
        <v>13.740540162041725</v>
      </c>
      <c r="BP2997" t="b">
        <v>0</v>
      </c>
      <c r="BQ2997">
        <v>1</v>
      </c>
      <c r="BR2997" t="s">
        <v>1842</v>
      </c>
      <c r="BS2997" t="s">
        <v>4835</v>
      </c>
      <c r="BT2997" t="b">
        <v>0</v>
      </c>
      <c r="BU2997" t="s">
        <v>3856</v>
      </c>
      <c r="BV2997" t="s">
        <v>1668</v>
      </c>
      <c r="BW2997">
        <v>14503</v>
      </c>
      <c r="BY2997">
        <v>243541</v>
      </c>
      <c r="BZ2997" t="s">
        <v>1762</v>
      </c>
      <c r="CA2997">
        <v>1</v>
      </c>
      <c r="CB2997" t="b">
        <v>1</v>
      </c>
      <c r="CC2997">
        <v>0</v>
      </c>
      <c r="CD2997" t="b">
        <v>0</v>
      </c>
      <c r="CE2997" t="b">
        <v>1</v>
      </c>
      <c r="CF2997" t="b">
        <v>0</v>
      </c>
      <c r="CG2997">
        <v>2720686</v>
      </c>
      <c r="CH2997" t="s">
        <v>1681</v>
      </c>
      <c r="CI2997" s="10">
        <v>357950</v>
      </c>
      <c r="CJ2997" s="7">
        <v>37431</v>
      </c>
    </row>
    <row r="2998" spans="1:90">
      <c r="A2998">
        <v>28053474</v>
      </c>
      <c r="B2998" s="2" t="str">
        <f>HYPERLINK("http://www.redfin.com/stingray/do/printable-listing?listing-id=1596504","Active")</f>
        <v>Active</v>
      </c>
      <c r="D2998" t="s">
        <v>2850</v>
      </c>
      <c r="E2998" t="s">
        <v>6541</v>
      </c>
      <c r="F2998">
        <v>385000</v>
      </c>
      <c r="G2998">
        <v>1973</v>
      </c>
      <c r="H2998">
        <v>1240</v>
      </c>
      <c r="I2998">
        <v>7209</v>
      </c>
      <c r="J2998">
        <v>3</v>
      </c>
      <c r="K2998">
        <v>1</v>
      </c>
      <c r="M2998" s="2" t="str">
        <f>HYPERLINK("http://maps.live.com/default.aspx?v=2&amp;lvl=15&amp;sp=Point.47.725333_-122.204375_10204 NE 139th St&amp;cp=47.725333~-122.204375","Map")</f>
        <v>Map</v>
      </c>
      <c r="N2998" s="2" t="str">
        <f>HYPERLINK("http://i-0.rfimg.us/photo/1/bigphoto/474/28053474_0.jpg","Photo")</f>
        <v>Photo</v>
      </c>
      <c r="AG2998">
        <v>47.725332999999999</v>
      </c>
      <c r="AH2998">
        <v>-122.204375</v>
      </c>
      <c r="AI2998" t="s">
        <v>1058</v>
      </c>
      <c r="AJ2998">
        <v>98034</v>
      </c>
      <c r="AN2998">
        <v>245000</v>
      </c>
      <c r="BC2998" s="22">
        <v>39535.526921296296</v>
      </c>
      <c r="BI2998" s="22">
        <v>39549.294907407406</v>
      </c>
      <c r="BL2998">
        <v>7700</v>
      </c>
      <c r="BM2998">
        <v>1596504</v>
      </c>
      <c r="BN2998" t="s">
        <v>1674</v>
      </c>
      <c r="BO2998" s="17">
        <f t="shared" ca="1" si="46"/>
        <v>13.782484606483195</v>
      </c>
      <c r="BP2998" t="b">
        <v>0</v>
      </c>
      <c r="BQ2998">
        <v>1</v>
      </c>
      <c r="BR2998" t="s">
        <v>1686</v>
      </c>
      <c r="BS2998" t="s">
        <v>4423</v>
      </c>
      <c r="BT2998" t="b">
        <v>0</v>
      </c>
      <c r="BU2998" t="s">
        <v>1738</v>
      </c>
      <c r="BV2998" t="s">
        <v>1668</v>
      </c>
      <c r="BW2998">
        <v>10204</v>
      </c>
      <c r="BY2998">
        <v>458234</v>
      </c>
      <c r="BZ2998" t="s">
        <v>1701</v>
      </c>
      <c r="CA2998">
        <v>1</v>
      </c>
      <c r="CB2998" t="b">
        <v>1</v>
      </c>
      <c r="CC2998">
        <v>0</v>
      </c>
      <c r="CD2998" t="b">
        <v>0</v>
      </c>
      <c r="CE2998" t="b">
        <v>1</v>
      </c>
      <c r="CF2998" t="b">
        <v>0</v>
      </c>
      <c r="CG2998">
        <v>2985039</v>
      </c>
      <c r="CH2998" t="s">
        <v>1681</v>
      </c>
      <c r="CI2998" s="10">
        <v>385000</v>
      </c>
      <c r="CJ2998" s="7">
        <v>37824</v>
      </c>
    </row>
    <row r="2999" spans="1:90">
      <c r="A2999">
        <v>28053487</v>
      </c>
      <c r="B2999" s="2" t="str">
        <f>HYPERLINK("http://www.redfin.com/stingray/do/printable-listing?listing-id=1596039","Active")</f>
        <v>Active</v>
      </c>
      <c r="D2999" t="s">
        <v>66</v>
      </c>
      <c r="E2999" t="s">
        <v>6524</v>
      </c>
      <c r="F2999" s="19">
        <v>315950</v>
      </c>
      <c r="G2999">
        <v>2008</v>
      </c>
      <c r="H2999">
        <v>1282</v>
      </c>
      <c r="I2999">
        <v>0</v>
      </c>
      <c r="J2999">
        <v>3</v>
      </c>
      <c r="K2999">
        <v>2</v>
      </c>
      <c r="M2999" s="2" t="str">
        <f>HYPERLINK("http://maps.live.com/default.aspx?v=2&amp;lvl=15&amp;sp=Point.47.601475_-122.306095_114 20th Ave S nxx&amp;cp=47.601475~-122.306095","Map")</f>
        <v>Map</v>
      </c>
      <c r="N2999" s="2" t="str">
        <f>HYPERLINK("http://i-0.rfimg.us/photo/1/bigphoto/487/28053487_0.jpg","Photo")</f>
        <v>Photo</v>
      </c>
      <c r="AG2999">
        <v>47.601475000000001</v>
      </c>
      <c r="AH2999">
        <v>-122.306095</v>
      </c>
      <c r="AI2999" t="s">
        <v>66</v>
      </c>
      <c r="AJ2999">
        <v>98168</v>
      </c>
      <c r="AM2999" t="s">
        <v>4643</v>
      </c>
      <c r="BC2999" s="22">
        <v>39535.494722222225</v>
      </c>
      <c r="BI2999" s="22">
        <v>39549.294907407406</v>
      </c>
      <c r="BL2999">
        <v>5999</v>
      </c>
      <c r="BM2999">
        <v>1596039</v>
      </c>
      <c r="BN2999" t="s">
        <v>6076</v>
      </c>
      <c r="BO2999" s="17">
        <f t="shared" ca="1" si="46"/>
        <v>13.814683680553571</v>
      </c>
      <c r="BP2999" t="b">
        <v>0</v>
      </c>
      <c r="BQ2999">
        <v>1</v>
      </c>
      <c r="BR2999" t="s">
        <v>1667</v>
      </c>
      <c r="BS2999" t="s">
        <v>1844</v>
      </c>
      <c r="BT2999" t="b">
        <v>0</v>
      </c>
      <c r="BV2999" t="s">
        <v>1668</v>
      </c>
      <c r="BW2999">
        <v>114</v>
      </c>
      <c r="BX2999" t="s">
        <v>1881</v>
      </c>
      <c r="BY2999">
        <v>12435475</v>
      </c>
      <c r="BZ2999" s="21">
        <v>0</v>
      </c>
      <c r="CA2999">
        <v>1</v>
      </c>
      <c r="CB2999" t="b">
        <v>1</v>
      </c>
      <c r="CC2999">
        <v>0</v>
      </c>
      <c r="CD2999" t="b">
        <v>0</v>
      </c>
      <c r="CE2999" t="b">
        <v>1</v>
      </c>
      <c r="CF2999" t="b">
        <v>0</v>
      </c>
      <c r="CG2999">
        <v>15639223</v>
      </c>
      <c r="CH2999" t="s">
        <v>1681</v>
      </c>
      <c r="CI2999" s="10">
        <v>299950</v>
      </c>
    </row>
    <row r="3000" spans="1:90">
      <c r="A3000">
        <v>28053506</v>
      </c>
      <c r="B3000" s="2" t="str">
        <f>HYPERLINK("http://www.redfin.com/stingray/do/printable-listing?listing-id=1599527","Active")</f>
        <v>Active</v>
      </c>
      <c r="D3000" t="s">
        <v>1077</v>
      </c>
      <c r="E3000" t="s">
        <v>6599</v>
      </c>
      <c r="F3000">
        <v>425000</v>
      </c>
      <c r="G3000">
        <v>1996</v>
      </c>
      <c r="H3000">
        <v>2010</v>
      </c>
      <c r="I3000">
        <v>7387</v>
      </c>
      <c r="J3000">
        <v>3</v>
      </c>
      <c r="K3000">
        <v>2.5</v>
      </c>
      <c r="M3000" s="2" t="str">
        <f>HYPERLINK("http://maps.live.com/default.aspx?v=2&amp;lvl=15&amp;sp=Point.47.509577_-122.164338_1958 Union Ave NE&amp;cp=47.509577~-122.164338","Map")</f>
        <v>Map</v>
      </c>
      <c r="N3000" s="2" t="str">
        <f>HYPERLINK("http://i-0.rfimg.us/photo/1/bigphoto/506/28053506_1.jpg","Photo")</f>
        <v>Photo</v>
      </c>
      <c r="AG3000">
        <v>47.509577</v>
      </c>
      <c r="AH3000">
        <v>-122.164338</v>
      </c>
      <c r="AI3000" t="s">
        <v>1077</v>
      </c>
      <c r="AJ3000">
        <v>98059</v>
      </c>
      <c r="AN3000">
        <v>390000</v>
      </c>
      <c r="BC3000" s="22">
        <v>39536.651261574072</v>
      </c>
      <c r="BI3000" s="22">
        <v>39549.294907407406</v>
      </c>
      <c r="BL3000">
        <v>8500</v>
      </c>
      <c r="BM3000">
        <v>1599527</v>
      </c>
      <c r="BN3000" t="s">
        <v>1700</v>
      </c>
      <c r="BO3000" s="17">
        <f t="shared" ca="1" si="46"/>
        <v>12.65814432870684</v>
      </c>
      <c r="BP3000" t="b">
        <v>0</v>
      </c>
      <c r="BQ3000">
        <v>1</v>
      </c>
      <c r="BR3000" t="s">
        <v>1667</v>
      </c>
      <c r="BS3000" t="s">
        <v>4075</v>
      </c>
      <c r="BT3000" t="b">
        <v>0</v>
      </c>
      <c r="BV3000" t="s">
        <v>1668</v>
      </c>
      <c r="BW3000">
        <v>1958</v>
      </c>
      <c r="BX3000" t="s">
        <v>1738</v>
      </c>
      <c r="BY3000">
        <v>409836</v>
      </c>
      <c r="BZ3000" t="s">
        <v>6600</v>
      </c>
      <c r="CA3000">
        <v>1</v>
      </c>
      <c r="CB3000" t="b">
        <v>1</v>
      </c>
      <c r="CC3000">
        <v>0</v>
      </c>
      <c r="CD3000" t="b">
        <v>0</v>
      </c>
      <c r="CE3000" t="b">
        <v>1</v>
      </c>
      <c r="CF3000" t="b">
        <v>0</v>
      </c>
      <c r="CG3000">
        <v>2346115</v>
      </c>
      <c r="CH3000" t="s">
        <v>1681</v>
      </c>
      <c r="CI3000" s="10">
        <v>425000</v>
      </c>
      <c r="CJ3000" s="7">
        <v>38595</v>
      </c>
    </row>
    <row r="3001" spans="1:90">
      <c r="A3001">
        <v>28053543</v>
      </c>
      <c r="B3001" s="2" t="str">
        <f>HYPERLINK("http://www.redfin.com/stingray/do/printable-listing?listing-id=1606881","Active")</f>
        <v>Active</v>
      </c>
      <c r="D3001" t="s">
        <v>4363</v>
      </c>
      <c r="E3001" t="s">
        <v>6688</v>
      </c>
      <c r="F3001">
        <v>720000</v>
      </c>
      <c r="G3001">
        <v>1987</v>
      </c>
      <c r="H3001">
        <v>2300</v>
      </c>
      <c r="I3001">
        <v>11254</v>
      </c>
      <c r="J3001">
        <v>4</v>
      </c>
      <c r="K3001">
        <v>2.5</v>
      </c>
      <c r="M3001" s="2" t="str">
        <f>HYPERLINK("http://maps.live.com/default.aspx?v=2&amp;lvl=15&amp;sp=Point.47.667147_-122.158945_13522 NE Old Redmond Rd&amp;cp=47.667147~-122.158945","Map")</f>
        <v>Map</v>
      </c>
      <c r="N3001" s="2" t="str">
        <f>HYPERLINK("http://i-0.rfimg.us/photo/1/bigphoto/543/28053543_1.jpg","Photo")</f>
        <v>Photo</v>
      </c>
      <c r="AG3001">
        <v>47.667147</v>
      </c>
      <c r="AH3001">
        <v>-122.158945</v>
      </c>
      <c r="AI3001" t="s">
        <v>4363</v>
      </c>
      <c r="AJ3001">
        <v>98052</v>
      </c>
      <c r="AN3001">
        <v>370500</v>
      </c>
      <c r="BC3001" s="22">
        <v>39539.74560185185</v>
      </c>
      <c r="BI3001" s="22">
        <v>39549.294907407406</v>
      </c>
      <c r="BL3001">
        <v>14400</v>
      </c>
      <c r="BM3001">
        <v>1606881</v>
      </c>
      <c r="BN3001" t="s">
        <v>5041</v>
      </c>
      <c r="BO3001" s="17">
        <f t="shared" ca="1" si="46"/>
        <v>9.5638040509293205</v>
      </c>
      <c r="BP3001" t="b">
        <v>0</v>
      </c>
      <c r="BQ3001">
        <v>1</v>
      </c>
      <c r="BR3001" t="s">
        <v>1949</v>
      </c>
      <c r="BS3001" t="s">
        <v>6689</v>
      </c>
      <c r="BT3001" t="b">
        <v>0</v>
      </c>
      <c r="BU3001" t="s">
        <v>1738</v>
      </c>
      <c r="BV3001" t="s">
        <v>1668</v>
      </c>
      <c r="BW3001">
        <v>13522</v>
      </c>
      <c r="BY3001">
        <v>514079</v>
      </c>
      <c r="BZ3001" t="s">
        <v>2429</v>
      </c>
      <c r="CA3001">
        <v>1</v>
      </c>
      <c r="CB3001" t="b">
        <v>1</v>
      </c>
      <c r="CC3001">
        <v>0</v>
      </c>
      <c r="CD3001" t="b">
        <v>0</v>
      </c>
      <c r="CE3001" t="b">
        <v>1</v>
      </c>
      <c r="CF3001" t="b">
        <v>0</v>
      </c>
      <c r="CG3001">
        <v>2623628</v>
      </c>
      <c r="CH3001" t="s">
        <v>1681</v>
      </c>
      <c r="CI3001" s="10">
        <v>720000</v>
      </c>
      <c r="CJ3001" s="7">
        <v>37867</v>
      </c>
    </row>
    <row r="3002" spans="1:90">
      <c r="A3002">
        <v>28053584</v>
      </c>
      <c r="B3002" s="15" t="str">
        <f>HYPERLINK("http://www.redfin.com/stingray/do/printable-listing?listing-id=1598753","Subject To Inspection")</f>
        <v>Subject To Inspection</v>
      </c>
      <c r="D3002" t="s">
        <v>3249</v>
      </c>
      <c r="E3002" t="s">
        <v>6579</v>
      </c>
      <c r="F3002">
        <v>724950</v>
      </c>
      <c r="G3002">
        <v>1906</v>
      </c>
      <c r="H3002">
        <v>0</v>
      </c>
      <c r="I3002">
        <v>4200</v>
      </c>
      <c r="J3002">
        <v>2</v>
      </c>
      <c r="K3002">
        <v>2</v>
      </c>
      <c r="M3002" s="2" t="str">
        <f>HYPERLINK("http://maps.live.com/default.aspx?v=2&amp;lvl=15&amp;sp=Point.47.637815_-122.373052_1963 12th Ave W&amp;cp=47.637815~-122.373052","Map")</f>
        <v>Map</v>
      </c>
      <c r="N3002" s="2" t="str">
        <f>HYPERLINK("http://i-0.rfimg.us/photo/1/bigphoto/584/28053584_0.jpg","Photo")</f>
        <v>Photo</v>
      </c>
      <c r="AG3002">
        <v>47.637815000000003</v>
      </c>
      <c r="AH3002">
        <v>-122.373052</v>
      </c>
      <c r="AI3002" t="s">
        <v>66</v>
      </c>
      <c r="AJ3002">
        <v>98119</v>
      </c>
      <c r="AN3002">
        <v>478000</v>
      </c>
      <c r="BC3002" s="22">
        <v>39536.348067129627</v>
      </c>
      <c r="BI3002" s="22">
        <v>39549.294907407406</v>
      </c>
      <c r="BL3002">
        <v>14499</v>
      </c>
      <c r="BM3002">
        <v>1598753</v>
      </c>
      <c r="BN3002" t="s">
        <v>1678</v>
      </c>
      <c r="BO3002" s="17">
        <f t="shared" ca="1" si="46"/>
        <v>12.96133877315151</v>
      </c>
      <c r="BP3002" t="b">
        <v>0</v>
      </c>
      <c r="BQ3002">
        <v>1</v>
      </c>
      <c r="BR3002" t="s">
        <v>1667</v>
      </c>
      <c r="BS3002" t="s">
        <v>1803</v>
      </c>
      <c r="BT3002" t="b">
        <v>0</v>
      </c>
      <c r="BV3002" t="s">
        <v>1668</v>
      </c>
      <c r="BW3002">
        <v>1963</v>
      </c>
      <c r="BX3002" t="s">
        <v>2423</v>
      </c>
      <c r="BY3002">
        <v>133291</v>
      </c>
      <c r="BZ3002" t="s">
        <v>1713</v>
      </c>
      <c r="CA3002">
        <v>1</v>
      </c>
      <c r="CB3002" t="b">
        <v>1</v>
      </c>
      <c r="CC3002">
        <v>0</v>
      </c>
      <c r="CD3002" t="b">
        <v>0</v>
      </c>
      <c r="CE3002" t="b">
        <v>1</v>
      </c>
      <c r="CF3002" t="b">
        <v>0</v>
      </c>
      <c r="CG3002">
        <v>2713516</v>
      </c>
      <c r="CH3002" t="s">
        <v>1681</v>
      </c>
      <c r="CI3002" s="10">
        <v>724950</v>
      </c>
      <c r="CJ3002" s="7">
        <v>37001</v>
      </c>
    </row>
    <row r="3003" spans="1:90">
      <c r="A3003">
        <v>28053614</v>
      </c>
      <c r="B3003" s="2" t="str">
        <f>HYPERLINK("http://www.redfin.com/stingray/do/printable-listing?listing-id=1596709","Active")</f>
        <v>Active</v>
      </c>
      <c r="D3003" t="s">
        <v>2552</v>
      </c>
      <c r="E3003" t="s">
        <v>3414</v>
      </c>
      <c r="F3003">
        <v>465000</v>
      </c>
      <c r="G3003">
        <v>1997</v>
      </c>
      <c r="H3003">
        <v>1810</v>
      </c>
      <c r="I3003">
        <v>0</v>
      </c>
      <c r="J3003">
        <v>3</v>
      </c>
      <c r="K3003">
        <v>2.25</v>
      </c>
      <c r="M3003" s="2" t="str">
        <f>HYPERLINK("http://maps.live.com/default.aspx?v=2&amp;lvl=15&amp;sp=Point.47.651323_-122.385536_3436 23 Ave W&amp;cp=47.651323~-122.385536","Map")</f>
        <v>Map</v>
      </c>
      <c r="N3003" s="2" t="str">
        <f>HYPERLINK("http://i-0.rfimg.us/photo/1/bigphoto/614/28053614_0.jpg","Photo")</f>
        <v>Photo</v>
      </c>
      <c r="AG3003">
        <v>47.651322999999998</v>
      </c>
      <c r="AH3003">
        <v>-122.385536</v>
      </c>
      <c r="AI3003" t="s">
        <v>66</v>
      </c>
      <c r="AJ3003">
        <v>98199</v>
      </c>
      <c r="AN3003">
        <v>209950</v>
      </c>
      <c r="BC3003" s="22">
        <v>39535.56890046296</v>
      </c>
      <c r="BI3003" s="22">
        <v>39549.294907407406</v>
      </c>
      <c r="BL3003">
        <v>9300</v>
      </c>
      <c r="BM3003">
        <v>1596709</v>
      </c>
      <c r="BN3003" t="s">
        <v>1678</v>
      </c>
      <c r="BO3003" s="17">
        <f t="shared" ca="1" si="46"/>
        <v>13.740505439818662</v>
      </c>
      <c r="BP3003" t="b">
        <v>0</v>
      </c>
      <c r="BQ3003">
        <v>1</v>
      </c>
      <c r="BR3003" t="s">
        <v>1667</v>
      </c>
      <c r="BS3003">
        <v>23</v>
      </c>
      <c r="BT3003" t="b">
        <v>0</v>
      </c>
      <c r="BV3003" t="s">
        <v>1668</v>
      </c>
      <c r="BW3003">
        <v>3436</v>
      </c>
      <c r="BX3003" t="s">
        <v>2423</v>
      </c>
      <c r="BY3003">
        <v>124801</v>
      </c>
      <c r="BZ3003" t="s">
        <v>1672</v>
      </c>
      <c r="CA3003">
        <v>1</v>
      </c>
      <c r="CB3003" t="b">
        <v>1</v>
      </c>
      <c r="CC3003">
        <v>0</v>
      </c>
      <c r="CD3003" t="b">
        <v>0</v>
      </c>
      <c r="CE3003" t="b">
        <v>1</v>
      </c>
      <c r="CF3003" t="b">
        <v>0</v>
      </c>
      <c r="CG3003">
        <v>2372927</v>
      </c>
      <c r="CH3003" t="s">
        <v>1681</v>
      </c>
      <c r="CI3003" s="10">
        <v>465000</v>
      </c>
      <c r="CJ3003" s="7">
        <v>35643</v>
      </c>
    </row>
    <row r="3004" spans="1:90">
      <c r="A3004">
        <v>28053637</v>
      </c>
      <c r="B3004" s="2" t="str">
        <f>HYPERLINK("http://www.redfin.com/stingray/do/printable-listing?listing-id=1597112","Active")</f>
        <v>Active</v>
      </c>
      <c r="D3004" t="s">
        <v>3704</v>
      </c>
      <c r="E3004" t="s">
        <v>6525</v>
      </c>
      <c r="F3004">
        <v>689700</v>
      </c>
      <c r="G3004">
        <v>2002</v>
      </c>
      <c r="H3004">
        <v>1691</v>
      </c>
      <c r="I3004">
        <v>0</v>
      </c>
      <c r="J3004">
        <v>3</v>
      </c>
      <c r="K3004">
        <v>3.5</v>
      </c>
      <c r="M3004" s="2" t="str">
        <f>HYPERLINK("http://maps.live.com/default.aspx?v=2&amp;lvl=15&amp;sp=Point.47.623814_-122.311593_517 16TH Ave E nB&amp;cp=47.623814~-122.311593","Map")</f>
        <v>Map</v>
      </c>
      <c r="N3004" s="2" t="str">
        <f>HYPERLINK("http://i-0.rfimg.us/photo/1/bigphoto/637/28053637_0.jpg","Photo")</f>
        <v>Photo</v>
      </c>
      <c r="AG3004">
        <v>47.623814000000003</v>
      </c>
      <c r="AH3004">
        <v>-122.311593</v>
      </c>
      <c r="AI3004" t="s">
        <v>66</v>
      </c>
      <c r="AJ3004">
        <v>98112</v>
      </c>
      <c r="AM3004" t="s">
        <v>1699</v>
      </c>
      <c r="BC3004" s="22">
        <v>39535.641377314816</v>
      </c>
      <c r="BI3004" s="22">
        <v>39549.294907407406</v>
      </c>
      <c r="BL3004">
        <v>13794</v>
      </c>
      <c r="BM3004">
        <v>1597112</v>
      </c>
      <c r="BN3004" t="s">
        <v>2902</v>
      </c>
      <c r="BO3004" s="17">
        <f t="shared" ca="1" si="46"/>
        <v>13.668028587962908</v>
      </c>
      <c r="BP3004" t="b">
        <v>0</v>
      </c>
      <c r="BQ3004">
        <v>1</v>
      </c>
      <c r="BR3004" t="s">
        <v>1667</v>
      </c>
      <c r="BS3004" t="s">
        <v>6526</v>
      </c>
      <c r="BT3004" t="b">
        <v>0</v>
      </c>
      <c r="BV3004" t="s">
        <v>1668</v>
      </c>
      <c r="BW3004">
        <v>517</v>
      </c>
      <c r="BX3004" t="s">
        <v>2436</v>
      </c>
      <c r="BY3004">
        <v>12435478</v>
      </c>
      <c r="BZ3004" t="s">
        <v>1762</v>
      </c>
      <c r="CA3004">
        <v>1</v>
      </c>
      <c r="CB3004" t="b">
        <v>1</v>
      </c>
      <c r="CC3004">
        <v>0</v>
      </c>
      <c r="CD3004" t="b">
        <v>0</v>
      </c>
      <c r="CE3004" t="b">
        <v>1</v>
      </c>
      <c r="CF3004" t="b">
        <v>0</v>
      </c>
      <c r="CG3004">
        <v>15639226</v>
      </c>
      <c r="CH3004" t="s">
        <v>1681</v>
      </c>
      <c r="CI3004" s="10">
        <v>689700</v>
      </c>
      <c r="CL3004" t="s">
        <v>2325</v>
      </c>
    </row>
    <row r="3005" spans="1:90">
      <c r="A3005">
        <v>28053647</v>
      </c>
      <c r="B3005" s="2" t="str">
        <f>HYPERLINK("http://www.redfin.com/stingray/do/printable-listing?listing-id=1596821","Active")</f>
        <v>Active</v>
      </c>
      <c r="D3005" t="s">
        <v>60</v>
      </c>
      <c r="E3005" t="s">
        <v>6510</v>
      </c>
      <c r="F3005" s="19">
        <v>557500</v>
      </c>
      <c r="G3005">
        <v>1910</v>
      </c>
      <c r="H3005">
        <v>2230</v>
      </c>
      <c r="I3005">
        <v>4000</v>
      </c>
      <c r="J3005">
        <v>3</v>
      </c>
      <c r="K3005">
        <v>1</v>
      </c>
      <c r="M3005" s="2" t="str">
        <f>HYPERLINK("http://maps.live.com/default.aspx?v=2&amp;lvl=15&amp;sp=Point.47.676157_-122.325544_6504 Latona NE&amp;cp=47.676157~-122.325544","Map")</f>
        <v>Map</v>
      </c>
      <c r="N3005" s="2" t="str">
        <f>HYPERLINK("http://i-0.rfimg.us/photo/1/bigphoto/647/28053647_1.jpg","Photo")</f>
        <v>Photo</v>
      </c>
      <c r="AG3005">
        <v>47.676157000000003</v>
      </c>
      <c r="AH3005">
        <v>-122.32554399999999</v>
      </c>
      <c r="AI3005" t="s">
        <v>66</v>
      </c>
      <c r="AJ3005">
        <v>98115</v>
      </c>
      <c r="BC3005" s="22">
        <v>39535.59033564815</v>
      </c>
      <c r="BI3005" s="22">
        <v>39549.294907407406</v>
      </c>
      <c r="BL3005">
        <v>11510</v>
      </c>
      <c r="BM3005">
        <v>1596821</v>
      </c>
      <c r="BN3005" t="s">
        <v>1674</v>
      </c>
      <c r="BO3005" s="17">
        <f t="shared" ca="1" si="46"/>
        <v>13.719070254628605</v>
      </c>
      <c r="BP3005" t="b">
        <v>0</v>
      </c>
      <c r="BQ3005">
        <v>1</v>
      </c>
      <c r="BS3005" t="s">
        <v>2395</v>
      </c>
      <c r="BT3005" t="b">
        <v>0</v>
      </c>
      <c r="BV3005" t="s">
        <v>1668</v>
      </c>
      <c r="BW3005">
        <v>6504</v>
      </c>
      <c r="BX3005" t="s">
        <v>1738</v>
      </c>
      <c r="BY3005">
        <v>307073</v>
      </c>
      <c r="BZ3005" t="s">
        <v>6511</v>
      </c>
      <c r="CA3005">
        <v>1</v>
      </c>
      <c r="CB3005" t="b">
        <v>1</v>
      </c>
      <c r="CC3005">
        <v>0</v>
      </c>
      <c r="CD3005" t="b">
        <v>0</v>
      </c>
      <c r="CE3005" t="b">
        <v>1</v>
      </c>
      <c r="CF3005" t="b">
        <v>0</v>
      </c>
      <c r="CG3005">
        <v>2878914</v>
      </c>
      <c r="CH3005" t="s">
        <v>1681</v>
      </c>
      <c r="CI3005" s="10">
        <v>575500</v>
      </c>
    </row>
    <row r="3006" spans="1:90">
      <c r="A3006">
        <v>28053650</v>
      </c>
      <c r="B3006" s="15" t="str">
        <f>HYPERLINK("http://www.redfin.com/stingray/do/printable-listing?listing-id=1614337","Subject To Inspection")</f>
        <v>Subject To Inspection</v>
      </c>
      <c r="D3006" t="s">
        <v>5191</v>
      </c>
      <c r="E3006" t="s">
        <v>6797</v>
      </c>
      <c r="F3006">
        <v>1188000</v>
      </c>
      <c r="G3006">
        <v>1972</v>
      </c>
      <c r="H3006">
        <v>3950</v>
      </c>
      <c r="I3006">
        <v>14500</v>
      </c>
      <c r="J3006">
        <v>5</v>
      </c>
      <c r="K3006">
        <v>2.5</v>
      </c>
      <c r="M3006" s="2" t="str">
        <f>HYPERLINK("http://maps.live.com/default.aspx?v=2&amp;lvl=15&amp;sp=Point.47.560069_-122.161317_4735 134th Pl SE&amp;cp=47.560069~-122.161317","Map")</f>
        <v>Map</v>
      </c>
      <c r="N3006" s="2" t="str">
        <f>HYPERLINK("http://i-0.rfimg.us/photo/1/bigphoto/650/28053650_3.jpg","Photo")</f>
        <v>Photo</v>
      </c>
      <c r="AG3006">
        <v>47.560068999999999</v>
      </c>
      <c r="AH3006">
        <v>-122.161317</v>
      </c>
      <c r="AI3006" t="s">
        <v>369</v>
      </c>
      <c r="AJ3006">
        <v>98006</v>
      </c>
      <c r="AN3006">
        <v>672500</v>
      </c>
      <c r="BC3006" s="22">
        <v>39541.673611111109</v>
      </c>
      <c r="BI3006" s="22">
        <v>39549.294907407406</v>
      </c>
      <c r="BL3006">
        <v>23760</v>
      </c>
      <c r="BM3006">
        <v>1614337</v>
      </c>
      <c r="BN3006" t="s">
        <v>1768</v>
      </c>
      <c r="BO3006" s="17">
        <f t="shared" ca="1" si="46"/>
        <v>7.6357947916694684</v>
      </c>
      <c r="BP3006" t="b">
        <v>0</v>
      </c>
      <c r="BQ3006">
        <v>1</v>
      </c>
      <c r="BR3006" t="s">
        <v>1842</v>
      </c>
      <c r="BS3006" t="s">
        <v>2855</v>
      </c>
      <c r="BT3006" t="b">
        <v>0</v>
      </c>
      <c r="BV3006" t="s">
        <v>1668</v>
      </c>
      <c r="BW3006">
        <v>4735</v>
      </c>
      <c r="BX3006" t="s">
        <v>3856</v>
      </c>
      <c r="BY3006">
        <v>236116</v>
      </c>
      <c r="BZ3006" t="s">
        <v>6798</v>
      </c>
      <c r="CA3006">
        <v>1</v>
      </c>
      <c r="CB3006" t="b">
        <v>1</v>
      </c>
      <c r="CC3006">
        <v>0</v>
      </c>
      <c r="CD3006" t="b">
        <v>0</v>
      </c>
      <c r="CE3006" t="b">
        <v>1</v>
      </c>
      <c r="CF3006" t="b">
        <v>0</v>
      </c>
      <c r="CG3006">
        <v>2858603</v>
      </c>
      <c r="CH3006" t="s">
        <v>1681</v>
      </c>
      <c r="CI3006" s="10">
        <v>1188000</v>
      </c>
      <c r="CJ3006" s="7">
        <v>37855</v>
      </c>
    </row>
    <row r="3007" spans="1:90">
      <c r="A3007">
        <v>28053670</v>
      </c>
      <c r="B3007" s="2" t="str">
        <f>HYPERLINK("http://www.redfin.com/stingray/do/printable-listing?listing-id=1609907","Active")</f>
        <v>Active</v>
      </c>
      <c r="D3007" t="s">
        <v>3924</v>
      </c>
      <c r="E3007" t="s">
        <v>6729</v>
      </c>
      <c r="F3007">
        <v>429000</v>
      </c>
      <c r="G3007">
        <v>1908</v>
      </c>
      <c r="H3007">
        <v>1140</v>
      </c>
      <c r="I3007">
        <v>5400</v>
      </c>
      <c r="J3007">
        <v>2</v>
      </c>
      <c r="K3007">
        <v>1</v>
      </c>
      <c r="M3007" s="2" t="str">
        <f>HYPERLINK("http://maps.live.com/default.aspx?v=2&amp;lvl=15&amp;sp=Point.47.620539_-122.294399_210 29th Ave E&amp;cp=47.620539~-122.294399","Map")</f>
        <v>Map</v>
      </c>
      <c r="N3007" s="2" t="str">
        <f>HYPERLINK("http://i-0.rfimg.us/photo/1/bigphoto/670/28053670_1.jpg","Photo")</f>
        <v>Photo</v>
      </c>
      <c r="AG3007">
        <v>47.620539000000001</v>
      </c>
      <c r="AH3007">
        <v>-122.294399</v>
      </c>
      <c r="AI3007" t="s">
        <v>66</v>
      </c>
      <c r="AJ3007">
        <v>98112</v>
      </c>
      <c r="AN3007">
        <v>115000</v>
      </c>
      <c r="BC3007" s="22">
        <v>39540.600474537037</v>
      </c>
      <c r="BI3007" s="22">
        <v>39549.294907407406</v>
      </c>
      <c r="BL3007">
        <v>8580</v>
      </c>
      <c r="BM3007">
        <v>1609907</v>
      </c>
      <c r="BN3007" t="s">
        <v>1710</v>
      </c>
      <c r="BO3007" s="17">
        <f t="shared" ca="1" si="46"/>
        <v>8.7089313657415914</v>
      </c>
      <c r="BP3007" t="b">
        <v>0</v>
      </c>
      <c r="BQ3007">
        <v>1</v>
      </c>
      <c r="BR3007" t="s">
        <v>1667</v>
      </c>
      <c r="BS3007" t="s">
        <v>1772</v>
      </c>
      <c r="BT3007" t="b">
        <v>0</v>
      </c>
      <c r="BV3007" t="s">
        <v>1668</v>
      </c>
      <c r="BW3007">
        <v>210</v>
      </c>
      <c r="BX3007" t="s">
        <v>2436</v>
      </c>
      <c r="BY3007">
        <v>147449</v>
      </c>
      <c r="BZ3007" t="s">
        <v>6730</v>
      </c>
      <c r="CA3007">
        <v>1</v>
      </c>
      <c r="CB3007" t="b">
        <v>1</v>
      </c>
      <c r="CC3007">
        <v>0</v>
      </c>
      <c r="CD3007" t="b">
        <v>0</v>
      </c>
      <c r="CE3007" t="b">
        <v>1</v>
      </c>
      <c r="CF3007" t="b">
        <v>0</v>
      </c>
      <c r="CG3007">
        <v>2434891</v>
      </c>
      <c r="CH3007" t="s">
        <v>1681</v>
      </c>
      <c r="CI3007" s="10">
        <v>429000</v>
      </c>
      <c r="CJ3007" s="7">
        <v>33388</v>
      </c>
    </row>
    <row r="3008" spans="1:90">
      <c r="A3008">
        <v>28053671</v>
      </c>
      <c r="B3008" s="2" t="str">
        <f>HYPERLINK("http://www.redfin.com/stingray/do/printable-listing?listing-id=1596873","Active")</f>
        <v>Active</v>
      </c>
      <c r="D3008" t="s">
        <v>3704</v>
      </c>
      <c r="E3008" t="s">
        <v>6531</v>
      </c>
      <c r="F3008">
        <v>399000</v>
      </c>
      <c r="G3008">
        <v>2008</v>
      </c>
      <c r="H3008">
        <v>1320</v>
      </c>
      <c r="I3008">
        <v>0</v>
      </c>
      <c r="J3008">
        <v>3</v>
      </c>
      <c r="K3008">
        <v>2.5</v>
      </c>
      <c r="M3008" s="2" t="str">
        <f>HYPERLINK("http://maps.live.com/default.aspx?v=2&amp;lvl=15&amp;sp=Point.47.612382_-122.30924_1129 18th Ave nB&amp;cp=47.612382~-122.30924","Map")</f>
        <v>Map</v>
      </c>
      <c r="N3008" s="2" t="str">
        <f>HYPERLINK("http://i-0.rfimg.us/photo/1/bigphoto/671/28053671_0.jpg","Photo")</f>
        <v>Photo</v>
      </c>
      <c r="AG3008">
        <v>47.612381999999997</v>
      </c>
      <c r="AH3008">
        <v>-122.30924</v>
      </c>
      <c r="AI3008" t="s">
        <v>66</v>
      </c>
      <c r="AJ3008">
        <v>98122</v>
      </c>
      <c r="AM3008" t="s">
        <v>1699</v>
      </c>
      <c r="BC3008" s="22">
        <v>39535.599791666667</v>
      </c>
      <c r="BI3008" s="22">
        <v>39549.294907407406</v>
      </c>
      <c r="BL3008">
        <v>7980</v>
      </c>
      <c r="BM3008">
        <v>1596873</v>
      </c>
      <c r="BN3008" t="s">
        <v>1674</v>
      </c>
      <c r="BO3008" s="17">
        <f t="shared" ca="1" si="46"/>
        <v>13.70961423611152</v>
      </c>
      <c r="BP3008" t="b">
        <v>0</v>
      </c>
      <c r="BQ3008">
        <v>1</v>
      </c>
      <c r="BR3008" t="s">
        <v>1667</v>
      </c>
      <c r="BS3008" t="s">
        <v>1909</v>
      </c>
      <c r="BT3008" t="b">
        <v>0</v>
      </c>
      <c r="BV3008" t="s">
        <v>1668</v>
      </c>
      <c r="BW3008">
        <v>1129</v>
      </c>
      <c r="BY3008">
        <v>12435591</v>
      </c>
      <c r="BZ3008" t="s">
        <v>1670</v>
      </c>
      <c r="CA3008">
        <v>1</v>
      </c>
      <c r="CB3008" t="b">
        <v>1</v>
      </c>
      <c r="CC3008">
        <v>0</v>
      </c>
      <c r="CD3008" t="b">
        <v>0</v>
      </c>
      <c r="CE3008" t="b">
        <v>1</v>
      </c>
      <c r="CF3008" t="b">
        <v>0</v>
      </c>
      <c r="CG3008">
        <v>15639331</v>
      </c>
      <c r="CH3008" t="s">
        <v>1681</v>
      </c>
      <c r="CI3008" s="10">
        <v>399000</v>
      </c>
    </row>
    <row r="3009" spans="1:89">
      <c r="A3009">
        <v>28053672</v>
      </c>
      <c r="B3009" s="2" t="str">
        <f>HYPERLINK("http://www.redfin.com/stingray/do/printable-listing?listing-id=1601948","Contingent")</f>
        <v>Contingent</v>
      </c>
      <c r="D3009" t="s">
        <v>5273</v>
      </c>
      <c r="E3009" t="s">
        <v>6650</v>
      </c>
      <c r="F3009">
        <v>759950</v>
      </c>
      <c r="G3009">
        <v>2008</v>
      </c>
      <c r="H3009">
        <v>3317</v>
      </c>
      <c r="I3009">
        <v>5400</v>
      </c>
      <c r="J3009">
        <v>5</v>
      </c>
      <c r="K3009">
        <v>4</v>
      </c>
      <c r="M3009" s="2" t="str">
        <f>HYPERLINK("http://maps.live.com/default.aspx?v=2&amp;lvl=15&amp;sp=adr.24768 SE 13th Pl (Unable to map),98075","Map")</f>
        <v>Map</v>
      </c>
      <c r="N3009" s="2" t="str">
        <f>HYPERLINK("http://i-0.rfimg.us/photo/1/bigphoto/672/28053672_0.jpg","Photo")</f>
        <v>Photo</v>
      </c>
      <c r="AI3009" t="s">
        <v>5273</v>
      </c>
      <c r="AJ3009">
        <v>98075</v>
      </c>
      <c r="BC3009" s="22">
        <v>39538.484594907408</v>
      </c>
      <c r="BI3009" s="22">
        <v>39549.294907407406</v>
      </c>
      <c r="BL3009">
        <v>15199</v>
      </c>
      <c r="BM3009">
        <v>1601948</v>
      </c>
      <c r="BN3009" t="s">
        <v>1768</v>
      </c>
      <c r="BO3009" s="17">
        <f t="shared" ca="1" si="46"/>
        <v>10.824810995371081</v>
      </c>
      <c r="BP3009" t="b">
        <v>0</v>
      </c>
      <c r="BQ3009">
        <v>2</v>
      </c>
      <c r="BR3009" t="s">
        <v>1842</v>
      </c>
      <c r="BS3009" t="s">
        <v>1809</v>
      </c>
      <c r="BT3009" t="b">
        <v>0</v>
      </c>
      <c r="BU3009" t="s">
        <v>3856</v>
      </c>
      <c r="BV3009" t="s">
        <v>1668</v>
      </c>
      <c r="BW3009">
        <v>24768</v>
      </c>
      <c r="BY3009">
        <v>0</v>
      </c>
      <c r="BZ3009" t="s">
        <v>1813</v>
      </c>
      <c r="CA3009">
        <v>1</v>
      </c>
      <c r="CB3009" t="b">
        <v>1</v>
      </c>
      <c r="CC3009">
        <v>0</v>
      </c>
      <c r="CD3009" t="b">
        <v>0</v>
      </c>
      <c r="CE3009" t="b">
        <v>1</v>
      </c>
      <c r="CF3009" t="b">
        <v>0</v>
      </c>
      <c r="CG3009" t="s">
        <v>1870</v>
      </c>
      <c r="CH3009" t="s">
        <v>1681</v>
      </c>
      <c r="CI3009" s="10">
        <v>759950</v>
      </c>
    </row>
    <row r="3010" spans="1:89">
      <c r="A3010">
        <v>28053704</v>
      </c>
      <c r="B3010" s="2" t="str">
        <f>HYPERLINK("http://www.redfin.com/stingray/do/printable-listing?listing-id=1596920","Active")</f>
        <v>Active</v>
      </c>
      <c r="D3010" t="s">
        <v>3704</v>
      </c>
      <c r="E3010" t="s">
        <v>6532</v>
      </c>
      <c r="F3010">
        <v>389000</v>
      </c>
      <c r="G3010">
        <v>2008</v>
      </c>
      <c r="H3010">
        <v>1320</v>
      </c>
      <c r="I3010">
        <v>0</v>
      </c>
      <c r="J3010">
        <v>3</v>
      </c>
      <c r="K3010">
        <v>2.5</v>
      </c>
      <c r="M3010" s="2" t="str">
        <f>HYPERLINK("http://maps.live.com/default.aspx?v=2&amp;lvl=15&amp;sp=Point.47.612392_-122.309003_1127 18th Ave nB&amp;cp=47.612392~-122.309003","Map")</f>
        <v>Map</v>
      </c>
      <c r="N3010" s="2" t="str">
        <f>HYPERLINK("http://i-0.rfimg.us/photo/1/bigphoto/704/28053704_0.jpg","Photo")</f>
        <v>Photo</v>
      </c>
      <c r="AG3010">
        <v>47.612392</v>
      </c>
      <c r="AH3010">
        <v>-122.309003</v>
      </c>
      <c r="AI3010" t="s">
        <v>66</v>
      </c>
      <c r="AJ3010">
        <v>98122</v>
      </c>
      <c r="AM3010" t="s">
        <v>1699</v>
      </c>
      <c r="BC3010" s="22">
        <v>39535.610729166663</v>
      </c>
      <c r="BI3010" s="22">
        <v>39549.294907407406</v>
      </c>
      <c r="BL3010">
        <v>7780</v>
      </c>
      <c r="BM3010">
        <v>1596920</v>
      </c>
      <c r="BN3010" t="s">
        <v>1674</v>
      </c>
      <c r="BO3010" s="17">
        <f t="shared" ref="BO3010:BO3073" ca="1" si="47">NOW()-BC3010</f>
        <v>13.698676736115885</v>
      </c>
      <c r="BP3010" t="b">
        <v>0</v>
      </c>
      <c r="BQ3010">
        <v>1</v>
      </c>
      <c r="BR3010" t="s">
        <v>1667</v>
      </c>
      <c r="BS3010" t="s">
        <v>1909</v>
      </c>
      <c r="BT3010" t="b">
        <v>0</v>
      </c>
      <c r="BV3010" t="s">
        <v>1668</v>
      </c>
      <c r="BW3010">
        <v>1127</v>
      </c>
      <c r="BY3010">
        <v>12435600</v>
      </c>
      <c r="BZ3010" t="s">
        <v>1747</v>
      </c>
      <c r="CA3010">
        <v>1</v>
      </c>
      <c r="CB3010" t="b">
        <v>1</v>
      </c>
      <c r="CC3010">
        <v>0</v>
      </c>
      <c r="CD3010" t="b">
        <v>0</v>
      </c>
      <c r="CE3010" t="b">
        <v>1</v>
      </c>
      <c r="CF3010" t="b">
        <v>0</v>
      </c>
      <c r="CG3010">
        <v>15639347</v>
      </c>
      <c r="CH3010" t="s">
        <v>1681</v>
      </c>
      <c r="CI3010" s="10">
        <v>389000</v>
      </c>
    </row>
    <row r="3011" spans="1:89">
      <c r="A3011">
        <v>28053709</v>
      </c>
      <c r="B3011" s="15" t="str">
        <f>HYPERLINK("http://www.redfin.com/stingray/do/printable-listing?listing-id=1596976","Subject To Inspection")</f>
        <v>Subject To Inspection</v>
      </c>
      <c r="D3011" t="s">
        <v>218</v>
      </c>
      <c r="E3011" t="s">
        <v>3144</v>
      </c>
      <c r="F3011">
        <v>938800</v>
      </c>
      <c r="G3011">
        <v>2008</v>
      </c>
      <c r="H3011">
        <v>3430</v>
      </c>
      <c r="I3011">
        <v>0</v>
      </c>
      <c r="J3011">
        <v>5</v>
      </c>
      <c r="K3011">
        <v>3.5</v>
      </c>
      <c r="M3011" s="2" t="str">
        <f>HYPERLINK("http://maps.live.com/default.aspx?v=2&amp;lvl=15&amp;sp=Point.47.682528_-122.305093_7314 21st Ave NE&amp;cp=47.682528~-122.305093","Map")</f>
        <v>Map</v>
      </c>
      <c r="N3011" s="2" t="str">
        <f>HYPERLINK("http://i-0.rfimg.us/photo/1/bigphoto/709/28053709_0.jpg","Photo")</f>
        <v>Photo</v>
      </c>
      <c r="AG3011">
        <v>47.682527999999998</v>
      </c>
      <c r="AH3011">
        <v>-122.305093</v>
      </c>
      <c r="AI3011" t="s">
        <v>66</v>
      </c>
      <c r="AJ3011">
        <v>98115</v>
      </c>
      <c r="BC3011" s="22">
        <v>39535.620983796296</v>
      </c>
      <c r="BI3011" s="22">
        <v>39549.294907407406</v>
      </c>
      <c r="BL3011">
        <v>18776</v>
      </c>
      <c r="BM3011">
        <v>1596976</v>
      </c>
      <c r="BN3011" t="s">
        <v>1685</v>
      </c>
      <c r="BO3011" s="17">
        <f t="shared" ca="1" si="47"/>
        <v>13.688422106482903</v>
      </c>
      <c r="BP3011" t="b">
        <v>0</v>
      </c>
      <c r="BQ3011">
        <v>1</v>
      </c>
      <c r="BR3011" t="s">
        <v>1667</v>
      </c>
      <c r="BS3011" t="s">
        <v>1903</v>
      </c>
      <c r="BT3011" t="b">
        <v>0</v>
      </c>
      <c r="BV3011" t="s">
        <v>1668</v>
      </c>
      <c r="BW3011">
        <v>7314</v>
      </c>
      <c r="BX3011" t="s">
        <v>1738</v>
      </c>
      <c r="BY3011">
        <v>12369184</v>
      </c>
      <c r="BZ3011" t="s">
        <v>1672</v>
      </c>
      <c r="CA3011">
        <v>1</v>
      </c>
      <c r="CB3011" t="b">
        <v>1</v>
      </c>
      <c r="CC3011">
        <v>0</v>
      </c>
      <c r="CD3011" t="b">
        <v>0</v>
      </c>
      <c r="CE3011" t="b">
        <v>1</v>
      </c>
      <c r="CF3011" t="b">
        <v>0</v>
      </c>
      <c r="CG3011">
        <v>15572932</v>
      </c>
      <c r="CH3011" t="s">
        <v>1681</v>
      </c>
      <c r="CI3011" s="10">
        <v>938800</v>
      </c>
    </row>
    <row r="3012" spans="1:89">
      <c r="A3012">
        <v>28053740</v>
      </c>
      <c r="B3012" s="15" t="str">
        <f>HYPERLINK("http://www.redfin.com/stingray/do/printable-listing?listing-id=1601150","Subject To Inspection")</f>
        <v>Subject To Inspection</v>
      </c>
      <c r="D3012" t="s">
        <v>207</v>
      </c>
      <c r="E3012" t="s">
        <v>6616</v>
      </c>
      <c r="F3012">
        <v>745000</v>
      </c>
      <c r="G3012">
        <v>1923</v>
      </c>
      <c r="H3012">
        <v>2165</v>
      </c>
      <c r="I3012">
        <v>4480</v>
      </c>
      <c r="J3012">
        <v>3</v>
      </c>
      <c r="K3012">
        <v>1.75</v>
      </c>
      <c r="M3012" s="2" t="str">
        <f>HYPERLINK("http://maps.live.com/default.aspx?v=2&amp;lvl=15&amp;sp=Point.47.669971_-122.294712_5550 30th Ave NE&amp;cp=47.669971~-122.294712","Map")</f>
        <v>Map</v>
      </c>
      <c r="N3012" s="2" t="str">
        <f>HYPERLINK("http://i-0.rfimg.us/photo/1/bigphoto/740/28053740_6.jpg","Photo")</f>
        <v>Photo</v>
      </c>
      <c r="AG3012">
        <v>47.669970999999997</v>
      </c>
      <c r="AH3012">
        <v>-122.294712</v>
      </c>
      <c r="AI3012" t="s">
        <v>66</v>
      </c>
      <c r="AJ3012">
        <v>98105</v>
      </c>
      <c r="AN3012">
        <v>315000</v>
      </c>
      <c r="BC3012" s="22">
        <v>39538.264594907407</v>
      </c>
      <c r="BI3012" s="22">
        <v>39549.294907407406</v>
      </c>
      <c r="BL3012">
        <v>14900</v>
      </c>
      <c r="BM3012">
        <v>1601150</v>
      </c>
      <c r="BN3012" t="s">
        <v>1768</v>
      </c>
      <c r="BO3012" s="17">
        <f t="shared" ca="1" si="47"/>
        <v>11.044810995372245</v>
      </c>
      <c r="BP3012" t="b">
        <v>0</v>
      </c>
      <c r="BQ3012">
        <v>1</v>
      </c>
      <c r="BR3012" t="s">
        <v>1667</v>
      </c>
      <c r="BS3012" t="s">
        <v>1818</v>
      </c>
      <c r="BT3012" t="b">
        <v>0</v>
      </c>
      <c r="BV3012" t="s">
        <v>1668</v>
      </c>
      <c r="BW3012">
        <v>5550</v>
      </c>
      <c r="BX3012" t="s">
        <v>1738</v>
      </c>
      <c r="BY3012">
        <v>312176</v>
      </c>
      <c r="BZ3012" s="21">
        <v>6.9444444444444447E-4</v>
      </c>
      <c r="CA3012">
        <v>1</v>
      </c>
      <c r="CB3012" t="b">
        <v>1</v>
      </c>
      <c r="CC3012">
        <v>0</v>
      </c>
      <c r="CD3012" t="b">
        <v>0</v>
      </c>
      <c r="CE3012" t="b">
        <v>1</v>
      </c>
      <c r="CF3012" t="b">
        <v>0</v>
      </c>
      <c r="CG3012">
        <v>2541708</v>
      </c>
      <c r="CH3012" t="s">
        <v>1681</v>
      </c>
      <c r="CI3012" s="10">
        <v>745000</v>
      </c>
      <c r="CJ3012" s="7">
        <v>35914</v>
      </c>
    </row>
    <row r="3013" spans="1:89">
      <c r="A3013">
        <v>28053769</v>
      </c>
      <c r="B3013" s="2" t="str">
        <f>HYPERLINK("http://www.redfin.com/stingray/do/printable-listing?listing-id=1599667","Active")</f>
        <v>Active</v>
      </c>
      <c r="D3013" t="s">
        <v>60</v>
      </c>
      <c r="E3013" t="s">
        <v>6568</v>
      </c>
      <c r="F3013">
        <v>545000</v>
      </c>
      <c r="G3013">
        <v>1986</v>
      </c>
      <c r="H3013">
        <v>2700</v>
      </c>
      <c r="I3013">
        <v>3000</v>
      </c>
      <c r="J3013">
        <v>4</v>
      </c>
      <c r="K3013">
        <v>2.75</v>
      </c>
      <c r="M3013" s="2" t="str">
        <f>HYPERLINK("http://maps.live.com/default.aspx?v=2&amp;lvl=15&amp;sp=Point.47.673248_-122.324749_6033 4 NE&amp;cp=47.673248~-122.324749","Map")</f>
        <v>Map</v>
      </c>
      <c r="N3013" s="2" t="str">
        <f>HYPERLINK("http://i-0.rfimg.us/photo/1/bigphoto/769/28053769_0.jpg","Photo")</f>
        <v>Photo</v>
      </c>
      <c r="AG3013">
        <v>47.673248000000001</v>
      </c>
      <c r="AH3013">
        <v>-122.324749</v>
      </c>
      <c r="AI3013" t="s">
        <v>66</v>
      </c>
      <c r="AJ3013">
        <v>98115</v>
      </c>
      <c r="AN3013">
        <v>99950</v>
      </c>
      <c r="BC3013" s="22">
        <v>39536.703634259262</v>
      </c>
      <c r="BI3013" s="22">
        <v>39549.294907407406</v>
      </c>
      <c r="BL3013">
        <v>10900</v>
      </c>
      <c r="BM3013">
        <v>1599667</v>
      </c>
      <c r="BN3013" t="s">
        <v>2556</v>
      </c>
      <c r="BO3013" s="17">
        <f t="shared" ca="1" si="47"/>
        <v>12.605771643517073</v>
      </c>
      <c r="BP3013" t="b">
        <v>0</v>
      </c>
      <c r="BQ3013">
        <v>1</v>
      </c>
      <c r="BS3013">
        <v>4</v>
      </c>
      <c r="BT3013" t="b">
        <v>0</v>
      </c>
      <c r="BV3013" t="s">
        <v>1668</v>
      </c>
      <c r="BW3013">
        <v>6033</v>
      </c>
      <c r="BX3013" t="s">
        <v>1738</v>
      </c>
      <c r="BY3013">
        <v>305296</v>
      </c>
      <c r="BZ3013" t="s">
        <v>1684</v>
      </c>
      <c r="CA3013">
        <v>1</v>
      </c>
      <c r="CB3013" t="b">
        <v>1</v>
      </c>
      <c r="CC3013">
        <v>0</v>
      </c>
      <c r="CD3013" t="b">
        <v>0</v>
      </c>
      <c r="CE3013" t="b">
        <v>1</v>
      </c>
      <c r="CF3013" t="b">
        <v>0</v>
      </c>
      <c r="CG3013">
        <v>2768083</v>
      </c>
      <c r="CH3013" t="s">
        <v>1681</v>
      </c>
      <c r="CI3013" s="10">
        <v>545000</v>
      </c>
      <c r="CJ3013" s="7">
        <v>31482</v>
      </c>
    </row>
    <row r="3014" spans="1:89">
      <c r="A3014">
        <v>28053772</v>
      </c>
      <c r="B3014" s="2" t="str">
        <f>HYPERLINK("http://www.redfin.com/stingray/do/printable-listing?listing-id=1597106","Active")</f>
        <v>Active</v>
      </c>
      <c r="D3014" t="s">
        <v>4805</v>
      </c>
      <c r="E3014" t="s">
        <v>4934</v>
      </c>
      <c r="F3014" s="19">
        <v>588000</v>
      </c>
      <c r="G3014">
        <v>1979</v>
      </c>
      <c r="H3014">
        <v>2360</v>
      </c>
      <c r="I3014">
        <v>8900</v>
      </c>
      <c r="J3014">
        <v>4</v>
      </c>
      <c r="K3014">
        <v>2.25</v>
      </c>
      <c r="M3014" s="2" t="str">
        <f>HYPERLINK("http://maps.live.com/default.aspx?v=2&amp;lvl=15&amp;sp=Point.47.662952_-122.14659_6220 145th Ave NE&amp;cp=47.662952~-122.14659","Map")</f>
        <v>Map</v>
      </c>
      <c r="N3014" s="2" t="str">
        <f>HYPERLINK("http://i-0.rfimg.us/photo/1/bigphoto/772/28053772_0.jpg","Photo")</f>
        <v>Photo</v>
      </c>
      <c r="AG3014">
        <v>47.662951999999997</v>
      </c>
      <c r="AH3014">
        <v>-122.14659</v>
      </c>
      <c r="AI3014" t="s">
        <v>4363</v>
      </c>
      <c r="AJ3014">
        <v>98052</v>
      </c>
      <c r="AN3014">
        <v>112250</v>
      </c>
      <c r="BC3014" s="22">
        <v>39535.641319444447</v>
      </c>
      <c r="BI3014" s="22">
        <v>39549.294907407406</v>
      </c>
      <c r="BL3014">
        <v>11980</v>
      </c>
      <c r="BM3014">
        <v>1597106</v>
      </c>
      <c r="BN3014" t="s">
        <v>1674</v>
      </c>
      <c r="BO3014" s="17">
        <f t="shared" ca="1" si="47"/>
        <v>13.668086458332255</v>
      </c>
      <c r="BP3014" t="b">
        <v>0</v>
      </c>
      <c r="BQ3014">
        <v>1</v>
      </c>
      <c r="BR3014" t="s">
        <v>1667</v>
      </c>
      <c r="BS3014" t="s">
        <v>4646</v>
      </c>
      <c r="BT3014" t="b">
        <v>0</v>
      </c>
      <c r="BV3014" t="s">
        <v>1668</v>
      </c>
      <c r="BW3014">
        <v>6220</v>
      </c>
      <c r="BX3014" t="s">
        <v>1738</v>
      </c>
      <c r="BY3014">
        <v>515391</v>
      </c>
      <c r="BZ3014" t="s">
        <v>1672</v>
      </c>
      <c r="CA3014">
        <v>1</v>
      </c>
      <c r="CB3014" t="b">
        <v>1</v>
      </c>
      <c r="CC3014">
        <v>0</v>
      </c>
      <c r="CD3014" t="b">
        <v>0</v>
      </c>
      <c r="CE3014" t="b">
        <v>1</v>
      </c>
      <c r="CF3014" t="b">
        <v>0</v>
      </c>
      <c r="CG3014">
        <v>2601442</v>
      </c>
      <c r="CH3014" t="s">
        <v>1681</v>
      </c>
      <c r="CI3014" s="10">
        <v>599000</v>
      </c>
      <c r="CJ3014" s="7">
        <v>31330</v>
      </c>
    </row>
    <row r="3015" spans="1:89">
      <c r="A3015">
        <v>28053782</v>
      </c>
      <c r="B3015" s="15" t="str">
        <f>HYPERLINK("http://www.redfin.com/stingray/do/printable-listing?listing-id=1597152","Subject To Inspection")</f>
        <v>Subject To Inspection</v>
      </c>
      <c r="D3015" t="s">
        <v>2552</v>
      </c>
      <c r="E3015" t="s">
        <v>6520</v>
      </c>
      <c r="F3015">
        <v>609000</v>
      </c>
      <c r="G3015">
        <v>1946</v>
      </c>
      <c r="H3015">
        <v>2340</v>
      </c>
      <c r="I3015">
        <v>5462</v>
      </c>
      <c r="J3015">
        <v>3</v>
      </c>
      <c r="K3015">
        <v>1</v>
      </c>
      <c r="M3015" s="2" t="str">
        <f>HYPERLINK("http://maps.live.com/default.aspx?v=2&amp;lvl=15&amp;sp=Point.47.645837_-122.403995_2827 36 Ave W&amp;cp=47.645837~-122.403995","Map")</f>
        <v>Map</v>
      </c>
      <c r="N3015" s="2" t="str">
        <f>HYPERLINK("http://i-0.rfimg.us/photo/1/bigphoto/782/28053782_0.jpg","Photo")</f>
        <v>Photo</v>
      </c>
      <c r="AG3015">
        <v>47.645837</v>
      </c>
      <c r="AH3015">
        <v>-122.40399499999999</v>
      </c>
      <c r="AI3015" t="s">
        <v>66</v>
      </c>
      <c r="AJ3015">
        <v>98199</v>
      </c>
      <c r="AN3015">
        <v>460000</v>
      </c>
      <c r="BC3015" s="22">
        <v>39535.652546296296</v>
      </c>
      <c r="BI3015" s="22">
        <v>39545.917314814818</v>
      </c>
      <c r="BL3015">
        <v>12180</v>
      </c>
      <c r="BM3015">
        <v>1597152</v>
      </c>
      <c r="BN3015" t="s">
        <v>1775</v>
      </c>
      <c r="BO3015" s="17">
        <f t="shared" ca="1" si="47"/>
        <v>13.656859606482612</v>
      </c>
      <c r="BP3015" t="b">
        <v>0</v>
      </c>
      <c r="BQ3015">
        <v>1</v>
      </c>
      <c r="BR3015" t="s">
        <v>1667</v>
      </c>
      <c r="BS3015">
        <v>36</v>
      </c>
      <c r="BT3015" t="b">
        <v>0</v>
      </c>
      <c r="BV3015" t="s">
        <v>1668</v>
      </c>
      <c r="BW3015">
        <v>2827</v>
      </c>
      <c r="BX3015" t="s">
        <v>2423</v>
      </c>
      <c r="BY3015">
        <v>128756</v>
      </c>
      <c r="BZ3015" t="s">
        <v>1747</v>
      </c>
      <c r="CA3015">
        <v>1</v>
      </c>
      <c r="CB3015" t="b">
        <v>1</v>
      </c>
      <c r="CC3015">
        <v>0</v>
      </c>
      <c r="CD3015" t="b">
        <v>0</v>
      </c>
      <c r="CE3015" t="b">
        <v>1</v>
      </c>
      <c r="CF3015" t="b">
        <v>0</v>
      </c>
      <c r="CG3015">
        <v>2724545</v>
      </c>
      <c r="CH3015" t="s">
        <v>1681</v>
      </c>
      <c r="CI3015" s="10">
        <v>609000</v>
      </c>
      <c r="CJ3015" s="7">
        <v>38547</v>
      </c>
    </row>
    <row r="3016" spans="1:89">
      <c r="A3016">
        <v>28053798</v>
      </c>
      <c r="B3016" s="2" t="str">
        <f>HYPERLINK("http://www.redfin.com/stingray/do/printable-listing?listing-id=1604416","Active")</f>
        <v>Active</v>
      </c>
      <c r="D3016" t="s">
        <v>5281</v>
      </c>
      <c r="E3016" t="s">
        <v>5862</v>
      </c>
      <c r="F3016">
        <v>685000</v>
      </c>
      <c r="G3016">
        <v>1984</v>
      </c>
      <c r="H3016">
        <v>2370</v>
      </c>
      <c r="I3016">
        <v>8820</v>
      </c>
      <c r="J3016">
        <v>4</v>
      </c>
      <c r="K3016">
        <v>2.25</v>
      </c>
      <c r="M3016" s="2" t="str">
        <f>HYPERLINK("http://maps.live.com/default.aspx?v=2&amp;lvl=15&amp;sp=Point.47.563115_-122.085269_4523 191st Ave SE&amp;cp=47.563115~-122.085269","Map")</f>
        <v>Map</v>
      </c>
      <c r="N3016" s="2" t="str">
        <f>HYPERLINK("http://i-0.rfimg.us/photo/1/bigphoto/798/28053798_0.jpg","Photo")</f>
        <v>Photo</v>
      </c>
      <c r="AG3016">
        <v>47.563115000000003</v>
      </c>
      <c r="AH3016">
        <v>-122.085269</v>
      </c>
      <c r="AI3016" t="s">
        <v>5280</v>
      </c>
      <c r="AJ3016">
        <v>98027</v>
      </c>
      <c r="AN3016">
        <v>132000</v>
      </c>
      <c r="BC3016" s="22">
        <v>39539.30740740741</v>
      </c>
      <c r="BI3016" s="22">
        <v>39549.294907407406</v>
      </c>
      <c r="BL3016">
        <v>13700</v>
      </c>
      <c r="BM3016">
        <v>1604416</v>
      </c>
      <c r="BN3016" t="s">
        <v>1768</v>
      </c>
      <c r="BO3016" s="17">
        <f t="shared" ca="1" si="47"/>
        <v>10.001998495368753</v>
      </c>
      <c r="BP3016" t="b">
        <v>0</v>
      </c>
      <c r="BQ3016">
        <v>1</v>
      </c>
      <c r="BR3016" t="s">
        <v>1667</v>
      </c>
      <c r="BS3016" t="s">
        <v>5279</v>
      </c>
      <c r="BT3016" t="b">
        <v>0</v>
      </c>
      <c r="BV3016" t="s">
        <v>1668</v>
      </c>
      <c r="BW3016">
        <v>4523</v>
      </c>
      <c r="BX3016" t="s">
        <v>3856</v>
      </c>
      <c r="BY3016">
        <v>326835</v>
      </c>
      <c r="BZ3016" t="s">
        <v>1672</v>
      </c>
      <c r="CA3016">
        <v>1</v>
      </c>
      <c r="CB3016" t="b">
        <v>1</v>
      </c>
      <c r="CC3016">
        <v>0</v>
      </c>
      <c r="CD3016" t="b">
        <v>0</v>
      </c>
      <c r="CE3016" t="b">
        <v>1</v>
      </c>
      <c r="CF3016" t="b">
        <v>0</v>
      </c>
      <c r="CG3016">
        <v>2842294</v>
      </c>
      <c r="CH3016" t="s">
        <v>1681</v>
      </c>
      <c r="CI3016" s="10">
        <v>685000</v>
      </c>
      <c r="CJ3016" s="7">
        <v>31121</v>
      </c>
    </row>
    <row r="3017" spans="1:89">
      <c r="A3017">
        <v>28053873</v>
      </c>
      <c r="B3017" s="15" t="str">
        <f>HYPERLINK("http://www.redfin.com/stingray/do/printable-listing?listing-id=1598813","Contingent")</f>
        <v>Contingent</v>
      </c>
      <c r="D3017" t="s">
        <v>2552</v>
      </c>
      <c r="E3017" t="s">
        <v>6577</v>
      </c>
      <c r="F3017">
        <v>699950</v>
      </c>
      <c r="G3017">
        <v>1953</v>
      </c>
      <c r="H3017">
        <v>2920</v>
      </c>
      <c r="I3017">
        <v>5800</v>
      </c>
      <c r="J3017">
        <v>3</v>
      </c>
      <c r="K3017">
        <v>2</v>
      </c>
      <c r="M3017" s="2" t="str">
        <f>HYPERLINK("http://maps.live.com/default.aspx?v=2&amp;lvl=15&amp;sp=Point.47.649597_-122.410371_3230 42nd Ave W&amp;cp=47.649597~-122.410371","Map")</f>
        <v>Map</v>
      </c>
      <c r="N3017" s="2" t="str">
        <f>HYPERLINK("http://i-0.rfimg.us/photo/1/bigphoto/873/28053873_1.jpg","Photo")</f>
        <v>Photo</v>
      </c>
      <c r="AG3017">
        <v>47.649597</v>
      </c>
      <c r="AH3017">
        <v>-122.410371</v>
      </c>
      <c r="AI3017" t="s">
        <v>66</v>
      </c>
      <c r="AJ3017">
        <v>98199</v>
      </c>
      <c r="BC3017" s="22">
        <v>39536.369270833333</v>
      </c>
      <c r="BI3017" s="22">
        <v>39549.294907407406</v>
      </c>
      <c r="BL3017">
        <v>13999</v>
      </c>
      <c r="BM3017">
        <v>1598813</v>
      </c>
      <c r="BN3017" t="s">
        <v>2360</v>
      </c>
      <c r="BO3017" s="17">
        <f t="shared" ca="1" si="47"/>
        <v>12.940135069446114</v>
      </c>
      <c r="BP3017" t="b">
        <v>0</v>
      </c>
      <c r="BQ3017">
        <v>1</v>
      </c>
      <c r="BR3017" t="s">
        <v>1667</v>
      </c>
      <c r="BS3017" t="s">
        <v>3371</v>
      </c>
      <c r="BT3017" t="b">
        <v>0</v>
      </c>
      <c r="BV3017" t="s">
        <v>1668</v>
      </c>
      <c r="BW3017">
        <v>3230</v>
      </c>
      <c r="BX3017" t="s">
        <v>2423</v>
      </c>
      <c r="BY3017">
        <v>125187</v>
      </c>
      <c r="BZ3017" t="s">
        <v>2646</v>
      </c>
      <c r="CA3017">
        <v>1</v>
      </c>
      <c r="CB3017" t="b">
        <v>1</v>
      </c>
      <c r="CC3017">
        <v>0</v>
      </c>
      <c r="CD3017" t="b">
        <v>0</v>
      </c>
      <c r="CE3017" t="b">
        <v>1</v>
      </c>
      <c r="CF3017" t="b">
        <v>0</v>
      </c>
      <c r="CG3017">
        <v>2872537</v>
      </c>
      <c r="CH3017" t="s">
        <v>1681</v>
      </c>
      <c r="CI3017" s="10">
        <v>699950</v>
      </c>
    </row>
    <row r="3018" spans="1:89">
      <c r="A3018">
        <v>28053933</v>
      </c>
      <c r="B3018" s="2" t="str">
        <f>HYPERLINK("http://www.redfin.com/stingray/do/printable-listing?listing-id=1597586","Active")</f>
        <v>Active</v>
      </c>
      <c r="D3018" t="s">
        <v>5618</v>
      </c>
      <c r="E3018" t="s">
        <v>6557</v>
      </c>
      <c r="F3018">
        <v>649000</v>
      </c>
      <c r="G3018">
        <v>1978</v>
      </c>
      <c r="H3018">
        <v>0</v>
      </c>
      <c r="I3018">
        <v>8500</v>
      </c>
      <c r="J3018">
        <v>4</v>
      </c>
      <c r="K3018">
        <v>2.75</v>
      </c>
      <c r="M3018" s="2" t="str">
        <f>HYPERLINK("http://maps.live.com/default.aspx?v=2&amp;lvl=15&amp;sp=Point.47.560735_-122.129594_4724 158th Ave SE&amp;cp=47.560735~-122.129594","Map")</f>
        <v>Map</v>
      </c>
      <c r="N3018" s="2" t="str">
        <f>HYPERLINK("http://i-0.rfimg.us/photo/1/bigphoto/933/28053933_0.jpg","Photo")</f>
        <v>Photo</v>
      </c>
      <c r="AG3018">
        <v>47.560735000000001</v>
      </c>
      <c r="AH3018">
        <v>-122.129594</v>
      </c>
      <c r="AI3018" t="s">
        <v>369</v>
      </c>
      <c r="AJ3018">
        <v>98006</v>
      </c>
      <c r="AN3018">
        <v>315000</v>
      </c>
      <c r="BC3018" s="22">
        <v>39535.766400462962</v>
      </c>
      <c r="BI3018" s="22">
        <v>39549.294907407406</v>
      </c>
      <c r="BL3018">
        <v>12980</v>
      </c>
      <c r="BM3018">
        <v>1597586</v>
      </c>
      <c r="BN3018" t="s">
        <v>1688</v>
      </c>
      <c r="BO3018" s="17">
        <f t="shared" ca="1" si="47"/>
        <v>13.543005439816625</v>
      </c>
      <c r="BP3018" t="b">
        <v>0</v>
      </c>
      <c r="BQ3018">
        <v>1</v>
      </c>
      <c r="BR3018" t="s">
        <v>1667</v>
      </c>
      <c r="BS3018" t="s">
        <v>5289</v>
      </c>
      <c r="BT3018" t="b">
        <v>0</v>
      </c>
      <c r="BV3018" t="s">
        <v>1668</v>
      </c>
      <c r="BW3018">
        <v>4724</v>
      </c>
      <c r="BX3018" t="s">
        <v>3856</v>
      </c>
      <c r="BY3018">
        <v>237941</v>
      </c>
      <c r="BZ3018" t="s">
        <v>1696</v>
      </c>
      <c r="CA3018">
        <v>1</v>
      </c>
      <c r="CB3018" t="b">
        <v>1</v>
      </c>
      <c r="CC3018">
        <v>0</v>
      </c>
      <c r="CD3018" t="b">
        <v>0</v>
      </c>
      <c r="CE3018" t="b">
        <v>1</v>
      </c>
      <c r="CF3018" t="b">
        <v>0</v>
      </c>
      <c r="CG3018">
        <v>2964448</v>
      </c>
      <c r="CH3018" t="s">
        <v>1681</v>
      </c>
      <c r="CI3018" s="10">
        <v>649000</v>
      </c>
      <c r="CJ3018" s="7">
        <v>36224</v>
      </c>
    </row>
    <row r="3019" spans="1:89">
      <c r="A3019">
        <v>28053936</v>
      </c>
      <c r="B3019" s="2" t="str">
        <f>HYPERLINK("http://www.redfin.com/stingray/do/printable-listing?listing-id=1597676","Active")</f>
        <v>Active</v>
      </c>
      <c r="D3019" t="s">
        <v>5198</v>
      </c>
      <c r="E3019" t="s">
        <v>6553</v>
      </c>
      <c r="F3019">
        <v>389950</v>
      </c>
      <c r="G3019">
        <v>1969</v>
      </c>
      <c r="H3019">
        <v>1290</v>
      </c>
      <c r="I3019">
        <v>1646</v>
      </c>
      <c r="J3019">
        <v>2</v>
      </c>
      <c r="K3019">
        <v>1.5</v>
      </c>
      <c r="M3019" s="2" t="str">
        <f>HYPERLINK("http://maps.live.com/default.aspx?v=2&amp;lvl=15&amp;sp=Point.47.61174_-122.116052_210 168th Ave NE&amp;cp=47.61174~-122.116052","Map")</f>
        <v>Map</v>
      </c>
      <c r="N3019" s="2" t="str">
        <f>HYPERLINK("http://i-0.rfimg.us/photo/1/bigphoto/936/28053936_.jpg","Photo")</f>
        <v>Photo</v>
      </c>
      <c r="AG3019">
        <v>47.611739999999998</v>
      </c>
      <c r="AH3019">
        <v>-122.116052</v>
      </c>
      <c r="AI3019" t="s">
        <v>369</v>
      </c>
      <c r="AJ3019">
        <v>98008</v>
      </c>
      <c r="AN3019">
        <v>201000</v>
      </c>
      <c r="BC3019" s="22">
        <v>39535.818055555559</v>
      </c>
      <c r="BI3019" s="22">
        <v>39549.294907407406</v>
      </c>
      <c r="BL3019">
        <v>7799</v>
      </c>
      <c r="BM3019">
        <v>1597676</v>
      </c>
      <c r="BN3019" t="s">
        <v>4472</v>
      </c>
      <c r="BO3019" s="17">
        <f t="shared" ca="1" si="47"/>
        <v>13.49135034721985</v>
      </c>
      <c r="BP3019" t="b">
        <v>0</v>
      </c>
      <c r="BQ3019">
        <v>1</v>
      </c>
      <c r="BR3019" t="s">
        <v>1667</v>
      </c>
      <c r="BS3019" t="s">
        <v>5213</v>
      </c>
      <c r="BT3019" t="b">
        <v>0</v>
      </c>
      <c r="BV3019" t="s">
        <v>1668</v>
      </c>
      <c r="BW3019">
        <v>210</v>
      </c>
      <c r="BX3019" t="s">
        <v>1738</v>
      </c>
      <c r="BY3019">
        <v>499960</v>
      </c>
      <c r="BZ3019" t="s">
        <v>1713</v>
      </c>
      <c r="CA3019">
        <v>1</v>
      </c>
      <c r="CB3019" t="b">
        <v>1</v>
      </c>
      <c r="CC3019">
        <v>0</v>
      </c>
      <c r="CD3019" t="b">
        <v>0</v>
      </c>
      <c r="CE3019" t="b">
        <v>1</v>
      </c>
      <c r="CF3019" t="b">
        <v>0</v>
      </c>
      <c r="CG3019">
        <v>2674193</v>
      </c>
      <c r="CH3019" t="s">
        <v>1681</v>
      </c>
      <c r="CI3019" s="10">
        <v>389950</v>
      </c>
      <c r="CJ3019" s="7">
        <v>38632</v>
      </c>
    </row>
    <row r="3020" spans="1:89">
      <c r="A3020">
        <v>28053942</v>
      </c>
      <c r="B3020" s="2" t="str">
        <f>HYPERLINK("http://www.redfin.com/stingray/do/printable-listing?listing-id=1597917","Active")</f>
        <v>Active</v>
      </c>
      <c r="D3020" t="s">
        <v>202</v>
      </c>
      <c r="E3020" t="s">
        <v>723</v>
      </c>
      <c r="F3020">
        <v>389950</v>
      </c>
      <c r="G3020">
        <v>1950</v>
      </c>
      <c r="H3020">
        <v>1610</v>
      </c>
      <c r="I3020">
        <v>7500</v>
      </c>
      <c r="J3020">
        <v>3</v>
      </c>
      <c r="K3020">
        <v>1</v>
      </c>
      <c r="M3020" s="2" t="str">
        <f>HYPERLINK("http://maps.live.com/default.aspx?v=2&amp;lvl=15&amp;sp=Point.47.710121_-122.306989_1925 NE 113th St&amp;cp=47.710121~-122.306989","Map")</f>
        <v>Map</v>
      </c>
      <c r="N3020" s="2" t="str">
        <f>HYPERLINK("http://i-0.rfimg.us/photo/1/bigphoto/942/28053942_.jpg","Photo")</f>
        <v>Photo</v>
      </c>
      <c r="AG3020">
        <v>47.710121000000001</v>
      </c>
      <c r="AH3020">
        <v>-122.306989</v>
      </c>
      <c r="AI3020" t="s">
        <v>66</v>
      </c>
      <c r="AJ3020">
        <v>98125</v>
      </c>
      <c r="BC3020" s="22">
        <v>39535.922210648147</v>
      </c>
      <c r="BI3020" s="22">
        <v>39549.294907407406</v>
      </c>
      <c r="BL3020">
        <v>7799</v>
      </c>
      <c r="BM3020">
        <v>1597917</v>
      </c>
      <c r="BN3020" t="s">
        <v>1675</v>
      </c>
      <c r="BO3020" s="17">
        <f t="shared" ca="1" si="47"/>
        <v>13.387195254632388</v>
      </c>
      <c r="BP3020" t="b">
        <v>0</v>
      </c>
      <c r="BQ3020">
        <v>1</v>
      </c>
      <c r="BR3020" t="s">
        <v>1686</v>
      </c>
      <c r="BS3020" t="s">
        <v>4394</v>
      </c>
      <c r="BT3020" t="b">
        <v>0</v>
      </c>
      <c r="BU3020" t="s">
        <v>1738</v>
      </c>
      <c r="BV3020" t="s">
        <v>1668</v>
      </c>
      <c r="BW3020">
        <v>1925</v>
      </c>
      <c r="BY3020">
        <v>116742</v>
      </c>
      <c r="BZ3020" t="s">
        <v>2799</v>
      </c>
      <c r="CA3020">
        <v>1</v>
      </c>
      <c r="CB3020" t="b">
        <v>1</v>
      </c>
      <c r="CC3020">
        <v>0</v>
      </c>
      <c r="CD3020" t="b">
        <v>0</v>
      </c>
      <c r="CE3020" t="b">
        <v>1</v>
      </c>
      <c r="CF3020" t="b">
        <v>0</v>
      </c>
      <c r="CG3020">
        <v>2507716</v>
      </c>
      <c r="CH3020" t="s">
        <v>1681</v>
      </c>
      <c r="CI3020" s="10">
        <v>389950</v>
      </c>
    </row>
    <row r="3021" spans="1:89">
      <c r="A3021">
        <v>28053944</v>
      </c>
      <c r="B3021" s="2" t="str">
        <f>HYPERLINK("http://www.redfin.com/stingray/do/printable-listing?listing-id=1597657","Active")</f>
        <v>Active</v>
      </c>
      <c r="D3021" t="s">
        <v>3249</v>
      </c>
      <c r="E3021" t="s">
        <v>6521</v>
      </c>
      <c r="F3021">
        <v>939500</v>
      </c>
      <c r="G3021">
        <v>1985</v>
      </c>
      <c r="H3021">
        <v>2410</v>
      </c>
      <c r="I3021">
        <v>3800</v>
      </c>
      <c r="J3021">
        <v>3</v>
      </c>
      <c r="K3021">
        <v>2.5</v>
      </c>
      <c r="M3021" s="2" t="str">
        <f>HYPERLINK("http://maps.live.com/default.aspx?v=2&amp;lvl=15&amp;sp=Point.47.640074_-122.372803_2261 12th Ave W&amp;cp=47.640074~-122.372803","Map")</f>
        <v>Map</v>
      </c>
      <c r="N3021" s="2" t="str">
        <f>HYPERLINK("http://i-0.rfimg.us/photo/1/bigphoto/944/28053944_.jpg","Photo")</f>
        <v>Photo</v>
      </c>
      <c r="AG3021">
        <v>47.640073999999998</v>
      </c>
      <c r="AH3021">
        <v>-122.372803</v>
      </c>
      <c r="AI3021" t="s">
        <v>66</v>
      </c>
      <c r="AJ3021">
        <v>98119</v>
      </c>
      <c r="BC3021" s="22">
        <v>39535.806932870371</v>
      </c>
      <c r="BI3021" s="22">
        <v>39549.294907407406</v>
      </c>
      <c r="BL3021">
        <v>18790</v>
      </c>
      <c r="BM3021">
        <v>1597657</v>
      </c>
      <c r="BN3021" t="s">
        <v>1715</v>
      </c>
      <c r="BO3021" s="17">
        <f t="shared" ca="1" si="47"/>
        <v>13.502473032407579</v>
      </c>
      <c r="BP3021" t="b">
        <v>0</v>
      </c>
      <c r="BQ3021">
        <v>1</v>
      </c>
      <c r="BR3021" t="s">
        <v>1667</v>
      </c>
      <c r="BS3021" t="s">
        <v>1803</v>
      </c>
      <c r="BT3021" t="b">
        <v>0</v>
      </c>
      <c r="BV3021" t="s">
        <v>1668</v>
      </c>
      <c r="BW3021">
        <v>2261</v>
      </c>
      <c r="BX3021" t="s">
        <v>2423</v>
      </c>
      <c r="BY3021">
        <v>12435685</v>
      </c>
      <c r="BZ3021" t="s">
        <v>1672</v>
      </c>
      <c r="CA3021">
        <v>1</v>
      </c>
      <c r="CB3021" t="b">
        <v>1</v>
      </c>
      <c r="CC3021">
        <v>0</v>
      </c>
      <c r="CD3021" t="b">
        <v>0</v>
      </c>
      <c r="CE3021" t="b">
        <v>1</v>
      </c>
      <c r="CF3021" t="b">
        <v>0</v>
      </c>
      <c r="CG3021">
        <v>15639433</v>
      </c>
      <c r="CH3021" t="s">
        <v>1681</v>
      </c>
      <c r="CI3021" s="10">
        <v>939500</v>
      </c>
    </row>
    <row r="3022" spans="1:89">
      <c r="A3022">
        <v>28053947</v>
      </c>
      <c r="B3022" s="2" t="str">
        <f>HYPERLINK("http://www.redfin.com/stingray/do/printable-listing?listing-id=1599239","Active")</f>
        <v>Active</v>
      </c>
      <c r="D3022" t="s">
        <v>192</v>
      </c>
      <c r="E3022" t="s">
        <v>6573</v>
      </c>
      <c r="F3022">
        <v>615000</v>
      </c>
      <c r="G3022">
        <v>1927</v>
      </c>
      <c r="H3022">
        <v>2070</v>
      </c>
      <c r="I3022">
        <v>3774</v>
      </c>
      <c r="J3022">
        <v>3</v>
      </c>
      <c r="K3022">
        <v>1.75</v>
      </c>
      <c r="M3022" s="2" t="str">
        <f>HYPERLINK("http://maps.live.com/default.aspx?v=2&amp;lvl=15&amp;sp=Point.47.687703_-122.318873_830 NE 81st St&amp;cp=47.687703~-122.318873","Map")</f>
        <v>Map</v>
      </c>
      <c r="N3022" s="2" t="str">
        <f>HYPERLINK("http://i-0.rfimg.us/photo/1/bigphoto/947/28053947_3.jpg","Photo")</f>
        <v>Photo</v>
      </c>
      <c r="AG3022">
        <v>47.687702999999999</v>
      </c>
      <c r="AH3022">
        <v>-122.318873</v>
      </c>
      <c r="AI3022" t="s">
        <v>66</v>
      </c>
      <c r="AJ3022">
        <v>98115</v>
      </c>
      <c r="AN3022">
        <v>310000</v>
      </c>
      <c r="BC3022" s="22">
        <v>39536.515393518515</v>
      </c>
      <c r="BI3022" s="22">
        <v>39549.294907407406</v>
      </c>
      <c r="BL3022">
        <v>12300</v>
      </c>
      <c r="BM3022">
        <v>1599239</v>
      </c>
      <c r="BN3022" t="s">
        <v>1674</v>
      </c>
      <c r="BO3022" s="17">
        <f t="shared" ca="1" si="47"/>
        <v>12.794012384263624</v>
      </c>
      <c r="BP3022" t="b">
        <v>0</v>
      </c>
      <c r="BQ3022">
        <v>1</v>
      </c>
      <c r="BR3022" t="s">
        <v>1686</v>
      </c>
      <c r="BS3022" t="s">
        <v>1955</v>
      </c>
      <c r="BT3022" t="b">
        <v>0</v>
      </c>
      <c r="BU3022" t="s">
        <v>1738</v>
      </c>
      <c r="BV3022" t="s">
        <v>1668</v>
      </c>
      <c r="BW3022">
        <v>830</v>
      </c>
      <c r="BY3022">
        <v>108451</v>
      </c>
      <c r="BZ3022" t="s">
        <v>6574</v>
      </c>
      <c r="CA3022">
        <v>1</v>
      </c>
      <c r="CB3022" t="b">
        <v>1</v>
      </c>
      <c r="CC3022">
        <v>0</v>
      </c>
      <c r="CD3022" t="b">
        <v>0</v>
      </c>
      <c r="CE3022" t="b">
        <v>1</v>
      </c>
      <c r="CF3022" t="b">
        <v>0</v>
      </c>
      <c r="CG3022">
        <v>2617150</v>
      </c>
      <c r="CH3022" t="s">
        <v>1681</v>
      </c>
      <c r="CI3022" s="10">
        <v>615000</v>
      </c>
      <c r="CJ3022" s="7">
        <v>36342</v>
      </c>
    </row>
    <row r="3023" spans="1:89">
      <c r="A3023">
        <v>28053963</v>
      </c>
      <c r="B3023" s="2" t="str">
        <f>HYPERLINK("http://www.redfin.com/stingray/do/printable-listing?listing-id=1598656","Active")</f>
        <v>Active</v>
      </c>
      <c r="D3023" t="s">
        <v>63</v>
      </c>
      <c r="E3023" t="s">
        <v>6566</v>
      </c>
      <c r="F3023">
        <v>539950</v>
      </c>
      <c r="G3023">
        <v>2002</v>
      </c>
      <c r="H3023">
        <v>1500</v>
      </c>
      <c r="I3023">
        <v>2500</v>
      </c>
      <c r="J3023">
        <v>3</v>
      </c>
      <c r="K3023">
        <v>2</v>
      </c>
      <c r="M3023" s="2" t="str">
        <f>HYPERLINK("http://maps.live.com/default.aspx?v=2&amp;lvl=15&amp;sp=Point.47.674786_-122.385128_2206 NW 63rd St&amp;cp=47.674786~-122.385128","Map")</f>
        <v>Map</v>
      </c>
      <c r="N3023" s="2" t="str">
        <f>HYPERLINK("http://i-0.rfimg.us/photo/1/bigphoto/963/28053963_1.jpg","Photo")</f>
        <v>Photo</v>
      </c>
      <c r="AG3023">
        <v>47.674785999999997</v>
      </c>
      <c r="AH3023">
        <v>-122.38512799999999</v>
      </c>
      <c r="AI3023" t="s">
        <v>66</v>
      </c>
      <c r="AJ3023">
        <v>98107</v>
      </c>
      <c r="AN3023">
        <v>460000</v>
      </c>
      <c r="BC3023" s="22">
        <v>39536.233518518522</v>
      </c>
      <c r="BI3023" s="22">
        <v>39549.294907407406</v>
      </c>
      <c r="BL3023">
        <v>10799</v>
      </c>
      <c r="BM3023">
        <v>1598656</v>
      </c>
      <c r="BN3023" t="s">
        <v>1766</v>
      </c>
      <c r="BO3023" s="17">
        <f t="shared" ca="1" si="47"/>
        <v>13.07588738425693</v>
      </c>
      <c r="BP3023" t="b">
        <v>0</v>
      </c>
      <c r="BQ3023">
        <v>1</v>
      </c>
      <c r="BR3023" t="s">
        <v>1686</v>
      </c>
      <c r="BS3023" t="s">
        <v>2529</v>
      </c>
      <c r="BT3023" t="b">
        <v>0</v>
      </c>
      <c r="BU3023" t="s">
        <v>1669</v>
      </c>
      <c r="BV3023" t="s">
        <v>1668</v>
      </c>
      <c r="BW3023">
        <v>2206</v>
      </c>
      <c r="BY3023">
        <v>494420</v>
      </c>
      <c r="BZ3023" t="s">
        <v>2429</v>
      </c>
      <c r="CA3023">
        <v>1</v>
      </c>
      <c r="CB3023" t="b">
        <v>1</v>
      </c>
      <c r="CC3023">
        <v>0</v>
      </c>
      <c r="CD3023" t="b">
        <v>0</v>
      </c>
      <c r="CE3023" t="b">
        <v>1</v>
      </c>
      <c r="CF3023" t="b">
        <v>0</v>
      </c>
      <c r="CG3023">
        <v>2869952</v>
      </c>
      <c r="CH3023" t="s">
        <v>1681</v>
      </c>
      <c r="CI3023" s="10">
        <v>539950</v>
      </c>
      <c r="CJ3023" s="7">
        <v>38637</v>
      </c>
    </row>
    <row r="3024" spans="1:89">
      <c r="A3024">
        <v>28053964</v>
      </c>
      <c r="B3024" s="2" t="str">
        <f>HYPERLINK("http://www.redfin.com/stingray/do/printable-listing?listing-id=1605102","Active")</f>
        <v>Active</v>
      </c>
      <c r="D3024" t="s">
        <v>99</v>
      </c>
      <c r="E3024" t="s">
        <v>1787</v>
      </c>
      <c r="F3024">
        <v>399950</v>
      </c>
      <c r="G3024">
        <v>1999</v>
      </c>
      <c r="H3024">
        <v>1600</v>
      </c>
      <c r="I3024">
        <v>0</v>
      </c>
      <c r="J3024">
        <v>3</v>
      </c>
      <c r="K3024">
        <v>3.25</v>
      </c>
      <c r="M3024" s="2" t="str">
        <f>HYPERLINK("http://maps.live.com/default.aspx?v=2&amp;lvl=15&amp;sp=Point.47.695568_-122.375295_9038 Mary Ave NW&amp;cp=47.695568~-122.375295","Map")</f>
        <v>Map</v>
      </c>
      <c r="N3024" s="2" t="str">
        <f>HYPERLINK("http://i-0.rfimg.us/photo/1/bigphoto/964/28053964_.jpg","Photo")</f>
        <v>Photo</v>
      </c>
      <c r="AG3024">
        <v>47.695568000000002</v>
      </c>
      <c r="AH3024">
        <v>-122.37529499999999</v>
      </c>
      <c r="AI3024" t="s">
        <v>66</v>
      </c>
      <c r="AJ3024">
        <v>98117</v>
      </c>
      <c r="BC3024" s="22">
        <v>39539.422361111108</v>
      </c>
      <c r="BI3024" s="22">
        <v>39549.294907407406</v>
      </c>
      <c r="BL3024">
        <v>7999</v>
      </c>
      <c r="BM3024">
        <v>1605102</v>
      </c>
      <c r="BN3024" t="s">
        <v>1786</v>
      </c>
      <c r="BO3024" s="17">
        <f t="shared" ca="1" si="47"/>
        <v>9.8870447916706325</v>
      </c>
      <c r="BP3024" t="b">
        <v>0</v>
      </c>
      <c r="BQ3024">
        <v>1</v>
      </c>
      <c r="BR3024" t="s">
        <v>1667</v>
      </c>
      <c r="BS3024" t="s">
        <v>1779</v>
      </c>
      <c r="BT3024" t="b">
        <v>0</v>
      </c>
      <c r="BV3024" t="s">
        <v>1668</v>
      </c>
      <c r="BW3024">
        <v>9038</v>
      </c>
      <c r="BX3024" t="s">
        <v>1669</v>
      </c>
      <c r="BY3024">
        <v>12266152</v>
      </c>
      <c r="BZ3024" t="s">
        <v>1676</v>
      </c>
      <c r="CA3024">
        <v>1</v>
      </c>
      <c r="CB3024" t="b">
        <v>1</v>
      </c>
      <c r="CC3024">
        <v>0</v>
      </c>
      <c r="CD3024" t="b">
        <v>0</v>
      </c>
      <c r="CE3024" t="b">
        <v>1</v>
      </c>
      <c r="CF3024" t="b">
        <v>0</v>
      </c>
      <c r="CG3024">
        <v>15488484</v>
      </c>
      <c r="CH3024" t="s">
        <v>1681</v>
      </c>
      <c r="CI3024" s="10">
        <v>399950</v>
      </c>
      <c r="CK3024" t="s">
        <v>2318</v>
      </c>
    </row>
    <row r="3025" spans="1:88">
      <c r="A3025">
        <v>28053968</v>
      </c>
      <c r="B3025" s="2" t="str">
        <f>HYPERLINK("http://www.redfin.com/stingray/do/printable-listing?listing-id=1597893","Active")</f>
        <v>Active</v>
      </c>
      <c r="D3025" t="s">
        <v>5195</v>
      </c>
      <c r="E3025" t="s">
        <v>6592</v>
      </c>
      <c r="F3025">
        <v>458000</v>
      </c>
      <c r="G3025">
        <v>1965</v>
      </c>
      <c r="H3025">
        <v>0</v>
      </c>
      <c r="I3025">
        <v>7875</v>
      </c>
      <c r="J3025">
        <v>3</v>
      </c>
      <c r="K3025">
        <v>1.75</v>
      </c>
      <c r="M3025" s="2" t="str">
        <f>HYPERLINK("http://maps.live.com/default.aspx?v=2&amp;lvl=15&amp;sp=Point.47.584751_-122.123016_2809 162nd Ave SE&amp;cp=47.584751~-122.123016","Map")</f>
        <v>Map</v>
      </c>
      <c r="N3025" s="2" t="str">
        <f>HYPERLINK("http://i-0.rfimg.us/photo/1/bigphoto/968/28053968_0.jpg","Photo")</f>
        <v>Photo</v>
      </c>
      <c r="AG3025">
        <v>47.584750999999997</v>
      </c>
      <c r="AH3025">
        <v>-122.12301600000001</v>
      </c>
      <c r="AI3025" t="s">
        <v>369</v>
      </c>
      <c r="AJ3025">
        <v>98008</v>
      </c>
      <c r="AN3025">
        <v>84950</v>
      </c>
      <c r="BC3025" s="22">
        <v>39535.8903125</v>
      </c>
      <c r="BI3025" s="22">
        <v>39549.294907407406</v>
      </c>
      <c r="BL3025">
        <v>9160</v>
      </c>
      <c r="BM3025">
        <v>1597893</v>
      </c>
      <c r="BN3025" t="s">
        <v>1674</v>
      </c>
      <c r="BO3025" s="17">
        <f t="shared" ca="1" si="47"/>
        <v>13.419093402779254</v>
      </c>
      <c r="BP3025" t="b">
        <v>0</v>
      </c>
      <c r="BQ3025">
        <v>1</v>
      </c>
      <c r="BR3025" t="s">
        <v>1667</v>
      </c>
      <c r="BS3025" t="s">
        <v>5663</v>
      </c>
      <c r="BT3025" t="b">
        <v>0</v>
      </c>
      <c r="BV3025" t="s">
        <v>1668</v>
      </c>
      <c r="BW3025">
        <v>2809</v>
      </c>
      <c r="BX3025" t="s">
        <v>3856</v>
      </c>
      <c r="BY3025">
        <v>429469</v>
      </c>
      <c r="BZ3025" t="s">
        <v>1696</v>
      </c>
      <c r="CA3025">
        <v>1</v>
      </c>
      <c r="CB3025" t="b">
        <v>1</v>
      </c>
      <c r="CC3025">
        <v>0</v>
      </c>
      <c r="CD3025" t="b">
        <v>0</v>
      </c>
      <c r="CE3025" t="b">
        <v>1</v>
      </c>
      <c r="CF3025" t="b">
        <v>0</v>
      </c>
      <c r="CG3025">
        <v>2402666</v>
      </c>
      <c r="CH3025" t="s">
        <v>1681</v>
      </c>
      <c r="CI3025" s="10">
        <v>458000</v>
      </c>
      <c r="CJ3025" s="7">
        <v>32097</v>
      </c>
    </row>
    <row r="3026" spans="1:88">
      <c r="A3026">
        <v>28053980</v>
      </c>
      <c r="B3026" s="2" t="str">
        <f>HYPERLINK("http://www.redfin.com/stingray/do/printable-listing?listing-id=1598501","Active")</f>
        <v>Active</v>
      </c>
      <c r="D3026" t="s">
        <v>369</v>
      </c>
      <c r="E3026" t="s">
        <v>6594</v>
      </c>
      <c r="F3026">
        <v>790000</v>
      </c>
      <c r="G3026">
        <v>1955</v>
      </c>
      <c r="H3026">
        <v>2840</v>
      </c>
      <c r="I3026">
        <v>21158</v>
      </c>
      <c r="J3026">
        <v>4</v>
      </c>
      <c r="K3026">
        <v>1.75</v>
      </c>
      <c r="M3026" s="2" t="str">
        <f>HYPERLINK("http://maps.live.com/default.aspx?v=2&amp;lvl=15&amp;sp=Point.47.556658_-122.139301_15016 SE 51st St&amp;cp=47.556658~-122.139301","Map")</f>
        <v>Map</v>
      </c>
      <c r="N3026" s="2" t="str">
        <f>HYPERLINK("http://i-0.rfimg.us/photo/1/bigphoto/980/28053980_3.jpg","Photo")</f>
        <v>Photo</v>
      </c>
      <c r="AG3026">
        <v>47.556657999999999</v>
      </c>
      <c r="AH3026">
        <v>-122.139301</v>
      </c>
      <c r="AI3026" t="s">
        <v>369</v>
      </c>
      <c r="AJ3026">
        <v>98006</v>
      </c>
      <c r="BC3026" s="22">
        <v>39536.087800925925</v>
      </c>
      <c r="BI3026" s="22">
        <v>39549.294907407406</v>
      </c>
      <c r="BL3026">
        <v>15800</v>
      </c>
      <c r="BM3026">
        <v>1598501</v>
      </c>
      <c r="BN3026" t="s">
        <v>1680</v>
      </c>
      <c r="BO3026" s="17">
        <f t="shared" ca="1" si="47"/>
        <v>13.221604976853996</v>
      </c>
      <c r="BP3026" t="b">
        <v>0</v>
      </c>
      <c r="BQ3026">
        <v>1</v>
      </c>
      <c r="BR3026" t="s">
        <v>1686</v>
      </c>
      <c r="BS3026" t="s">
        <v>2469</v>
      </c>
      <c r="BT3026" t="b">
        <v>0</v>
      </c>
      <c r="BU3026" t="s">
        <v>3856</v>
      </c>
      <c r="BV3026" t="s">
        <v>1668</v>
      </c>
      <c r="BW3026">
        <v>15016</v>
      </c>
      <c r="BY3026">
        <v>236040</v>
      </c>
      <c r="BZ3026" t="s">
        <v>6595</v>
      </c>
      <c r="CA3026">
        <v>1</v>
      </c>
      <c r="CB3026" t="b">
        <v>1</v>
      </c>
      <c r="CC3026">
        <v>0</v>
      </c>
      <c r="CD3026" t="b">
        <v>0</v>
      </c>
      <c r="CE3026" t="b">
        <v>1</v>
      </c>
      <c r="CF3026" t="b">
        <v>0</v>
      </c>
      <c r="CG3026">
        <v>2709126</v>
      </c>
      <c r="CH3026" t="s">
        <v>1681</v>
      </c>
      <c r="CI3026" s="10">
        <v>790000</v>
      </c>
    </row>
    <row r="3027" spans="1:88">
      <c r="A3027">
        <v>28053982</v>
      </c>
      <c r="B3027" s="2" t="str">
        <f>HYPERLINK("http://www.redfin.com/stingray/do/printable-listing?listing-id=1598663","Active")</f>
        <v>Active</v>
      </c>
      <c r="D3027" t="s">
        <v>4363</v>
      </c>
      <c r="E3027" t="s">
        <v>4693</v>
      </c>
      <c r="F3027">
        <v>545000</v>
      </c>
      <c r="G3027">
        <v>1897</v>
      </c>
      <c r="H3027">
        <v>1800</v>
      </c>
      <c r="I3027">
        <v>13373</v>
      </c>
      <c r="J3027">
        <v>3</v>
      </c>
      <c r="K3027">
        <v>2.5</v>
      </c>
      <c r="M3027" s="2" t="str">
        <f>HYPERLINK("http://maps.live.com/default.aspx?v=2&amp;lvl=15&amp;sp=Point.47.677014_-122.151246_8211 142nd Ave NE&amp;cp=47.677014~-122.151246","Map")</f>
        <v>Map</v>
      </c>
      <c r="N3027" s="2" t="str">
        <f>HYPERLINK("http://i-0.rfimg.us/photo/1/bigphoto/982/28053982_0.jpg","Photo")</f>
        <v>Photo</v>
      </c>
      <c r="AG3027">
        <v>47.677014</v>
      </c>
      <c r="AH3027">
        <v>-122.151246</v>
      </c>
      <c r="AI3027" t="s">
        <v>4363</v>
      </c>
      <c r="AJ3027">
        <v>98052</v>
      </c>
      <c r="AN3027">
        <v>176500</v>
      </c>
      <c r="BC3027" s="22">
        <v>39536.243773148148</v>
      </c>
      <c r="BI3027" s="22">
        <v>39549.294907407406</v>
      </c>
      <c r="BL3027">
        <v>10900</v>
      </c>
      <c r="BM3027">
        <v>1598663</v>
      </c>
      <c r="BN3027" t="s">
        <v>1768</v>
      </c>
      <c r="BO3027" s="17">
        <f t="shared" ca="1" si="47"/>
        <v>13.065632754631224</v>
      </c>
      <c r="BP3027" t="b">
        <v>0</v>
      </c>
      <c r="BQ3027">
        <v>1</v>
      </c>
      <c r="BR3027" t="s">
        <v>1667</v>
      </c>
      <c r="BS3027" t="s">
        <v>4694</v>
      </c>
      <c r="BT3027" t="b">
        <v>0</v>
      </c>
      <c r="BV3027" t="s">
        <v>1668</v>
      </c>
      <c r="BW3027">
        <v>8211</v>
      </c>
      <c r="BX3027" t="s">
        <v>1738</v>
      </c>
      <c r="BY3027">
        <v>513276</v>
      </c>
      <c r="BZ3027" t="s">
        <v>1713</v>
      </c>
      <c r="CA3027">
        <v>1</v>
      </c>
      <c r="CB3027" t="b">
        <v>1</v>
      </c>
      <c r="CC3027">
        <v>0</v>
      </c>
      <c r="CD3027" t="b">
        <v>0</v>
      </c>
      <c r="CE3027" t="b">
        <v>1</v>
      </c>
      <c r="CF3027" t="b">
        <v>0</v>
      </c>
      <c r="CG3027">
        <v>2641684</v>
      </c>
      <c r="CH3027" t="s">
        <v>1681</v>
      </c>
      <c r="CI3027" s="10">
        <v>545000</v>
      </c>
      <c r="CJ3027" s="7">
        <v>39293</v>
      </c>
    </row>
    <row r="3028" spans="1:88">
      <c r="A3028">
        <v>28053990</v>
      </c>
      <c r="B3028" s="2" t="str">
        <f>HYPERLINK("http://www.redfin.com/stingray/do/printable-listing?listing-id=1598711","Active")</f>
        <v>Active</v>
      </c>
      <c r="D3028" t="s">
        <v>5119</v>
      </c>
      <c r="E3028" t="s">
        <v>6590</v>
      </c>
      <c r="F3028">
        <v>749950</v>
      </c>
      <c r="G3028">
        <v>1967</v>
      </c>
      <c r="H3028">
        <v>2390</v>
      </c>
      <c r="I3028">
        <v>10236</v>
      </c>
      <c r="J3028">
        <v>4</v>
      </c>
      <c r="K3028">
        <v>2.25</v>
      </c>
      <c r="M3028" s="2" t="str">
        <f>HYPERLINK("http://maps.live.com/default.aspx?v=2&amp;lvl=15&amp;sp=Point.47.599089_-122.177101_12131 SE 13Th St&amp;cp=47.599089~-122.177101","Map")</f>
        <v>Map</v>
      </c>
      <c r="N3028" s="2" t="str">
        <f>HYPERLINK("http://i-0.rfimg.us/photo/1/bigphoto/990/28053990_.jpg","Photo")</f>
        <v>Photo</v>
      </c>
      <c r="AG3028">
        <v>47.599088999999999</v>
      </c>
      <c r="AH3028">
        <v>-122.17710099999999</v>
      </c>
      <c r="AI3028" t="s">
        <v>369</v>
      </c>
      <c r="AJ3028">
        <v>98005</v>
      </c>
      <c r="BC3028" s="22">
        <v>39536.306145833332</v>
      </c>
      <c r="BI3028" s="22">
        <v>39549.294907407406</v>
      </c>
      <c r="BL3028">
        <v>14999</v>
      </c>
      <c r="BM3028">
        <v>1598711</v>
      </c>
      <c r="BN3028" t="s">
        <v>3236</v>
      </c>
      <c r="BO3028" s="17">
        <f t="shared" ca="1" si="47"/>
        <v>13.003260069446696</v>
      </c>
      <c r="BP3028" t="b">
        <v>0</v>
      </c>
      <c r="BQ3028">
        <v>1</v>
      </c>
      <c r="BR3028" t="s">
        <v>1686</v>
      </c>
      <c r="BS3028" t="s">
        <v>6591</v>
      </c>
      <c r="BT3028" t="b">
        <v>0</v>
      </c>
      <c r="BU3028" t="s">
        <v>3856</v>
      </c>
      <c r="BV3028" t="s">
        <v>1668</v>
      </c>
      <c r="BW3028">
        <v>12131</v>
      </c>
      <c r="BY3028">
        <v>509819</v>
      </c>
      <c r="BZ3028" t="s">
        <v>1676</v>
      </c>
      <c r="CA3028">
        <v>1</v>
      </c>
      <c r="CB3028" t="b">
        <v>1</v>
      </c>
      <c r="CC3028">
        <v>0</v>
      </c>
      <c r="CD3028" t="b">
        <v>0</v>
      </c>
      <c r="CE3028" t="b">
        <v>1</v>
      </c>
      <c r="CF3028" t="b">
        <v>0</v>
      </c>
      <c r="CG3028">
        <v>2620003</v>
      </c>
      <c r="CH3028" t="s">
        <v>1681</v>
      </c>
      <c r="CI3028" s="10">
        <v>749950</v>
      </c>
    </row>
    <row r="3029" spans="1:88">
      <c r="A3029">
        <v>28054000</v>
      </c>
      <c r="B3029" s="15" t="str">
        <f>HYPERLINK("http://www.redfin.com/stingray/do/printable-listing?listing-id=1610069","Subject To Inspection")</f>
        <v>Subject To Inspection</v>
      </c>
      <c r="D3029" t="s">
        <v>5191</v>
      </c>
      <c r="E3029" t="s">
        <v>6752</v>
      </c>
      <c r="F3029">
        <v>927000</v>
      </c>
      <c r="G3029">
        <v>1983</v>
      </c>
      <c r="H3029">
        <v>3850</v>
      </c>
      <c r="I3029">
        <v>12366</v>
      </c>
      <c r="J3029">
        <v>5</v>
      </c>
      <c r="K3029">
        <v>3.25</v>
      </c>
      <c r="M3029" s="2" t="str">
        <f>HYPERLINK("http://maps.live.com/default.aspx?v=2&amp;lvl=15&amp;sp=Point.47.550826_-122.14032_5740 149th Ave SE&amp;cp=47.550826~-122.14032","Map")</f>
        <v>Map</v>
      </c>
      <c r="N3029" s="2" t="str">
        <f>HYPERLINK("http://i-0.rfimg.us/photo/1/bigphoto/000/28054000_1.jpg","Photo")</f>
        <v>Photo</v>
      </c>
      <c r="AG3029">
        <v>47.550826000000001</v>
      </c>
      <c r="AH3029">
        <v>-122.14032</v>
      </c>
      <c r="AI3029" t="s">
        <v>369</v>
      </c>
      <c r="AJ3029">
        <v>98004</v>
      </c>
      <c r="AN3029">
        <v>735000</v>
      </c>
      <c r="BC3029" s="22">
        <v>39540.631469907406</v>
      </c>
      <c r="BI3029" s="22">
        <v>39549.294907407406</v>
      </c>
      <c r="BL3029">
        <v>18540</v>
      </c>
      <c r="BM3029">
        <v>1610069</v>
      </c>
      <c r="BN3029" t="s">
        <v>2136</v>
      </c>
      <c r="BO3029" s="17">
        <f t="shared" ca="1" si="47"/>
        <v>8.6779359953725361</v>
      </c>
      <c r="BP3029" t="b">
        <v>0</v>
      </c>
      <c r="BQ3029">
        <v>1</v>
      </c>
      <c r="BR3029" t="s">
        <v>1667</v>
      </c>
      <c r="BS3029" t="s">
        <v>4817</v>
      </c>
      <c r="BT3029" t="b">
        <v>0</v>
      </c>
      <c r="BV3029" t="s">
        <v>1668</v>
      </c>
      <c r="BW3029">
        <v>5740</v>
      </c>
      <c r="BX3029" t="s">
        <v>3856</v>
      </c>
      <c r="BY3029">
        <v>239859</v>
      </c>
      <c r="BZ3029" t="s">
        <v>1709</v>
      </c>
      <c r="CA3029">
        <v>1</v>
      </c>
      <c r="CB3029" t="b">
        <v>1</v>
      </c>
      <c r="CC3029">
        <v>0</v>
      </c>
      <c r="CD3029" t="b">
        <v>0</v>
      </c>
      <c r="CE3029" t="b">
        <v>1</v>
      </c>
      <c r="CF3029" t="b">
        <v>0</v>
      </c>
      <c r="CG3029">
        <v>2840629</v>
      </c>
      <c r="CH3029" t="s">
        <v>1681</v>
      </c>
      <c r="CI3029" s="10">
        <v>927000</v>
      </c>
      <c r="CJ3029" s="7">
        <v>38637</v>
      </c>
    </row>
    <row r="3030" spans="1:88">
      <c r="A3030">
        <v>28054002</v>
      </c>
      <c r="B3030" s="2" t="str">
        <f>HYPERLINK("http://www.redfin.com/stingray/do/printable-listing?listing-id=1618030","Active")</f>
        <v>Active</v>
      </c>
      <c r="D3030" t="s">
        <v>5626</v>
      </c>
      <c r="E3030" t="s">
        <v>6867</v>
      </c>
      <c r="F3030">
        <v>750000</v>
      </c>
      <c r="G3030">
        <v>1991</v>
      </c>
      <c r="H3030">
        <v>2861</v>
      </c>
      <c r="I3030">
        <v>14086</v>
      </c>
      <c r="J3030">
        <v>4</v>
      </c>
      <c r="K3030">
        <v>2.5</v>
      </c>
      <c r="M3030" s="2" t="str">
        <f>HYPERLINK("http://maps.live.com/default.aspx?v=2&amp;lvl=15&amp;sp=Point.47.531147_-122.150736_7757 142nd Way SE&amp;cp=47.531147~-122.150736","Map")</f>
        <v>Map</v>
      </c>
      <c r="N3030" s="2" t="str">
        <f>HYPERLINK("http://i-0.rfimg.us/photo/1/bigphoto/002/28054002_0.jpg","Photo")</f>
        <v>Photo</v>
      </c>
      <c r="AG3030">
        <v>47.531146999999997</v>
      </c>
      <c r="AH3030">
        <v>-122.15073599999999</v>
      </c>
      <c r="AI3030" t="s">
        <v>3885</v>
      </c>
      <c r="AJ3030">
        <v>98059</v>
      </c>
      <c r="AN3030">
        <v>329900</v>
      </c>
      <c r="BC3030" s="22">
        <v>39542.633136574077</v>
      </c>
      <c r="BI3030" s="22">
        <v>39549.294907407406</v>
      </c>
      <c r="BL3030">
        <v>15000</v>
      </c>
      <c r="BM3030">
        <v>1618030</v>
      </c>
      <c r="BN3030" t="s">
        <v>1678</v>
      </c>
      <c r="BO3030" s="17">
        <f t="shared" ca="1" si="47"/>
        <v>6.6762693287018919</v>
      </c>
      <c r="BP3030" t="b">
        <v>0</v>
      </c>
      <c r="BQ3030">
        <v>1</v>
      </c>
      <c r="BR3030" t="s">
        <v>2463</v>
      </c>
      <c r="BS3030" t="s">
        <v>4694</v>
      </c>
      <c r="BT3030" t="b">
        <v>0</v>
      </c>
      <c r="BV3030" t="s">
        <v>1668</v>
      </c>
      <c r="BW3030">
        <v>7757</v>
      </c>
      <c r="BX3030" t="s">
        <v>3856</v>
      </c>
      <c r="BY3030">
        <v>413049</v>
      </c>
      <c r="BZ3030" t="s">
        <v>6868</v>
      </c>
      <c r="CA3030">
        <v>1</v>
      </c>
      <c r="CB3030" t="b">
        <v>1</v>
      </c>
      <c r="CC3030">
        <v>0</v>
      </c>
      <c r="CD3030" t="b">
        <v>0</v>
      </c>
      <c r="CE3030" t="b">
        <v>1</v>
      </c>
      <c r="CF3030" t="b">
        <v>0</v>
      </c>
      <c r="CG3030">
        <v>2518454</v>
      </c>
      <c r="CH3030" t="s">
        <v>1681</v>
      </c>
      <c r="CI3030" s="10">
        <v>750000</v>
      </c>
      <c r="CJ3030" s="7">
        <v>33326</v>
      </c>
    </row>
    <row r="3031" spans="1:88">
      <c r="A3031">
        <v>28054004</v>
      </c>
      <c r="B3031" s="2" t="str">
        <f>HYPERLINK("http://www.redfin.com/stingray/do/printable-listing?listing-id=1598771","Active")</f>
        <v>Active</v>
      </c>
      <c r="D3031" t="s">
        <v>1238</v>
      </c>
      <c r="E3031" t="s">
        <v>6580</v>
      </c>
      <c r="F3031">
        <v>1350000</v>
      </c>
      <c r="G3031">
        <v>1906</v>
      </c>
      <c r="H3031">
        <v>3270</v>
      </c>
      <c r="I3031">
        <v>5000</v>
      </c>
      <c r="J3031">
        <v>6</v>
      </c>
      <c r="K3031">
        <v>3.5</v>
      </c>
      <c r="M3031" s="2" t="str">
        <f>HYPERLINK("http://maps.live.com/default.aspx?v=2&amp;lvl=15&amp;sp=Point.47.640242_-122.321675_2323 Broadway Ave E&amp;cp=47.640242~-122.321675","Map")</f>
        <v>Map</v>
      </c>
      <c r="N3031" s="2" t="str">
        <f>HYPERLINK("http://i-0.rfimg.us/photo/1/bigphoto/004/28054004_2.jpg","Photo")</f>
        <v>Photo</v>
      </c>
      <c r="AG3031">
        <v>47.640242000000001</v>
      </c>
      <c r="AH3031">
        <v>-122.321675</v>
      </c>
      <c r="AI3031" t="s">
        <v>66</v>
      </c>
      <c r="AJ3031">
        <v>98102</v>
      </c>
      <c r="AN3031">
        <v>955000</v>
      </c>
      <c r="BC3031" s="22">
        <v>39536.358923611115</v>
      </c>
      <c r="BI3031" s="22">
        <v>39549.294907407406</v>
      </c>
      <c r="BL3031">
        <v>27000</v>
      </c>
      <c r="BM3031">
        <v>1598771</v>
      </c>
      <c r="BN3031" t="s">
        <v>1720</v>
      </c>
      <c r="BO3031" s="17">
        <f t="shared" ca="1" si="47"/>
        <v>12.95048229166423</v>
      </c>
      <c r="BP3031" t="b">
        <v>0</v>
      </c>
      <c r="BQ3031">
        <v>1</v>
      </c>
      <c r="BR3031" t="s">
        <v>1667</v>
      </c>
      <c r="BS3031" t="s">
        <v>3687</v>
      </c>
      <c r="BT3031" t="b">
        <v>0</v>
      </c>
      <c r="BV3031" t="s">
        <v>1668</v>
      </c>
      <c r="BW3031">
        <v>2323</v>
      </c>
      <c r="BX3031" t="s">
        <v>2436</v>
      </c>
      <c r="BY3031">
        <v>136347</v>
      </c>
      <c r="BZ3031" t="s">
        <v>6581</v>
      </c>
      <c r="CA3031">
        <v>1</v>
      </c>
      <c r="CB3031" t="b">
        <v>1</v>
      </c>
      <c r="CC3031">
        <v>0</v>
      </c>
      <c r="CD3031" t="b">
        <v>0</v>
      </c>
      <c r="CE3031" t="b">
        <v>1</v>
      </c>
      <c r="CF3031" t="b">
        <v>0</v>
      </c>
      <c r="CG3031">
        <v>2783022</v>
      </c>
      <c r="CH3031" t="s">
        <v>1681</v>
      </c>
      <c r="CI3031" s="10">
        <v>1350000</v>
      </c>
      <c r="CJ3031" s="7">
        <v>38530</v>
      </c>
    </row>
    <row r="3032" spans="1:88">
      <c r="A3032">
        <v>28054028</v>
      </c>
      <c r="B3032" s="2" t="str">
        <f>HYPERLINK("http://www.redfin.com/stingray/do/printable-listing?listing-id=1599022","Active")</f>
        <v>Active</v>
      </c>
      <c r="D3032" t="s">
        <v>2552</v>
      </c>
      <c r="E3032" t="s">
        <v>6576</v>
      </c>
      <c r="F3032" s="19">
        <v>409950</v>
      </c>
      <c r="G3032">
        <v>2008</v>
      </c>
      <c r="H3032">
        <v>1450</v>
      </c>
      <c r="I3032">
        <v>0</v>
      </c>
      <c r="J3032">
        <v>3</v>
      </c>
      <c r="K3032">
        <v>3.5</v>
      </c>
      <c r="M3032" s="2" t="str">
        <f>HYPERLINK("http://maps.live.com/default.aspx?v=2&amp;lvl=15&amp;sp=Point.47.65122_-122.383195_3402 21st Ave W&amp;cp=47.65122~-122.383195","Map")</f>
        <v>Map</v>
      </c>
      <c r="N3032" s="2" t="str">
        <f>HYPERLINK("http://i-0.rfimg.us/photo/1/bigphoto/028/28054028_.jpg","Photo")</f>
        <v>Photo</v>
      </c>
      <c r="AG3032">
        <v>47.651220000000002</v>
      </c>
      <c r="AH3032">
        <v>-122.383195</v>
      </c>
      <c r="AI3032" t="s">
        <v>66</v>
      </c>
      <c r="AJ3032">
        <v>98199</v>
      </c>
      <c r="BC3032" s="22">
        <v>39536.400439814817</v>
      </c>
      <c r="BI3032" s="22">
        <v>39549.294907407406</v>
      </c>
      <c r="BL3032">
        <v>8399</v>
      </c>
      <c r="BM3032">
        <v>1599022</v>
      </c>
      <c r="BN3032" t="s">
        <v>1690</v>
      </c>
      <c r="BO3032" s="17">
        <f t="shared" ca="1" si="47"/>
        <v>12.908966087961744</v>
      </c>
      <c r="BP3032" t="b">
        <v>0</v>
      </c>
      <c r="BQ3032">
        <v>1</v>
      </c>
      <c r="BR3032" t="s">
        <v>1667</v>
      </c>
      <c r="BS3032" t="s">
        <v>1903</v>
      </c>
      <c r="BT3032" t="b">
        <v>0</v>
      </c>
      <c r="BV3032" t="s">
        <v>1668</v>
      </c>
      <c r="BW3032">
        <v>3402</v>
      </c>
      <c r="BX3032" t="s">
        <v>2423</v>
      </c>
      <c r="BY3032">
        <v>12435834</v>
      </c>
      <c r="BZ3032" t="s">
        <v>1762</v>
      </c>
      <c r="CA3032">
        <v>1</v>
      </c>
      <c r="CB3032" t="b">
        <v>1</v>
      </c>
      <c r="CC3032">
        <v>0</v>
      </c>
      <c r="CD3032" t="b">
        <v>0</v>
      </c>
      <c r="CE3032" t="b">
        <v>1</v>
      </c>
      <c r="CF3032" t="b">
        <v>0</v>
      </c>
      <c r="CG3032">
        <v>15639582</v>
      </c>
      <c r="CH3032" t="s">
        <v>1681</v>
      </c>
      <c r="CI3032" s="10">
        <v>419950</v>
      </c>
    </row>
    <row r="3033" spans="1:88">
      <c r="A3033">
        <v>28054046</v>
      </c>
      <c r="B3033" s="2" t="str">
        <f>HYPERLINK("http://www.redfin.com/stingray/do/printable-listing?listing-id=1599090","Active")</f>
        <v>Active</v>
      </c>
      <c r="D3033" t="s">
        <v>4663</v>
      </c>
      <c r="E3033" t="s">
        <v>6588</v>
      </c>
      <c r="F3033">
        <v>824000</v>
      </c>
      <c r="G3033">
        <v>2008</v>
      </c>
      <c r="H3033">
        <v>2300</v>
      </c>
      <c r="I3033">
        <v>10115</v>
      </c>
      <c r="J3033">
        <v>3</v>
      </c>
      <c r="K3033">
        <v>3.5</v>
      </c>
      <c r="M3033" s="2" t="str">
        <f>HYPERLINK("http://maps.live.com/default.aspx?v=2&amp;lvl=15&amp;sp=Point.47.638194_-122.173482_3081 125 Ave NE&amp;cp=47.638194~-122.173482","Map")</f>
        <v>Map</v>
      </c>
      <c r="N3033" s="2" t="str">
        <f>HYPERLINK("http://i-0.rfimg.us/photo/1/bigphoto/046/28054046_.jpg","Photo")</f>
        <v>Photo</v>
      </c>
      <c r="AG3033">
        <v>47.638193999999999</v>
      </c>
      <c r="AH3033">
        <v>-122.17348200000001</v>
      </c>
      <c r="AI3033" t="s">
        <v>369</v>
      </c>
      <c r="AJ3033">
        <v>98005</v>
      </c>
      <c r="AN3033">
        <v>351000</v>
      </c>
      <c r="BC3033" s="22">
        <v>39536.43167824074</v>
      </c>
      <c r="BI3033" s="22">
        <v>39549.294907407406</v>
      </c>
      <c r="BL3033">
        <v>16480</v>
      </c>
      <c r="BM3033">
        <v>1599090</v>
      </c>
      <c r="BN3033" t="s">
        <v>5453</v>
      </c>
      <c r="BO3033" s="17">
        <f t="shared" ca="1" si="47"/>
        <v>12.877727662038524</v>
      </c>
      <c r="BP3033" t="b">
        <v>0</v>
      </c>
      <c r="BQ3033">
        <v>1</v>
      </c>
      <c r="BR3033" t="s">
        <v>1667</v>
      </c>
      <c r="BS3033">
        <v>125</v>
      </c>
      <c r="BT3033" t="b">
        <v>0</v>
      </c>
      <c r="BV3033" t="s">
        <v>1668</v>
      </c>
      <c r="BW3033">
        <v>3081</v>
      </c>
      <c r="BX3033" t="s">
        <v>1738</v>
      </c>
      <c r="BY3033">
        <v>507429</v>
      </c>
      <c r="BZ3033" t="s">
        <v>1677</v>
      </c>
      <c r="CA3033">
        <v>1</v>
      </c>
      <c r="CB3033" t="b">
        <v>1</v>
      </c>
      <c r="CC3033">
        <v>0</v>
      </c>
      <c r="CD3033" t="b">
        <v>0</v>
      </c>
      <c r="CE3033" t="b">
        <v>1</v>
      </c>
      <c r="CF3033" t="b">
        <v>0</v>
      </c>
      <c r="CG3033">
        <v>2347026</v>
      </c>
      <c r="CH3033" t="s">
        <v>1681</v>
      </c>
      <c r="CI3033" s="10">
        <v>824000</v>
      </c>
      <c r="CJ3033" s="7">
        <v>39170</v>
      </c>
    </row>
    <row r="3034" spans="1:88">
      <c r="A3034">
        <v>28054050</v>
      </c>
      <c r="B3034" s="2" t="str">
        <f>HYPERLINK("http://www.redfin.com/stingray/do/printable-listing?listing-id=1615627","Active")</f>
        <v>Active</v>
      </c>
      <c r="D3034" t="s">
        <v>5153</v>
      </c>
      <c r="E3034" t="s">
        <v>6859</v>
      </c>
      <c r="F3034">
        <v>350000</v>
      </c>
      <c r="G3034">
        <v>1961</v>
      </c>
      <c r="H3034">
        <v>1500</v>
      </c>
      <c r="I3034">
        <v>10193</v>
      </c>
      <c r="J3034">
        <v>3</v>
      </c>
      <c r="K3034">
        <v>0.75</v>
      </c>
      <c r="M3034" s="2" t="str">
        <f>HYPERLINK("http://maps.live.com/default.aspx?v=2&amp;lvl=15&amp;sp=Point.47.573385_-122.126496_4037 161st Ave SE&amp;cp=47.573385~-122.126496","Map")</f>
        <v>Map</v>
      </c>
      <c r="N3034" s="2" t="str">
        <f>HYPERLINK("http://i-0.rfimg.us/photo/1/bigphoto/050/28054050_0.jpg","Photo")</f>
        <v>Photo</v>
      </c>
      <c r="AG3034">
        <v>47.573385000000002</v>
      </c>
      <c r="AH3034">
        <v>-122.126496</v>
      </c>
      <c r="AI3034" t="s">
        <v>369</v>
      </c>
      <c r="AJ3034">
        <v>98006</v>
      </c>
      <c r="BC3034" s="22">
        <v>39542.0469212963</v>
      </c>
      <c r="BI3034" s="22">
        <v>39549.294907407406</v>
      </c>
      <c r="BL3034">
        <v>7000</v>
      </c>
      <c r="BM3034">
        <v>1615627</v>
      </c>
      <c r="BN3034" t="s">
        <v>1737</v>
      </c>
      <c r="BO3034" s="17">
        <f t="shared" ca="1" si="47"/>
        <v>7.26248460647912</v>
      </c>
      <c r="BP3034" t="b">
        <v>0</v>
      </c>
      <c r="BQ3034">
        <v>1</v>
      </c>
      <c r="BR3034" t="s">
        <v>1667</v>
      </c>
      <c r="BS3034" t="s">
        <v>5334</v>
      </c>
      <c r="BT3034" t="b">
        <v>0</v>
      </c>
      <c r="BV3034" t="s">
        <v>1668</v>
      </c>
      <c r="BW3034">
        <v>4037</v>
      </c>
      <c r="BX3034" t="s">
        <v>3856</v>
      </c>
      <c r="BY3034">
        <v>233920</v>
      </c>
      <c r="BZ3034" s="21">
        <v>0</v>
      </c>
      <c r="CA3034">
        <v>1</v>
      </c>
      <c r="CB3034" t="b">
        <v>1</v>
      </c>
      <c r="CC3034">
        <v>0</v>
      </c>
      <c r="CD3034" t="b">
        <v>1</v>
      </c>
      <c r="CE3034" t="b">
        <v>1</v>
      </c>
      <c r="CF3034" t="b">
        <v>0</v>
      </c>
      <c r="CG3034">
        <v>2921605</v>
      </c>
      <c r="CH3034" t="s">
        <v>1681</v>
      </c>
      <c r="CI3034" s="10">
        <v>350000</v>
      </c>
    </row>
    <row r="3035" spans="1:88">
      <c r="A3035">
        <v>28054060</v>
      </c>
      <c r="B3035" s="15" t="str">
        <f>HYPERLINK("http://www.redfin.com/stingray/do/printable-listing?listing-id=1599132","Subject To Inspection")</f>
        <v>Subject To Inspection</v>
      </c>
      <c r="D3035" t="s">
        <v>100</v>
      </c>
      <c r="E3035" t="s">
        <v>3349</v>
      </c>
      <c r="F3035">
        <v>499950</v>
      </c>
      <c r="G3035">
        <v>2008</v>
      </c>
      <c r="H3035">
        <v>0</v>
      </c>
      <c r="I3035">
        <v>0</v>
      </c>
      <c r="J3035">
        <v>3</v>
      </c>
      <c r="K3035">
        <v>2.5</v>
      </c>
      <c r="M3035" s="2" t="str">
        <f>HYPERLINK("http://maps.live.com/default.aspx?v=2&amp;lvl=15&amp;sp=Point.47.653587_-122.357324_3620 1st Ave NW&amp;cp=47.653587~-122.357324","Map")</f>
        <v>Map</v>
      </c>
      <c r="N3035" s="2" t="str">
        <f>HYPERLINK("http://i-0.rfimg.us/photo/1/bigphoto/060/28054060_0.jpg","Photo")</f>
        <v>Photo</v>
      </c>
      <c r="AG3035">
        <v>47.653587000000002</v>
      </c>
      <c r="AH3035">
        <v>-122.35732400000001</v>
      </c>
      <c r="AI3035" t="s">
        <v>66</v>
      </c>
      <c r="AJ3035">
        <v>98103</v>
      </c>
      <c r="AN3035">
        <v>747500</v>
      </c>
      <c r="BC3035" s="22">
        <v>39536.45275462963</v>
      </c>
      <c r="BI3035" s="22">
        <v>39547.913935185185</v>
      </c>
      <c r="BL3035">
        <v>9999</v>
      </c>
      <c r="BM3035">
        <v>1599132</v>
      </c>
      <c r="BN3035" t="s">
        <v>1725</v>
      </c>
      <c r="BO3035" s="17">
        <f t="shared" ca="1" si="47"/>
        <v>12.8566512731486</v>
      </c>
      <c r="BP3035" t="b">
        <v>0</v>
      </c>
      <c r="BQ3035">
        <v>1</v>
      </c>
      <c r="BR3035" t="s">
        <v>1667</v>
      </c>
      <c r="BS3035" t="s">
        <v>1822</v>
      </c>
      <c r="BT3035" t="b">
        <v>0</v>
      </c>
      <c r="BV3035" t="s">
        <v>1668</v>
      </c>
      <c r="BW3035">
        <v>3620</v>
      </c>
      <c r="BX3035" t="s">
        <v>1669</v>
      </c>
      <c r="BY3035">
        <v>303515</v>
      </c>
      <c r="BZ3035" t="s">
        <v>1672</v>
      </c>
      <c r="CA3035">
        <v>1</v>
      </c>
      <c r="CB3035" t="b">
        <v>1</v>
      </c>
      <c r="CC3035">
        <v>0</v>
      </c>
      <c r="CD3035" t="b">
        <v>0</v>
      </c>
      <c r="CE3035" t="b">
        <v>1</v>
      </c>
      <c r="CF3035" t="b">
        <v>0</v>
      </c>
      <c r="CG3035">
        <v>2790383</v>
      </c>
      <c r="CH3035" t="s">
        <v>1681</v>
      </c>
      <c r="CI3035" s="10">
        <v>499950</v>
      </c>
      <c r="CJ3035" s="7">
        <v>39041</v>
      </c>
    </row>
    <row r="3036" spans="1:88">
      <c r="A3036">
        <v>28054096</v>
      </c>
      <c r="B3036" s="2" t="str">
        <f>HYPERLINK("http://www.redfin.com/stingray/do/printable-listing?listing-id=1599606","Active")</f>
        <v>Active</v>
      </c>
      <c r="D3036" t="s">
        <v>5490</v>
      </c>
      <c r="E3036" t="s">
        <v>6597</v>
      </c>
      <c r="F3036">
        <v>888000</v>
      </c>
      <c r="G3036">
        <v>1994</v>
      </c>
      <c r="H3036">
        <v>3191</v>
      </c>
      <c r="I3036">
        <v>15218</v>
      </c>
      <c r="J3036">
        <v>4</v>
      </c>
      <c r="K3036">
        <v>2.5</v>
      </c>
      <c r="M3036" s="2" t="str">
        <f>HYPERLINK("http://maps.live.com/default.aspx?v=2&amp;lvl=15&amp;sp=Point.47.552176_-122.120311_16468 SE 57th Pl&amp;cp=47.552176~-122.120311","Map")</f>
        <v>Map</v>
      </c>
      <c r="N3036" s="2" t="str">
        <f>HYPERLINK("http://i-0.rfimg.us/photo/1/bigphoto/096/28054096_0.jpg","Photo")</f>
        <v>Photo</v>
      </c>
      <c r="AG3036">
        <v>47.552176000000003</v>
      </c>
      <c r="AH3036">
        <v>-122.120311</v>
      </c>
      <c r="AI3036" t="s">
        <v>369</v>
      </c>
      <c r="AJ3036">
        <v>98006</v>
      </c>
      <c r="AN3036">
        <v>862500</v>
      </c>
      <c r="BC3036" s="22">
        <v>39536.672256944446</v>
      </c>
      <c r="BI3036" s="22">
        <v>39549.294907407406</v>
      </c>
      <c r="BL3036">
        <v>17760</v>
      </c>
      <c r="BM3036">
        <v>1599606</v>
      </c>
      <c r="BN3036" t="s">
        <v>5008</v>
      </c>
      <c r="BO3036" s="17">
        <f t="shared" ca="1" si="47"/>
        <v>12.637148958332546</v>
      </c>
      <c r="BP3036" t="b">
        <v>0</v>
      </c>
      <c r="BQ3036">
        <v>1</v>
      </c>
      <c r="BR3036" t="s">
        <v>1842</v>
      </c>
      <c r="BS3036" t="s">
        <v>1687</v>
      </c>
      <c r="BT3036" t="b">
        <v>0</v>
      </c>
      <c r="BU3036" t="s">
        <v>3856</v>
      </c>
      <c r="BV3036" t="s">
        <v>1668</v>
      </c>
      <c r="BW3036">
        <v>16468</v>
      </c>
      <c r="BY3036">
        <v>418504</v>
      </c>
      <c r="BZ3036" t="s">
        <v>1747</v>
      </c>
      <c r="CA3036">
        <v>1</v>
      </c>
      <c r="CB3036" t="b">
        <v>1</v>
      </c>
      <c r="CC3036">
        <v>0</v>
      </c>
      <c r="CD3036" t="b">
        <v>0</v>
      </c>
      <c r="CE3036" t="b">
        <v>1</v>
      </c>
      <c r="CF3036" t="b">
        <v>0</v>
      </c>
      <c r="CG3036">
        <v>2731840</v>
      </c>
      <c r="CH3036" t="s">
        <v>1681</v>
      </c>
      <c r="CI3036" s="10">
        <v>888000</v>
      </c>
      <c r="CJ3036" s="7">
        <v>38665</v>
      </c>
    </row>
    <row r="3037" spans="1:88">
      <c r="A3037">
        <v>28054147</v>
      </c>
      <c r="B3037" s="2" t="str">
        <f>HYPERLINK("http://www.redfin.com/stingray/do/printable-listing?listing-id=1615968","Active")</f>
        <v>Active</v>
      </c>
      <c r="D3037" t="s">
        <v>88</v>
      </c>
      <c r="E3037" t="s">
        <v>6815</v>
      </c>
      <c r="F3037">
        <v>575000</v>
      </c>
      <c r="G3037">
        <v>1913</v>
      </c>
      <c r="H3037">
        <v>2400</v>
      </c>
      <c r="I3037">
        <v>3600</v>
      </c>
      <c r="J3037">
        <v>3</v>
      </c>
      <c r="K3037">
        <v>1</v>
      </c>
      <c r="M3037" s="2" t="str">
        <f>HYPERLINK("http://maps.live.com/default.aspx?v=2&amp;lvl=15&amp;sp=Point.47.66395_-122.356828_4810 1st Ave NW&amp;cp=47.66395~-122.356828","Map")</f>
        <v>Map</v>
      </c>
      <c r="N3037" s="2" t="str">
        <f>HYPERLINK("http://i-0.rfimg.us/photo/1/bigphoto/147/28054147_0.jpg","Photo")</f>
        <v>Photo</v>
      </c>
      <c r="AG3037">
        <v>47.66395</v>
      </c>
      <c r="AH3037">
        <v>-122.35682799999999</v>
      </c>
      <c r="AI3037" t="s">
        <v>66</v>
      </c>
      <c r="AJ3037">
        <v>98107</v>
      </c>
      <c r="BC3037" s="22">
        <v>39542.296643518515</v>
      </c>
      <c r="BI3037" s="22">
        <v>39549.294907407406</v>
      </c>
      <c r="BL3037">
        <v>11500</v>
      </c>
      <c r="BM3037">
        <v>1615968</v>
      </c>
      <c r="BN3037" t="s">
        <v>1685</v>
      </c>
      <c r="BO3037" s="17">
        <f t="shared" ca="1" si="47"/>
        <v>7.012762384263624</v>
      </c>
      <c r="BP3037" t="b">
        <v>0</v>
      </c>
      <c r="BQ3037">
        <v>1</v>
      </c>
      <c r="BR3037" t="s">
        <v>1667</v>
      </c>
      <c r="BS3037" t="s">
        <v>1822</v>
      </c>
      <c r="BT3037" t="b">
        <v>0</v>
      </c>
      <c r="BV3037" t="s">
        <v>1668</v>
      </c>
      <c r="BW3037">
        <v>4810</v>
      </c>
      <c r="BX3037" t="s">
        <v>1669</v>
      </c>
      <c r="BY3037">
        <v>298710</v>
      </c>
      <c r="BZ3037" t="s">
        <v>1745</v>
      </c>
      <c r="CA3037">
        <v>1</v>
      </c>
      <c r="CB3037" t="b">
        <v>1</v>
      </c>
      <c r="CC3037">
        <v>0</v>
      </c>
      <c r="CD3037" t="b">
        <v>0</v>
      </c>
      <c r="CE3037" t="b">
        <v>1</v>
      </c>
      <c r="CF3037" t="b">
        <v>0</v>
      </c>
      <c r="CG3037">
        <v>2610455</v>
      </c>
      <c r="CH3037" t="s">
        <v>1681</v>
      </c>
      <c r="CI3037" s="10">
        <v>575000</v>
      </c>
    </row>
    <row r="3038" spans="1:88">
      <c r="A3038">
        <v>28054175</v>
      </c>
      <c r="B3038" s="2" t="str">
        <f>HYPERLINK("http://www.redfin.com/stingray/do/printable-listing?listing-id=1612345","Active")</f>
        <v>Active</v>
      </c>
      <c r="D3038" t="s">
        <v>3249</v>
      </c>
      <c r="E3038" t="s">
        <v>6782</v>
      </c>
      <c r="F3038">
        <v>550000</v>
      </c>
      <c r="G3038">
        <v>2005</v>
      </c>
      <c r="H3038">
        <v>1606</v>
      </c>
      <c r="I3038">
        <v>976</v>
      </c>
      <c r="J3038">
        <v>3</v>
      </c>
      <c r="K3038">
        <v>2.25</v>
      </c>
      <c r="M3038" s="2" t="str">
        <f>HYPERLINK("http://maps.live.com/default.aspx?v=2&amp;lvl=15&amp;sp=Point.47.628549_-122.345841_1018 Taylor Ave N nA&amp;cp=47.628549~-122.345841","Map")</f>
        <v>Map</v>
      </c>
      <c r="N3038" s="2" t="str">
        <f>HYPERLINK("http://i-0.rfimg.us/photo/1/bigphoto/175/28054175_1.jpg","Photo")</f>
        <v>Photo</v>
      </c>
      <c r="AG3038">
        <v>47.628549</v>
      </c>
      <c r="AH3038">
        <v>-122.34584099999999</v>
      </c>
      <c r="AI3038" t="s">
        <v>66</v>
      </c>
      <c r="AJ3038">
        <v>98109</v>
      </c>
      <c r="AM3038" t="s">
        <v>1722</v>
      </c>
      <c r="AN3038">
        <v>465000</v>
      </c>
      <c r="BC3038" s="22">
        <v>39541.327488425923</v>
      </c>
      <c r="BI3038" s="22">
        <v>39549.294907407406</v>
      </c>
      <c r="BL3038">
        <v>11000</v>
      </c>
      <c r="BM3038">
        <v>1612345</v>
      </c>
      <c r="BN3038" t="s">
        <v>1674</v>
      </c>
      <c r="BO3038" s="17">
        <f t="shared" ca="1" si="47"/>
        <v>7.9819174768563244</v>
      </c>
      <c r="BP3038" t="b">
        <v>0</v>
      </c>
      <c r="BQ3038">
        <v>1</v>
      </c>
      <c r="BR3038" t="s">
        <v>1667</v>
      </c>
      <c r="BS3038" t="s">
        <v>3054</v>
      </c>
      <c r="BT3038" t="b">
        <v>0</v>
      </c>
      <c r="BV3038" t="s">
        <v>1668</v>
      </c>
      <c r="BW3038">
        <v>1018</v>
      </c>
      <c r="BX3038" t="s">
        <v>1712</v>
      </c>
      <c r="BY3038">
        <v>132117</v>
      </c>
      <c r="BZ3038" t="s">
        <v>1679</v>
      </c>
      <c r="CA3038">
        <v>1</v>
      </c>
      <c r="CB3038" t="b">
        <v>1</v>
      </c>
      <c r="CC3038">
        <v>0</v>
      </c>
      <c r="CD3038" t="b">
        <v>0</v>
      </c>
      <c r="CE3038" t="b">
        <v>1</v>
      </c>
      <c r="CF3038" t="b">
        <v>0</v>
      </c>
      <c r="CG3038">
        <v>2751216</v>
      </c>
      <c r="CH3038" t="s">
        <v>1681</v>
      </c>
      <c r="CI3038" s="10">
        <v>550000</v>
      </c>
      <c r="CJ3038" s="7">
        <v>38625</v>
      </c>
    </row>
    <row r="3039" spans="1:88">
      <c r="A3039">
        <v>28054195</v>
      </c>
      <c r="B3039" s="2" t="str">
        <f>HYPERLINK("http://www.redfin.com/stingray/do/printable-listing?listing-id=1602403","Active")</f>
        <v>Active</v>
      </c>
      <c r="D3039" t="s">
        <v>3966</v>
      </c>
      <c r="E3039" t="s">
        <v>6631</v>
      </c>
      <c r="F3039">
        <v>499000</v>
      </c>
      <c r="G3039">
        <v>1927</v>
      </c>
      <c r="H3039">
        <v>2280</v>
      </c>
      <c r="I3039">
        <v>2800</v>
      </c>
      <c r="J3039">
        <v>3</v>
      </c>
      <c r="K3039">
        <v>2.75</v>
      </c>
      <c r="M3039" s="2" t="str">
        <f>HYPERLINK("http://maps.live.com/default.aspx?v=2&amp;lvl=15&amp;sp=Point.47.61547_-122.292905_3012 E Pine St&amp;cp=47.61547~-122.292905","Map")</f>
        <v>Map</v>
      </c>
      <c r="N3039" s="2" t="str">
        <f>HYPERLINK("http://i-0.rfimg.us/photo/1/bigphoto/195/28054195_0.jpg","Photo")</f>
        <v>Photo</v>
      </c>
      <c r="AG3039">
        <v>47.615470000000002</v>
      </c>
      <c r="AH3039">
        <v>-122.292905</v>
      </c>
      <c r="AI3039" t="s">
        <v>66</v>
      </c>
      <c r="AJ3039">
        <v>98122</v>
      </c>
      <c r="BC3039" s="22">
        <v>39538.569490740738</v>
      </c>
      <c r="BI3039" s="22">
        <v>39549.294907407406</v>
      </c>
      <c r="BL3039">
        <v>9980</v>
      </c>
      <c r="BM3039">
        <v>1602403</v>
      </c>
      <c r="BN3039" t="s">
        <v>1746</v>
      </c>
      <c r="BO3039" s="17">
        <f t="shared" ca="1" si="47"/>
        <v>10.739915162041143</v>
      </c>
      <c r="BP3039" t="b">
        <v>0</v>
      </c>
      <c r="BQ3039">
        <v>1</v>
      </c>
      <c r="BR3039" t="s">
        <v>1686</v>
      </c>
      <c r="BS3039" t="s">
        <v>6632</v>
      </c>
      <c r="BT3039" t="b">
        <v>0</v>
      </c>
      <c r="BU3039" t="s">
        <v>2436</v>
      </c>
      <c r="BV3039" t="s">
        <v>1668</v>
      </c>
      <c r="BW3039">
        <v>3012</v>
      </c>
      <c r="BY3039">
        <v>148240</v>
      </c>
      <c r="BZ3039" t="s">
        <v>1670</v>
      </c>
      <c r="CA3039">
        <v>1</v>
      </c>
      <c r="CB3039" t="b">
        <v>1</v>
      </c>
      <c r="CC3039">
        <v>0</v>
      </c>
      <c r="CD3039" t="b">
        <v>0</v>
      </c>
      <c r="CE3039" t="b">
        <v>1</v>
      </c>
      <c r="CF3039" t="b">
        <v>0</v>
      </c>
      <c r="CG3039">
        <v>2838834</v>
      </c>
      <c r="CH3039" t="s">
        <v>1681</v>
      </c>
      <c r="CI3039" s="10">
        <v>499000</v>
      </c>
    </row>
    <row r="3040" spans="1:88">
      <c r="A3040">
        <v>28054196</v>
      </c>
      <c r="B3040" s="2" t="str">
        <f>HYPERLINK("http://www.redfin.com/stingray/do/printable-listing?listing-id=1614031","Active")</f>
        <v>Active</v>
      </c>
      <c r="D3040" t="s">
        <v>4542</v>
      </c>
      <c r="E3040" t="s">
        <v>6788</v>
      </c>
      <c r="F3040">
        <v>839900</v>
      </c>
      <c r="G3040">
        <v>1993</v>
      </c>
      <c r="H3040">
        <v>2400</v>
      </c>
      <c r="I3040">
        <v>8712</v>
      </c>
      <c r="J3040">
        <v>3</v>
      </c>
      <c r="K3040">
        <v>2.5</v>
      </c>
      <c r="M3040" s="2" t="str">
        <f>HYPERLINK("http://maps.live.com/default.aspx?v=2&amp;lvl=15&amp;sp=Point.47.68593_-122.198203_1321 5th Ln&amp;cp=47.68593~-122.198203","Map")</f>
        <v>Map</v>
      </c>
      <c r="N3040" s="2" t="str">
        <f>HYPERLINK("http://i-0.rfimg.us/photo/1/bigphoto/196/28054196_1.jpg","Photo")</f>
        <v>Photo</v>
      </c>
      <c r="AG3040">
        <v>47.685929999999999</v>
      </c>
      <c r="AH3040">
        <v>-122.19820300000001</v>
      </c>
      <c r="AI3040" t="s">
        <v>1058</v>
      </c>
      <c r="AJ3040">
        <v>98033</v>
      </c>
      <c r="AN3040">
        <v>405000</v>
      </c>
      <c r="BC3040" s="22">
        <v>39541.617488425924</v>
      </c>
      <c r="BI3040" s="22">
        <v>39549.294907407406</v>
      </c>
      <c r="BL3040">
        <v>16798</v>
      </c>
      <c r="BM3040">
        <v>1614031</v>
      </c>
      <c r="BN3040" t="s">
        <v>1688</v>
      </c>
      <c r="BO3040" s="17">
        <f t="shared" ca="1" si="47"/>
        <v>7.6919174768554512</v>
      </c>
      <c r="BP3040" t="b">
        <v>0</v>
      </c>
      <c r="BQ3040">
        <v>1</v>
      </c>
      <c r="BR3040" t="s">
        <v>2963</v>
      </c>
      <c r="BS3040" t="s">
        <v>1832</v>
      </c>
      <c r="BT3040" t="b">
        <v>0</v>
      </c>
      <c r="BV3040" t="s">
        <v>1668</v>
      </c>
      <c r="BW3040">
        <v>1321</v>
      </c>
      <c r="BY3040">
        <v>461035</v>
      </c>
      <c r="BZ3040" t="s">
        <v>6789</v>
      </c>
      <c r="CA3040">
        <v>1</v>
      </c>
      <c r="CB3040" t="b">
        <v>1</v>
      </c>
      <c r="CC3040">
        <v>0</v>
      </c>
      <c r="CD3040" t="b">
        <v>0</v>
      </c>
      <c r="CE3040" t="b">
        <v>1</v>
      </c>
      <c r="CF3040" t="b">
        <v>0</v>
      </c>
      <c r="CG3040">
        <v>2675436</v>
      </c>
      <c r="CH3040" t="s">
        <v>1681</v>
      </c>
      <c r="CI3040" s="10">
        <v>839900</v>
      </c>
      <c r="CJ3040" s="7">
        <v>37620</v>
      </c>
    </row>
    <row r="3041" spans="1:88">
      <c r="A3041">
        <v>28054213</v>
      </c>
      <c r="B3041" s="2" t="str">
        <f>HYPERLINK("http://www.redfin.com/stingray/do/printable-listing?listing-id=1599649","Active")</f>
        <v>Active</v>
      </c>
      <c r="D3041" t="s">
        <v>3704</v>
      </c>
      <c r="E3041" t="s">
        <v>6583</v>
      </c>
      <c r="F3041">
        <v>619000</v>
      </c>
      <c r="G3041">
        <v>2003</v>
      </c>
      <c r="H3041">
        <v>1640</v>
      </c>
      <c r="I3041">
        <v>1144</v>
      </c>
      <c r="J3041">
        <v>3</v>
      </c>
      <c r="K3041">
        <v>3.5</v>
      </c>
      <c r="M3041" s="2" t="str">
        <f>HYPERLINK("http://maps.live.com/default.aspx?v=2&amp;lvl=15&amp;sp=Point.47.623843_-122.305623_520 20 Ave E nA&amp;cp=47.623843~-122.305623","Map")</f>
        <v>Map</v>
      </c>
      <c r="N3041" s="2" t="str">
        <f>HYPERLINK("http://i-0.rfimg.us/photo/1/bigphoto/213/28054213_0.jpg","Photo")</f>
        <v>Photo</v>
      </c>
      <c r="AG3041">
        <v>47.623843000000001</v>
      </c>
      <c r="AH3041">
        <v>-122.305623</v>
      </c>
      <c r="AI3041" t="s">
        <v>66</v>
      </c>
      <c r="AJ3041">
        <v>98112</v>
      </c>
      <c r="AM3041" t="s">
        <v>1722</v>
      </c>
      <c r="BC3041" s="22">
        <v>39536.693715277775</v>
      </c>
      <c r="BI3041" s="22">
        <v>39549.294907407406</v>
      </c>
      <c r="BL3041">
        <v>12380</v>
      </c>
      <c r="BM3041">
        <v>1599649</v>
      </c>
      <c r="BN3041" t="s">
        <v>1710</v>
      </c>
      <c r="BO3041" s="17">
        <f t="shared" ca="1" si="47"/>
        <v>12.615690625003481</v>
      </c>
      <c r="BP3041" t="b">
        <v>0</v>
      </c>
      <c r="BQ3041">
        <v>1</v>
      </c>
      <c r="BR3041" t="s">
        <v>1667</v>
      </c>
      <c r="BS3041">
        <v>20</v>
      </c>
      <c r="BT3041" t="b">
        <v>0</v>
      </c>
      <c r="BV3041" t="s">
        <v>1668</v>
      </c>
      <c r="BW3041">
        <v>520</v>
      </c>
      <c r="BX3041" t="s">
        <v>2436</v>
      </c>
      <c r="BY3041">
        <v>12435907</v>
      </c>
      <c r="BZ3041" t="s">
        <v>1713</v>
      </c>
      <c r="CA3041">
        <v>1</v>
      </c>
      <c r="CB3041" t="b">
        <v>1</v>
      </c>
      <c r="CC3041">
        <v>0</v>
      </c>
      <c r="CD3041" t="b">
        <v>0</v>
      </c>
      <c r="CE3041" t="b">
        <v>1</v>
      </c>
      <c r="CF3041" t="b">
        <v>0</v>
      </c>
      <c r="CG3041">
        <v>15639655</v>
      </c>
      <c r="CH3041" t="s">
        <v>1681</v>
      </c>
      <c r="CI3041" s="10">
        <v>619000</v>
      </c>
    </row>
    <row r="3042" spans="1:88">
      <c r="A3042">
        <v>28054221</v>
      </c>
      <c r="B3042" s="2" t="str">
        <f>HYPERLINK("http://www.redfin.com/stingray/do/printable-listing?listing-id=1599694","Active")</f>
        <v>Active</v>
      </c>
      <c r="D3042" t="s">
        <v>3249</v>
      </c>
      <c r="E3042" t="s">
        <v>6584</v>
      </c>
      <c r="F3042">
        <v>975000</v>
      </c>
      <c r="G3042">
        <v>1924</v>
      </c>
      <c r="H3042">
        <v>2660</v>
      </c>
      <c r="I3042">
        <v>5100</v>
      </c>
      <c r="J3042">
        <v>3</v>
      </c>
      <c r="K3042">
        <v>3</v>
      </c>
      <c r="M3042" s="2" t="str">
        <f>HYPERLINK("http://maps.live.com/default.aspx?v=2&amp;lvl=15&amp;sp=Point.47.627437_-122.357076_20 Aloha St&amp;cp=47.627437~-122.357076","Map")</f>
        <v>Map</v>
      </c>
      <c r="N3042" s="2" t="str">
        <f>HYPERLINK("http://i-0.rfimg.us/photo/1/bigphoto/221/28054221_3.jpg","Photo")</f>
        <v>Photo</v>
      </c>
      <c r="AG3042">
        <v>47.627437</v>
      </c>
      <c r="AH3042">
        <v>-122.35707600000001</v>
      </c>
      <c r="AI3042" t="s">
        <v>66</v>
      </c>
      <c r="AJ3042">
        <v>98119</v>
      </c>
      <c r="BC3042" s="22">
        <v>39536.723634259259</v>
      </c>
      <c r="BI3042" s="22">
        <v>39549.294907407406</v>
      </c>
      <c r="BL3042">
        <v>19500</v>
      </c>
      <c r="BM3042">
        <v>1599694</v>
      </c>
      <c r="BN3042" t="s">
        <v>1702</v>
      </c>
      <c r="BO3042" s="17">
        <f t="shared" ca="1" si="47"/>
        <v>12.585771643520275</v>
      </c>
      <c r="BP3042" t="b">
        <v>0</v>
      </c>
      <c r="BQ3042">
        <v>1</v>
      </c>
      <c r="BR3042" t="s">
        <v>1686</v>
      </c>
      <c r="BS3042" t="s">
        <v>4234</v>
      </c>
      <c r="BT3042" t="b">
        <v>0</v>
      </c>
      <c r="BV3042" t="s">
        <v>1668</v>
      </c>
      <c r="BW3042">
        <v>20</v>
      </c>
      <c r="BY3042">
        <v>12435913</v>
      </c>
      <c r="BZ3042" t="s">
        <v>6585</v>
      </c>
      <c r="CA3042">
        <v>1</v>
      </c>
      <c r="CB3042" t="b">
        <v>1</v>
      </c>
      <c r="CC3042">
        <v>0</v>
      </c>
      <c r="CD3042" t="b">
        <v>0</v>
      </c>
      <c r="CE3042" t="b">
        <v>1</v>
      </c>
      <c r="CF3042" t="b">
        <v>0</v>
      </c>
      <c r="CG3042">
        <v>15639661</v>
      </c>
      <c r="CH3042" t="s">
        <v>1681</v>
      </c>
      <c r="CI3042" s="10">
        <v>975000</v>
      </c>
    </row>
    <row r="3043" spans="1:88">
      <c r="A3043">
        <v>28054223</v>
      </c>
      <c r="B3043" s="15" t="str">
        <f>HYPERLINK("http://www.redfin.com/stingray/do/printable-listing?listing-id=1601422","Subject To Inspection")</f>
        <v>Subject To Inspection</v>
      </c>
      <c r="D3043" t="s">
        <v>1152</v>
      </c>
      <c r="E3043" t="s">
        <v>6617</v>
      </c>
      <c r="F3043">
        <v>530000</v>
      </c>
      <c r="G3043">
        <v>1942</v>
      </c>
      <c r="H3043">
        <v>2000</v>
      </c>
      <c r="I3043">
        <v>5000</v>
      </c>
      <c r="J3043">
        <v>2</v>
      </c>
      <c r="K3043">
        <v>1</v>
      </c>
      <c r="M3043" s="2" t="str">
        <f>HYPERLINK("http://maps.live.com/default.aspx?v=2&amp;lvl=15&amp;sp=Point.47.670108_-122.281933_4301 NE 57th St&amp;cp=47.670108~-122.281933","Map")</f>
        <v>Map</v>
      </c>
      <c r="N3043" s="2" t="str">
        <f>HYPERLINK("http://i-0.rfimg.us/photo/1/bigphoto/223/28054223_1.jpg","Photo")</f>
        <v>Photo</v>
      </c>
      <c r="AG3043">
        <v>47.670107999999999</v>
      </c>
      <c r="AH3043">
        <v>-122.281933</v>
      </c>
      <c r="AI3043" t="s">
        <v>66</v>
      </c>
      <c r="AJ3043">
        <v>98105</v>
      </c>
      <c r="AN3043">
        <v>400000</v>
      </c>
      <c r="BC3043" s="22">
        <v>39538.358749999999</v>
      </c>
      <c r="BI3043" s="22">
        <v>39549.294907407406</v>
      </c>
      <c r="BL3043">
        <v>10600</v>
      </c>
      <c r="BM3043">
        <v>1601422</v>
      </c>
      <c r="BN3043" t="s">
        <v>1710</v>
      </c>
      <c r="BO3043" s="17">
        <f t="shared" ca="1" si="47"/>
        <v>10.950655902779545</v>
      </c>
      <c r="BP3043" t="b">
        <v>0</v>
      </c>
      <c r="BQ3043">
        <v>1</v>
      </c>
      <c r="BR3043" t="s">
        <v>1686</v>
      </c>
      <c r="BS3043" t="s">
        <v>1687</v>
      </c>
      <c r="BT3043" t="b">
        <v>0</v>
      </c>
      <c r="BU3043" t="s">
        <v>1738</v>
      </c>
      <c r="BV3043" t="s">
        <v>1668</v>
      </c>
      <c r="BW3043">
        <v>4301</v>
      </c>
      <c r="BY3043">
        <v>313962</v>
      </c>
      <c r="BZ3043" t="s">
        <v>3727</v>
      </c>
      <c r="CA3043">
        <v>1</v>
      </c>
      <c r="CB3043" t="b">
        <v>1</v>
      </c>
      <c r="CC3043">
        <v>0</v>
      </c>
      <c r="CD3043" t="b">
        <v>0</v>
      </c>
      <c r="CE3043" t="b">
        <v>1</v>
      </c>
      <c r="CF3043" t="b">
        <v>0</v>
      </c>
      <c r="CG3043">
        <v>2874028</v>
      </c>
      <c r="CH3043" t="s">
        <v>1681</v>
      </c>
      <c r="CI3043" s="10">
        <v>530000</v>
      </c>
      <c r="CJ3043" s="7">
        <v>39252</v>
      </c>
    </row>
    <row r="3044" spans="1:88">
      <c r="A3044">
        <v>28054249</v>
      </c>
      <c r="B3044" s="2" t="str">
        <f>HYPERLINK("http://www.redfin.com/stingray/do/printable-listing?listing-id=1601585","Active")</f>
        <v>Active</v>
      </c>
      <c r="D3044" t="s">
        <v>5121</v>
      </c>
      <c r="E3044" t="s">
        <v>6647</v>
      </c>
      <c r="F3044">
        <v>799998</v>
      </c>
      <c r="G3044">
        <v>1952</v>
      </c>
      <c r="H3044">
        <v>1930</v>
      </c>
      <c r="I3044">
        <v>9583</v>
      </c>
      <c r="J3044">
        <v>5</v>
      </c>
      <c r="K3044">
        <v>1.75</v>
      </c>
      <c r="M3044" s="2" t="str">
        <f>HYPERLINK("http://maps.live.com/default.aspx?v=2&amp;lvl=15&amp;sp=Point.47.592759_-122.20026_10416 SE 20 St&amp;cp=47.592759~-122.20026","Map")</f>
        <v>Map</v>
      </c>
      <c r="N3044" s="2" t="str">
        <f>HYPERLINK("http://i-0.rfimg.us/photo/1/bigphoto/249/28054249_1.jpg","Photo")</f>
        <v>Photo</v>
      </c>
      <c r="AG3044">
        <v>47.592759000000001</v>
      </c>
      <c r="AH3044">
        <v>-122.20026</v>
      </c>
      <c r="AI3044" t="s">
        <v>369</v>
      </c>
      <c r="AJ3044">
        <v>98004</v>
      </c>
      <c r="AN3044">
        <v>183000</v>
      </c>
      <c r="BC3044" s="22">
        <v>39538.40084490741</v>
      </c>
      <c r="BI3044" s="22">
        <v>39549.294907407406</v>
      </c>
      <c r="BL3044">
        <v>16000</v>
      </c>
      <c r="BM3044">
        <v>1601585</v>
      </c>
      <c r="BN3044" t="s">
        <v>1917</v>
      </c>
      <c r="BO3044" s="17">
        <f t="shared" ca="1" si="47"/>
        <v>10.908560995369044</v>
      </c>
      <c r="BP3044" t="b">
        <v>0</v>
      </c>
      <c r="BQ3044">
        <v>1</v>
      </c>
      <c r="BR3044" t="s">
        <v>1686</v>
      </c>
      <c r="BS3044">
        <v>20</v>
      </c>
      <c r="BT3044" t="b">
        <v>0</v>
      </c>
      <c r="BU3044" t="s">
        <v>3856</v>
      </c>
      <c r="BV3044" t="s">
        <v>1668</v>
      </c>
      <c r="BW3044">
        <v>10416</v>
      </c>
      <c r="BY3044">
        <v>510418</v>
      </c>
      <c r="BZ3044" t="s">
        <v>1679</v>
      </c>
      <c r="CA3044">
        <v>1</v>
      </c>
      <c r="CB3044" t="b">
        <v>1</v>
      </c>
      <c r="CC3044">
        <v>0</v>
      </c>
      <c r="CD3044" t="b">
        <v>0</v>
      </c>
      <c r="CE3044" t="b">
        <v>1</v>
      </c>
      <c r="CF3044" t="b">
        <v>0</v>
      </c>
      <c r="CG3044">
        <v>2782697</v>
      </c>
      <c r="CH3044" t="s">
        <v>1681</v>
      </c>
      <c r="CI3044" s="10">
        <v>799998</v>
      </c>
      <c r="CJ3044" s="7">
        <v>35145</v>
      </c>
    </row>
    <row r="3045" spans="1:88">
      <c r="A3045">
        <v>28054257</v>
      </c>
      <c r="B3045" s="2" t="str">
        <f>HYPERLINK("http://www.redfin.com/stingray/do/printable-listing?listing-id=1618958","Active")</f>
        <v>Active</v>
      </c>
      <c r="D3045" t="s">
        <v>5191</v>
      </c>
      <c r="E3045" t="s">
        <v>6913</v>
      </c>
      <c r="F3045">
        <v>999800</v>
      </c>
      <c r="G3045">
        <v>1984</v>
      </c>
      <c r="H3045">
        <v>3820</v>
      </c>
      <c r="I3045">
        <v>12635</v>
      </c>
      <c r="J3045">
        <v>4</v>
      </c>
      <c r="K3045">
        <v>3.5</v>
      </c>
      <c r="M3045" s="2" t="str">
        <f>HYPERLINK("http://maps.live.com/default.aspx?v=2&amp;lvl=15&amp;sp=Point.47.554113_-122.158017_13613 SE 54th Pl&amp;cp=47.554113~-122.158017","Map")</f>
        <v>Map</v>
      </c>
      <c r="N3045" s="2" t="str">
        <f>HYPERLINK("http://i-0.rfimg.us/photo/1/bigphoto/257/28054257_0.jpg","Photo")</f>
        <v>Photo</v>
      </c>
      <c r="AG3045">
        <v>47.554113000000001</v>
      </c>
      <c r="AH3045">
        <v>-122.158017</v>
      </c>
      <c r="AI3045" t="s">
        <v>369</v>
      </c>
      <c r="AJ3045">
        <v>98006</v>
      </c>
      <c r="AN3045">
        <v>695000</v>
      </c>
      <c r="BC3045" s="22">
        <v>39542.94363425926</v>
      </c>
      <c r="BI3045" s="22">
        <v>39549.294907407406</v>
      </c>
      <c r="BL3045">
        <v>19996</v>
      </c>
      <c r="BM3045">
        <v>1618958</v>
      </c>
      <c r="BN3045" t="s">
        <v>6912</v>
      </c>
      <c r="BO3045" s="17">
        <f t="shared" ca="1" si="47"/>
        <v>6.3657716435191105</v>
      </c>
      <c r="BP3045" t="b">
        <v>0</v>
      </c>
      <c r="BQ3045">
        <v>1</v>
      </c>
      <c r="BR3045" t="s">
        <v>1842</v>
      </c>
      <c r="BS3045" t="s">
        <v>2585</v>
      </c>
      <c r="BT3045" t="b">
        <v>0</v>
      </c>
      <c r="BU3045" t="s">
        <v>3856</v>
      </c>
      <c r="BV3045" t="s">
        <v>1668</v>
      </c>
      <c r="BW3045">
        <v>13613</v>
      </c>
      <c r="BY3045">
        <v>237122</v>
      </c>
      <c r="BZ3045" t="s">
        <v>1672</v>
      </c>
      <c r="CA3045">
        <v>1</v>
      </c>
      <c r="CB3045" t="b">
        <v>1</v>
      </c>
      <c r="CC3045">
        <v>0</v>
      </c>
      <c r="CD3045" t="b">
        <v>0</v>
      </c>
      <c r="CE3045" t="b">
        <v>1</v>
      </c>
      <c r="CF3045" t="b">
        <v>0</v>
      </c>
      <c r="CG3045">
        <v>2514177</v>
      </c>
      <c r="CH3045" t="s">
        <v>1681</v>
      </c>
      <c r="CI3045" s="10">
        <v>999800</v>
      </c>
      <c r="CJ3045" s="7">
        <v>38149</v>
      </c>
    </row>
    <row r="3046" spans="1:88">
      <c r="A3046">
        <v>28054273</v>
      </c>
      <c r="B3046" s="2" t="str">
        <f>HYPERLINK("http://www.redfin.com/stingray/do/printable-listing?listing-id=1603583","Active")</f>
        <v>Active</v>
      </c>
      <c r="D3046" t="s">
        <v>63</v>
      </c>
      <c r="E3046" t="s">
        <v>2315</v>
      </c>
      <c r="F3046">
        <v>625000</v>
      </c>
      <c r="G3046">
        <v>1925</v>
      </c>
      <c r="H3046">
        <v>2630</v>
      </c>
      <c r="I3046">
        <v>5000</v>
      </c>
      <c r="J3046">
        <v>3</v>
      </c>
      <c r="K3046">
        <v>2</v>
      </c>
      <c r="M3046" s="2" t="str">
        <f>HYPERLINK("http://maps.live.com/default.aspx?v=2&amp;lvl=15&amp;sp=Point.47.681011_-122.370767_7049 11th Ave NW&amp;cp=47.681011~-122.370767","Map")</f>
        <v>Map</v>
      </c>
      <c r="N3046" s="2" t="str">
        <f>HYPERLINK("http://i-0.rfimg.us/photo/1/bigphoto/273/28054273_1.jpg","Photo")</f>
        <v>Photo</v>
      </c>
      <c r="AG3046">
        <v>47.681010999999998</v>
      </c>
      <c r="AH3046">
        <v>-122.370767</v>
      </c>
      <c r="AI3046" t="s">
        <v>66</v>
      </c>
      <c r="AJ3046">
        <v>98117</v>
      </c>
      <c r="AN3046">
        <v>165000</v>
      </c>
      <c r="BC3046" s="22">
        <v>39538.910995370374</v>
      </c>
      <c r="BI3046" s="22">
        <v>39549.294907407406</v>
      </c>
      <c r="BL3046">
        <v>12500</v>
      </c>
      <c r="BM3046">
        <v>1603583</v>
      </c>
      <c r="BN3046" t="s">
        <v>1710</v>
      </c>
      <c r="BO3046" s="17">
        <f t="shared" ca="1" si="47"/>
        <v>10.398410532405251</v>
      </c>
      <c r="BP3046" t="b">
        <v>0</v>
      </c>
      <c r="BQ3046">
        <v>1</v>
      </c>
      <c r="BR3046" t="s">
        <v>1667</v>
      </c>
      <c r="BS3046" t="s">
        <v>1792</v>
      </c>
      <c r="BT3046" t="b">
        <v>0</v>
      </c>
      <c r="BV3046" t="s">
        <v>1668</v>
      </c>
      <c r="BW3046">
        <v>7049</v>
      </c>
      <c r="BX3046" t="s">
        <v>1669</v>
      </c>
      <c r="BY3046">
        <v>498027</v>
      </c>
      <c r="BZ3046" t="s">
        <v>1704</v>
      </c>
      <c r="CA3046">
        <v>1</v>
      </c>
      <c r="CB3046" t="b">
        <v>1</v>
      </c>
      <c r="CC3046">
        <v>0</v>
      </c>
      <c r="CD3046" t="b">
        <v>0</v>
      </c>
      <c r="CE3046" t="b">
        <v>1</v>
      </c>
      <c r="CF3046" t="b">
        <v>0</v>
      </c>
      <c r="CG3046">
        <v>2550817</v>
      </c>
      <c r="CH3046" t="s">
        <v>1681</v>
      </c>
      <c r="CI3046" s="10">
        <v>625000</v>
      </c>
      <c r="CJ3046" s="7">
        <v>34491</v>
      </c>
    </row>
    <row r="3047" spans="1:88">
      <c r="A3047">
        <v>28054293</v>
      </c>
      <c r="B3047" s="2" t="str">
        <f>HYPERLINK("http://www.redfin.com/stingray/do/printable-listing?listing-id=1600218","Active")</f>
        <v>Active</v>
      </c>
      <c r="D3047" t="s">
        <v>60</v>
      </c>
      <c r="E3047" t="s">
        <v>6569</v>
      </c>
      <c r="F3047">
        <v>620000</v>
      </c>
      <c r="G3047">
        <v>1901</v>
      </c>
      <c r="H3047">
        <v>1660</v>
      </c>
      <c r="I3047">
        <v>4178</v>
      </c>
      <c r="J3047">
        <v>2</v>
      </c>
      <c r="K3047">
        <v>1.75</v>
      </c>
      <c r="M3047" s="2" t="str">
        <f>HYPERLINK("http://maps.live.com/default.aspx?v=2&amp;lvl=15&amp;sp=Point.47.671796_-122.332717_2118 N 59th St&amp;cp=47.671796~-122.332717","Map")</f>
        <v>Map</v>
      </c>
      <c r="N3047" s="2" t="str">
        <f>HYPERLINK("http://i-0.rfimg.us/photo/1/bigphoto/293/28054293_.jpg","Photo")</f>
        <v>Photo</v>
      </c>
      <c r="AG3047">
        <v>47.671796000000001</v>
      </c>
      <c r="AH3047">
        <v>-122.332717</v>
      </c>
      <c r="AI3047" t="s">
        <v>66</v>
      </c>
      <c r="AJ3047">
        <v>98103</v>
      </c>
      <c r="AN3047">
        <v>535000</v>
      </c>
      <c r="BC3047" s="22">
        <v>39537.337789351855</v>
      </c>
      <c r="BI3047" s="22">
        <v>39549.294907407406</v>
      </c>
      <c r="BL3047">
        <v>12400</v>
      </c>
      <c r="BM3047">
        <v>1600218</v>
      </c>
      <c r="BN3047" t="s">
        <v>3026</v>
      </c>
      <c r="BO3047" s="17">
        <f t="shared" ca="1" si="47"/>
        <v>11.9716165509235</v>
      </c>
      <c r="BP3047" t="b">
        <v>0</v>
      </c>
      <c r="BQ3047">
        <v>1</v>
      </c>
      <c r="BR3047" t="s">
        <v>1686</v>
      </c>
      <c r="BS3047" t="s">
        <v>2492</v>
      </c>
      <c r="BT3047" t="b">
        <v>0</v>
      </c>
      <c r="BU3047" t="s">
        <v>1712</v>
      </c>
      <c r="BV3047" t="s">
        <v>1668</v>
      </c>
      <c r="BW3047">
        <v>2118</v>
      </c>
      <c r="BY3047">
        <v>305346</v>
      </c>
      <c r="BZ3047" t="s">
        <v>6607</v>
      </c>
      <c r="CA3047">
        <v>1</v>
      </c>
      <c r="CB3047" t="b">
        <v>1</v>
      </c>
      <c r="CC3047">
        <v>0</v>
      </c>
      <c r="CD3047" t="b">
        <v>0</v>
      </c>
      <c r="CE3047" t="b">
        <v>1</v>
      </c>
      <c r="CF3047" t="b">
        <v>0</v>
      </c>
      <c r="CG3047">
        <v>2385623</v>
      </c>
      <c r="CH3047" t="s">
        <v>1681</v>
      </c>
      <c r="CI3047" s="10">
        <v>620000</v>
      </c>
      <c r="CJ3047" s="7">
        <v>38677</v>
      </c>
    </row>
    <row r="3048" spans="1:88">
      <c r="A3048">
        <v>28054298</v>
      </c>
      <c r="B3048" s="2" t="str">
        <f>HYPERLINK("http://www.redfin.com/stingray/do/printable-listing?listing-id=1616138","Active")</f>
        <v>Active</v>
      </c>
      <c r="D3048" t="s">
        <v>369</v>
      </c>
      <c r="E3048" t="s">
        <v>5492</v>
      </c>
      <c r="F3048">
        <v>485000</v>
      </c>
      <c r="G3048">
        <v>1963</v>
      </c>
      <c r="H3048">
        <v>1640</v>
      </c>
      <c r="I3048">
        <v>11064</v>
      </c>
      <c r="J3048">
        <v>3</v>
      </c>
      <c r="K3048">
        <v>1.75</v>
      </c>
      <c r="M3048" s="2" t="str">
        <f>HYPERLINK("http://maps.live.com/default.aspx?v=2&amp;lvl=15&amp;sp=Point.47.571672_-122.12652_4145 161st Ave SE&amp;cp=47.571672~-122.12652","Map")</f>
        <v>Map</v>
      </c>
      <c r="N3048" s="2" t="str">
        <f>HYPERLINK("http://i-0.rfimg.us/photo/1/bigphoto/298/28054298_4.jpg","Photo")</f>
        <v>Photo</v>
      </c>
      <c r="AG3048">
        <v>47.571672</v>
      </c>
      <c r="AH3048">
        <v>-122.12652</v>
      </c>
      <c r="AI3048" t="s">
        <v>369</v>
      </c>
      <c r="AJ3048">
        <v>98006</v>
      </c>
      <c r="AN3048">
        <v>185000</v>
      </c>
      <c r="BC3048" s="22">
        <v>39542.348541666666</v>
      </c>
      <c r="BI3048" s="22">
        <v>39549.294907407406</v>
      </c>
      <c r="BL3048">
        <v>9700</v>
      </c>
      <c r="BM3048">
        <v>1616138</v>
      </c>
      <c r="BN3048" t="s">
        <v>1768</v>
      </c>
      <c r="BO3048" s="17">
        <f t="shared" ca="1" si="47"/>
        <v>6.960864236112684</v>
      </c>
      <c r="BP3048" t="b">
        <v>0</v>
      </c>
      <c r="BQ3048">
        <v>1</v>
      </c>
      <c r="BR3048" t="s">
        <v>1667</v>
      </c>
      <c r="BS3048" t="s">
        <v>5334</v>
      </c>
      <c r="BT3048" t="b">
        <v>0</v>
      </c>
      <c r="BV3048" t="s">
        <v>1668</v>
      </c>
      <c r="BW3048">
        <v>4145</v>
      </c>
      <c r="BX3048" t="s">
        <v>3856</v>
      </c>
      <c r="BY3048">
        <v>237253</v>
      </c>
      <c r="BZ3048" t="s">
        <v>6858</v>
      </c>
      <c r="CA3048">
        <v>1</v>
      </c>
      <c r="CB3048" t="b">
        <v>1</v>
      </c>
      <c r="CC3048">
        <v>0</v>
      </c>
      <c r="CD3048" t="b">
        <v>0</v>
      </c>
      <c r="CE3048" t="b">
        <v>1</v>
      </c>
      <c r="CF3048" t="b">
        <v>0</v>
      </c>
      <c r="CG3048">
        <v>2765340</v>
      </c>
      <c r="CH3048" t="s">
        <v>1681</v>
      </c>
      <c r="CI3048" s="10">
        <v>485000</v>
      </c>
      <c r="CJ3048" s="7">
        <v>34563</v>
      </c>
    </row>
    <row r="3049" spans="1:88">
      <c r="A3049">
        <v>28054302</v>
      </c>
      <c r="B3049" s="15" t="str">
        <f>HYPERLINK("http://www.redfin.com/stingray/do/printable-listing?listing-id=1605582","Contingent")</f>
        <v>Contingent</v>
      </c>
      <c r="D3049" t="s">
        <v>5606</v>
      </c>
      <c r="E3049" t="s">
        <v>6701</v>
      </c>
      <c r="F3049">
        <v>924500</v>
      </c>
      <c r="G3049">
        <v>1968</v>
      </c>
      <c r="H3049">
        <v>3740</v>
      </c>
      <c r="I3049">
        <v>10627</v>
      </c>
      <c r="J3049">
        <v>5</v>
      </c>
      <c r="K3049">
        <v>3</v>
      </c>
      <c r="M3049" s="2" t="str">
        <f>HYPERLINK("http://maps.live.com/default.aspx?v=2&amp;lvl=15&amp;sp=Point.47.551217_-122.216401_5708 92nd Ave SE&amp;cp=47.551217~-122.216401","Map")</f>
        <v>Map</v>
      </c>
      <c r="N3049" s="2" t="str">
        <f>HYPERLINK("http://i-0.rfimg.us/photo/1/bigphoto/302/28054302_1.jpg","Photo")</f>
        <v>Photo</v>
      </c>
      <c r="AG3049">
        <v>47.551217000000001</v>
      </c>
      <c r="AH3049">
        <v>-122.216401</v>
      </c>
      <c r="AI3049" t="s">
        <v>5139</v>
      </c>
      <c r="AJ3049">
        <v>98040</v>
      </c>
      <c r="BC3049" s="22">
        <v>39539.505706018521</v>
      </c>
      <c r="BI3049" s="22">
        <v>39549.294907407406</v>
      </c>
      <c r="BL3049">
        <v>18490</v>
      </c>
      <c r="BM3049">
        <v>1605582</v>
      </c>
      <c r="BN3049" t="s">
        <v>1674</v>
      </c>
      <c r="BO3049" s="17">
        <f t="shared" ca="1" si="47"/>
        <v>9.8036998842580942</v>
      </c>
      <c r="BP3049" t="b">
        <v>0</v>
      </c>
      <c r="BQ3049">
        <v>1</v>
      </c>
      <c r="BR3049" t="s">
        <v>1667</v>
      </c>
      <c r="BS3049" t="s">
        <v>2726</v>
      </c>
      <c r="BT3049" t="b">
        <v>0</v>
      </c>
      <c r="BV3049" t="s">
        <v>1668</v>
      </c>
      <c r="BW3049">
        <v>5708</v>
      </c>
      <c r="BX3049" t="s">
        <v>3856</v>
      </c>
      <c r="BY3049">
        <v>256131</v>
      </c>
      <c r="BZ3049" t="s">
        <v>3113</v>
      </c>
      <c r="CA3049">
        <v>1</v>
      </c>
      <c r="CB3049" t="b">
        <v>1</v>
      </c>
      <c r="CC3049">
        <v>0</v>
      </c>
      <c r="CD3049" t="b">
        <v>0</v>
      </c>
      <c r="CE3049" t="b">
        <v>1</v>
      </c>
      <c r="CF3049" t="b">
        <v>0</v>
      </c>
      <c r="CG3049">
        <v>2659482</v>
      </c>
      <c r="CH3049" t="s">
        <v>1681</v>
      </c>
      <c r="CI3049" s="10">
        <v>924500</v>
      </c>
    </row>
    <row r="3050" spans="1:88">
      <c r="A3050">
        <v>28054316</v>
      </c>
      <c r="B3050" s="2" t="str">
        <f>HYPERLINK("http://www.redfin.com/stingray/do/printable-listing?listing-id=1600333","Active")</f>
        <v>Active</v>
      </c>
      <c r="D3050" t="s">
        <v>1077</v>
      </c>
      <c r="E3050" t="s">
        <v>6598</v>
      </c>
      <c r="F3050">
        <v>425000</v>
      </c>
      <c r="G3050">
        <v>1943</v>
      </c>
      <c r="H3050">
        <v>1400</v>
      </c>
      <c r="I3050">
        <v>37897</v>
      </c>
      <c r="J3050">
        <v>3</v>
      </c>
      <c r="K3050">
        <v>1.5</v>
      </c>
      <c r="M3050" s="2" t="str">
        <f>HYPERLINK("http://maps.live.com/default.aspx?v=2&amp;lvl=15&amp;sp=Point.47.516797_-122.164965_9547 132 Ave SE&amp;cp=47.516797~-122.164965","Map")</f>
        <v>Map</v>
      </c>
      <c r="N3050" s="2" t="str">
        <f>HYPERLINK("http://i-0.rfimg.us/photo/1/bigphoto/316/28054316_0.jpg","Photo")</f>
        <v>Photo</v>
      </c>
      <c r="AG3050">
        <v>47.516796999999997</v>
      </c>
      <c r="AH3050">
        <v>-122.164965</v>
      </c>
      <c r="AI3050" t="s">
        <v>1077</v>
      </c>
      <c r="AJ3050">
        <v>98056</v>
      </c>
      <c r="BC3050" s="22">
        <v>39537.432129629633</v>
      </c>
      <c r="BI3050" s="22">
        <v>39549.294907407406</v>
      </c>
      <c r="BL3050">
        <v>8500</v>
      </c>
      <c r="BM3050">
        <v>1600333</v>
      </c>
      <c r="BN3050" t="s">
        <v>2590</v>
      </c>
      <c r="BO3050" s="17">
        <f t="shared" ca="1" si="47"/>
        <v>11.877276273145981</v>
      </c>
      <c r="BP3050" t="b">
        <v>0</v>
      </c>
      <c r="BQ3050">
        <v>1</v>
      </c>
      <c r="BR3050" t="s">
        <v>1667</v>
      </c>
      <c r="BS3050">
        <v>132</v>
      </c>
      <c r="BT3050" t="b">
        <v>0</v>
      </c>
      <c r="BV3050" t="s">
        <v>1668</v>
      </c>
      <c r="BW3050">
        <v>9547</v>
      </c>
      <c r="BX3050" t="s">
        <v>3856</v>
      </c>
      <c r="BY3050">
        <v>412578</v>
      </c>
      <c r="BZ3050" t="s">
        <v>1670</v>
      </c>
      <c r="CA3050">
        <v>1</v>
      </c>
      <c r="CB3050" t="b">
        <v>1</v>
      </c>
      <c r="CC3050">
        <v>0</v>
      </c>
      <c r="CD3050" t="b">
        <v>0</v>
      </c>
      <c r="CE3050" t="b">
        <v>1</v>
      </c>
      <c r="CF3050" t="b">
        <v>0</v>
      </c>
      <c r="CG3050">
        <v>2897255</v>
      </c>
      <c r="CH3050" t="s">
        <v>1681</v>
      </c>
      <c r="CI3050" s="10">
        <v>425000</v>
      </c>
    </row>
    <row r="3051" spans="1:88">
      <c r="A3051">
        <v>28054326</v>
      </c>
      <c r="B3051" s="2" t="str">
        <f>HYPERLINK("http://www.redfin.com/stingray/do/printable-listing?listing-id=1613106","Active")</f>
        <v>Active</v>
      </c>
      <c r="D3051" t="s">
        <v>63</v>
      </c>
      <c r="E3051" t="s">
        <v>6765</v>
      </c>
      <c r="F3051">
        <v>685000</v>
      </c>
      <c r="G3051">
        <v>1906</v>
      </c>
      <c r="H3051">
        <v>2520</v>
      </c>
      <c r="I3051">
        <v>4500</v>
      </c>
      <c r="J3051">
        <v>3</v>
      </c>
      <c r="K3051">
        <v>1</v>
      </c>
      <c r="M3051" s="2" t="str">
        <f>HYPERLINK("http://maps.live.com/default.aspx?v=2&amp;lvl=15&amp;sp=Point.47.665222_-122.363751_608 NW 50th St&amp;cp=47.665222~-122.363751","Map")</f>
        <v>Map</v>
      </c>
      <c r="N3051" s="2" t="str">
        <f>HYPERLINK("http://i-0.rfimg.us/photo/1/bigphoto/326/28054326_1.jpg","Photo")</f>
        <v>Photo</v>
      </c>
      <c r="AG3051">
        <v>47.665222</v>
      </c>
      <c r="AH3051">
        <v>-122.36375099999999</v>
      </c>
      <c r="AI3051" t="s">
        <v>66</v>
      </c>
      <c r="AJ3051">
        <v>98107</v>
      </c>
      <c r="AN3051">
        <v>410000</v>
      </c>
      <c r="BC3051" s="22">
        <v>39541.474548611113</v>
      </c>
      <c r="BI3051" s="22">
        <v>39549.294907407406</v>
      </c>
      <c r="BL3051">
        <v>13700</v>
      </c>
      <c r="BM3051">
        <v>1613106</v>
      </c>
      <c r="BN3051" t="s">
        <v>1775</v>
      </c>
      <c r="BO3051" s="17">
        <f t="shared" ca="1" si="47"/>
        <v>7.8348572916656849</v>
      </c>
      <c r="BP3051" t="b">
        <v>0</v>
      </c>
      <c r="BQ3051">
        <v>1</v>
      </c>
      <c r="BR3051" t="s">
        <v>1686</v>
      </c>
      <c r="BS3051" t="s">
        <v>2638</v>
      </c>
      <c r="BT3051" t="b">
        <v>0</v>
      </c>
      <c r="BU3051" t="s">
        <v>1669</v>
      </c>
      <c r="BV3051" t="s">
        <v>1668</v>
      </c>
      <c r="BW3051">
        <v>608</v>
      </c>
      <c r="BY3051">
        <v>301968</v>
      </c>
      <c r="BZ3051" t="s">
        <v>1756</v>
      </c>
      <c r="CA3051">
        <v>1</v>
      </c>
      <c r="CB3051" t="b">
        <v>1</v>
      </c>
      <c r="CC3051">
        <v>0</v>
      </c>
      <c r="CD3051" t="b">
        <v>0</v>
      </c>
      <c r="CE3051" t="b">
        <v>1</v>
      </c>
      <c r="CF3051" t="b">
        <v>0</v>
      </c>
      <c r="CG3051">
        <v>2729174</v>
      </c>
      <c r="CH3051" t="s">
        <v>1681</v>
      </c>
      <c r="CI3051" s="10">
        <v>685000</v>
      </c>
      <c r="CJ3051" s="7">
        <v>39237</v>
      </c>
    </row>
    <row r="3052" spans="1:88">
      <c r="A3052">
        <v>28054327</v>
      </c>
      <c r="B3052" s="2" t="str">
        <f>HYPERLINK("http://www.redfin.com/stingray/do/printable-listing?listing-id=1600347","Active")</f>
        <v>Active</v>
      </c>
      <c r="D3052" t="s">
        <v>218</v>
      </c>
      <c r="E3052" t="s">
        <v>6575</v>
      </c>
      <c r="F3052">
        <v>849500</v>
      </c>
      <c r="G3052">
        <v>1928</v>
      </c>
      <c r="H3052">
        <v>3200</v>
      </c>
      <c r="I3052">
        <v>3034</v>
      </c>
      <c r="J3052">
        <v>4</v>
      </c>
      <c r="K3052">
        <v>2.75</v>
      </c>
      <c r="M3052" s="2" t="str">
        <f>HYPERLINK("http://maps.live.com/default.aspx?v=2&amp;lvl=15&amp;sp=Point.47.672819_-122.300931_6021 25th Ave NE&amp;cp=47.672819~-122.300931","Map")</f>
        <v>Map</v>
      </c>
      <c r="N3052" s="2" t="str">
        <f>HYPERLINK("http://i-0.rfimg.us/photo/1/bigphoto/327/28054327_.jpg","Photo")</f>
        <v>Photo</v>
      </c>
      <c r="AG3052">
        <v>47.672818999999997</v>
      </c>
      <c r="AH3052">
        <v>-122.30093100000001</v>
      </c>
      <c r="AI3052" t="s">
        <v>66</v>
      </c>
      <c r="AJ3052">
        <v>98115</v>
      </c>
      <c r="AN3052">
        <v>580000</v>
      </c>
      <c r="BC3052" s="22">
        <v>39537.442118055558</v>
      </c>
      <c r="BI3052" s="22">
        <v>39549.294907407406</v>
      </c>
      <c r="BL3052">
        <v>16990</v>
      </c>
      <c r="BM3052">
        <v>1600347</v>
      </c>
      <c r="BN3052" t="s">
        <v>1775</v>
      </c>
      <c r="BO3052" s="17">
        <f t="shared" ca="1" si="47"/>
        <v>11.867287847220723</v>
      </c>
      <c r="BP3052" t="b">
        <v>0</v>
      </c>
      <c r="BQ3052">
        <v>1</v>
      </c>
      <c r="BR3052" t="s">
        <v>1667</v>
      </c>
      <c r="BS3052" t="s">
        <v>1819</v>
      </c>
      <c r="BT3052" t="b">
        <v>0</v>
      </c>
      <c r="BV3052" t="s">
        <v>1668</v>
      </c>
      <c r="BW3052">
        <v>6021</v>
      </c>
      <c r="BX3052" t="s">
        <v>1738</v>
      </c>
      <c r="BY3052">
        <v>308156</v>
      </c>
      <c r="BZ3052" t="s">
        <v>3113</v>
      </c>
      <c r="CA3052">
        <v>1</v>
      </c>
      <c r="CB3052" t="b">
        <v>1</v>
      </c>
      <c r="CC3052">
        <v>0</v>
      </c>
      <c r="CD3052" t="b">
        <v>0</v>
      </c>
      <c r="CE3052" t="b">
        <v>1</v>
      </c>
      <c r="CF3052" t="b">
        <v>0</v>
      </c>
      <c r="CG3052">
        <v>2817701</v>
      </c>
      <c r="CH3052" t="s">
        <v>1681</v>
      </c>
      <c r="CI3052" s="10">
        <v>849500</v>
      </c>
      <c r="CJ3052" s="7">
        <v>39436</v>
      </c>
    </row>
    <row r="3053" spans="1:88">
      <c r="A3053">
        <v>28054332</v>
      </c>
      <c r="B3053" s="15" t="str">
        <f>HYPERLINK("http://www.redfin.com/stingray/do/printable-listing?listing-id=1606381","Subject To Inspection")</f>
        <v>Subject To Inspection</v>
      </c>
      <c r="D3053" t="s">
        <v>66</v>
      </c>
      <c r="E3053" t="s">
        <v>6665</v>
      </c>
      <c r="F3053">
        <v>2880000</v>
      </c>
      <c r="G3053">
        <v>2004</v>
      </c>
      <c r="H3053">
        <v>4200</v>
      </c>
      <c r="I3053">
        <v>5686</v>
      </c>
      <c r="J3053">
        <v>4</v>
      </c>
      <c r="K3053">
        <v>4.5</v>
      </c>
      <c r="M3053" s="2" t="str">
        <f>HYPERLINK("http://maps.live.com/default.aspx?v=2&amp;lvl=15&amp;sp=Point.47.71868_-122.278551_12340 Riveria Pl NE&amp;cp=47.71868~-122.278551","Map")</f>
        <v>Map</v>
      </c>
      <c r="N3053" s="2" t="str">
        <f>HYPERLINK("http://i-0.rfimg.us/photo/1/bigphoto/332/28054332_0.jpg","Photo")</f>
        <v>Photo</v>
      </c>
      <c r="AG3053">
        <v>47.718679999999999</v>
      </c>
      <c r="AH3053">
        <v>-122.27855099999999</v>
      </c>
      <c r="AI3053" t="s">
        <v>66</v>
      </c>
      <c r="AJ3053">
        <v>98125</v>
      </c>
      <c r="AN3053">
        <v>690000</v>
      </c>
      <c r="BC3053" s="22">
        <v>39539.636921296296</v>
      </c>
      <c r="BI3053" s="22">
        <v>39549.294907407406</v>
      </c>
      <c r="BL3053">
        <v>57600</v>
      </c>
      <c r="BM3053">
        <v>1606381</v>
      </c>
      <c r="BN3053" t="s">
        <v>1674</v>
      </c>
      <c r="BO3053" s="17">
        <f t="shared" ca="1" si="47"/>
        <v>9.6724846064826124</v>
      </c>
      <c r="BP3053" t="b">
        <v>0</v>
      </c>
      <c r="BQ3053">
        <v>1</v>
      </c>
      <c r="BR3053" t="s">
        <v>1842</v>
      </c>
      <c r="BS3053" t="s">
        <v>6666</v>
      </c>
      <c r="BT3053" t="b">
        <v>0</v>
      </c>
      <c r="BV3053" t="s">
        <v>1668</v>
      </c>
      <c r="BW3053">
        <v>12340</v>
      </c>
      <c r="BX3053" t="s">
        <v>1738</v>
      </c>
      <c r="BY3053">
        <v>320039</v>
      </c>
      <c r="BZ3053" t="s">
        <v>1813</v>
      </c>
      <c r="CA3053">
        <v>1</v>
      </c>
      <c r="CB3053" t="b">
        <v>1</v>
      </c>
      <c r="CC3053">
        <v>0</v>
      </c>
      <c r="CD3053" t="b">
        <v>0</v>
      </c>
      <c r="CE3053" t="b">
        <v>1</v>
      </c>
      <c r="CF3053" t="b">
        <v>0</v>
      </c>
      <c r="CG3053">
        <v>2409592</v>
      </c>
      <c r="CH3053" t="s">
        <v>1681</v>
      </c>
      <c r="CI3053" s="10">
        <v>2880000</v>
      </c>
      <c r="CJ3053" s="7">
        <v>36413</v>
      </c>
    </row>
    <row r="3054" spans="1:88">
      <c r="A3054">
        <v>28054350</v>
      </c>
      <c r="B3054" s="15" t="str">
        <f>HYPERLINK("http://www.redfin.com/stingray/do/printable-listing?listing-id=1600366","Subject To Inspection")</f>
        <v>Subject To Inspection</v>
      </c>
      <c r="D3054" t="s">
        <v>78</v>
      </c>
      <c r="E3054" t="s">
        <v>2310</v>
      </c>
      <c r="F3054">
        <v>454950</v>
      </c>
      <c r="G3054">
        <v>1944</v>
      </c>
      <c r="H3054">
        <v>1740</v>
      </c>
      <c r="I3054">
        <v>5000</v>
      </c>
      <c r="J3054">
        <v>2</v>
      </c>
      <c r="K3054">
        <v>1</v>
      </c>
      <c r="M3054" s="2" t="str">
        <f>HYPERLINK("http://maps.live.com/default.aspx?v=2&amp;lvl=15&amp;sp=Point.47.688438_-122.393432_8057 28th Ave NW&amp;cp=47.688438~-122.393432","Map")</f>
        <v>Map</v>
      </c>
      <c r="N3054" s="2" t="str">
        <f>HYPERLINK("http://i-0.rfimg.us/photo/1/bigphoto/350/28054350_0.jpg","Photo")</f>
        <v>Photo</v>
      </c>
      <c r="AG3054">
        <v>47.688437999999998</v>
      </c>
      <c r="AH3054">
        <v>-122.393432</v>
      </c>
      <c r="AI3054" t="s">
        <v>66</v>
      </c>
      <c r="AJ3054">
        <v>98117</v>
      </c>
      <c r="BC3054" s="22">
        <v>39537.46297453704</v>
      </c>
      <c r="BI3054" s="22">
        <v>39547.913935185185</v>
      </c>
      <c r="BL3054">
        <v>9099</v>
      </c>
      <c r="BM3054">
        <v>1600366</v>
      </c>
      <c r="BN3054" t="s">
        <v>1700</v>
      </c>
      <c r="BO3054" s="17">
        <f t="shared" ca="1" si="47"/>
        <v>11.846431365738681</v>
      </c>
      <c r="BP3054" t="b">
        <v>0</v>
      </c>
      <c r="BQ3054">
        <v>1</v>
      </c>
      <c r="BR3054" t="s">
        <v>1667</v>
      </c>
      <c r="BS3054" t="s">
        <v>1760</v>
      </c>
      <c r="BT3054" t="b">
        <v>0</v>
      </c>
      <c r="BV3054" t="s">
        <v>1668</v>
      </c>
      <c r="BW3054">
        <v>8057</v>
      </c>
      <c r="BX3054" t="s">
        <v>1669</v>
      </c>
      <c r="BY3054">
        <v>165361</v>
      </c>
      <c r="BZ3054" t="s">
        <v>1672</v>
      </c>
      <c r="CA3054">
        <v>1</v>
      </c>
      <c r="CB3054" t="b">
        <v>1</v>
      </c>
      <c r="CC3054">
        <v>0</v>
      </c>
      <c r="CD3054" t="b">
        <v>0</v>
      </c>
      <c r="CE3054" t="b">
        <v>1</v>
      </c>
      <c r="CF3054" t="b">
        <v>0</v>
      </c>
      <c r="CG3054">
        <v>2647074</v>
      </c>
      <c r="CH3054" t="s">
        <v>1681</v>
      </c>
      <c r="CI3054" s="10">
        <v>454950</v>
      </c>
    </row>
    <row r="3055" spans="1:88">
      <c r="A3055">
        <v>28054394</v>
      </c>
      <c r="B3055" s="2" t="str">
        <f>HYPERLINK("http://www.redfin.com/stingray/do/printable-listing?listing-id=1620594","Active")</f>
        <v>Active</v>
      </c>
      <c r="D3055" t="s">
        <v>4611</v>
      </c>
      <c r="E3055" t="s">
        <v>6911</v>
      </c>
      <c r="F3055">
        <v>387500</v>
      </c>
      <c r="G3055">
        <v>1950</v>
      </c>
      <c r="H3055">
        <v>1980</v>
      </c>
      <c r="I3055">
        <v>7475</v>
      </c>
      <c r="J3055">
        <v>2</v>
      </c>
      <c r="K3055">
        <v>1</v>
      </c>
      <c r="M3055" s="2" t="str">
        <f>HYPERLINK("http://maps.live.com/default.aspx?v=2&amp;lvl=15&amp;sp=Point.47.623301_-122.107518_1440 173rd Ave NE&amp;cp=47.623301~-122.107518","Map")</f>
        <v>Map</v>
      </c>
      <c r="N3055" s="2" t="str">
        <f>HYPERLINK("http://i-0.rfimg.us/photo/1/bigphoto/394/28054394_0.jpg","Photo")</f>
        <v>Photo</v>
      </c>
      <c r="AG3055">
        <v>47.623300999999998</v>
      </c>
      <c r="AH3055">
        <v>-122.107518</v>
      </c>
      <c r="AI3055" t="s">
        <v>369</v>
      </c>
      <c r="AJ3055">
        <v>98008</v>
      </c>
      <c r="BC3055" s="22">
        <v>39543.619953703703</v>
      </c>
      <c r="BI3055" s="22">
        <v>39549.294907407406</v>
      </c>
      <c r="BL3055">
        <v>7750</v>
      </c>
      <c r="BM3055">
        <v>1620594</v>
      </c>
      <c r="BN3055" t="s">
        <v>1768</v>
      </c>
      <c r="BO3055" s="17">
        <f t="shared" ca="1" si="47"/>
        <v>5.6894521990761859</v>
      </c>
      <c r="BP3055" t="b">
        <v>0</v>
      </c>
      <c r="BQ3055">
        <v>1</v>
      </c>
      <c r="BR3055" t="s">
        <v>1667</v>
      </c>
      <c r="BS3055" t="s">
        <v>5220</v>
      </c>
      <c r="BT3055" t="b">
        <v>0</v>
      </c>
      <c r="BV3055" t="s">
        <v>1668</v>
      </c>
      <c r="BW3055">
        <v>1440</v>
      </c>
      <c r="BX3055" t="s">
        <v>1738</v>
      </c>
      <c r="BY3055">
        <v>502812</v>
      </c>
      <c r="BZ3055" t="s">
        <v>1813</v>
      </c>
      <c r="CA3055">
        <v>1</v>
      </c>
      <c r="CB3055" t="b">
        <v>1</v>
      </c>
      <c r="CC3055">
        <v>0</v>
      </c>
      <c r="CD3055" t="b">
        <v>1</v>
      </c>
      <c r="CE3055" t="b">
        <v>1</v>
      </c>
      <c r="CF3055" t="b">
        <v>0</v>
      </c>
      <c r="CG3055">
        <v>2759030</v>
      </c>
      <c r="CH3055" t="s">
        <v>1681</v>
      </c>
      <c r="CI3055" s="10">
        <v>387500</v>
      </c>
    </row>
    <row r="3056" spans="1:88">
      <c r="A3056">
        <v>28054400</v>
      </c>
      <c r="B3056" s="2" t="str">
        <f>HYPERLINK("http://www.redfin.com/stingray/do/printable-listing?listing-id=1612836","Active")</f>
        <v>Active</v>
      </c>
      <c r="D3056" t="s">
        <v>5139</v>
      </c>
      <c r="E3056" t="s">
        <v>6793</v>
      </c>
      <c r="F3056">
        <v>950000</v>
      </c>
      <c r="G3056">
        <v>1950</v>
      </c>
      <c r="H3056">
        <v>3200</v>
      </c>
      <c r="I3056">
        <v>13000</v>
      </c>
      <c r="J3056">
        <v>4</v>
      </c>
      <c r="K3056">
        <v>2.5</v>
      </c>
      <c r="M3056" s="2" t="str">
        <f>HYPERLINK("http://maps.live.com/default.aspx?v=2&amp;lvl=15&amp;sp=Point.47.567615_-122.225779_8424 SE 44th St&amp;cp=47.567615~-122.225779","Map")</f>
        <v>Map</v>
      </c>
      <c r="N3056" s="2" t="str">
        <f>HYPERLINK("http://i-0.rfimg.us/photo/1/bigphoto/400/28054400_0.jpg","Photo")</f>
        <v>Photo</v>
      </c>
      <c r="AG3056">
        <v>47.567615000000004</v>
      </c>
      <c r="AH3056">
        <v>-122.225779</v>
      </c>
      <c r="AI3056" t="s">
        <v>5139</v>
      </c>
      <c r="AJ3056">
        <v>98040</v>
      </c>
      <c r="BC3056" s="22">
        <v>39541.422962962963</v>
      </c>
      <c r="BI3056" s="22">
        <v>39549.294907407406</v>
      </c>
      <c r="BL3056">
        <v>19000</v>
      </c>
      <c r="BM3056">
        <v>1612836</v>
      </c>
      <c r="BN3056" t="s">
        <v>1674</v>
      </c>
      <c r="BO3056" s="17">
        <f t="shared" ca="1" si="47"/>
        <v>7.8864429398163338</v>
      </c>
      <c r="BP3056" t="b">
        <v>0</v>
      </c>
      <c r="BQ3056">
        <v>1</v>
      </c>
      <c r="BR3056" t="s">
        <v>1686</v>
      </c>
      <c r="BS3056" t="s">
        <v>3082</v>
      </c>
      <c r="BT3056" t="b">
        <v>0</v>
      </c>
      <c r="BU3056" t="s">
        <v>3856</v>
      </c>
      <c r="BV3056" t="s">
        <v>1668</v>
      </c>
      <c r="BW3056">
        <v>8424</v>
      </c>
      <c r="BY3056">
        <v>255707</v>
      </c>
      <c r="BZ3056" t="s">
        <v>1672</v>
      </c>
      <c r="CA3056">
        <v>1</v>
      </c>
      <c r="CB3056" t="b">
        <v>1</v>
      </c>
      <c r="CC3056">
        <v>0</v>
      </c>
      <c r="CD3056" t="b">
        <v>0</v>
      </c>
      <c r="CE3056" t="b">
        <v>1</v>
      </c>
      <c r="CF3056" t="b">
        <v>0</v>
      </c>
      <c r="CG3056">
        <v>2730117</v>
      </c>
      <c r="CH3056" t="s">
        <v>1681</v>
      </c>
      <c r="CI3056" s="10">
        <v>950000</v>
      </c>
    </row>
    <row r="3057" spans="1:88">
      <c r="A3057">
        <v>28054405</v>
      </c>
      <c r="B3057" s="2" t="str">
        <f>HYPERLINK("http://www.redfin.com/stingray/do/printable-listing?listing-id=1600584","Active")</f>
        <v>Active</v>
      </c>
      <c r="D3057" t="s">
        <v>99</v>
      </c>
      <c r="E3057" t="s">
        <v>2313</v>
      </c>
      <c r="F3057">
        <v>449900</v>
      </c>
      <c r="G3057">
        <v>2008</v>
      </c>
      <c r="H3057">
        <v>1748</v>
      </c>
      <c r="I3057">
        <v>0</v>
      </c>
      <c r="J3057">
        <v>3</v>
      </c>
      <c r="K3057">
        <v>3.5</v>
      </c>
      <c r="M3057" s="2" t="str">
        <f>HYPERLINK("http://maps.live.com/default.aspx?v=2&amp;lvl=15&amp;sp=Point.47.69086_-122.379266_8507 17th Ave NW&amp;cp=47.69086~-122.379266","Map")</f>
        <v>Map</v>
      </c>
      <c r="N3057" s="2" t="str">
        <f>HYPERLINK("http://i-0.rfimg.us/photo/1/bigphoto/405/28054405_2.jpg","Photo")</f>
        <v>Photo</v>
      </c>
      <c r="AG3057">
        <v>47.690860000000001</v>
      </c>
      <c r="AH3057">
        <v>-122.379266</v>
      </c>
      <c r="AI3057" t="s">
        <v>66</v>
      </c>
      <c r="AJ3057">
        <v>98107</v>
      </c>
      <c r="AN3057">
        <v>600000</v>
      </c>
      <c r="BC3057" s="22">
        <v>39537.598553240743</v>
      </c>
      <c r="BI3057" s="22">
        <v>39549.294907407406</v>
      </c>
      <c r="BL3057">
        <v>8998</v>
      </c>
      <c r="BM3057">
        <v>1600584</v>
      </c>
      <c r="BN3057" t="s">
        <v>1744</v>
      </c>
      <c r="BO3057" s="17">
        <f t="shared" ca="1" si="47"/>
        <v>11.710852662035904</v>
      </c>
      <c r="BP3057" t="b">
        <v>0</v>
      </c>
      <c r="BQ3057">
        <v>1</v>
      </c>
      <c r="BR3057" t="s">
        <v>1667</v>
      </c>
      <c r="BS3057" t="s">
        <v>1683</v>
      </c>
      <c r="BT3057" t="b">
        <v>0</v>
      </c>
      <c r="BV3057" t="s">
        <v>1668</v>
      </c>
      <c r="BW3057">
        <v>8507</v>
      </c>
      <c r="BX3057" t="s">
        <v>1669</v>
      </c>
      <c r="BY3057">
        <v>100481</v>
      </c>
      <c r="BZ3057" t="s">
        <v>2164</v>
      </c>
      <c r="CA3057">
        <v>1</v>
      </c>
      <c r="CB3057" t="b">
        <v>1</v>
      </c>
      <c r="CC3057">
        <v>0</v>
      </c>
      <c r="CD3057" t="b">
        <v>0</v>
      </c>
      <c r="CE3057" t="b">
        <v>1</v>
      </c>
      <c r="CF3057" t="b">
        <v>0</v>
      </c>
      <c r="CG3057">
        <v>2582097</v>
      </c>
      <c r="CH3057" t="s">
        <v>1681</v>
      </c>
      <c r="CI3057" s="10">
        <v>449900</v>
      </c>
      <c r="CJ3057" s="7">
        <v>38887</v>
      </c>
    </row>
    <row r="3058" spans="1:88">
      <c r="A3058">
        <v>28054413</v>
      </c>
      <c r="B3058" s="2" t="str">
        <f>HYPERLINK("http://www.redfin.com/stingray/do/printable-listing?listing-id=1602512","Active")</f>
        <v>Active</v>
      </c>
      <c r="D3058" t="s">
        <v>99</v>
      </c>
      <c r="E3058" t="s">
        <v>2312</v>
      </c>
      <c r="F3058">
        <v>339900</v>
      </c>
      <c r="G3058">
        <v>2008</v>
      </c>
      <c r="H3058">
        <v>1010</v>
      </c>
      <c r="I3058">
        <v>0</v>
      </c>
      <c r="J3058">
        <v>2</v>
      </c>
      <c r="K3058">
        <v>1.5</v>
      </c>
      <c r="M3058" s="2" t="str">
        <f>HYPERLINK("http://maps.live.com/default.aspx?v=2&amp;lvl=15&amp;sp=Point.47.691542_-122.379203_8505 17th Ave NW&amp;cp=47.691542~-122.379203","Map")</f>
        <v>Map</v>
      </c>
      <c r="N3058" s="2" t="str">
        <f>HYPERLINK("http://i-0.rfimg.us/photo/1/bigphoto/413/28054413_1.jpg","Photo")</f>
        <v>Photo</v>
      </c>
      <c r="AG3058">
        <v>47.691541999999998</v>
      </c>
      <c r="AH3058">
        <v>-122.379203</v>
      </c>
      <c r="AI3058" t="s">
        <v>66</v>
      </c>
      <c r="AJ3058">
        <v>98107</v>
      </c>
      <c r="BC3058" s="22">
        <v>39538.590486111112</v>
      </c>
      <c r="BI3058" s="22">
        <v>39549.294907407406</v>
      </c>
      <c r="BL3058">
        <v>6798</v>
      </c>
      <c r="BM3058">
        <v>1602512</v>
      </c>
      <c r="BN3058" t="s">
        <v>1744</v>
      </c>
      <c r="BO3058" s="17">
        <f t="shared" ca="1" si="47"/>
        <v>10.718919791666849</v>
      </c>
      <c r="BP3058" t="b">
        <v>0</v>
      </c>
      <c r="BQ3058">
        <v>1</v>
      </c>
      <c r="BR3058" t="s">
        <v>1667</v>
      </c>
      <c r="BS3058" t="s">
        <v>1683</v>
      </c>
      <c r="BT3058" t="b">
        <v>0</v>
      </c>
      <c r="BV3058" t="s">
        <v>1668</v>
      </c>
      <c r="BW3058">
        <v>8505</v>
      </c>
      <c r="BX3058" t="s">
        <v>1669</v>
      </c>
      <c r="BY3058">
        <v>12436217</v>
      </c>
      <c r="BZ3058" t="s">
        <v>2201</v>
      </c>
      <c r="CA3058">
        <v>1</v>
      </c>
      <c r="CB3058" t="b">
        <v>1</v>
      </c>
      <c r="CC3058">
        <v>0</v>
      </c>
      <c r="CD3058" t="b">
        <v>0</v>
      </c>
      <c r="CE3058" t="b">
        <v>1</v>
      </c>
      <c r="CF3058" t="b">
        <v>0</v>
      </c>
      <c r="CG3058">
        <v>15639965</v>
      </c>
      <c r="CH3058" t="s">
        <v>1681</v>
      </c>
      <c r="CI3058" s="10">
        <v>339900</v>
      </c>
    </row>
    <row r="3059" spans="1:88">
      <c r="A3059">
        <v>28054415</v>
      </c>
      <c r="B3059" s="2" t="str">
        <f>HYPERLINK("http://www.redfin.com/stingray/do/printable-listing?listing-id=1600637","Active")</f>
        <v>Active</v>
      </c>
      <c r="D3059" t="s">
        <v>3249</v>
      </c>
      <c r="E3059" t="s">
        <v>6626</v>
      </c>
      <c r="F3059">
        <v>849000</v>
      </c>
      <c r="G3059">
        <v>1950</v>
      </c>
      <c r="H3059">
        <v>2850</v>
      </c>
      <c r="I3059">
        <v>8639</v>
      </c>
      <c r="J3059">
        <v>3</v>
      </c>
      <c r="K3059">
        <v>2.25</v>
      </c>
      <c r="M3059" s="2" t="str">
        <f>HYPERLINK("http://maps.live.com/default.aspx?v=2&amp;lvl=15&amp;sp=Point.47.647731_-122.366417_702 W Etruria St&amp;cp=47.647731~-122.366417","Map")</f>
        <v>Map</v>
      </c>
      <c r="N3059" s="2" t="str">
        <f>HYPERLINK("http://i-0.rfimg.us/photo/1/bigphoto/415/28054415_1.jpg","Photo")</f>
        <v>Photo</v>
      </c>
      <c r="AG3059">
        <v>47.647731</v>
      </c>
      <c r="AH3059">
        <v>-122.366417</v>
      </c>
      <c r="AI3059" t="s">
        <v>66</v>
      </c>
      <c r="AJ3059">
        <v>98119</v>
      </c>
      <c r="AN3059">
        <v>272500</v>
      </c>
      <c r="BC3059" s="22">
        <v>39537.651342592595</v>
      </c>
      <c r="BI3059" s="22">
        <v>39549.294907407406</v>
      </c>
      <c r="BL3059">
        <v>16980</v>
      </c>
      <c r="BM3059">
        <v>1600637</v>
      </c>
      <c r="BN3059" t="s">
        <v>1678</v>
      </c>
      <c r="BO3059" s="17">
        <f t="shared" ca="1" si="47"/>
        <v>11.658063310183934</v>
      </c>
      <c r="BP3059" t="b">
        <v>0</v>
      </c>
      <c r="BQ3059">
        <v>1</v>
      </c>
      <c r="BR3059" t="s">
        <v>1686</v>
      </c>
      <c r="BS3059" t="s">
        <v>3268</v>
      </c>
      <c r="BT3059" t="b">
        <v>0</v>
      </c>
      <c r="BU3059" t="s">
        <v>2423</v>
      </c>
      <c r="BV3059" t="s">
        <v>1668</v>
      </c>
      <c r="BW3059">
        <v>702</v>
      </c>
      <c r="BY3059">
        <v>130630</v>
      </c>
      <c r="BZ3059" t="s">
        <v>1679</v>
      </c>
      <c r="CA3059">
        <v>1</v>
      </c>
      <c r="CB3059" t="b">
        <v>1</v>
      </c>
      <c r="CC3059">
        <v>0</v>
      </c>
      <c r="CD3059" t="b">
        <v>0</v>
      </c>
      <c r="CE3059" t="b">
        <v>1</v>
      </c>
      <c r="CF3059" t="b">
        <v>0</v>
      </c>
      <c r="CG3059">
        <v>2631081</v>
      </c>
      <c r="CH3059" t="s">
        <v>1681</v>
      </c>
      <c r="CI3059" s="10">
        <v>849000</v>
      </c>
      <c r="CJ3059" s="7">
        <v>32825</v>
      </c>
    </row>
    <row r="3060" spans="1:88">
      <c r="A3060">
        <v>28054435</v>
      </c>
      <c r="B3060" s="2" t="str">
        <f>HYPERLINK("http://www.redfin.com/stingray/do/printable-listing?listing-id=1600670","Active")</f>
        <v>Active</v>
      </c>
      <c r="D3060" t="s">
        <v>6645</v>
      </c>
      <c r="E3060" t="s">
        <v>6642</v>
      </c>
      <c r="F3060">
        <v>1199000</v>
      </c>
      <c r="G3060">
        <v>1950</v>
      </c>
      <c r="H3060">
        <v>1430</v>
      </c>
      <c r="I3060">
        <v>10616</v>
      </c>
      <c r="J3060">
        <v>3</v>
      </c>
      <c r="K3060">
        <v>1</v>
      </c>
      <c r="M3060" s="2" t="str">
        <f>HYPERLINK("http://maps.live.com/default.aspx?v=2&amp;lvl=15&amp;sp=Point.47.618825_-122.207484_928 Belfair&amp;cp=47.618825~-122.207484","Map")</f>
        <v>Map</v>
      </c>
      <c r="N3060" s="2" t="str">
        <f>HYPERLINK("http://i-0.rfimg.us/photo/1/bigphoto/435/28054435_3.jpg","Photo")</f>
        <v>Photo</v>
      </c>
      <c r="AG3060">
        <v>47.618825000000001</v>
      </c>
      <c r="AH3060">
        <v>-122.20748399999999</v>
      </c>
      <c r="AI3060" t="s">
        <v>369</v>
      </c>
      <c r="AJ3060">
        <v>98004</v>
      </c>
      <c r="AN3060">
        <v>365000</v>
      </c>
      <c r="BC3060" s="22">
        <v>39537.671747685185</v>
      </c>
      <c r="BI3060" s="22">
        <v>39549.294907407406</v>
      </c>
      <c r="BL3060">
        <v>23980</v>
      </c>
      <c r="BM3060">
        <v>1600670</v>
      </c>
      <c r="BN3060" t="s">
        <v>1735</v>
      </c>
      <c r="BO3060" s="17">
        <f t="shared" ca="1" si="47"/>
        <v>11.637658217594435</v>
      </c>
      <c r="BP3060" t="b">
        <v>0</v>
      </c>
      <c r="BQ3060">
        <v>1</v>
      </c>
      <c r="BS3060" t="s">
        <v>6643</v>
      </c>
      <c r="BT3060" t="b">
        <v>0</v>
      </c>
      <c r="BV3060" t="s">
        <v>1668</v>
      </c>
      <c r="BW3060">
        <v>928</v>
      </c>
      <c r="BY3060">
        <v>251271</v>
      </c>
      <c r="BZ3060" t="s">
        <v>6644</v>
      </c>
      <c r="CA3060">
        <v>1</v>
      </c>
      <c r="CB3060" t="b">
        <v>1</v>
      </c>
      <c r="CC3060">
        <v>0</v>
      </c>
      <c r="CD3060" t="b">
        <v>0</v>
      </c>
      <c r="CE3060" t="b">
        <v>1</v>
      </c>
      <c r="CF3060" t="b">
        <v>0</v>
      </c>
      <c r="CG3060">
        <v>2719980</v>
      </c>
      <c r="CH3060" t="s">
        <v>1681</v>
      </c>
      <c r="CI3060" s="10">
        <v>1199000</v>
      </c>
      <c r="CJ3060" s="7">
        <v>36237</v>
      </c>
    </row>
    <row r="3061" spans="1:88">
      <c r="A3061">
        <v>28054465</v>
      </c>
      <c r="B3061" s="2" t="str">
        <f>HYPERLINK("http://www.redfin.com/stingray/do/printable-listing?listing-id=1612714","Active")</f>
        <v>Active</v>
      </c>
      <c r="D3061" t="s">
        <v>63</v>
      </c>
      <c r="E3061" t="s">
        <v>2326</v>
      </c>
      <c r="F3061">
        <v>869950</v>
      </c>
      <c r="G3061">
        <v>2008</v>
      </c>
      <c r="H3061">
        <v>3475</v>
      </c>
      <c r="I3061">
        <v>0</v>
      </c>
      <c r="J3061">
        <v>5</v>
      </c>
      <c r="K3061">
        <v>3.5</v>
      </c>
      <c r="M3061" s="2" t="str">
        <f>HYPERLINK("http://maps.live.com/default.aspx?v=2&amp;lvl=15&amp;sp=Point.47.691765_-122.377695_8534 16th Ave NW&amp;cp=47.691765~-122.377695","Map")</f>
        <v>Map</v>
      </c>
      <c r="N3061" s="2" t="str">
        <f>HYPERLINK("http://i-0.rfimg.us/photo/1/bigphoto/465/28054465_0.jpg","Photo")</f>
        <v>Photo</v>
      </c>
      <c r="AG3061">
        <v>47.691764999999997</v>
      </c>
      <c r="AH3061">
        <v>-122.377695</v>
      </c>
      <c r="AI3061" t="s">
        <v>66</v>
      </c>
      <c r="AJ3061">
        <v>98117</v>
      </c>
      <c r="AN3061">
        <v>230000</v>
      </c>
      <c r="BC3061" s="22">
        <v>39541.390532407408</v>
      </c>
      <c r="BI3061" s="22">
        <v>39549.294907407406</v>
      </c>
      <c r="BL3061">
        <v>17399</v>
      </c>
      <c r="BM3061">
        <v>1612714</v>
      </c>
      <c r="BN3061" t="s">
        <v>1710</v>
      </c>
      <c r="BO3061" s="17">
        <f t="shared" ca="1" si="47"/>
        <v>7.918873495371372</v>
      </c>
      <c r="BP3061" t="b">
        <v>0</v>
      </c>
      <c r="BQ3061">
        <v>1</v>
      </c>
      <c r="BR3061" t="s">
        <v>1667</v>
      </c>
      <c r="BS3061" t="s">
        <v>1695</v>
      </c>
      <c r="BT3061" t="b">
        <v>0</v>
      </c>
      <c r="BV3061" t="s">
        <v>1668</v>
      </c>
      <c r="BW3061">
        <v>8534</v>
      </c>
      <c r="BX3061" t="s">
        <v>1669</v>
      </c>
      <c r="BY3061">
        <v>12303123</v>
      </c>
      <c r="BZ3061" t="s">
        <v>1813</v>
      </c>
      <c r="CA3061">
        <v>1</v>
      </c>
      <c r="CB3061" t="b">
        <v>1</v>
      </c>
      <c r="CC3061">
        <v>0</v>
      </c>
      <c r="CD3061" t="b">
        <v>0</v>
      </c>
      <c r="CE3061" t="b">
        <v>1</v>
      </c>
      <c r="CF3061" t="b">
        <v>0</v>
      </c>
      <c r="CG3061">
        <v>2438885</v>
      </c>
      <c r="CH3061" t="s">
        <v>1681</v>
      </c>
      <c r="CI3061" s="10">
        <v>869950</v>
      </c>
      <c r="CJ3061" s="7">
        <v>38854</v>
      </c>
    </row>
    <row r="3062" spans="1:88">
      <c r="A3062">
        <v>28054473</v>
      </c>
      <c r="B3062" s="2" t="str">
        <f>HYPERLINK("http://www.redfin.com/stingray/do/printable-listing?listing-id=1600868","Active")</f>
        <v>Active</v>
      </c>
      <c r="D3062" t="s">
        <v>109</v>
      </c>
      <c r="E3062" t="s">
        <v>6605</v>
      </c>
      <c r="F3062">
        <v>775000</v>
      </c>
      <c r="G3062">
        <v>1915</v>
      </c>
      <c r="H3062">
        <v>2000</v>
      </c>
      <c r="I3062">
        <v>4000</v>
      </c>
      <c r="J3062">
        <v>4</v>
      </c>
      <c r="K3062">
        <v>1.75</v>
      </c>
      <c r="M3062" s="2" t="str">
        <f>HYPERLINK("http://maps.live.com/default.aspx?v=2&amp;lvl=15&amp;sp=Point.47.663754_-122.329408_4639 Eastern Ave N&amp;cp=47.663754~-122.329408","Map")</f>
        <v>Map</v>
      </c>
      <c r="N3062" s="2" t="str">
        <f>HYPERLINK("http://i-0.rfimg.us/photo/1/bigphoto/473/28054473_6.jpg","Photo")</f>
        <v>Photo</v>
      </c>
      <c r="AG3062">
        <v>47.663753999999997</v>
      </c>
      <c r="AH3062">
        <v>-122.329408</v>
      </c>
      <c r="AI3062" t="s">
        <v>66</v>
      </c>
      <c r="AJ3062">
        <v>98103</v>
      </c>
      <c r="AN3062">
        <v>425000</v>
      </c>
      <c r="BC3062" s="22">
        <v>39537.879571759258</v>
      </c>
      <c r="BI3062" s="22">
        <v>39549.294907407406</v>
      </c>
      <c r="BL3062">
        <v>15500</v>
      </c>
      <c r="BM3062">
        <v>1600868</v>
      </c>
      <c r="BN3062" t="s">
        <v>6604</v>
      </c>
      <c r="BO3062" s="17">
        <f t="shared" ca="1" si="47"/>
        <v>11.429834143520566</v>
      </c>
      <c r="BP3062" t="b">
        <v>0</v>
      </c>
      <c r="BQ3062">
        <v>1</v>
      </c>
      <c r="BR3062" t="s">
        <v>1667</v>
      </c>
      <c r="BS3062" t="s">
        <v>2398</v>
      </c>
      <c r="BT3062" t="b">
        <v>0</v>
      </c>
      <c r="BV3062" t="s">
        <v>1668</v>
      </c>
      <c r="BW3062">
        <v>4639</v>
      </c>
      <c r="BX3062" t="s">
        <v>1712</v>
      </c>
      <c r="BY3062">
        <v>117229</v>
      </c>
      <c r="BZ3062" t="s">
        <v>6606</v>
      </c>
      <c r="CA3062">
        <v>1</v>
      </c>
      <c r="CB3062" t="b">
        <v>1</v>
      </c>
      <c r="CC3062">
        <v>0</v>
      </c>
      <c r="CD3062" t="b">
        <v>0</v>
      </c>
      <c r="CE3062" t="b">
        <v>1</v>
      </c>
      <c r="CF3062" t="b">
        <v>0</v>
      </c>
      <c r="CG3062">
        <v>2679769</v>
      </c>
      <c r="CH3062" t="s">
        <v>1681</v>
      </c>
      <c r="CI3062" s="10">
        <v>775000</v>
      </c>
      <c r="CJ3062" s="7">
        <v>38264</v>
      </c>
    </row>
    <row r="3063" spans="1:88">
      <c r="A3063">
        <v>28054475</v>
      </c>
      <c r="B3063" s="2" t="str">
        <f>HYPERLINK("http://www.redfin.com/stingray/do/printable-listing?listing-id=1612751","Active")</f>
        <v>Active</v>
      </c>
      <c r="D3063" t="s">
        <v>63</v>
      </c>
      <c r="E3063" t="s">
        <v>2327</v>
      </c>
      <c r="F3063">
        <v>869950</v>
      </c>
      <c r="G3063">
        <v>2008</v>
      </c>
      <c r="H3063">
        <v>3475</v>
      </c>
      <c r="I3063">
        <v>0</v>
      </c>
      <c r="J3063">
        <v>5</v>
      </c>
      <c r="K3063">
        <v>3.5</v>
      </c>
      <c r="M3063" s="2" t="str">
        <f>HYPERLINK("http://maps.live.com/default.aspx?v=2&amp;lvl=15&amp;sp=Point.47.69175_-122.377695_8532 16th Ave NW&amp;cp=47.69175~-122.377695","Map")</f>
        <v>Map</v>
      </c>
      <c r="N3063" s="2" t="str">
        <f>HYPERLINK("http://i-0.rfimg.us/photo/1/bigphoto/475/28054475_1.jpg","Photo")</f>
        <v>Photo</v>
      </c>
      <c r="AG3063">
        <v>47.691749999999999</v>
      </c>
      <c r="AH3063">
        <v>-122.377695</v>
      </c>
      <c r="AI3063" t="s">
        <v>66</v>
      </c>
      <c r="AJ3063">
        <v>98117</v>
      </c>
      <c r="AN3063">
        <v>225000</v>
      </c>
      <c r="BC3063" s="22">
        <v>39541.401574074072</v>
      </c>
      <c r="BI3063" s="22">
        <v>39549.294907407406</v>
      </c>
      <c r="BL3063">
        <v>17399</v>
      </c>
      <c r="BM3063">
        <v>1612751</v>
      </c>
      <c r="BN3063" t="s">
        <v>1710</v>
      </c>
      <c r="BO3063" s="17">
        <f t="shared" ca="1" si="47"/>
        <v>7.9078318287065485</v>
      </c>
      <c r="BP3063" t="b">
        <v>0</v>
      </c>
      <c r="BQ3063">
        <v>1</v>
      </c>
      <c r="BR3063" t="s">
        <v>1667</v>
      </c>
      <c r="BS3063" t="s">
        <v>1695</v>
      </c>
      <c r="BT3063" t="b">
        <v>0</v>
      </c>
      <c r="BV3063" t="s">
        <v>1668</v>
      </c>
      <c r="BW3063">
        <v>8532</v>
      </c>
      <c r="BX3063" t="s">
        <v>1669</v>
      </c>
      <c r="BY3063">
        <v>12300621</v>
      </c>
      <c r="BZ3063" t="s">
        <v>1704</v>
      </c>
      <c r="CA3063">
        <v>1</v>
      </c>
      <c r="CB3063" t="b">
        <v>1</v>
      </c>
      <c r="CC3063">
        <v>0</v>
      </c>
      <c r="CD3063" t="b">
        <v>0</v>
      </c>
      <c r="CE3063" t="b">
        <v>1</v>
      </c>
      <c r="CF3063" t="b">
        <v>0</v>
      </c>
      <c r="CG3063">
        <v>2725610</v>
      </c>
      <c r="CH3063" t="s">
        <v>1681</v>
      </c>
      <c r="CI3063" s="10">
        <v>869950</v>
      </c>
      <c r="CJ3063" s="7">
        <v>38734</v>
      </c>
    </row>
    <row r="3064" spans="1:88">
      <c r="A3064">
        <v>28054496</v>
      </c>
      <c r="B3064" s="2" t="str">
        <f>HYPERLINK("http://www.redfin.com/stingray/do/printable-listing?listing-id=1600891","Active")</f>
        <v>Active</v>
      </c>
      <c r="D3064" t="s">
        <v>188</v>
      </c>
      <c r="E3064" t="s">
        <v>6614</v>
      </c>
      <c r="F3064">
        <v>479950</v>
      </c>
      <c r="G3064">
        <v>1958</v>
      </c>
      <c r="H3064">
        <v>1920</v>
      </c>
      <c r="I3064">
        <v>7800</v>
      </c>
      <c r="J3064">
        <v>4</v>
      </c>
      <c r="K3064">
        <v>1.5</v>
      </c>
      <c r="M3064" s="2" t="str">
        <f>HYPERLINK("http://maps.live.com/default.aspx?v=2&amp;lvl=15&amp;sp=Point.47.704503_-122.287883_10352 38th Ave NE&amp;cp=47.704503~-122.287883","Map")</f>
        <v>Map</v>
      </c>
      <c r="N3064" s="2" t="str">
        <f>HYPERLINK("http://i-0.rfimg.us/photo/1/bigphoto/496/28054496_0.jpg","Photo")</f>
        <v>Photo</v>
      </c>
      <c r="AG3064">
        <v>47.704503000000003</v>
      </c>
      <c r="AH3064">
        <v>-122.28788299999999</v>
      </c>
      <c r="AI3064" t="s">
        <v>66</v>
      </c>
      <c r="AJ3064">
        <v>98125</v>
      </c>
      <c r="BC3064" s="22">
        <v>39537.931516203702</v>
      </c>
      <c r="BI3064" s="22">
        <v>39549.294907407406</v>
      </c>
      <c r="BL3064">
        <v>9599</v>
      </c>
      <c r="BM3064">
        <v>1600891</v>
      </c>
      <c r="BN3064" t="s">
        <v>1710</v>
      </c>
      <c r="BO3064" s="17">
        <f t="shared" ca="1" si="47"/>
        <v>11.377889699077059</v>
      </c>
      <c r="BP3064" t="b">
        <v>0</v>
      </c>
      <c r="BQ3064">
        <v>1</v>
      </c>
      <c r="BR3064" t="s">
        <v>1667</v>
      </c>
      <c r="BS3064" t="s">
        <v>3126</v>
      </c>
      <c r="BT3064" t="b">
        <v>0</v>
      </c>
      <c r="BV3064" t="s">
        <v>1668</v>
      </c>
      <c r="BW3064">
        <v>10352</v>
      </c>
      <c r="BX3064" t="s">
        <v>1738</v>
      </c>
      <c r="BY3064">
        <v>112629</v>
      </c>
      <c r="BZ3064" t="s">
        <v>1701</v>
      </c>
      <c r="CA3064">
        <v>1</v>
      </c>
      <c r="CB3064" t="b">
        <v>1</v>
      </c>
      <c r="CC3064">
        <v>0</v>
      </c>
      <c r="CD3064" t="b">
        <v>0</v>
      </c>
      <c r="CE3064" t="b">
        <v>1</v>
      </c>
      <c r="CF3064" t="b">
        <v>0</v>
      </c>
      <c r="CG3064">
        <v>2703547</v>
      </c>
      <c r="CH3064" t="s">
        <v>1681</v>
      </c>
      <c r="CI3064" s="10">
        <v>479950</v>
      </c>
    </row>
    <row r="3065" spans="1:88">
      <c r="A3065">
        <v>28054524</v>
      </c>
      <c r="B3065" s="2" t="str">
        <f>HYPERLINK("http://www.redfin.com/stingray/do/printable-listing?listing-id=1601214","Active")</f>
        <v>Active</v>
      </c>
      <c r="D3065" t="s">
        <v>3064</v>
      </c>
      <c r="E3065" t="s">
        <v>6658</v>
      </c>
      <c r="F3065">
        <v>447000</v>
      </c>
      <c r="G3065">
        <v>2007</v>
      </c>
      <c r="H3065">
        <v>2462</v>
      </c>
      <c r="I3065">
        <v>4945</v>
      </c>
      <c r="J3065">
        <v>5</v>
      </c>
      <c r="K3065">
        <v>2.5</v>
      </c>
      <c r="M3065" s="2" t="str">
        <f>HYPERLINK("http://maps.live.com/default.aspx?v=2&amp;lvl=15&amp;sp=Point.47.494137_-122.180503_2832 NE 7th St&amp;cp=47.494137~-122.180503","Map")</f>
        <v>Map</v>
      </c>
      <c r="N3065" s="2" t="str">
        <f>HYPERLINK("http://i-0.rfimg.us/photo/1/bigphoto/524/28054524_1.jpg","Photo")</f>
        <v>Photo</v>
      </c>
      <c r="AG3065">
        <v>47.494137000000002</v>
      </c>
      <c r="AH3065">
        <v>-122.180503</v>
      </c>
      <c r="AI3065" t="s">
        <v>1077</v>
      </c>
      <c r="AJ3065">
        <v>98056</v>
      </c>
      <c r="BC3065" s="22">
        <v>39538.306331018517</v>
      </c>
      <c r="BI3065" s="22">
        <v>39549.294907407406</v>
      </c>
      <c r="BL3065">
        <v>8940</v>
      </c>
      <c r="BM3065">
        <v>1601214</v>
      </c>
      <c r="BN3065" t="s">
        <v>3236</v>
      </c>
      <c r="BO3065" s="17">
        <f t="shared" ca="1" si="47"/>
        <v>11.003074884261878</v>
      </c>
      <c r="BP3065" t="b">
        <v>0</v>
      </c>
      <c r="BQ3065">
        <v>1</v>
      </c>
      <c r="BR3065" t="s">
        <v>1686</v>
      </c>
      <c r="BS3065" t="s">
        <v>1859</v>
      </c>
      <c r="BT3065" t="b">
        <v>0</v>
      </c>
      <c r="BU3065" t="s">
        <v>1738</v>
      </c>
      <c r="BV3065" t="s">
        <v>1668</v>
      </c>
      <c r="BW3065">
        <v>2832</v>
      </c>
      <c r="BY3065">
        <v>12314697</v>
      </c>
      <c r="BZ3065" t="s">
        <v>1704</v>
      </c>
      <c r="CA3065">
        <v>1</v>
      </c>
      <c r="CB3065" t="b">
        <v>1</v>
      </c>
      <c r="CC3065">
        <v>0</v>
      </c>
      <c r="CD3065" t="b">
        <v>0</v>
      </c>
      <c r="CE3065" t="b">
        <v>1</v>
      </c>
      <c r="CF3065" t="b">
        <v>0</v>
      </c>
      <c r="CG3065">
        <v>15521249</v>
      </c>
      <c r="CH3065" t="s">
        <v>1681</v>
      </c>
      <c r="CI3065" s="10">
        <v>447000</v>
      </c>
    </row>
    <row r="3066" spans="1:88">
      <c r="A3066">
        <v>28054528</v>
      </c>
      <c r="B3066" s="2" t="str">
        <f>HYPERLINK("http://www.redfin.com/stingray/do/printable-listing?listing-id=1601263","Active")</f>
        <v>Active</v>
      </c>
      <c r="D3066" t="s">
        <v>3064</v>
      </c>
      <c r="E3066" t="s">
        <v>6661</v>
      </c>
      <c r="F3066">
        <v>449900</v>
      </c>
      <c r="G3066">
        <v>2007</v>
      </c>
      <c r="H3066">
        <v>2486</v>
      </c>
      <c r="I3066">
        <v>4784</v>
      </c>
      <c r="J3066">
        <v>5</v>
      </c>
      <c r="K3066">
        <v>2.5</v>
      </c>
      <c r="M3066" s="2" t="str">
        <f>HYPERLINK("http://maps.live.com/default.aspx?v=2&amp;lvl=15&amp;sp=Point.47.494137_-122.180543_2826 NE 7Th St&amp;cp=47.494137~-122.180543","Map")</f>
        <v>Map</v>
      </c>
      <c r="N3066" s="2" t="str">
        <f>HYPERLINK("http://i-0.rfimg.us/photo/1/bigphoto/528/28054528_0.jpg","Photo")</f>
        <v>Photo</v>
      </c>
      <c r="AG3066">
        <v>47.494137000000002</v>
      </c>
      <c r="AH3066">
        <v>-122.180543</v>
      </c>
      <c r="AI3066" t="s">
        <v>1077</v>
      </c>
      <c r="AJ3066">
        <v>98056</v>
      </c>
      <c r="AN3066">
        <v>260000</v>
      </c>
      <c r="BC3066" s="22">
        <v>39538.327210648145</v>
      </c>
      <c r="BI3066" s="22">
        <v>39549.294907407406</v>
      </c>
      <c r="BL3066">
        <v>8998</v>
      </c>
      <c r="BM3066">
        <v>1601263</v>
      </c>
      <c r="BN3066" t="s">
        <v>3236</v>
      </c>
      <c r="BO3066" s="17">
        <f t="shared" ca="1" si="47"/>
        <v>10.982195254633552</v>
      </c>
      <c r="BP3066" t="b">
        <v>0</v>
      </c>
      <c r="BQ3066">
        <v>1</v>
      </c>
      <c r="BR3066" t="s">
        <v>1686</v>
      </c>
      <c r="BS3066" t="s">
        <v>6660</v>
      </c>
      <c r="BT3066" t="b">
        <v>0</v>
      </c>
      <c r="BU3066" t="s">
        <v>1738</v>
      </c>
      <c r="BV3066" t="s">
        <v>1668</v>
      </c>
      <c r="BW3066">
        <v>2826</v>
      </c>
      <c r="BY3066">
        <v>241649</v>
      </c>
      <c r="BZ3066" t="s">
        <v>1713</v>
      </c>
      <c r="CA3066">
        <v>1</v>
      </c>
      <c r="CB3066" t="b">
        <v>1</v>
      </c>
      <c r="CC3066">
        <v>0</v>
      </c>
      <c r="CD3066" t="b">
        <v>0</v>
      </c>
      <c r="CE3066" t="b">
        <v>1</v>
      </c>
      <c r="CF3066" t="b">
        <v>0</v>
      </c>
      <c r="CG3066">
        <v>2732943</v>
      </c>
      <c r="CH3066" t="s">
        <v>1681</v>
      </c>
      <c r="CI3066" s="10">
        <v>449900</v>
      </c>
      <c r="CJ3066" s="7">
        <v>39021</v>
      </c>
    </row>
    <row r="3067" spans="1:88">
      <c r="A3067">
        <v>28054535</v>
      </c>
      <c r="B3067" s="2" t="str">
        <f>HYPERLINK("http://www.redfin.com/stingray/do/printable-listing?listing-id=1601976","Active")</f>
        <v>Active</v>
      </c>
      <c r="D3067" t="s">
        <v>55</v>
      </c>
      <c r="E3067" t="s">
        <v>6609</v>
      </c>
      <c r="F3067">
        <v>525000</v>
      </c>
      <c r="G3067">
        <v>1995</v>
      </c>
      <c r="H3067">
        <v>2410</v>
      </c>
      <c r="I3067">
        <v>2264</v>
      </c>
      <c r="J3067">
        <v>3</v>
      </c>
      <c r="K3067">
        <v>3.5</v>
      </c>
      <c r="M3067" s="2" t="str">
        <f>HYPERLINK("http://maps.live.com/default.aspx?v=2&amp;lvl=15&amp;sp=Point.47.696106_-122.347658_9213 Linden Ave N&amp;cp=47.696106~-122.347658","Map")</f>
        <v>Map</v>
      </c>
      <c r="N3067" s="2" t="str">
        <f>HYPERLINK("http://i-0.rfimg.us/photo/1/bigphoto/535/28054535_.jpg","Photo")</f>
        <v>Photo</v>
      </c>
      <c r="AG3067">
        <v>47.696106</v>
      </c>
      <c r="AH3067">
        <v>-122.347658</v>
      </c>
      <c r="AI3067" t="s">
        <v>66</v>
      </c>
      <c r="AJ3067">
        <v>98103</v>
      </c>
      <c r="AN3067">
        <v>272900</v>
      </c>
      <c r="BC3067" s="22">
        <v>39538.49486111111</v>
      </c>
      <c r="BI3067" s="22">
        <v>39549.294907407406</v>
      </c>
      <c r="BL3067">
        <v>10500</v>
      </c>
      <c r="BM3067">
        <v>1601976</v>
      </c>
      <c r="BN3067" t="s">
        <v>1710</v>
      </c>
      <c r="BO3067" s="17">
        <f t="shared" ca="1" si="47"/>
        <v>10.814544791668595</v>
      </c>
      <c r="BP3067" t="b">
        <v>0</v>
      </c>
      <c r="BQ3067">
        <v>1</v>
      </c>
      <c r="BR3067" t="s">
        <v>1667</v>
      </c>
      <c r="BS3067" t="s">
        <v>2439</v>
      </c>
      <c r="BT3067" t="b">
        <v>0</v>
      </c>
      <c r="BV3067" t="s">
        <v>1668</v>
      </c>
      <c r="BW3067">
        <v>9213</v>
      </c>
      <c r="BX3067" t="s">
        <v>1712</v>
      </c>
      <c r="BY3067">
        <v>98341</v>
      </c>
      <c r="BZ3067" t="s">
        <v>1672</v>
      </c>
      <c r="CA3067">
        <v>1</v>
      </c>
      <c r="CB3067" t="b">
        <v>1</v>
      </c>
      <c r="CC3067">
        <v>0</v>
      </c>
      <c r="CD3067" t="b">
        <v>0</v>
      </c>
      <c r="CE3067" t="b">
        <v>1</v>
      </c>
      <c r="CF3067" t="b">
        <v>0</v>
      </c>
      <c r="CG3067">
        <v>2747132</v>
      </c>
      <c r="CH3067" t="s">
        <v>1681</v>
      </c>
      <c r="CI3067" s="10">
        <v>525000</v>
      </c>
      <c r="CJ3067" s="7">
        <v>36468</v>
      </c>
    </row>
    <row r="3068" spans="1:88">
      <c r="A3068">
        <v>28054539</v>
      </c>
      <c r="B3068" s="15" t="str">
        <f>HYPERLINK("http://www.redfin.com/stingray/do/printable-listing?listing-id=1613238","Subject To Inspection")</f>
        <v>Subject To Inspection</v>
      </c>
      <c r="D3068" t="s">
        <v>1058</v>
      </c>
      <c r="E3068" t="s">
        <v>4568</v>
      </c>
      <c r="F3068">
        <v>434950</v>
      </c>
      <c r="G3068">
        <v>1976</v>
      </c>
      <c r="H3068">
        <v>2100</v>
      </c>
      <c r="I3068">
        <v>6447</v>
      </c>
      <c r="J3068">
        <v>3</v>
      </c>
      <c r="K3068">
        <v>2.75</v>
      </c>
      <c r="M3068" s="2" t="str">
        <f>HYPERLINK("http://maps.live.com/default.aspx?v=2&amp;lvl=15&amp;sp=Point.47.72282_-122.169459_13606 128th Ave NE&amp;cp=47.72282~-122.169459","Map")</f>
        <v>Map</v>
      </c>
      <c r="N3068" s="2" t="str">
        <f>HYPERLINK("http://i-0.rfimg.us/photo/1/bigphoto/539/28054539_0.jpg","Photo")</f>
        <v>Photo</v>
      </c>
      <c r="AG3068">
        <v>47.722819999999999</v>
      </c>
      <c r="AH3068">
        <v>-122.169459</v>
      </c>
      <c r="AI3068" t="s">
        <v>1058</v>
      </c>
      <c r="AJ3068">
        <v>98034</v>
      </c>
      <c r="BC3068" s="22">
        <v>39541.506527777776</v>
      </c>
      <c r="BI3068" s="22">
        <v>39549.294907407406</v>
      </c>
      <c r="BL3068">
        <v>8699</v>
      </c>
      <c r="BM3068">
        <v>1613238</v>
      </c>
      <c r="BN3068" t="s">
        <v>2203</v>
      </c>
      <c r="BO3068" s="17">
        <f t="shared" ca="1" si="47"/>
        <v>7.8028781250031898</v>
      </c>
      <c r="BP3068" t="b">
        <v>0</v>
      </c>
      <c r="BQ3068">
        <v>1</v>
      </c>
      <c r="BR3068" t="s">
        <v>1667</v>
      </c>
      <c r="BS3068" t="s">
        <v>4484</v>
      </c>
      <c r="BT3068" t="b">
        <v>0</v>
      </c>
      <c r="BV3068" t="s">
        <v>1668</v>
      </c>
      <c r="BW3068">
        <v>13606</v>
      </c>
      <c r="BX3068" t="s">
        <v>1738</v>
      </c>
      <c r="BY3068">
        <v>452832</v>
      </c>
      <c r="BZ3068" t="s">
        <v>1672</v>
      </c>
      <c r="CA3068">
        <v>1</v>
      </c>
      <c r="CB3068" t="b">
        <v>1</v>
      </c>
      <c r="CC3068">
        <v>0</v>
      </c>
      <c r="CD3068" t="b">
        <v>0</v>
      </c>
      <c r="CE3068" t="b">
        <v>1</v>
      </c>
      <c r="CF3068" t="b">
        <v>0</v>
      </c>
      <c r="CG3068">
        <v>2363679</v>
      </c>
      <c r="CH3068" t="s">
        <v>1681</v>
      </c>
      <c r="CI3068" s="10">
        <v>434950</v>
      </c>
    </row>
    <row r="3069" spans="1:88">
      <c r="A3069">
        <v>28054548</v>
      </c>
      <c r="B3069" s="2" t="str">
        <f>HYPERLINK("http://www.redfin.com/stingray/do/printable-listing?listing-id=1616985","Active")</f>
        <v>Active</v>
      </c>
      <c r="D3069" t="s">
        <v>88</v>
      </c>
      <c r="E3069" t="s">
        <v>2336</v>
      </c>
      <c r="F3069">
        <v>450000</v>
      </c>
      <c r="G3069">
        <v>1918</v>
      </c>
      <c r="H3069">
        <v>1810</v>
      </c>
      <c r="I3069">
        <v>3240</v>
      </c>
      <c r="J3069">
        <v>2</v>
      </c>
      <c r="K3069">
        <v>1</v>
      </c>
      <c r="M3069" s="2" t="str">
        <f>HYPERLINK("http://maps.live.com/default.aspx?v=2&amp;lvl=15&amp;sp=Point.47.68233_-122.355967_145 N 74 St&amp;cp=47.68233~-122.355967","Map")</f>
        <v>Map</v>
      </c>
      <c r="N3069" s="2" t="str">
        <f>HYPERLINK("http://i-0.rfimg.us/photo/1/bigphoto/548/28054548_1.jpg","Photo")</f>
        <v>Photo</v>
      </c>
      <c r="AG3069">
        <v>47.68233</v>
      </c>
      <c r="AH3069">
        <v>-122.35596700000001</v>
      </c>
      <c r="AI3069" t="s">
        <v>66</v>
      </c>
      <c r="AJ3069">
        <v>98103</v>
      </c>
      <c r="BC3069" s="22">
        <v>39542.495879629627</v>
      </c>
      <c r="BI3069" s="22">
        <v>39549.294907407406</v>
      </c>
      <c r="BL3069">
        <v>9000</v>
      </c>
      <c r="BM3069">
        <v>1616985</v>
      </c>
      <c r="BN3069" t="s">
        <v>1749</v>
      </c>
      <c r="BO3069" s="17">
        <f t="shared" ca="1" si="47"/>
        <v>6.8135262731520925</v>
      </c>
      <c r="BP3069" t="b">
        <v>0</v>
      </c>
      <c r="BQ3069">
        <v>1</v>
      </c>
      <c r="BR3069" t="s">
        <v>1686</v>
      </c>
      <c r="BS3069">
        <v>74</v>
      </c>
      <c r="BT3069" t="b">
        <v>0</v>
      </c>
      <c r="BU3069" t="s">
        <v>1712</v>
      </c>
      <c r="BV3069" t="s">
        <v>1668</v>
      </c>
      <c r="BW3069">
        <v>145</v>
      </c>
      <c r="BY3069">
        <v>498656</v>
      </c>
      <c r="BZ3069" t="s">
        <v>1911</v>
      </c>
      <c r="CA3069">
        <v>1</v>
      </c>
      <c r="CB3069" t="b">
        <v>1</v>
      </c>
      <c r="CC3069">
        <v>0</v>
      </c>
      <c r="CD3069" t="b">
        <v>0</v>
      </c>
      <c r="CE3069" t="b">
        <v>1</v>
      </c>
      <c r="CF3069" t="b">
        <v>0</v>
      </c>
      <c r="CG3069">
        <v>2349665</v>
      </c>
      <c r="CH3069" t="s">
        <v>1681</v>
      </c>
      <c r="CI3069" s="10">
        <v>450000</v>
      </c>
    </row>
    <row r="3070" spans="1:88">
      <c r="A3070">
        <v>28054549</v>
      </c>
      <c r="B3070" s="2" t="str">
        <f>HYPERLINK("http://www.redfin.com/stingray/do/printable-listing?listing-id=1601312","Active")</f>
        <v>Active</v>
      </c>
      <c r="D3070" t="s">
        <v>194</v>
      </c>
      <c r="E3070" t="s">
        <v>6612</v>
      </c>
      <c r="F3070">
        <v>489000</v>
      </c>
      <c r="G3070">
        <v>1950</v>
      </c>
      <c r="H3070">
        <v>1980</v>
      </c>
      <c r="I3070">
        <v>6120</v>
      </c>
      <c r="J3070">
        <v>3</v>
      </c>
      <c r="K3070">
        <v>1.5</v>
      </c>
      <c r="M3070" s="2" t="str">
        <f>HYPERLINK("http://maps.live.com/default.aspx?v=2&amp;lvl=15&amp;sp=Point.47.690448_-122.295343_3014 NE 85th St&amp;cp=47.690448~-122.295343","Map")</f>
        <v>Map</v>
      </c>
      <c r="N3070" s="2" t="str">
        <f>HYPERLINK("http://i-0.rfimg.us/photo/1/bigphoto/549/28054549_1.jpg","Photo")</f>
        <v>Photo</v>
      </c>
      <c r="AG3070">
        <v>47.690448000000004</v>
      </c>
      <c r="AH3070">
        <v>-122.295343</v>
      </c>
      <c r="AI3070" t="s">
        <v>66</v>
      </c>
      <c r="AJ3070">
        <v>98115</v>
      </c>
      <c r="AN3070">
        <v>297000</v>
      </c>
      <c r="BC3070" s="22">
        <v>39538.34814814815</v>
      </c>
      <c r="BI3070" s="22">
        <v>39549.294907407406</v>
      </c>
      <c r="BL3070">
        <v>9780</v>
      </c>
      <c r="BM3070">
        <v>1601312</v>
      </c>
      <c r="BN3070" t="s">
        <v>1775</v>
      </c>
      <c r="BO3070" s="17">
        <f t="shared" ca="1" si="47"/>
        <v>10.961257754628605</v>
      </c>
      <c r="BP3070" t="b">
        <v>0</v>
      </c>
      <c r="BQ3070">
        <v>1</v>
      </c>
      <c r="BR3070" t="s">
        <v>1686</v>
      </c>
      <c r="BS3070" t="s">
        <v>1827</v>
      </c>
      <c r="BT3070" t="b">
        <v>0</v>
      </c>
      <c r="BU3070" t="s">
        <v>1738</v>
      </c>
      <c r="BV3070" t="s">
        <v>1668</v>
      </c>
      <c r="BW3070">
        <v>3014</v>
      </c>
      <c r="BY3070">
        <v>316501</v>
      </c>
      <c r="BZ3070" t="s">
        <v>6613</v>
      </c>
      <c r="CA3070">
        <v>1</v>
      </c>
      <c r="CB3070" t="b">
        <v>1</v>
      </c>
      <c r="CC3070">
        <v>0</v>
      </c>
      <c r="CD3070" t="b">
        <v>0</v>
      </c>
      <c r="CE3070" t="b">
        <v>1</v>
      </c>
      <c r="CF3070" t="b">
        <v>0</v>
      </c>
      <c r="CG3070">
        <v>2903166</v>
      </c>
      <c r="CH3070" t="s">
        <v>1681</v>
      </c>
      <c r="CI3070" s="10">
        <v>489000</v>
      </c>
      <c r="CJ3070" s="7">
        <v>37897</v>
      </c>
    </row>
    <row r="3071" spans="1:88">
      <c r="A3071">
        <v>28054553</v>
      </c>
      <c r="B3071" s="2" t="str">
        <f>HYPERLINK("http://www.redfin.com/stingray/do/printable-listing?listing-id=1601421","Active")</f>
        <v>Active</v>
      </c>
      <c r="D3071" t="s">
        <v>3064</v>
      </c>
      <c r="E3071" t="s">
        <v>6659</v>
      </c>
      <c r="F3071">
        <v>449900</v>
      </c>
      <c r="G3071">
        <v>2007</v>
      </c>
      <c r="H3071">
        <v>2486</v>
      </c>
      <c r="I3071">
        <v>4881</v>
      </c>
      <c r="J3071">
        <v>5</v>
      </c>
      <c r="K3071">
        <v>2.5</v>
      </c>
      <c r="M3071" s="2" t="str">
        <f>HYPERLINK("http://maps.live.com/default.aspx?v=2&amp;lvl=15&amp;sp=Point.47.494137_-122.180584_2820 NE 7Th St&amp;cp=47.494137~-122.180584","Map")</f>
        <v>Map</v>
      </c>
      <c r="N3071" s="2" t="str">
        <f>HYPERLINK("http://i-0.rfimg.us/photo/1/bigphoto/553/28054553_0.jpg","Photo")</f>
        <v>Photo</v>
      </c>
      <c r="AG3071">
        <v>47.494137000000002</v>
      </c>
      <c r="AH3071">
        <v>-122.180584</v>
      </c>
      <c r="AI3071" t="s">
        <v>1077</v>
      </c>
      <c r="AJ3071">
        <v>98056</v>
      </c>
      <c r="BC3071" s="22">
        <v>39538.358703703707</v>
      </c>
      <c r="BI3071" s="22">
        <v>39549.294907407406</v>
      </c>
      <c r="BL3071">
        <v>8998</v>
      </c>
      <c r="BM3071">
        <v>1601421</v>
      </c>
      <c r="BN3071" t="s">
        <v>3236</v>
      </c>
      <c r="BO3071" s="17">
        <f t="shared" ca="1" si="47"/>
        <v>10.950702199072111</v>
      </c>
      <c r="BP3071" t="b">
        <v>0</v>
      </c>
      <c r="BQ3071">
        <v>1</v>
      </c>
      <c r="BR3071" t="s">
        <v>1686</v>
      </c>
      <c r="BS3071" t="s">
        <v>6660</v>
      </c>
      <c r="BT3071" t="b">
        <v>0</v>
      </c>
      <c r="BU3071" t="s">
        <v>1738</v>
      </c>
      <c r="BV3071" t="s">
        <v>1668</v>
      </c>
      <c r="BW3071">
        <v>2820</v>
      </c>
      <c r="BY3071">
        <v>12314704</v>
      </c>
      <c r="BZ3071" t="s">
        <v>1713</v>
      </c>
      <c r="CA3071">
        <v>1</v>
      </c>
      <c r="CB3071" t="b">
        <v>1</v>
      </c>
      <c r="CC3071">
        <v>0</v>
      </c>
      <c r="CD3071" t="b">
        <v>0</v>
      </c>
      <c r="CE3071" t="b">
        <v>1</v>
      </c>
      <c r="CF3071" t="b">
        <v>0</v>
      </c>
      <c r="CG3071">
        <v>15521251</v>
      </c>
      <c r="CH3071" t="s">
        <v>1681</v>
      </c>
      <c r="CI3071" s="10">
        <v>449900</v>
      </c>
    </row>
    <row r="3072" spans="1:88">
      <c r="A3072">
        <v>28054563</v>
      </c>
      <c r="B3072" s="2" t="str">
        <f>HYPERLINK("http://www.redfin.com/stingray/do/printable-listing?listing-id=1601449","Active")</f>
        <v>Active</v>
      </c>
      <c r="D3072" t="s">
        <v>194</v>
      </c>
      <c r="E3072" t="s">
        <v>6611</v>
      </c>
      <c r="F3072">
        <v>525000</v>
      </c>
      <c r="G3072">
        <v>1932</v>
      </c>
      <c r="H3072">
        <v>2280</v>
      </c>
      <c r="I3072">
        <v>6120</v>
      </c>
      <c r="J3072">
        <v>3</v>
      </c>
      <c r="K3072">
        <v>2</v>
      </c>
      <c r="M3072" s="2" t="str">
        <f>HYPERLINK("http://maps.live.com/default.aspx?v=2&amp;lvl=15&amp;sp=Point.47.691863_-122.287747_3804 NE 87th St&amp;cp=47.691863~-122.287747","Map")</f>
        <v>Map</v>
      </c>
      <c r="N3072" s="2" t="str">
        <f>HYPERLINK("http://i-0.rfimg.us/photo/1/bigphoto/563/28054563_0.jpg","Photo")</f>
        <v>Photo</v>
      </c>
      <c r="AG3072">
        <v>47.691862999999998</v>
      </c>
      <c r="AH3072">
        <v>-122.287747</v>
      </c>
      <c r="AI3072" t="s">
        <v>66</v>
      </c>
      <c r="AJ3072">
        <v>98115</v>
      </c>
      <c r="AN3072">
        <v>255000</v>
      </c>
      <c r="BC3072" s="22">
        <v>39538.369027777779</v>
      </c>
      <c r="BI3072" s="22">
        <v>39549.294907407406</v>
      </c>
      <c r="BL3072">
        <v>10500</v>
      </c>
      <c r="BM3072">
        <v>1601449</v>
      </c>
      <c r="BN3072" t="s">
        <v>1685</v>
      </c>
      <c r="BO3072" s="17">
        <f t="shared" ca="1" si="47"/>
        <v>10.940378125000279</v>
      </c>
      <c r="BP3072" t="b">
        <v>0</v>
      </c>
      <c r="BQ3072">
        <v>1</v>
      </c>
      <c r="BR3072" t="s">
        <v>1686</v>
      </c>
      <c r="BS3072" t="s">
        <v>1856</v>
      </c>
      <c r="BT3072" t="b">
        <v>0</v>
      </c>
      <c r="BU3072" t="s">
        <v>1738</v>
      </c>
      <c r="BV3072" t="s">
        <v>1668</v>
      </c>
      <c r="BW3072">
        <v>3804</v>
      </c>
      <c r="BY3072">
        <v>315527</v>
      </c>
      <c r="BZ3072" t="s">
        <v>1713</v>
      </c>
      <c r="CA3072">
        <v>1</v>
      </c>
      <c r="CB3072" t="b">
        <v>1</v>
      </c>
      <c r="CC3072">
        <v>0</v>
      </c>
      <c r="CD3072" t="b">
        <v>0</v>
      </c>
      <c r="CE3072" t="b">
        <v>1</v>
      </c>
      <c r="CF3072" t="b">
        <v>0</v>
      </c>
      <c r="CG3072">
        <v>2468736</v>
      </c>
      <c r="CH3072" t="s">
        <v>1681</v>
      </c>
      <c r="CI3072" s="10">
        <v>525000</v>
      </c>
      <c r="CJ3072" s="7">
        <v>36602</v>
      </c>
    </row>
    <row r="3073" spans="1:90">
      <c r="A3073">
        <v>28054565</v>
      </c>
      <c r="B3073" s="2" t="str">
        <f>HYPERLINK("http://www.redfin.com/stingray/do/printable-listing?listing-id=1601496","Active")</f>
        <v>Active</v>
      </c>
      <c r="D3073" t="s">
        <v>60</v>
      </c>
      <c r="E3073" t="s">
        <v>6602</v>
      </c>
      <c r="F3073">
        <v>359995</v>
      </c>
      <c r="G3073">
        <v>2003</v>
      </c>
      <c r="H3073">
        <v>1410</v>
      </c>
      <c r="I3073">
        <v>1234</v>
      </c>
      <c r="J3073">
        <v>3</v>
      </c>
      <c r="K3073">
        <v>2.5</v>
      </c>
      <c r="M3073" s="2" t="str">
        <f>HYPERLINK("http://maps.live.com/default.aspx?v=2&amp;lvl=15&amp;sp=Point.47.690924_-122.342153_8512 Midvale Ave N&amp;cp=47.690924~-122.342153","Map")</f>
        <v>Map</v>
      </c>
      <c r="N3073" s="2" t="str">
        <f>HYPERLINK("http://i-0.rfimg.us/photo/1/bigphoto/565/28054565_3.jpg","Photo")</f>
        <v>Photo</v>
      </c>
      <c r="AG3073">
        <v>47.690924000000003</v>
      </c>
      <c r="AH3073">
        <v>-122.342153</v>
      </c>
      <c r="AI3073" t="s">
        <v>66</v>
      </c>
      <c r="AJ3073">
        <v>98103</v>
      </c>
      <c r="BC3073" s="22">
        <v>39538.379953703705</v>
      </c>
      <c r="BI3073" s="22">
        <v>39549.294907407406</v>
      </c>
      <c r="BL3073">
        <v>7200</v>
      </c>
      <c r="BM3073">
        <v>1601496</v>
      </c>
      <c r="BN3073" t="s">
        <v>1673</v>
      </c>
      <c r="BO3073" s="17">
        <f t="shared" ca="1" si="47"/>
        <v>10.929452199074149</v>
      </c>
      <c r="BP3073" t="b">
        <v>0</v>
      </c>
      <c r="BQ3073">
        <v>1</v>
      </c>
      <c r="BR3073" t="s">
        <v>1667</v>
      </c>
      <c r="BS3073" t="s">
        <v>2608</v>
      </c>
      <c r="BT3073" t="b">
        <v>0</v>
      </c>
      <c r="BV3073" t="s">
        <v>1668</v>
      </c>
      <c r="BW3073">
        <v>8512</v>
      </c>
      <c r="BX3073" t="s">
        <v>1712</v>
      </c>
      <c r="BY3073">
        <v>12436116</v>
      </c>
      <c r="BZ3073" t="s">
        <v>6603</v>
      </c>
      <c r="CA3073">
        <v>1</v>
      </c>
      <c r="CB3073" t="b">
        <v>1</v>
      </c>
      <c r="CC3073">
        <v>0</v>
      </c>
      <c r="CD3073" t="b">
        <v>0</v>
      </c>
      <c r="CE3073" t="b">
        <v>1</v>
      </c>
      <c r="CF3073" t="b">
        <v>0</v>
      </c>
      <c r="CG3073">
        <v>15639864</v>
      </c>
      <c r="CH3073" t="s">
        <v>1681</v>
      </c>
      <c r="CI3073" s="10">
        <v>359995</v>
      </c>
    </row>
    <row r="3074" spans="1:90">
      <c r="A3074">
        <v>28054584</v>
      </c>
      <c r="B3074" s="2" t="str">
        <f>HYPERLINK("http://www.redfin.com/stingray/do/printable-listing?listing-id=1608847","Active")</f>
        <v>Active</v>
      </c>
      <c r="D3074" t="s">
        <v>60</v>
      </c>
      <c r="E3074" t="s">
        <v>6713</v>
      </c>
      <c r="F3074">
        <v>325000</v>
      </c>
      <c r="G3074">
        <v>2003</v>
      </c>
      <c r="H3074">
        <v>1280</v>
      </c>
      <c r="I3074">
        <v>0</v>
      </c>
      <c r="J3074">
        <v>3</v>
      </c>
      <c r="K3074">
        <v>3</v>
      </c>
      <c r="M3074" s="2" t="str">
        <f>HYPERLINK("http://maps.live.com/default.aspx?v=2&amp;lvl=15&amp;sp=Point.47.69691_-122.340595_9238 Interlake Ave N nA&amp;cp=47.69691~-122.340595","Map")</f>
        <v>Map</v>
      </c>
      <c r="N3074" s="2" t="str">
        <f>HYPERLINK("http://i-0.rfimg.us/photo/1/bigphoto/584/28054584_0.jpg","Photo")</f>
        <v>Photo</v>
      </c>
      <c r="AG3074">
        <v>47.696910000000003</v>
      </c>
      <c r="AH3074">
        <v>-122.34059499999999</v>
      </c>
      <c r="AI3074" t="s">
        <v>66</v>
      </c>
      <c r="AJ3074">
        <v>98103</v>
      </c>
      <c r="AM3074" t="s">
        <v>1722</v>
      </c>
      <c r="AN3074">
        <v>252950</v>
      </c>
      <c r="BC3074" s="22">
        <v>39540.450381944444</v>
      </c>
      <c r="BI3074" s="22">
        <v>39549.294907407406</v>
      </c>
      <c r="BL3074">
        <v>6500</v>
      </c>
      <c r="BM3074">
        <v>1608847</v>
      </c>
      <c r="BN3074" t="s">
        <v>1688</v>
      </c>
      <c r="BO3074" s="17">
        <f t="shared" ref="BO3074:BO3137" ca="1" si="48">NOW()-BC3074</f>
        <v>8.859023958335456</v>
      </c>
      <c r="BP3074" t="b">
        <v>0</v>
      </c>
      <c r="BQ3074">
        <v>1</v>
      </c>
      <c r="BR3074" t="s">
        <v>1667</v>
      </c>
      <c r="BS3074" t="s">
        <v>2378</v>
      </c>
      <c r="BT3074" t="b">
        <v>0</v>
      </c>
      <c r="BV3074" t="s">
        <v>1668</v>
      </c>
      <c r="BW3074">
        <v>9238</v>
      </c>
      <c r="BX3074" t="s">
        <v>1712</v>
      </c>
      <c r="BY3074">
        <v>105137</v>
      </c>
      <c r="BZ3074" t="s">
        <v>1672</v>
      </c>
      <c r="CA3074">
        <v>1</v>
      </c>
      <c r="CB3074" t="b">
        <v>1</v>
      </c>
      <c r="CC3074">
        <v>0</v>
      </c>
      <c r="CD3074" t="b">
        <v>0</v>
      </c>
      <c r="CE3074" t="b">
        <v>1</v>
      </c>
      <c r="CF3074" t="b">
        <v>0</v>
      </c>
      <c r="CG3074">
        <v>2746162</v>
      </c>
      <c r="CH3074" t="s">
        <v>1681</v>
      </c>
      <c r="CI3074" s="10">
        <v>325000</v>
      </c>
      <c r="CJ3074" s="7">
        <v>37769</v>
      </c>
    </row>
    <row r="3075" spans="1:90">
      <c r="A3075">
        <v>28054588</v>
      </c>
      <c r="B3075" s="2" t="str">
        <f>HYPERLINK("http://www.redfin.com/stingray/do/printable-listing?listing-id=1601499","Active")</f>
        <v>Active</v>
      </c>
      <c r="D3075" t="s">
        <v>70</v>
      </c>
      <c r="E3075" t="s">
        <v>6608</v>
      </c>
      <c r="F3075">
        <v>375000</v>
      </c>
      <c r="G3075">
        <v>1918</v>
      </c>
      <c r="H3075">
        <v>1230</v>
      </c>
      <c r="I3075">
        <v>9300</v>
      </c>
      <c r="J3075">
        <v>2</v>
      </c>
      <c r="K3075">
        <v>1</v>
      </c>
      <c r="M3075" s="2" t="str">
        <f>HYPERLINK("http://maps.live.com/default.aspx?v=2&amp;lvl=15&amp;sp=Point.47.705548_-122.347769_10515 Linden Ave N&amp;cp=47.705548~-122.347769","Map")</f>
        <v>Map</v>
      </c>
      <c r="N3075" s="2" t="str">
        <f>HYPERLINK("http://i-0.rfimg.us/photo/1/bigphoto/588/28054588_.jpg","Photo")</f>
        <v>Photo</v>
      </c>
      <c r="AG3075">
        <v>47.705548</v>
      </c>
      <c r="AH3075">
        <v>-122.347769</v>
      </c>
      <c r="AI3075" t="s">
        <v>66</v>
      </c>
      <c r="AJ3075">
        <v>98133</v>
      </c>
      <c r="AN3075">
        <v>325000</v>
      </c>
      <c r="BC3075" s="22">
        <v>39538.379965277774</v>
      </c>
      <c r="BI3075" s="22">
        <v>39549.294907407406</v>
      </c>
      <c r="BL3075">
        <v>7500</v>
      </c>
      <c r="BM3075">
        <v>1601499</v>
      </c>
      <c r="BN3075" t="s">
        <v>1685</v>
      </c>
      <c r="BO3075" s="17">
        <f t="shared" ca="1" si="48"/>
        <v>10.929440625004645</v>
      </c>
      <c r="BP3075" t="b">
        <v>0</v>
      </c>
      <c r="BQ3075">
        <v>1</v>
      </c>
      <c r="BR3075" t="s">
        <v>1667</v>
      </c>
      <c r="BS3075" t="s">
        <v>2439</v>
      </c>
      <c r="BT3075" t="b">
        <v>0</v>
      </c>
      <c r="BV3075" t="s">
        <v>1668</v>
      </c>
      <c r="BW3075">
        <v>10515</v>
      </c>
      <c r="BX3075" t="s">
        <v>1712</v>
      </c>
      <c r="BY3075">
        <v>98465</v>
      </c>
      <c r="BZ3075" t="s">
        <v>1670</v>
      </c>
      <c r="CA3075">
        <v>1</v>
      </c>
      <c r="CB3075" t="b">
        <v>1</v>
      </c>
      <c r="CC3075">
        <v>0</v>
      </c>
      <c r="CD3075" t="b">
        <v>0</v>
      </c>
      <c r="CE3075" t="b">
        <v>1</v>
      </c>
      <c r="CF3075" t="b">
        <v>0</v>
      </c>
      <c r="CG3075">
        <v>2968956</v>
      </c>
      <c r="CH3075" t="s">
        <v>1681</v>
      </c>
      <c r="CI3075" s="10">
        <v>375000</v>
      </c>
      <c r="CJ3075" s="7">
        <v>39253</v>
      </c>
    </row>
    <row r="3076" spans="1:90">
      <c r="A3076">
        <v>28054630</v>
      </c>
      <c r="B3076" s="2" t="str">
        <f>HYPERLINK("http://www.redfin.com/stingray/do/printable-listing?listing-id=1614437","Active")</f>
        <v>Active</v>
      </c>
      <c r="D3076" t="s">
        <v>88</v>
      </c>
      <c r="E3076" t="s">
        <v>6766</v>
      </c>
      <c r="F3076">
        <v>729000</v>
      </c>
      <c r="G3076">
        <v>2007</v>
      </c>
      <c r="H3076">
        <v>2050</v>
      </c>
      <c r="I3076">
        <v>2345</v>
      </c>
      <c r="J3076">
        <v>3</v>
      </c>
      <c r="K3076">
        <v>3.25</v>
      </c>
      <c r="M3076" s="2" t="str">
        <f>HYPERLINK("http://maps.live.com/default.aspx?v=2&amp;lvl=15&amp;sp=Point.47.667508_-122.359795_233 NW 53rd St&amp;cp=47.667508~-122.359795","Map")</f>
        <v>Map</v>
      </c>
      <c r="N3076" s="2" t="str">
        <f>HYPERLINK("http://i-0.rfimg.us/photo/1/bigphoto/630/28054630_2.jpg","Photo")</f>
        <v>Photo</v>
      </c>
      <c r="AG3076">
        <v>47.667507999999998</v>
      </c>
      <c r="AH3076">
        <v>-122.35979500000001</v>
      </c>
      <c r="AI3076" t="s">
        <v>66</v>
      </c>
      <c r="AJ3076">
        <v>98107</v>
      </c>
      <c r="AN3076">
        <v>375000</v>
      </c>
      <c r="BC3076" s="22">
        <v>39541.694606481484</v>
      </c>
      <c r="BI3076" s="22">
        <v>39549.294907407406</v>
      </c>
      <c r="BL3076">
        <v>14580</v>
      </c>
      <c r="BM3076">
        <v>1614437</v>
      </c>
      <c r="BN3076" t="s">
        <v>1678</v>
      </c>
      <c r="BO3076" s="17">
        <f t="shared" ca="1" si="48"/>
        <v>7.6147994212951744</v>
      </c>
      <c r="BP3076" t="b">
        <v>0</v>
      </c>
      <c r="BQ3076">
        <v>1</v>
      </c>
      <c r="BR3076" t="s">
        <v>1686</v>
      </c>
      <c r="BS3076" t="s">
        <v>2581</v>
      </c>
      <c r="BT3076" t="b">
        <v>0</v>
      </c>
      <c r="BU3076" t="s">
        <v>1669</v>
      </c>
      <c r="BV3076" t="s">
        <v>1668</v>
      </c>
      <c r="BW3076">
        <v>233</v>
      </c>
      <c r="BY3076">
        <v>299725</v>
      </c>
      <c r="BZ3076" t="s">
        <v>6767</v>
      </c>
      <c r="CA3076">
        <v>1</v>
      </c>
      <c r="CB3076" t="b">
        <v>1</v>
      </c>
      <c r="CC3076">
        <v>0</v>
      </c>
      <c r="CD3076" t="b">
        <v>0</v>
      </c>
      <c r="CE3076" t="b">
        <v>1</v>
      </c>
      <c r="CF3076" t="b">
        <v>0</v>
      </c>
      <c r="CG3076">
        <v>2637543</v>
      </c>
      <c r="CH3076" t="s">
        <v>1681</v>
      </c>
      <c r="CI3076" s="10">
        <v>729000</v>
      </c>
      <c r="CJ3076" s="7">
        <v>39007</v>
      </c>
    </row>
    <row r="3077" spans="1:90">
      <c r="A3077">
        <v>28054672</v>
      </c>
      <c r="B3077" s="15" t="str">
        <f>HYPERLINK("http://www.redfin.com/stingray/do/printable-listing?listing-id=1601677","Subject To Inspection")</f>
        <v>Subject To Inspection</v>
      </c>
      <c r="D3077" t="s">
        <v>99</v>
      </c>
      <c r="E3077" t="s">
        <v>2161</v>
      </c>
      <c r="F3077">
        <v>399950</v>
      </c>
      <c r="G3077">
        <v>1949</v>
      </c>
      <c r="H3077">
        <v>980</v>
      </c>
      <c r="I3077">
        <v>6930</v>
      </c>
      <c r="J3077">
        <v>2</v>
      </c>
      <c r="K3077">
        <v>1</v>
      </c>
      <c r="M3077" s="2" t="str">
        <f>HYPERLINK("http://maps.live.com/default.aspx?v=2&amp;lvl=15&amp;sp=Point.47.704569_-122.372369_10344 13th Ave NW&amp;cp=47.704569~-122.372369","Map")</f>
        <v>Map</v>
      </c>
      <c r="N3077" s="2" t="str">
        <f>HYPERLINK("http://i-0.rfimg.us/photo/1/bigphoto/672/28054672_0.jpg","Photo")</f>
        <v>Photo</v>
      </c>
      <c r="AG3077">
        <v>47.704568999999999</v>
      </c>
      <c r="AH3077">
        <v>-122.37236900000001</v>
      </c>
      <c r="AI3077" t="s">
        <v>66</v>
      </c>
      <c r="AJ3077">
        <v>98177</v>
      </c>
      <c r="AN3077">
        <v>245000</v>
      </c>
      <c r="BC3077" s="22">
        <v>39538.422233796293</v>
      </c>
      <c r="BI3077" s="22">
        <v>39546.925937499997</v>
      </c>
      <c r="BL3077">
        <v>7999</v>
      </c>
      <c r="BM3077">
        <v>1601677</v>
      </c>
      <c r="BN3077" t="s">
        <v>1718</v>
      </c>
      <c r="BO3077" s="17">
        <f t="shared" ca="1" si="48"/>
        <v>10.887172106486105</v>
      </c>
      <c r="BP3077" t="b">
        <v>0</v>
      </c>
      <c r="BQ3077">
        <v>1</v>
      </c>
      <c r="BR3077" t="s">
        <v>1667</v>
      </c>
      <c r="BS3077" t="s">
        <v>1809</v>
      </c>
      <c r="BT3077" t="b">
        <v>0</v>
      </c>
      <c r="BV3077" t="s">
        <v>1668</v>
      </c>
      <c r="BW3077">
        <v>10344</v>
      </c>
      <c r="BX3077" t="s">
        <v>1669</v>
      </c>
      <c r="BY3077">
        <v>95637</v>
      </c>
      <c r="BZ3077" t="s">
        <v>1747</v>
      </c>
      <c r="CA3077">
        <v>1</v>
      </c>
      <c r="CB3077" t="b">
        <v>1</v>
      </c>
      <c r="CC3077">
        <v>0</v>
      </c>
      <c r="CD3077" t="b">
        <v>0</v>
      </c>
      <c r="CE3077" t="b">
        <v>1</v>
      </c>
      <c r="CF3077" t="b">
        <v>0</v>
      </c>
      <c r="CG3077">
        <v>2428090</v>
      </c>
      <c r="CH3077" t="s">
        <v>1681</v>
      </c>
      <c r="CI3077" s="10">
        <v>399950</v>
      </c>
      <c r="CJ3077" s="7">
        <v>38359</v>
      </c>
      <c r="CK3077" t="s">
        <v>6709</v>
      </c>
    </row>
    <row r="3078" spans="1:90">
      <c r="A3078">
        <v>28054681</v>
      </c>
      <c r="B3078" s="2" t="str">
        <f>HYPERLINK("http://www.redfin.com/stingray/do/printable-listing?listing-id=1608192","Active")</f>
        <v>Active</v>
      </c>
      <c r="D3078" t="s">
        <v>70</v>
      </c>
      <c r="E3078" t="s">
        <v>6711</v>
      </c>
      <c r="F3078">
        <v>309500</v>
      </c>
      <c r="G3078">
        <v>1948</v>
      </c>
      <c r="H3078">
        <v>1770</v>
      </c>
      <c r="I3078">
        <v>6228</v>
      </c>
      <c r="J3078">
        <v>2</v>
      </c>
      <c r="K3078">
        <v>1</v>
      </c>
      <c r="M3078" s="2" t="str">
        <f>HYPERLINK("http://maps.live.com/default.aspx?v=2&amp;lvl=15&amp;sp=Point.47.719742_-122.349125_12504 North Park Ave N&amp;cp=47.719742~-122.349125","Map")</f>
        <v>Map</v>
      </c>
      <c r="N3078" s="2" t="str">
        <f>HYPERLINK("http://i-0.rfimg.us/photo/1/bigphoto/681/28054681_0.jpg","Photo")</f>
        <v>Photo</v>
      </c>
      <c r="AG3078">
        <v>47.719741999999997</v>
      </c>
      <c r="AH3078">
        <v>-122.349125</v>
      </c>
      <c r="AI3078" t="s">
        <v>66</v>
      </c>
      <c r="AJ3078">
        <v>98133</v>
      </c>
      <c r="AN3078">
        <v>157000</v>
      </c>
      <c r="BC3078" s="22">
        <v>39540.296111111114</v>
      </c>
      <c r="BI3078" s="22">
        <v>39549.294907407406</v>
      </c>
      <c r="BL3078">
        <v>6190</v>
      </c>
      <c r="BM3078">
        <v>1608192</v>
      </c>
      <c r="BN3078" t="s">
        <v>1700</v>
      </c>
      <c r="BO3078" s="17">
        <f t="shared" ca="1" si="48"/>
        <v>9.0132947916645207</v>
      </c>
      <c r="BP3078" t="b">
        <v>0</v>
      </c>
      <c r="BQ3078">
        <v>1</v>
      </c>
      <c r="BR3078" t="s">
        <v>1667</v>
      </c>
      <c r="BS3078" t="s">
        <v>6712</v>
      </c>
      <c r="BT3078" t="b">
        <v>0</v>
      </c>
      <c r="BV3078" t="s">
        <v>1668</v>
      </c>
      <c r="BW3078">
        <v>12504</v>
      </c>
      <c r="BX3078" t="s">
        <v>1712</v>
      </c>
      <c r="BY3078">
        <v>98231</v>
      </c>
      <c r="BZ3078" t="s">
        <v>1743</v>
      </c>
      <c r="CA3078">
        <v>1</v>
      </c>
      <c r="CB3078" t="b">
        <v>1</v>
      </c>
      <c r="CC3078">
        <v>0</v>
      </c>
      <c r="CD3078" t="b">
        <v>1</v>
      </c>
      <c r="CE3078" t="b">
        <v>1</v>
      </c>
      <c r="CF3078" t="b">
        <v>0</v>
      </c>
      <c r="CG3078">
        <v>2438222</v>
      </c>
      <c r="CH3078" t="s">
        <v>1681</v>
      </c>
      <c r="CI3078" s="10">
        <v>309500</v>
      </c>
      <c r="CJ3078" s="7">
        <v>36210</v>
      </c>
    </row>
    <row r="3079" spans="1:90">
      <c r="A3079">
        <v>28054684</v>
      </c>
      <c r="B3079" s="15" t="str">
        <f>HYPERLINK("http://www.redfin.com/stingray/do/printable-listing?listing-id=1613200","Subject To Inspection")</f>
        <v>Subject To Inspection</v>
      </c>
      <c r="D3079" t="s">
        <v>63</v>
      </c>
      <c r="E3079" t="s">
        <v>6760</v>
      </c>
      <c r="F3079">
        <v>409950</v>
      </c>
      <c r="G3079">
        <v>2005</v>
      </c>
      <c r="H3079">
        <v>1370</v>
      </c>
      <c r="I3079">
        <v>1194</v>
      </c>
      <c r="J3079">
        <v>3</v>
      </c>
      <c r="K3079">
        <v>2.5</v>
      </c>
      <c r="M3079" s="2" t="str">
        <f>HYPERLINK("http://maps.live.com/default.aspx?v=2&amp;lvl=15&amp;sp=Point.47.670337_-122.391721_2618 NW 57 St nA&amp;cp=47.670337~-122.391721","Map")</f>
        <v>Map</v>
      </c>
      <c r="N3079" s="2" t="str">
        <f>HYPERLINK("http://i-0.rfimg.us/photo/1/bigphoto/684/28054684_0.jpg","Photo")</f>
        <v>Photo</v>
      </c>
      <c r="AG3079">
        <v>47.670337000000004</v>
      </c>
      <c r="AH3079">
        <v>-122.391721</v>
      </c>
      <c r="AI3079" t="s">
        <v>66</v>
      </c>
      <c r="AJ3079">
        <v>98107</v>
      </c>
      <c r="AM3079" t="s">
        <v>1722</v>
      </c>
      <c r="BC3079" s="22">
        <v>39541.495983796296</v>
      </c>
      <c r="BI3079" s="22">
        <v>39549.294907407406</v>
      </c>
      <c r="BL3079">
        <v>8199</v>
      </c>
      <c r="BM3079">
        <v>1613200</v>
      </c>
      <c r="BN3079" t="s">
        <v>1700</v>
      </c>
      <c r="BO3079" s="17">
        <f t="shared" ca="1" si="48"/>
        <v>7.8134221064829035</v>
      </c>
      <c r="BP3079" t="b">
        <v>0</v>
      </c>
      <c r="BQ3079">
        <v>1</v>
      </c>
      <c r="BR3079" t="s">
        <v>1686</v>
      </c>
      <c r="BS3079">
        <v>57</v>
      </c>
      <c r="BT3079" t="b">
        <v>0</v>
      </c>
      <c r="BU3079" t="s">
        <v>1669</v>
      </c>
      <c r="BV3079" t="s">
        <v>1668</v>
      </c>
      <c r="BW3079">
        <v>2618</v>
      </c>
      <c r="BY3079">
        <v>12437278</v>
      </c>
      <c r="BZ3079" t="s">
        <v>1672</v>
      </c>
      <c r="CA3079">
        <v>1</v>
      </c>
      <c r="CB3079" t="b">
        <v>1</v>
      </c>
      <c r="CC3079">
        <v>0</v>
      </c>
      <c r="CD3079" t="b">
        <v>0</v>
      </c>
      <c r="CE3079" t="b">
        <v>1</v>
      </c>
      <c r="CF3079" t="b">
        <v>0</v>
      </c>
      <c r="CG3079">
        <v>15641026</v>
      </c>
      <c r="CH3079" t="s">
        <v>1681</v>
      </c>
      <c r="CI3079" s="10">
        <v>409950</v>
      </c>
    </row>
    <row r="3080" spans="1:90">
      <c r="A3080">
        <v>28054717</v>
      </c>
      <c r="B3080" s="2" t="str">
        <f>HYPERLINK("http://www.redfin.com/stingray/do/printable-listing?listing-id=1602009","Active")</f>
        <v>Active</v>
      </c>
      <c r="D3080" t="s">
        <v>188</v>
      </c>
      <c r="E3080" t="s">
        <v>6615</v>
      </c>
      <c r="F3080">
        <v>499000</v>
      </c>
      <c r="G3080">
        <v>1947</v>
      </c>
      <c r="H3080">
        <v>1940</v>
      </c>
      <c r="I3080">
        <v>7892</v>
      </c>
      <c r="J3080">
        <v>3</v>
      </c>
      <c r="K3080">
        <v>1.75</v>
      </c>
      <c r="M3080" s="2" t="str">
        <f>HYPERLINK("http://maps.live.com/default.aspx?v=2&amp;lvl=15&amp;sp=Point.47.710966_-122.295812_11324 30th Ave NE&amp;cp=47.710966~-122.295812","Map")</f>
        <v>Map</v>
      </c>
      <c r="N3080" s="2" t="str">
        <f>HYPERLINK("http://i-0.rfimg.us/photo/1/bigphoto/717/28054717_1.jpg","Photo")</f>
        <v>Photo</v>
      </c>
      <c r="AG3080">
        <v>47.710965999999999</v>
      </c>
      <c r="AH3080">
        <v>-122.295812</v>
      </c>
      <c r="AI3080" t="s">
        <v>66</v>
      </c>
      <c r="AJ3080">
        <v>98125</v>
      </c>
      <c r="AN3080">
        <v>315000</v>
      </c>
      <c r="BC3080" s="22">
        <v>39538.505729166667</v>
      </c>
      <c r="BI3080" s="22">
        <v>39549.294907407406</v>
      </c>
      <c r="BL3080">
        <v>9980</v>
      </c>
      <c r="BM3080">
        <v>1602009</v>
      </c>
      <c r="BN3080" t="s">
        <v>1710</v>
      </c>
      <c r="BO3080" s="17">
        <f t="shared" ca="1" si="48"/>
        <v>10.803676736111811</v>
      </c>
      <c r="BP3080" t="b">
        <v>0</v>
      </c>
      <c r="BQ3080">
        <v>1</v>
      </c>
      <c r="BR3080" t="s">
        <v>1667</v>
      </c>
      <c r="BS3080" t="s">
        <v>1818</v>
      </c>
      <c r="BT3080" t="b">
        <v>0</v>
      </c>
      <c r="BV3080" t="s">
        <v>1668</v>
      </c>
      <c r="BW3080">
        <v>11324</v>
      </c>
      <c r="BX3080" t="s">
        <v>1738</v>
      </c>
      <c r="BY3080">
        <v>110871</v>
      </c>
      <c r="BZ3080" t="s">
        <v>1704</v>
      </c>
      <c r="CA3080">
        <v>1</v>
      </c>
      <c r="CB3080" t="b">
        <v>1</v>
      </c>
      <c r="CC3080">
        <v>0</v>
      </c>
      <c r="CD3080" t="b">
        <v>0</v>
      </c>
      <c r="CE3080" t="b">
        <v>1</v>
      </c>
      <c r="CF3080" t="b">
        <v>0</v>
      </c>
      <c r="CG3080">
        <v>2562752</v>
      </c>
      <c r="CH3080" t="s">
        <v>1681</v>
      </c>
      <c r="CI3080" s="10">
        <v>499000</v>
      </c>
      <c r="CJ3080" s="7">
        <v>38699</v>
      </c>
    </row>
    <row r="3081" spans="1:90">
      <c r="A3081">
        <v>28054734</v>
      </c>
      <c r="B3081" s="2" t="str">
        <f>HYPERLINK("http://www.redfin.com/stingray/do/printable-listing?listing-id=1602062","Active")</f>
        <v>Active</v>
      </c>
      <c r="D3081" t="s">
        <v>1115</v>
      </c>
      <c r="E3081" t="s">
        <v>6618</v>
      </c>
      <c r="F3081">
        <v>835000</v>
      </c>
      <c r="G3081">
        <v>1953</v>
      </c>
      <c r="H3081">
        <v>2600</v>
      </c>
      <c r="I3081">
        <v>5208</v>
      </c>
      <c r="J3081">
        <v>4</v>
      </c>
      <c r="K3081">
        <v>1.75</v>
      </c>
      <c r="M3081" s="2" t="str">
        <f>HYPERLINK("http://maps.live.com/default.aspx?v=2&amp;lvl=15&amp;sp=Point.47.681354_-122.277804_4619 NE 73rd St&amp;cp=47.681354~-122.277804","Map")</f>
        <v>Map</v>
      </c>
      <c r="N3081" s="2" t="str">
        <f>HYPERLINK("http://i-0.rfimg.us/photo/1/bigphoto/734/28054734_0.jpg","Photo")</f>
        <v>Photo</v>
      </c>
      <c r="AG3081">
        <v>47.681353999999999</v>
      </c>
      <c r="AH3081">
        <v>-122.277804</v>
      </c>
      <c r="AI3081" t="s">
        <v>66</v>
      </c>
      <c r="AJ3081">
        <v>98115</v>
      </c>
      <c r="BC3081" s="22">
        <v>39538.517962962964</v>
      </c>
      <c r="BI3081" s="22">
        <v>39549.294907407406</v>
      </c>
      <c r="BL3081">
        <v>16700</v>
      </c>
      <c r="BM3081">
        <v>1602062</v>
      </c>
      <c r="BN3081" t="s">
        <v>1710</v>
      </c>
      <c r="BO3081" s="17">
        <f t="shared" ca="1" si="48"/>
        <v>10.79144293981517</v>
      </c>
      <c r="BP3081" t="b">
        <v>0</v>
      </c>
      <c r="BQ3081">
        <v>1</v>
      </c>
      <c r="BR3081" t="s">
        <v>1686</v>
      </c>
      <c r="BS3081" t="s">
        <v>1828</v>
      </c>
      <c r="BT3081" t="b">
        <v>0</v>
      </c>
      <c r="BU3081" t="s">
        <v>1738</v>
      </c>
      <c r="BV3081" t="s">
        <v>1668</v>
      </c>
      <c r="BW3081">
        <v>4619</v>
      </c>
      <c r="BY3081">
        <v>321505</v>
      </c>
      <c r="BZ3081" t="s">
        <v>1672</v>
      </c>
      <c r="CA3081">
        <v>1</v>
      </c>
      <c r="CB3081" t="b">
        <v>1</v>
      </c>
      <c r="CC3081">
        <v>0</v>
      </c>
      <c r="CD3081" t="b">
        <v>0</v>
      </c>
      <c r="CE3081" t="b">
        <v>1</v>
      </c>
      <c r="CF3081" t="b">
        <v>0</v>
      </c>
      <c r="CG3081">
        <v>2621452</v>
      </c>
      <c r="CH3081" t="s">
        <v>1681</v>
      </c>
      <c r="CI3081" s="10">
        <v>835000</v>
      </c>
    </row>
    <row r="3082" spans="1:90">
      <c r="A3082">
        <v>28054738</v>
      </c>
      <c r="B3082" s="2" t="str">
        <f>HYPERLINK("http://www.redfin.com/stingray/do/printable-listing?listing-id=1608301","Active")</f>
        <v>Active</v>
      </c>
      <c r="D3082" t="s">
        <v>1202</v>
      </c>
      <c r="E3082" t="s">
        <v>2321</v>
      </c>
      <c r="F3082">
        <v>719745</v>
      </c>
      <c r="G3082">
        <v>1956</v>
      </c>
      <c r="H3082">
        <v>3140</v>
      </c>
      <c r="I3082">
        <v>6000</v>
      </c>
      <c r="J3082">
        <v>4</v>
      </c>
      <c r="K3082">
        <v>2</v>
      </c>
      <c r="M3082" s="2" t="str">
        <f>HYPERLINK("http://maps.live.com/default.aspx?v=2&amp;lvl=15&amp;sp=Point.47.692504_-122.385329_8721 - 23rd Ave NW&amp;cp=47.692504~-122.385329","Map")</f>
        <v>Map</v>
      </c>
      <c r="N3082" s="2" t="str">
        <f>HYPERLINK("http://i-0.rfimg.us/photo/1/bigphoto/738/28054738_4.jpg","Photo")</f>
        <v>Photo</v>
      </c>
      <c r="AG3082">
        <v>47.692504</v>
      </c>
      <c r="AH3082">
        <v>-122.385329</v>
      </c>
      <c r="AI3082" t="s">
        <v>66</v>
      </c>
      <c r="AJ3082">
        <v>98117</v>
      </c>
      <c r="AN3082">
        <v>659000</v>
      </c>
      <c r="BC3082" s="22">
        <v>39540.33792824074</v>
      </c>
      <c r="BI3082" s="22">
        <v>39549.294907407406</v>
      </c>
      <c r="BL3082">
        <v>14395</v>
      </c>
      <c r="BM3082">
        <v>1608301</v>
      </c>
      <c r="BN3082" t="s">
        <v>1700</v>
      </c>
      <c r="BO3082" s="17">
        <f t="shared" ca="1" si="48"/>
        <v>8.9714776620385237</v>
      </c>
      <c r="BP3082" t="b">
        <v>0</v>
      </c>
      <c r="BQ3082">
        <v>1</v>
      </c>
      <c r="BR3082" t="s">
        <v>1667</v>
      </c>
      <c r="BS3082" t="s">
        <v>2322</v>
      </c>
      <c r="BT3082" t="b">
        <v>0</v>
      </c>
      <c r="BV3082" t="s">
        <v>1668</v>
      </c>
      <c r="BW3082">
        <v>8721</v>
      </c>
      <c r="BX3082" t="s">
        <v>1669</v>
      </c>
      <c r="BY3082">
        <v>289451</v>
      </c>
      <c r="BZ3082" t="s">
        <v>2323</v>
      </c>
      <c r="CA3082">
        <v>1</v>
      </c>
      <c r="CB3082" t="b">
        <v>1</v>
      </c>
      <c r="CC3082">
        <v>0</v>
      </c>
      <c r="CD3082" t="b">
        <v>0</v>
      </c>
      <c r="CE3082" t="b">
        <v>1</v>
      </c>
      <c r="CF3082" t="b">
        <v>0</v>
      </c>
      <c r="CG3082">
        <v>2376465</v>
      </c>
      <c r="CH3082" t="s">
        <v>1681</v>
      </c>
      <c r="CI3082" s="10">
        <v>719745</v>
      </c>
      <c r="CJ3082" s="7">
        <v>38561</v>
      </c>
    </row>
    <row r="3083" spans="1:90">
      <c r="A3083">
        <v>28054750</v>
      </c>
      <c r="B3083" s="2" t="str">
        <f>HYPERLINK("http://www.redfin.com/stingray/do/printable-listing?listing-id=1610132","Active")</f>
        <v>Active</v>
      </c>
      <c r="D3083" t="s">
        <v>5078</v>
      </c>
      <c r="E3083" t="s">
        <v>6742</v>
      </c>
      <c r="F3083">
        <v>405000</v>
      </c>
      <c r="G3083">
        <v>1955</v>
      </c>
      <c r="H3083">
        <v>1030</v>
      </c>
      <c r="I3083">
        <v>1030</v>
      </c>
      <c r="J3083">
        <v>3</v>
      </c>
      <c r="K3083">
        <v>1</v>
      </c>
      <c r="M3083" s="2" t="str">
        <f>HYPERLINK("http://maps.live.com/default.aspx?v=2&amp;lvl=15&amp;sp=Point.47.598728_-122.149867_14220 SE 14 St&amp;cp=47.598728~-122.149867","Map")</f>
        <v>Map</v>
      </c>
      <c r="N3083" s="2" t="str">
        <f>HYPERLINK("http://i-0.rfimg.us/photo/1/bigphoto/750/28054750_0.jpg","Photo")</f>
        <v>Photo</v>
      </c>
      <c r="AG3083">
        <v>47.598728000000001</v>
      </c>
      <c r="AH3083">
        <v>-122.149867</v>
      </c>
      <c r="AI3083" t="s">
        <v>369</v>
      </c>
      <c r="AJ3083">
        <v>98007</v>
      </c>
      <c r="AN3083">
        <v>192000</v>
      </c>
      <c r="BC3083" s="22">
        <v>39540.641585648147</v>
      </c>
      <c r="BI3083" s="22">
        <v>39549.294907407406</v>
      </c>
      <c r="BL3083">
        <v>8100</v>
      </c>
      <c r="BM3083">
        <v>1610132</v>
      </c>
      <c r="BN3083" t="s">
        <v>2136</v>
      </c>
      <c r="BO3083" s="17">
        <f t="shared" ca="1" si="48"/>
        <v>8.6678202546318062</v>
      </c>
      <c r="BP3083" t="b">
        <v>0</v>
      </c>
      <c r="BQ3083">
        <v>1</v>
      </c>
      <c r="BR3083" t="s">
        <v>1686</v>
      </c>
      <c r="BS3083">
        <v>14</v>
      </c>
      <c r="BT3083" t="b">
        <v>0</v>
      </c>
      <c r="BU3083" t="s">
        <v>3856</v>
      </c>
      <c r="BV3083" t="s">
        <v>1668</v>
      </c>
      <c r="BW3083">
        <v>14220</v>
      </c>
      <c r="BY3083">
        <v>427697</v>
      </c>
      <c r="BZ3083" t="s">
        <v>1672</v>
      </c>
      <c r="CA3083">
        <v>1</v>
      </c>
      <c r="CB3083" t="b">
        <v>1</v>
      </c>
      <c r="CC3083">
        <v>0</v>
      </c>
      <c r="CD3083" t="b">
        <v>0</v>
      </c>
      <c r="CE3083" t="b">
        <v>1</v>
      </c>
      <c r="CF3083" t="b">
        <v>0</v>
      </c>
      <c r="CG3083">
        <v>2974318</v>
      </c>
      <c r="CH3083" t="s">
        <v>1681</v>
      </c>
      <c r="CI3083" s="10">
        <v>405000</v>
      </c>
      <c r="CJ3083" s="7">
        <v>36494</v>
      </c>
    </row>
    <row r="3084" spans="1:90">
      <c r="A3084">
        <v>28054765</v>
      </c>
      <c r="B3084" s="2" t="str">
        <f>HYPERLINK("http://www.redfin.com/stingray/do/printable-listing?listing-id=1602544","Active")</f>
        <v>Active</v>
      </c>
      <c r="D3084" t="s">
        <v>63</v>
      </c>
      <c r="E3084" t="s">
        <v>2314</v>
      </c>
      <c r="F3084">
        <v>534950</v>
      </c>
      <c r="G3084">
        <v>1942</v>
      </c>
      <c r="H3084">
        <v>1780</v>
      </c>
      <c r="I3084">
        <v>5640</v>
      </c>
      <c r="J3084">
        <v>3</v>
      </c>
      <c r="K3084">
        <v>1.5</v>
      </c>
      <c r="M3084" s="2" t="str">
        <f>HYPERLINK("http://maps.live.com/default.aspx?v=2&amp;lvl=15&amp;sp=Point.47.686629_-122.368019_7750 9th Ave NW&amp;cp=47.686629~-122.368019","Map")</f>
        <v>Map</v>
      </c>
      <c r="N3084" s="2" t="str">
        <f>HYPERLINK("http://i-0.rfimg.us/photo/1/bigphoto/765/28054765_0.jpg","Photo")</f>
        <v>Photo</v>
      </c>
      <c r="AG3084">
        <v>47.686629000000003</v>
      </c>
      <c r="AH3084">
        <v>-122.368019</v>
      </c>
      <c r="AI3084" t="s">
        <v>66</v>
      </c>
      <c r="AJ3084">
        <v>98117</v>
      </c>
      <c r="AN3084">
        <v>460000</v>
      </c>
      <c r="BC3084" s="22">
        <v>39538.599780092591</v>
      </c>
      <c r="BI3084" s="22">
        <v>39549.294907407406</v>
      </c>
      <c r="BL3084">
        <v>10699</v>
      </c>
      <c r="BM3084">
        <v>1602544</v>
      </c>
      <c r="BN3084" t="s">
        <v>1688</v>
      </c>
      <c r="BO3084" s="17">
        <f t="shared" ca="1" si="48"/>
        <v>10.7096258101883</v>
      </c>
      <c r="BP3084" t="b">
        <v>0</v>
      </c>
      <c r="BQ3084">
        <v>1</v>
      </c>
      <c r="BR3084" t="s">
        <v>1667</v>
      </c>
      <c r="BS3084" t="s">
        <v>1785</v>
      </c>
      <c r="BT3084" t="b">
        <v>0</v>
      </c>
      <c r="BV3084" t="s">
        <v>1668</v>
      </c>
      <c r="BW3084">
        <v>7750</v>
      </c>
      <c r="BX3084" t="s">
        <v>1669</v>
      </c>
      <c r="BY3084">
        <v>498033</v>
      </c>
      <c r="BZ3084" t="s">
        <v>1747</v>
      </c>
      <c r="CA3084">
        <v>1</v>
      </c>
      <c r="CB3084" t="b">
        <v>1</v>
      </c>
      <c r="CC3084">
        <v>0</v>
      </c>
      <c r="CD3084" t="b">
        <v>0</v>
      </c>
      <c r="CE3084" t="b">
        <v>1</v>
      </c>
      <c r="CF3084" t="b">
        <v>0</v>
      </c>
      <c r="CG3084">
        <v>2350401</v>
      </c>
      <c r="CH3084" t="s">
        <v>1681</v>
      </c>
      <c r="CI3084" s="10">
        <v>534950</v>
      </c>
      <c r="CJ3084" s="7">
        <v>38820</v>
      </c>
    </row>
    <row r="3085" spans="1:90">
      <c r="A3085">
        <v>28054777</v>
      </c>
      <c r="B3085" s="2" t="str">
        <f>HYPERLINK("http://www.redfin.com/stingray/do/printable-listing?listing-id=1608849","Active")</f>
        <v>Active</v>
      </c>
      <c r="D3085" t="s">
        <v>3924</v>
      </c>
      <c r="E3085" t="s">
        <v>6727</v>
      </c>
      <c r="F3085">
        <v>510000</v>
      </c>
      <c r="G3085">
        <v>1908</v>
      </c>
      <c r="H3085">
        <v>2060</v>
      </c>
      <c r="I3085">
        <v>3864</v>
      </c>
      <c r="J3085">
        <v>3</v>
      </c>
      <c r="K3085">
        <v>1.5</v>
      </c>
      <c r="M3085" s="2" t="str">
        <f>HYPERLINK("http://maps.live.com/default.aspx?v=2&amp;lvl=15&amp;sp=Point.47.613957_-122.297215_1432 27th Ave&amp;cp=47.613957~-122.297215","Map")</f>
        <v>Map</v>
      </c>
      <c r="N3085" s="2" t="str">
        <f>HYPERLINK("http://i-0.rfimg.us/photo/1/bigphoto/777/28054777_1.jpg","Photo")</f>
        <v>Photo</v>
      </c>
      <c r="AG3085">
        <v>47.613956999999999</v>
      </c>
      <c r="AH3085">
        <v>-122.29721499999999</v>
      </c>
      <c r="AI3085" t="s">
        <v>66</v>
      </c>
      <c r="AJ3085">
        <v>98122</v>
      </c>
      <c r="AN3085">
        <v>325000</v>
      </c>
      <c r="BC3085" s="22">
        <v>39540.450636574074</v>
      </c>
      <c r="BI3085" s="22">
        <v>39549.294907407406</v>
      </c>
      <c r="BL3085">
        <v>10200</v>
      </c>
      <c r="BM3085">
        <v>1608849</v>
      </c>
      <c r="BN3085" t="s">
        <v>1725</v>
      </c>
      <c r="BO3085" s="17">
        <f t="shared" ca="1" si="48"/>
        <v>8.8587693287045113</v>
      </c>
      <c r="BP3085" t="b">
        <v>0</v>
      </c>
      <c r="BQ3085">
        <v>1</v>
      </c>
      <c r="BR3085" t="s">
        <v>1667</v>
      </c>
      <c r="BS3085" t="s">
        <v>1751</v>
      </c>
      <c r="BT3085" t="b">
        <v>0</v>
      </c>
      <c r="BV3085" t="s">
        <v>1668</v>
      </c>
      <c r="BW3085">
        <v>1432</v>
      </c>
      <c r="BY3085">
        <v>146528</v>
      </c>
      <c r="BZ3085" t="s">
        <v>6728</v>
      </c>
      <c r="CA3085">
        <v>1</v>
      </c>
      <c r="CB3085" t="b">
        <v>1</v>
      </c>
      <c r="CC3085">
        <v>0</v>
      </c>
      <c r="CD3085" t="b">
        <v>0</v>
      </c>
      <c r="CE3085" t="b">
        <v>1</v>
      </c>
      <c r="CF3085" t="b">
        <v>0</v>
      </c>
      <c r="CG3085">
        <v>2949447</v>
      </c>
      <c r="CH3085" t="s">
        <v>1681</v>
      </c>
      <c r="CI3085" s="10">
        <v>510000</v>
      </c>
      <c r="CJ3085" s="7">
        <v>37587</v>
      </c>
      <c r="CL3085" t="s">
        <v>2325</v>
      </c>
    </row>
    <row r="3086" spans="1:90">
      <c r="A3086">
        <v>28054786</v>
      </c>
      <c r="B3086" s="2" t="str">
        <f>HYPERLINK("http://www.redfin.com/stingray/do/printable-listing?listing-id=1614907","Active")</f>
        <v>Active</v>
      </c>
      <c r="D3086" t="s">
        <v>5490</v>
      </c>
      <c r="E3086" t="s">
        <v>6801</v>
      </c>
      <c r="F3086">
        <v>839950</v>
      </c>
      <c r="G3086">
        <v>1984</v>
      </c>
      <c r="H3086">
        <v>3763</v>
      </c>
      <c r="I3086">
        <v>9792</v>
      </c>
      <c r="J3086">
        <v>5</v>
      </c>
      <c r="K3086">
        <v>3.75</v>
      </c>
      <c r="M3086" s="2" t="str">
        <f>HYPERLINK("http://maps.live.com/default.aspx?v=2&amp;lvl=15&amp;sp=Point.47.56536_-122.11502_4412 170th Ave SE&amp;cp=47.56536~-122.11502","Map")</f>
        <v>Map</v>
      </c>
      <c r="N3086" s="2" t="str">
        <f>HYPERLINK("http://i-0.rfimg.us/photo/1/bigphoto/786/28054786_0.jpg","Photo")</f>
        <v>Photo</v>
      </c>
      <c r="AG3086">
        <v>47.565359999999998</v>
      </c>
      <c r="AH3086">
        <v>-122.11502</v>
      </c>
      <c r="AI3086" t="s">
        <v>369</v>
      </c>
      <c r="AJ3086">
        <v>98006</v>
      </c>
      <c r="AN3086">
        <v>96000</v>
      </c>
      <c r="BC3086" s="22">
        <v>39541.839398148149</v>
      </c>
      <c r="BI3086" s="22">
        <v>39549.294907407406</v>
      </c>
      <c r="BL3086">
        <v>16799</v>
      </c>
      <c r="BM3086">
        <v>1614907</v>
      </c>
      <c r="BN3086" t="s">
        <v>1768</v>
      </c>
      <c r="BO3086" s="17">
        <f t="shared" ca="1" si="48"/>
        <v>7.4700077546294779</v>
      </c>
      <c r="BP3086" t="b">
        <v>0</v>
      </c>
      <c r="BQ3086">
        <v>1</v>
      </c>
      <c r="BR3086" t="s">
        <v>1667</v>
      </c>
      <c r="BS3086" t="s">
        <v>5302</v>
      </c>
      <c r="BT3086" t="b">
        <v>0</v>
      </c>
      <c r="BV3086" t="s">
        <v>1668</v>
      </c>
      <c r="BW3086">
        <v>4412</v>
      </c>
      <c r="BX3086" t="s">
        <v>3856</v>
      </c>
      <c r="BY3086">
        <v>239245</v>
      </c>
      <c r="BZ3086" t="s">
        <v>1672</v>
      </c>
      <c r="CA3086">
        <v>1</v>
      </c>
      <c r="CB3086" t="b">
        <v>1</v>
      </c>
      <c r="CC3086">
        <v>0</v>
      </c>
      <c r="CD3086" t="b">
        <v>0</v>
      </c>
      <c r="CE3086" t="b">
        <v>1</v>
      </c>
      <c r="CF3086" t="b">
        <v>0</v>
      </c>
      <c r="CG3086">
        <v>2988230</v>
      </c>
      <c r="CH3086" t="s">
        <v>1681</v>
      </c>
      <c r="CI3086" s="10">
        <v>839950</v>
      </c>
      <c r="CJ3086" s="7">
        <v>37869</v>
      </c>
    </row>
    <row r="3087" spans="1:90">
      <c r="A3087">
        <v>28054795</v>
      </c>
      <c r="B3087" s="2" t="str">
        <f>HYPERLINK("http://www.redfin.com/stingray/do/printable-listing?listing-id=1613210","Active")</f>
        <v>Active</v>
      </c>
      <c r="D3087" t="s">
        <v>63</v>
      </c>
      <c r="E3087" t="s">
        <v>1902</v>
      </c>
      <c r="F3087">
        <v>274950</v>
      </c>
      <c r="G3087">
        <v>1998</v>
      </c>
      <c r="H3087">
        <v>900</v>
      </c>
      <c r="I3087">
        <v>0</v>
      </c>
      <c r="J3087">
        <v>2</v>
      </c>
      <c r="K3087">
        <v>2</v>
      </c>
      <c r="M3087" s="2" t="str">
        <f>HYPERLINK("http://maps.live.com/default.aspx?v=2&amp;lvl=15&amp;sp=Point.47.691596_-122.377695_8512 16th Ave NW n202&amp;cp=47.691596~-122.377695","Map")</f>
        <v>Map</v>
      </c>
      <c r="N3087" s="2" t="str">
        <f>HYPERLINK("http://i-0.rfimg.us/photo/1/bigphoto/795/28054795_0.jpg","Photo")</f>
        <v>Photo</v>
      </c>
      <c r="AG3087">
        <v>47.691595999999997</v>
      </c>
      <c r="AH3087">
        <v>-122.377695</v>
      </c>
      <c r="AI3087" t="s">
        <v>66</v>
      </c>
      <c r="AJ3087">
        <v>98117</v>
      </c>
      <c r="AM3087" t="s">
        <v>1894</v>
      </c>
      <c r="AN3087">
        <v>187000</v>
      </c>
      <c r="BC3087" s="22">
        <v>39541.496747685182</v>
      </c>
      <c r="BI3087" s="22">
        <v>39549.294907407406</v>
      </c>
      <c r="BL3087">
        <v>5249</v>
      </c>
      <c r="BM3087">
        <v>1613210</v>
      </c>
      <c r="BN3087" t="s">
        <v>1700</v>
      </c>
      <c r="BO3087" s="17">
        <f t="shared" ca="1" si="48"/>
        <v>7.8126582175973454</v>
      </c>
      <c r="BP3087" t="b">
        <v>0</v>
      </c>
      <c r="BQ3087">
        <v>1</v>
      </c>
      <c r="BR3087" t="s">
        <v>1667</v>
      </c>
      <c r="BS3087" t="s">
        <v>1695</v>
      </c>
      <c r="BT3087" t="b">
        <v>0</v>
      </c>
      <c r="BV3087" t="s">
        <v>1668</v>
      </c>
      <c r="BW3087">
        <v>8512</v>
      </c>
      <c r="BX3087" t="s">
        <v>1669</v>
      </c>
      <c r="BY3087">
        <v>40177</v>
      </c>
      <c r="BZ3087" t="s">
        <v>1676</v>
      </c>
      <c r="CA3087">
        <v>1</v>
      </c>
      <c r="CB3087" t="b">
        <v>1</v>
      </c>
      <c r="CC3087">
        <v>0</v>
      </c>
      <c r="CD3087" t="b">
        <v>0</v>
      </c>
      <c r="CE3087" t="b">
        <v>1</v>
      </c>
      <c r="CF3087" t="b">
        <v>0</v>
      </c>
      <c r="CG3087">
        <v>2433015</v>
      </c>
      <c r="CH3087" t="s">
        <v>1666</v>
      </c>
      <c r="CI3087" s="10">
        <v>274950</v>
      </c>
      <c r="CJ3087" s="7">
        <v>37036</v>
      </c>
    </row>
    <row r="3088" spans="1:90">
      <c r="A3088">
        <v>28054832</v>
      </c>
      <c r="B3088" s="2" t="str">
        <f>HYPERLINK("http://www.redfin.com/stingray/do/printable-listing?listing-id=1602060","Active")</f>
        <v>Active</v>
      </c>
      <c r="D3088" t="s">
        <v>5198</v>
      </c>
      <c r="E3088" t="s">
        <v>6648</v>
      </c>
      <c r="F3088">
        <v>998750</v>
      </c>
      <c r="G3088">
        <v>1989</v>
      </c>
      <c r="H3088">
        <v>3240</v>
      </c>
      <c r="I3088">
        <v>7622</v>
      </c>
      <c r="J3088">
        <v>3</v>
      </c>
      <c r="K3088">
        <v>3</v>
      </c>
      <c r="M3088" s="2" t="str">
        <f>HYPERLINK("http://maps.live.com/default.aspx?v=2&amp;lvl=15&amp;sp=Point.47.602001_-122.112419_905 170 Pl SE&amp;cp=47.602001~-122.112419","Map")</f>
        <v>Map</v>
      </c>
      <c r="N3088" s="2" t="str">
        <f>HYPERLINK("http://i-0.rfimg.us/photo/1/bigphoto/832/28054832_2.jpg","Photo")</f>
        <v>Photo</v>
      </c>
      <c r="AG3088">
        <v>47.602001000000001</v>
      </c>
      <c r="AH3088">
        <v>-122.112419</v>
      </c>
      <c r="AI3088" t="s">
        <v>369</v>
      </c>
      <c r="AJ3088">
        <v>98008</v>
      </c>
      <c r="AN3088">
        <v>45000</v>
      </c>
      <c r="BC3088" s="22">
        <v>39538.517939814818</v>
      </c>
      <c r="BI3088" s="22">
        <v>39549.294907407406</v>
      </c>
      <c r="BL3088">
        <v>19975</v>
      </c>
      <c r="BM3088">
        <v>1602060</v>
      </c>
      <c r="BN3088" t="s">
        <v>1768</v>
      </c>
      <c r="BO3088" s="17">
        <f t="shared" ca="1" si="48"/>
        <v>10.791466087961453</v>
      </c>
      <c r="BP3088" t="b">
        <v>0</v>
      </c>
      <c r="BQ3088">
        <v>1</v>
      </c>
      <c r="BR3088" t="s">
        <v>1842</v>
      </c>
      <c r="BS3088">
        <v>170</v>
      </c>
      <c r="BT3088" t="b">
        <v>0</v>
      </c>
      <c r="BV3088" t="s">
        <v>1668</v>
      </c>
      <c r="BW3088">
        <v>905</v>
      </c>
      <c r="BX3088" t="s">
        <v>3856</v>
      </c>
      <c r="BY3088">
        <v>326717</v>
      </c>
      <c r="BZ3088" t="s">
        <v>6649</v>
      </c>
      <c r="CA3088">
        <v>1</v>
      </c>
      <c r="CB3088" t="b">
        <v>1</v>
      </c>
      <c r="CC3088">
        <v>0</v>
      </c>
      <c r="CD3088" t="b">
        <v>0</v>
      </c>
      <c r="CE3088" t="b">
        <v>1</v>
      </c>
      <c r="CF3088" t="b">
        <v>0</v>
      </c>
      <c r="CG3088">
        <v>2793529</v>
      </c>
      <c r="CH3088" t="s">
        <v>1681</v>
      </c>
      <c r="CI3088" s="10">
        <v>998750</v>
      </c>
      <c r="CJ3088" s="7">
        <v>31686</v>
      </c>
    </row>
    <row r="3089" spans="1:90">
      <c r="A3089">
        <v>28054835</v>
      </c>
      <c r="B3089" s="2" t="str">
        <f>HYPERLINK("http://www.redfin.com/stingray/do/printable-listing?listing-id=1602411","Active")</f>
        <v>Active</v>
      </c>
      <c r="D3089" t="s">
        <v>4777</v>
      </c>
      <c r="E3089" t="s">
        <v>6638</v>
      </c>
      <c r="F3089">
        <v>675000</v>
      </c>
      <c r="G3089">
        <v>1960</v>
      </c>
      <c r="H3089">
        <v>3550</v>
      </c>
      <c r="I3089">
        <v>9600</v>
      </c>
      <c r="J3089">
        <v>5</v>
      </c>
      <c r="K3089">
        <v>3</v>
      </c>
      <c r="M3089" s="2" t="str">
        <f>HYPERLINK("http://maps.live.com/default.aspx?v=2&amp;lvl=15&amp;sp=Point.47.676638_-122.186027_8035 116 Ave NE&amp;cp=47.676638~-122.186027","Map")</f>
        <v>Map</v>
      </c>
      <c r="N3089" s="2" t="str">
        <f>HYPERLINK("http://i-0.rfimg.us/photo/1/bigphoto/835/28054835_0.jpg","Photo")</f>
        <v>Photo</v>
      </c>
      <c r="AG3089">
        <v>47.676637999999997</v>
      </c>
      <c r="AH3089">
        <v>-122.186027</v>
      </c>
      <c r="AI3089" t="s">
        <v>1058</v>
      </c>
      <c r="AJ3089">
        <v>98033</v>
      </c>
      <c r="AN3089">
        <v>5250</v>
      </c>
      <c r="BC3089" s="22">
        <v>39538.569664351853</v>
      </c>
      <c r="BI3089" s="22">
        <v>39549.294907407406</v>
      </c>
      <c r="BL3089">
        <v>13500</v>
      </c>
      <c r="BM3089">
        <v>1602411</v>
      </c>
      <c r="BN3089" t="s">
        <v>3034</v>
      </c>
      <c r="BO3089" s="17">
        <f t="shared" ca="1" si="48"/>
        <v>10.739741550925828</v>
      </c>
      <c r="BP3089" t="b">
        <v>0</v>
      </c>
      <c r="BQ3089">
        <v>1</v>
      </c>
      <c r="BR3089" t="s">
        <v>1667</v>
      </c>
      <c r="BS3089">
        <v>116</v>
      </c>
      <c r="BT3089" t="b">
        <v>0</v>
      </c>
      <c r="BV3089" t="s">
        <v>1668</v>
      </c>
      <c r="BW3089">
        <v>8035</v>
      </c>
      <c r="BX3089" t="s">
        <v>1738</v>
      </c>
      <c r="BY3089">
        <v>463842</v>
      </c>
      <c r="BZ3089" s="21">
        <v>0</v>
      </c>
      <c r="CA3089">
        <v>1</v>
      </c>
      <c r="CB3089" t="b">
        <v>1</v>
      </c>
      <c r="CC3089">
        <v>0</v>
      </c>
      <c r="CD3089" t="b">
        <v>0</v>
      </c>
      <c r="CE3089" t="b">
        <v>1</v>
      </c>
      <c r="CF3089" t="b">
        <v>0</v>
      </c>
      <c r="CG3089">
        <v>2664267</v>
      </c>
      <c r="CH3089" t="s">
        <v>1681</v>
      </c>
      <c r="CI3089" s="10">
        <v>675000</v>
      </c>
      <c r="CJ3089" s="7">
        <v>39218</v>
      </c>
    </row>
    <row r="3090" spans="1:90">
      <c r="A3090">
        <v>28054846</v>
      </c>
      <c r="B3090" s="2" t="str">
        <f>HYPERLINK("http://www.redfin.com/stingray/do/printable-listing?listing-id=1613105","Active")</f>
        <v>Active</v>
      </c>
      <c r="D3090" t="s">
        <v>5490</v>
      </c>
      <c r="E3090" t="s">
        <v>6802</v>
      </c>
      <c r="F3090">
        <v>883850</v>
      </c>
      <c r="G3090">
        <v>1985</v>
      </c>
      <c r="H3090">
        <v>2580</v>
      </c>
      <c r="I3090">
        <v>10971</v>
      </c>
      <c r="J3090">
        <v>4</v>
      </c>
      <c r="K3090">
        <v>2.5</v>
      </c>
      <c r="M3090" s="2" t="str">
        <f>HYPERLINK("http://maps.live.com/default.aspx?v=2&amp;lvl=15&amp;sp=Point.47.56575_-122.109982_4431 175th Pl SE&amp;cp=47.56575~-122.109982","Map")</f>
        <v>Map</v>
      </c>
      <c r="N3090" s="2" t="str">
        <f>HYPERLINK("http://i-0.rfimg.us/photo/1/bigphoto/846/28054846_2.jpg","Photo")</f>
        <v>Photo</v>
      </c>
      <c r="AG3090">
        <v>47.565750000000001</v>
      </c>
      <c r="AH3090">
        <v>-122.109982</v>
      </c>
      <c r="AI3090" t="s">
        <v>369</v>
      </c>
      <c r="AJ3090">
        <v>98006</v>
      </c>
      <c r="AN3090">
        <v>216000</v>
      </c>
      <c r="BC3090" s="22">
        <v>39541.474537037036</v>
      </c>
      <c r="BI3090" s="22">
        <v>39549.294907407406</v>
      </c>
      <c r="BL3090">
        <v>17677</v>
      </c>
      <c r="BM3090">
        <v>1613105</v>
      </c>
      <c r="BN3090" t="s">
        <v>1674</v>
      </c>
      <c r="BO3090" s="17">
        <f t="shared" ca="1" si="48"/>
        <v>7.8348688657424645</v>
      </c>
      <c r="BP3090" t="b">
        <v>0</v>
      </c>
      <c r="BQ3090">
        <v>1</v>
      </c>
      <c r="BR3090" t="s">
        <v>1842</v>
      </c>
      <c r="BS3090" t="s">
        <v>5108</v>
      </c>
      <c r="BT3090" t="b">
        <v>0</v>
      </c>
      <c r="BV3090" t="s">
        <v>1668</v>
      </c>
      <c r="BW3090">
        <v>4431</v>
      </c>
      <c r="BX3090" t="s">
        <v>3856</v>
      </c>
      <c r="BY3090">
        <v>238016</v>
      </c>
      <c r="BZ3090" t="s">
        <v>1912</v>
      </c>
      <c r="CA3090">
        <v>1</v>
      </c>
      <c r="CB3090" t="b">
        <v>1</v>
      </c>
      <c r="CC3090">
        <v>0</v>
      </c>
      <c r="CD3090" t="b">
        <v>0</v>
      </c>
      <c r="CE3090" t="b">
        <v>1</v>
      </c>
      <c r="CF3090" t="b">
        <v>0</v>
      </c>
      <c r="CG3090">
        <v>2817242</v>
      </c>
      <c r="CH3090" t="s">
        <v>1681</v>
      </c>
      <c r="CI3090" s="10">
        <v>883850</v>
      </c>
      <c r="CJ3090" s="7">
        <v>31541</v>
      </c>
    </row>
    <row r="3091" spans="1:90">
      <c r="A3091">
        <v>28054858</v>
      </c>
      <c r="B3091" s="2" t="str">
        <f>HYPERLINK("http://www.redfin.com/stingray/do/printable-listing?listing-id=1602246","Active")</f>
        <v>Active</v>
      </c>
      <c r="D3091" t="s">
        <v>192</v>
      </c>
      <c r="E3091" t="s">
        <v>559</v>
      </c>
      <c r="F3091">
        <v>349500</v>
      </c>
      <c r="G3091">
        <v>1924</v>
      </c>
      <c r="H3091">
        <v>1400</v>
      </c>
      <c r="I3091">
        <v>2679</v>
      </c>
      <c r="J3091">
        <v>2</v>
      </c>
      <c r="K3091">
        <v>1</v>
      </c>
      <c r="M3091" s="2" t="str">
        <f>HYPERLINK("http://maps.live.com/default.aspx?v=2&amp;lvl=15&amp;sp=Point.47.685876_-122.320462_559 NE 79th St&amp;cp=47.685876~-122.320462","Map")</f>
        <v>Map</v>
      </c>
      <c r="N3091" s="2" t="str">
        <f>HYPERLINK("http://i-0.rfimg.us/photo/1/bigphoto/858/28054858_0.jpg","Photo")</f>
        <v>Photo</v>
      </c>
      <c r="AG3091">
        <v>47.685876</v>
      </c>
      <c r="AH3091">
        <v>-122.32046200000001</v>
      </c>
      <c r="AI3091" t="s">
        <v>66</v>
      </c>
      <c r="AJ3091">
        <v>98115</v>
      </c>
      <c r="BC3091" s="22">
        <v>39538.552546296298</v>
      </c>
      <c r="BI3091" s="22">
        <v>39549.294907407406</v>
      </c>
      <c r="BL3091">
        <v>6990</v>
      </c>
      <c r="BM3091">
        <v>1602246</v>
      </c>
      <c r="BN3091" t="s">
        <v>1829</v>
      </c>
      <c r="BO3091" s="17">
        <f t="shared" ca="1" si="48"/>
        <v>10.756859606481157</v>
      </c>
      <c r="BP3091" t="b">
        <v>0</v>
      </c>
      <c r="BQ3091">
        <v>1</v>
      </c>
      <c r="BR3091" t="s">
        <v>1686</v>
      </c>
      <c r="BS3091" t="s">
        <v>3206</v>
      </c>
      <c r="BT3091" t="b">
        <v>0</v>
      </c>
      <c r="BU3091" t="s">
        <v>1738</v>
      </c>
      <c r="BV3091" t="s">
        <v>1668</v>
      </c>
      <c r="BW3091">
        <v>559</v>
      </c>
      <c r="BY3091">
        <v>108813</v>
      </c>
      <c r="BZ3091" t="s">
        <v>1801</v>
      </c>
      <c r="CA3091">
        <v>1</v>
      </c>
      <c r="CB3091" t="b">
        <v>1</v>
      </c>
      <c r="CC3091">
        <v>0</v>
      </c>
      <c r="CD3091" t="b">
        <v>0</v>
      </c>
      <c r="CE3091" t="b">
        <v>1</v>
      </c>
      <c r="CF3091" t="b">
        <v>0</v>
      </c>
      <c r="CG3091">
        <v>2743542</v>
      </c>
      <c r="CH3091" t="s">
        <v>1681</v>
      </c>
      <c r="CI3091" s="10">
        <v>349500</v>
      </c>
    </row>
    <row r="3092" spans="1:90">
      <c r="A3092">
        <v>28054864</v>
      </c>
      <c r="B3092" s="2" t="str">
        <f>HYPERLINK("http://www.redfin.com/stingray/do/printable-listing?listing-id=1602261","Active")</f>
        <v>Active</v>
      </c>
      <c r="D3092" t="s">
        <v>1058</v>
      </c>
      <c r="E3092" t="s">
        <v>4350</v>
      </c>
      <c r="F3092">
        <v>859950</v>
      </c>
      <c r="G3092">
        <v>2007</v>
      </c>
      <c r="H3092">
        <v>2862</v>
      </c>
      <c r="I3092">
        <v>5100</v>
      </c>
      <c r="J3092">
        <v>4</v>
      </c>
      <c r="K3092">
        <v>2.75</v>
      </c>
      <c r="M3092" s="2" t="str">
        <f>HYPERLINK("http://maps.live.com/default.aspx?v=2&amp;lvl=15&amp;sp=Point.47.6952_-122.1686_10622 106 Pl NE&amp;cp=47.6952~-122.1686","Map")</f>
        <v>Map</v>
      </c>
      <c r="N3092" s="2" t="str">
        <f>HYPERLINK("http://i-0.rfimg.us/photo/1/bigphoto/864/28054864_0.jpg","Photo")</f>
        <v>Photo</v>
      </c>
      <c r="AG3092">
        <v>47.6952</v>
      </c>
      <c r="AH3092">
        <v>-122.1686</v>
      </c>
      <c r="AI3092" t="s">
        <v>1058</v>
      </c>
      <c r="AJ3092">
        <v>98033</v>
      </c>
      <c r="BC3092" s="22">
        <v>39538.55259259259</v>
      </c>
      <c r="BI3092" s="22">
        <v>39549.294907407406</v>
      </c>
      <c r="BL3092">
        <v>17199</v>
      </c>
      <c r="BM3092">
        <v>1602261</v>
      </c>
      <c r="BN3092" t="s">
        <v>1688</v>
      </c>
      <c r="BO3092" s="17">
        <f t="shared" ca="1" si="48"/>
        <v>10.756813310188591</v>
      </c>
      <c r="BP3092" t="b">
        <v>0</v>
      </c>
      <c r="BQ3092">
        <v>1</v>
      </c>
      <c r="BR3092" t="s">
        <v>1842</v>
      </c>
      <c r="BS3092">
        <v>106</v>
      </c>
      <c r="BT3092" t="b">
        <v>0</v>
      </c>
      <c r="BV3092" t="s">
        <v>1668</v>
      </c>
      <c r="BW3092">
        <v>10622</v>
      </c>
      <c r="BX3092" t="s">
        <v>1738</v>
      </c>
      <c r="BY3092">
        <v>12322073</v>
      </c>
      <c r="BZ3092" s="21" t="s">
        <v>1743</v>
      </c>
      <c r="CA3092">
        <v>1</v>
      </c>
      <c r="CB3092" t="b">
        <v>1</v>
      </c>
      <c r="CC3092">
        <v>0</v>
      </c>
      <c r="CD3092" t="b">
        <v>0</v>
      </c>
      <c r="CE3092" t="b">
        <v>1</v>
      </c>
      <c r="CF3092" t="b">
        <v>0</v>
      </c>
      <c r="CG3092">
        <v>15528111</v>
      </c>
      <c r="CH3092" t="s">
        <v>1681</v>
      </c>
      <c r="CI3092" s="10">
        <v>859950</v>
      </c>
    </row>
    <row r="3093" spans="1:90">
      <c r="A3093">
        <v>28054865</v>
      </c>
      <c r="B3093" s="2" t="str">
        <f>HYPERLINK("http://www.redfin.com/stingray/do/printable-listing?listing-id=1602245","Active")</f>
        <v>Active</v>
      </c>
      <c r="D3093" t="s">
        <v>3961</v>
      </c>
      <c r="E3093" t="s">
        <v>6629</v>
      </c>
      <c r="F3093">
        <v>1049000</v>
      </c>
      <c r="G3093">
        <v>1910</v>
      </c>
      <c r="H3093">
        <v>2745</v>
      </c>
      <c r="I3093">
        <v>2680</v>
      </c>
      <c r="J3093">
        <v>3</v>
      </c>
      <c r="K3093">
        <v>3</v>
      </c>
      <c r="M3093" s="2" t="str">
        <f>HYPERLINK("http://maps.live.com/default.aspx?v=2&amp;lvl=15&amp;sp=Point.47.598037_-122.287495_3500 S King St&amp;cp=47.598037~-122.287495","Map")</f>
        <v>Map</v>
      </c>
      <c r="N3093" s="2" t="str">
        <f>HYPERLINK("http://i-0.rfimg.us/photo/1/bigphoto/865/28054865_0.jpg","Photo")</f>
        <v>Photo</v>
      </c>
      <c r="AG3093">
        <v>47.598036999999998</v>
      </c>
      <c r="AH3093">
        <v>-122.28749500000001</v>
      </c>
      <c r="AI3093" t="s">
        <v>66</v>
      </c>
      <c r="AJ3093">
        <v>98144</v>
      </c>
      <c r="AN3093">
        <v>289647</v>
      </c>
      <c r="BC3093" s="22">
        <v>39538.552499999998</v>
      </c>
      <c r="BI3093" s="22">
        <v>39549.294907407406</v>
      </c>
      <c r="BL3093">
        <v>20980</v>
      </c>
      <c r="BM3093">
        <v>1602245</v>
      </c>
      <c r="BN3093" t="s">
        <v>2749</v>
      </c>
      <c r="BO3093" s="17">
        <f t="shared" ca="1" si="48"/>
        <v>10.756905902781</v>
      </c>
      <c r="BP3093" t="b">
        <v>0</v>
      </c>
      <c r="BQ3093">
        <v>1</v>
      </c>
      <c r="BR3093" t="s">
        <v>1686</v>
      </c>
      <c r="BS3093" t="s">
        <v>41</v>
      </c>
      <c r="BT3093" t="b">
        <v>0</v>
      </c>
      <c r="BU3093" t="s">
        <v>1881</v>
      </c>
      <c r="BV3093" t="s">
        <v>1668</v>
      </c>
      <c r="BW3093">
        <v>3500</v>
      </c>
      <c r="BY3093">
        <v>141706</v>
      </c>
      <c r="BZ3093" t="s">
        <v>1672</v>
      </c>
      <c r="CA3093">
        <v>1</v>
      </c>
      <c r="CB3093" t="b">
        <v>1</v>
      </c>
      <c r="CC3093">
        <v>0</v>
      </c>
      <c r="CD3093" t="b">
        <v>0</v>
      </c>
      <c r="CE3093" t="b">
        <v>1</v>
      </c>
      <c r="CF3093" t="b">
        <v>0</v>
      </c>
      <c r="CG3093">
        <v>2651070</v>
      </c>
      <c r="CH3093" t="s">
        <v>1681</v>
      </c>
      <c r="CI3093" s="10">
        <v>1049000</v>
      </c>
      <c r="CJ3093" s="7">
        <v>39189</v>
      </c>
    </row>
    <row r="3094" spans="1:90">
      <c r="A3094">
        <v>28054870</v>
      </c>
      <c r="B3094" s="2" t="str">
        <f>HYPERLINK("http://www.redfin.com/stingray/do/printable-listing?listing-id=1603401","Active")</f>
        <v>Active</v>
      </c>
      <c r="D3094" t="s">
        <v>184</v>
      </c>
      <c r="E3094" t="s">
        <v>6610</v>
      </c>
      <c r="F3094">
        <v>449722</v>
      </c>
      <c r="G3094">
        <v>1958</v>
      </c>
      <c r="H3094">
        <v>2480</v>
      </c>
      <c r="I3094">
        <v>7125</v>
      </c>
      <c r="J3094">
        <v>3</v>
      </c>
      <c r="K3094">
        <v>2.5</v>
      </c>
      <c r="M3094" s="2" t="str">
        <f>HYPERLINK("http://maps.live.com/default.aspx?v=2&amp;lvl=15&amp;sp=Point.47.714586_-122.323997_11719 5th Ave NE&amp;cp=47.714586~-122.323997","Map")</f>
        <v>Map</v>
      </c>
      <c r="N3094" s="2" t="str">
        <f>HYPERLINK("http://i-0.rfimg.us/photo/1/bigphoto/870/28054870_.jpg","Photo")</f>
        <v>Photo</v>
      </c>
      <c r="AG3094">
        <v>47.714585999999997</v>
      </c>
      <c r="AH3094">
        <v>-122.32399700000001</v>
      </c>
      <c r="AI3094" t="s">
        <v>66</v>
      </c>
      <c r="AJ3094">
        <v>98125</v>
      </c>
      <c r="AN3094">
        <v>45000</v>
      </c>
      <c r="BC3094" s="22">
        <v>39538.796956018516</v>
      </c>
      <c r="BI3094" s="22">
        <v>39549.294907407406</v>
      </c>
      <c r="BL3094">
        <v>8994</v>
      </c>
      <c r="BM3094">
        <v>1603401</v>
      </c>
      <c r="BN3094" t="s">
        <v>1710</v>
      </c>
      <c r="BO3094" s="17">
        <f t="shared" ca="1" si="48"/>
        <v>10.512449884263333</v>
      </c>
      <c r="BP3094" t="b">
        <v>0</v>
      </c>
      <c r="BQ3094">
        <v>1</v>
      </c>
      <c r="BR3094" t="s">
        <v>1667</v>
      </c>
      <c r="BS3094" t="s">
        <v>1832</v>
      </c>
      <c r="BT3094" t="b">
        <v>0</v>
      </c>
      <c r="BV3094" t="s">
        <v>1668</v>
      </c>
      <c r="BW3094">
        <v>11719</v>
      </c>
      <c r="BX3094" t="s">
        <v>1738</v>
      </c>
      <c r="BY3094">
        <v>105698</v>
      </c>
      <c r="BZ3094" t="s">
        <v>1672</v>
      </c>
      <c r="CA3094">
        <v>1</v>
      </c>
      <c r="CB3094" t="b">
        <v>1</v>
      </c>
      <c r="CC3094">
        <v>0</v>
      </c>
      <c r="CD3094" t="b">
        <v>0</v>
      </c>
      <c r="CE3094" t="b">
        <v>1</v>
      </c>
      <c r="CF3094" t="b">
        <v>0</v>
      </c>
      <c r="CG3094">
        <v>2402510</v>
      </c>
      <c r="CH3094" t="s">
        <v>1681</v>
      </c>
      <c r="CI3094" s="10">
        <v>449722</v>
      </c>
      <c r="CJ3094" s="7">
        <v>35076</v>
      </c>
    </row>
    <row r="3095" spans="1:90">
      <c r="A3095">
        <v>28054873</v>
      </c>
      <c r="B3095" s="2" t="str">
        <f>HYPERLINK("http://www.redfin.com/stingray/do/printable-listing?listing-id=1602828","Active")</f>
        <v>Active</v>
      </c>
      <c r="D3095" t="s">
        <v>3961</v>
      </c>
      <c r="E3095" t="s">
        <v>6630</v>
      </c>
      <c r="F3095">
        <v>1150000</v>
      </c>
      <c r="G3095">
        <v>1940</v>
      </c>
      <c r="H3095">
        <v>2520</v>
      </c>
      <c r="I3095">
        <v>6000</v>
      </c>
      <c r="J3095">
        <v>4</v>
      </c>
      <c r="K3095">
        <v>2.75</v>
      </c>
      <c r="M3095" s="2" t="str">
        <f>HYPERLINK("http://maps.live.com/default.aspx?v=2&amp;lvl=15&amp;sp=Point.47.604538_-122.285518_328 Randolph Ave&amp;cp=47.604538~-122.285518","Map")</f>
        <v>Map</v>
      </c>
      <c r="N3095" s="2" t="str">
        <f>HYPERLINK("http://i-0.rfimg.us/photo/1/bigphoto/873/28054873_0.jpg","Photo")</f>
        <v>Photo</v>
      </c>
      <c r="AG3095">
        <v>47.604537999999998</v>
      </c>
      <c r="AH3095">
        <v>-122.285518</v>
      </c>
      <c r="AI3095" t="s">
        <v>66</v>
      </c>
      <c r="AJ3095">
        <v>98122</v>
      </c>
      <c r="AN3095">
        <v>241000</v>
      </c>
      <c r="BC3095" s="22">
        <v>39538.662361111114</v>
      </c>
      <c r="BI3095" s="22">
        <v>39549.294907407406</v>
      </c>
      <c r="BL3095">
        <v>23000</v>
      </c>
      <c r="BM3095">
        <v>1602828</v>
      </c>
      <c r="BN3095" t="s">
        <v>1829</v>
      </c>
      <c r="BO3095" s="17">
        <f t="shared" ca="1" si="48"/>
        <v>10.647044791665394</v>
      </c>
      <c r="BP3095" t="b">
        <v>0</v>
      </c>
      <c r="BQ3095">
        <v>1</v>
      </c>
      <c r="BR3095" t="s">
        <v>1667</v>
      </c>
      <c r="BS3095" t="s">
        <v>4204</v>
      </c>
      <c r="BT3095" t="b">
        <v>0</v>
      </c>
      <c r="BV3095" t="s">
        <v>1668</v>
      </c>
      <c r="BW3095">
        <v>328</v>
      </c>
      <c r="BY3095">
        <v>140934</v>
      </c>
      <c r="BZ3095" t="s">
        <v>1672</v>
      </c>
      <c r="CA3095">
        <v>1</v>
      </c>
      <c r="CB3095" t="b">
        <v>1</v>
      </c>
      <c r="CC3095">
        <v>0</v>
      </c>
      <c r="CD3095" t="b">
        <v>0</v>
      </c>
      <c r="CE3095" t="b">
        <v>1</v>
      </c>
      <c r="CF3095" t="b">
        <v>0</v>
      </c>
      <c r="CG3095">
        <v>2896322</v>
      </c>
      <c r="CH3095" t="s">
        <v>1681</v>
      </c>
      <c r="CI3095" s="10">
        <v>1150000</v>
      </c>
      <c r="CJ3095" s="7">
        <v>35157</v>
      </c>
    </row>
    <row r="3096" spans="1:90">
      <c r="A3096">
        <v>28054888</v>
      </c>
      <c r="B3096" s="2" t="str">
        <f>HYPERLINK("http://www.redfin.com/stingray/do/printable-listing?listing-id=1602270","Active")</f>
        <v>Active</v>
      </c>
      <c r="D3096" t="s">
        <v>4041</v>
      </c>
      <c r="E3096" t="s">
        <v>6633</v>
      </c>
      <c r="F3096">
        <v>385000</v>
      </c>
      <c r="G3096">
        <v>2001</v>
      </c>
      <c r="H3096">
        <v>1440</v>
      </c>
      <c r="I3096">
        <v>1125</v>
      </c>
      <c r="J3096">
        <v>2</v>
      </c>
      <c r="K3096">
        <v>2.5</v>
      </c>
      <c r="M3096" s="2" t="str">
        <f>HYPERLINK("http://maps.live.com/default.aspx?v=2&amp;lvl=15&amp;sp=Point.47.603151_-122.312637_160 15th Ave&amp;cp=47.603151~-122.312637","Map")</f>
        <v>Map</v>
      </c>
      <c r="N3096" s="2" t="str">
        <f>HYPERLINK("http://i-0.rfimg.us/photo/1/bigphoto/888/28054888_2.jpg","Photo")</f>
        <v>Photo</v>
      </c>
      <c r="AG3096">
        <v>47.603150999999997</v>
      </c>
      <c r="AH3096">
        <v>-122.312637</v>
      </c>
      <c r="AI3096" t="s">
        <v>66</v>
      </c>
      <c r="AJ3096">
        <v>98122</v>
      </c>
      <c r="BC3096" s="22">
        <v>39538.552615740744</v>
      </c>
      <c r="BI3096" s="22">
        <v>39549.294907407406</v>
      </c>
      <c r="BL3096">
        <v>7700</v>
      </c>
      <c r="BM3096">
        <v>1602270</v>
      </c>
      <c r="BN3096" t="s">
        <v>1746</v>
      </c>
      <c r="BO3096" s="17">
        <f t="shared" ca="1" si="48"/>
        <v>10.756790162035031</v>
      </c>
      <c r="BP3096" t="b">
        <v>0</v>
      </c>
      <c r="BQ3096">
        <v>1</v>
      </c>
      <c r="BR3096" t="s">
        <v>1667</v>
      </c>
      <c r="BS3096" t="s">
        <v>1838</v>
      </c>
      <c r="BT3096" t="b">
        <v>0</v>
      </c>
      <c r="BV3096" t="s">
        <v>1668</v>
      </c>
      <c r="BW3096">
        <v>160</v>
      </c>
      <c r="BY3096">
        <v>12436182</v>
      </c>
      <c r="BZ3096" t="s">
        <v>1730</v>
      </c>
      <c r="CA3096">
        <v>1</v>
      </c>
      <c r="CB3096" t="b">
        <v>1</v>
      </c>
      <c r="CC3096">
        <v>0</v>
      </c>
      <c r="CD3096" t="b">
        <v>0</v>
      </c>
      <c r="CE3096" t="b">
        <v>1</v>
      </c>
      <c r="CF3096" t="b">
        <v>0</v>
      </c>
      <c r="CG3096">
        <v>15639930</v>
      </c>
      <c r="CH3096" t="s">
        <v>1681</v>
      </c>
      <c r="CI3096" s="10">
        <v>385000</v>
      </c>
    </row>
    <row r="3097" spans="1:90">
      <c r="A3097">
        <v>28054899</v>
      </c>
      <c r="B3097" s="2" t="str">
        <f>HYPERLINK("http://www.redfin.com/stingray/do/printable-listing?listing-id=1627374","Active")</f>
        <v>Active</v>
      </c>
      <c r="D3097" t="s">
        <v>4542</v>
      </c>
      <c r="E3097" t="s">
        <v>7032</v>
      </c>
      <c r="F3097">
        <v>1075000</v>
      </c>
      <c r="G3097">
        <v>1918</v>
      </c>
      <c r="H3097">
        <v>2230</v>
      </c>
      <c r="I3097">
        <v>15594</v>
      </c>
      <c r="J3097">
        <v>3</v>
      </c>
      <c r="K3097">
        <v>1.75</v>
      </c>
      <c r="M3097" s="2" t="str">
        <f>HYPERLINK("http://maps.live.com/default.aspx?v=2&amp;lvl=15&amp;sp=Point.47.681454_-122.199603_821 5th St&amp;cp=47.681454~-122.199603","Map")</f>
        <v>Map</v>
      </c>
      <c r="N3097" s="2" t="str">
        <f>HYPERLINK("http://i-0.rfimg.us/photo/1/bigphoto/899/28054899_1.jpg","Photo")</f>
        <v>Photo</v>
      </c>
      <c r="AG3097">
        <v>47.681454000000002</v>
      </c>
      <c r="AH3097">
        <v>-122.199603</v>
      </c>
      <c r="AI3097" t="s">
        <v>1058</v>
      </c>
      <c r="AJ3097">
        <v>98033</v>
      </c>
      <c r="AN3097">
        <v>918000</v>
      </c>
      <c r="BC3097" s="22">
        <v>39546.65289351852</v>
      </c>
      <c r="BI3097" s="22">
        <v>39549.294907407406</v>
      </c>
      <c r="BL3097">
        <v>21500</v>
      </c>
      <c r="BM3097">
        <v>1627374</v>
      </c>
      <c r="BN3097" t="s">
        <v>2203</v>
      </c>
      <c r="BO3097" s="17">
        <f t="shared" ca="1" si="48"/>
        <v>2.6565123842592584</v>
      </c>
      <c r="BP3097" t="b">
        <v>0</v>
      </c>
      <c r="BQ3097">
        <v>1</v>
      </c>
      <c r="BR3097" t="s">
        <v>1686</v>
      </c>
      <c r="BS3097" t="s">
        <v>1832</v>
      </c>
      <c r="BT3097" t="b">
        <v>0</v>
      </c>
      <c r="BV3097" t="s">
        <v>1668</v>
      </c>
      <c r="BW3097">
        <v>821</v>
      </c>
      <c r="BY3097">
        <v>463062</v>
      </c>
      <c r="BZ3097" t="s">
        <v>1820</v>
      </c>
      <c r="CA3097">
        <v>1</v>
      </c>
      <c r="CB3097" t="b">
        <v>1</v>
      </c>
      <c r="CC3097">
        <v>0</v>
      </c>
      <c r="CD3097" t="b">
        <v>0</v>
      </c>
      <c r="CE3097" t="b">
        <v>1</v>
      </c>
      <c r="CF3097" t="b">
        <v>0</v>
      </c>
      <c r="CG3097">
        <v>2666341</v>
      </c>
      <c r="CH3097" t="s">
        <v>1681</v>
      </c>
      <c r="CI3097" s="10">
        <v>1075000</v>
      </c>
      <c r="CJ3097" s="7">
        <v>38575</v>
      </c>
    </row>
    <row r="3098" spans="1:90">
      <c r="A3098">
        <v>28054932</v>
      </c>
      <c r="B3098" s="2" t="str">
        <f>HYPERLINK("http://www.redfin.com/stingray/do/printable-listing?listing-id=1602407","Active")</f>
        <v>Active</v>
      </c>
      <c r="D3098" t="s">
        <v>55</v>
      </c>
      <c r="E3098" t="s">
        <v>250</v>
      </c>
      <c r="F3098">
        <v>470000</v>
      </c>
      <c r="G3098">
        <v>1982</v>
      </c>
      <c r="H3098">
        <v>1830</v>
      </c>
      <c r="I3098">
        <v>5050</v>
      </c>
      <c r="J3098">
        <v>3</v>
      </c>
      <c r="K3098">
        <v>2.5</v>
      </c>
      <c r="M3098" s="2" t="str">
        <f>HYPERLINK("http://maps.live.com/default.aspx?v=2&amp;lvl=15&amp;sp=Point.47.699928_-122.363871_9709 6th Ave NW&amp;cp=47.699928~-122.363871","Map")</f>
        <v>Map</v>
      </c>
      <c r="N3098" s="2" t="str">
        <f>HYPERLINK("http://i-0.rfimg.us/photo/1/bigphoto/932/28054932_0.jpg","Photo")</f>
        <v>Photo</v>
      </c>
      <c r="AG3098">
        <v>47.699928</v>
      </c>
      <c r="AH3098">
        <v>-122.363871</v>
      </c>
      <c r="AI3098" t="s">
        <v>66</v>
      </c>
      <c r="AJ3098">
        <v>98117</v>
      </c>
      <c r="AN3098">
        <v>163000</v>
      </c>
      <c r="BC3098" s="22">
        <v>39538.569618055553</v>
      </c>
      <c r="BI3098" s="22">
        <v>39549.294907407406</v>
      </c>
      <c r="BL3098">
        <v>9400</v>
      </c>
      <c r="BM3098">
        <v>1602407</v>
      </c>
      <c r="BN3098" t="s">
        <v>1690</v>
      </c>
      <c r="BO3098" s="17">
        <f t="shared" ca="1" si="48"/>
        <v>10.739787847225671</v>
      </c>
      <c r="BP3098" t="b">
        <v>0</v>
      </c>
      <c r="BQ3098">
        <v>1</v>
      </c>
      <c r="BR3098" t="s">
        <v>1667</v>
      </c>
      <c r="BS3098" t="s">
        <v>1739</v>
      </c>
      <c r="BT3098" t="b">
        <v>0</v>
      </c>
      <c r="BV3098" t="s">
        <v>1668</v>
      </c>
      <c r="BW3098">
        <v>9709</v>
      </c>
      <c r="BX3098" t="s">
        <v>1669</v>
      </c>
      <c r="BY3098">
        <v>101268</v>
      </c>
      <c r="BZ3098" t="s">
        <v>1670</v>
      </c>
      <c r="CA3098">
        <v>1</v>
      </c>
      <c r="CB3098" t="b">
        <v>1</v>
      </c>
      <c r="CC3098">
        <v>0</v>
      </c>
      <c r="CD3098" t="b">
        <v>0</v>
      </c>
      <c r="CE3098" t="b">
        <v>1</v>
      </c>
      <c r="CF3098" t="b">
        <v>0</v>
      </c>
      <c r="CG3098">
        <v>2902517</v>
      </c>
      <c r="CH3098" t="s">
        <v>1681</v>
      </c>
      <c r="CI3098" s="10">
        <v>470000</v>
      </c>
      <c r="CJ3098" s="7">
        <v>33540</v>
      </c>
    </row>
    <row r="3099" spans="1:90">
      <c r="A3099">
        <v>28054948</v>
      </c>
      <c r="B3099" s="2" t="str">
        <f>HYPERLINK("http://www.redfin.com/stingray/do/printable-listing?listing-id=1605006","Active")</f>
        <v>Active</v>
      </c>
      <c r="D3099" t="s">
        <v>5198</v>
      </c>
      <c r="E3099" t="s">
        <v>5445</v>
      </c>
      <c r="F3099">
        <v>974000</v>
      </c>
      <c r="G3099">
        <v>1952</v>
      </c>
      <c r="H3099">
        <v>2640</v>
      </c>
      <c r="I3099">
        <v>13503</v>
      </c>
      <c r="J3099">
        <v>3</v>
      </c>
      <c r="K3099">
        <v>2</v>
      </c>
      <c r="M3099" s="2" t="str">
        <f>HYPERLINK("http://maps.live.com/default.aspx?v=2&amp;lvl=15&amp;sp=Point.47.586703_-122.111173_2622 W Lake Sammamish Pkwy SE&amp;cp=47.586703~-122.111173","Map")</f>
        <v>Map</v>
      </c>
      <c r="N3099" s="2" t="str">
        <f>HYPERLINK("http://i-0.rfimg.us/photo/1/bigphoto/948/28054948_3.jpg","Photo")</f>
        <v>Photo</v>
      </c>
      <c r="AG3099">
        <v>47.586703</v>
      </c>
      <c r="AH3099">
        <v>-122.11117299999999</v>
      </c>
      <c r="AI3099" t="s">
        <v>369</v>
      </c>
      <c r="AJ3099">
        <v>98008</v>
      </c>
      <c r="AN3099">
        <v>272840</v>
      </c>
      <c r="BC3099" s="22">
        <v>39539.400763888887</v>
      </c>
      <c r="BI3099" s="22">
        <v>39549.294907407406</v>
      </c>
      <c r="BL3099">
        <v>19480</v>
      </c>
      <c r="BM3099">
        <v>1605006</v>
      </c>
      <c r="BN3099" t="s">
        <v>1674</v>
      </c>
      <c r="BO3099" s="17">
        <f t="shared" ca="1" si="48"/>
        <v>9.9086420138919493</v>
      </c>
      <c r="BP3099" t="b">
        <v>0</v>
      </c>
      <c r="BQ3099">
        <v>1</v>
      </c>
      <c r="BR3099" t="s">
        <v>5197</v>
      </c>
      <c r="BS3099" t="s">
        <v>5261</v>
      </c>
      <c r="BT3099" t="b">
        <v>0</v>
      </c>
      <c r="BU3099" t="s">
        <v>2423</v>
      </c>
      <c r="BV3099" t="s">
        <v>1668</v>
      </c>
      <c r="BW3099">
        <v>2622</v>
      </c>
      <c r="BX3099" t="s">
        <v>3856</v>
      </c>
      <c r="BY3099">
        <v>326417</v>
      </c>
      <c r="BZ3099" t="s">
        <v>6695</v>
      </c>
      <c r="CA3099">
        <v>1</v>
      </c>
      <c r="CB3099" t="b">
        <v>1</v>
      </c>
      <c r="CC3099">
        <v>0</v>
      </c>
      <c r="CD3099" t="b">
        <v>0</v>
      </c>
      <c r="CE3099" t="b">
        <v>1</v>
      </c>
      <c r="CF3099" t="b">
        <v>0</v>
      </c>
      <c r="CG3099">
        <v>2460736</v>
      </c>
      <c r="CH3099" t="s">
        <v>1681</v>
      </c>
      <c r="CI3099" s="10">
        <v>974000</v>
      </c>
      <c r="CJ3099" s="7">
        <v>37778</v>
      </c>
    </row>
    <row r="3100" spans="1:90">
      <c r="A3100">
        <v>28054950</v>
      </c>
      <c r="B3100" s="2" t="str">
        <f>HYPERLINK("http://www.redfin.com/stingray/do/printable-listing?listing-id=1602442","Active")</f>
        <v>Active</v>
      </c>
      <c r="D3100" t="s">
        <v>100</v>
      </c>
      <c r="E3100" t="s">
        <v>6622</v>
      </c>
      <c r="F3100">
        <v>409950</v>
      </c>
      <c r="G3100">
        <v>2008</v>
      </c>
      <c r="H3100">
        <v>0</v>
      </c>
      <c r="I3100">
        <v>0</v>
      </c>
      <c r="J3100">
        <v>2</v>
      </c>
      <c r="K3100">
        <v>1.5</v>
      </c>
      <c r="M3100" s="2" t="str">
        <f>HYPERLINK("http://maps.live.com/default.aspx?v=2&amp;lvl=15&amp;sp=Point.47.653356_-122.355803_3651 Greenwood Ave N&amp;cp=47.653356~-122.355803","Map")</f>
        <v>Map</v>
      </c>
      <c r="N3100" s="2" t="str">
        <f>HYPERLINK("http://i-0.rfimg.us/photo/1/bigphoto/950/28054950_0.jpg","Photo")</f>
        <v>Photo</v>
      </c>
      <c r="AG3100">
        <v>47.653356000000002</v>
      </c>
      <c r="AH3100">
        <v>-122.35580299999999</v>
      </c>
      <c r="AI3100" t="s">
        <v>66</v>
      </c>
      <c r="AJ3100">
        <v>98103</v>
      </c>
      <c r="BC3100" s="22">
        <v>39538.57949074074</v>
      </c>
      <c r="BI3100" s="22">
        <v>39549.294907407406</v>
      </c>
      <c r="BL3100">
        <v>8199</v>
      </c>
      <c r="BM3100">
        <v>1602442</v>
      </c>
      <c r="BN3100" t="s">
        <v>1693</v>
      </c>
      <c r="BO3100" s="17">
        <f t="shared" ca="1" si="48"/>
        <v>10.729915162039106</v>
      </c>
      <c r="BP3100" t="b">
        <v>0</v>
      </c>
      <c r="BQ3100">
        <v>1</v>
      </c>
      <c r="BR3100" t="s">
        <v>1667</v>
      </c>
      <c r="BS3100" t="s">
        <v>55</v>
      </c>
      <c r="BT3100" t="b">
        <v>0</v>
      </c>
      <c r="BV3100" t="s">
        <v>1668</v>
      </c>
      <c r="BW3100">
        <v>3651</v>
      </c>
      <c r="BX3100" t="s">
        <v>1712</v>
      </c>
      <c r="BY3100">
        <v>12436198</v>
      </c>
      <c r="BZ3100" t="s">
        <v>1745</v>
      </c>
      <c r="CA3100">
        <v>1</v>
      </c>
      <c r="CB3100" t="b">
        <v>1</v>
      </c>
      <c r="CC3100">
        <v>0</v>
      </c>
      <c r="CD3100" t="b">
        <v>0</v>
      </c>
      <c r="CE3100" t="b">
        <v>1</v>
      </c>
      <c r="CF3100" t="b">
        <v>0</v>
      </c>
      <c r="CG3100">
        <v>15639946</v>
      </c>
      <c r="CH3100" t="s">
        <v>1681</v>
      </c>
      <c r="CI3100" s="10">
        <v>409950</v>
      </c>
    </row>
    <row r="3101" spans="1:90">
      <c r="A3101">
        <v>28054957</v>
      </c>
      <c r="B3101" s="2" t="str">
        <f>HYPERLINK("http://www.redfin.com/stingray/do/printable-listing?listing-id=1602728","Active")</f>
        <v>Active</v>
      </c>
      <c r="D3101" t="s">
        <v>4974</v>
      </c>
      <c r="E3101" t="s">
        <v>5527</v>
      </c>
      <c r="F3101">
        <v>825000</v>
      </c>
      <c r="G3101">
        <v>1949</v>
      </c>
      <c r="H3101">
        <v>2970</v>
      </c>
      <c r="I3101">
        <v>16100</v>
      </c>
      <c r="J3101">
        <v>4</v>
      </c>
      <c r="K3101">
        <v>1.75</v>
      </c>
      <c r="M3101" s="2" t="str">
        <f>HYPERLINK("http://maps.live.com/default.aspx?v=2&amp;lvl=15&amp;sp=Point.47.597565_-122.202302_1419 104th Ave SE&amp;cp=47.597565~-122.202302","Map")</f>
        <v>Map</v>
      </c>
      <c r="N3101" s="2" t="str">
        <f>HYPERLINK("http://i-0.rfimg.us/photo/1/bigphoto/957/28054957_0.jpg","Photo")</f>
        <v>Photo</v>
      </c>
      <c r="AG3101">
        <v>47.597565000000003</v>
      </c>
      <c r="AH3101">
        <v>-122.202302</v>
      </c>
      <c r="AI3101" t="s">
        <v>369</v>
      </c>
      <c r="AJ3101">
        <v>98004</v>
      </c>
      <c r="AN3101">
        <v>740000</v>
      </c>
      <c r="BC3101" s="22">
        <v>39538.642430555556</v>
      </c>
      <c r="BI3101" s="22">
        <v>39549.294907407406</v>
      </c>
      <c r="BL3101">
        <v>16500</v>
      </c>
      <c r="BM3101">
        <v>1602728</v>
      </c>
      <c r="BN3101" t="s">
        <v>1768</v>
      </c>
      <c r="BO3101" s="17">
        <f t="shared" ca="1" si="48"/>
        <v>10.666975347223342</v>
      </c>
      <c r="BP3101" t="b">
        <v>0</v>
      </c>
      <c r="BQ3101">
        <v>1</v>
      </c>
      <c r="BR3101" t="s">
        <v>1667</v>
      </c>
      <c r="BS3101" t="s">
        <v>2910</v>
      </c>
      <c r="BT3101" t="b">
        <v>0</v>
      </c>
      <c r="BV3101" t="s">
        <v>1668</v>
      </c>
      <c r="BW3101">
        <v>1419</v>
      </c>
      <c r="BX3101" t="s">
        <v>3856</v>
      </c>
      <c r="BY3101">
        <v>253502</v>
      </c>
      <c r="BZ3101" t="s">
        <v>1743</v>
      </c>
      <c r="CA3101">
        <v>1</v>
      </c>
      <c r="CB3101" t="b">
        <v>1</v>
      </c>
      <c r="CC3101">
        <v>0</v>
      </c>
      <c r="CD3101" t="b">
        <v>0</v>
      </c>
      <c r="CE3101" t="b">
        <v>1</v>
      </c>
      <c r="CF3101" t="b">
        <v>0</v>
      </c>
      <c r="CG3101">
        <v>2866957</v>
      </c>
      <c r="CH3101" t="s">
        <v>1681</v>
      </c>
      <c r="CI3101" s="10">
        <v>825000</v>
      </c>
      <c r="CJ3101" s="7">
        <v>39370</v>
      </c>
    </row>
    <row r="3102" spans="1:90">
      <c r="A3102">
        <v>28054963</v>
      </c>
      <c r="B3102" s="2" t="str">
        <f>HYPERLINK("http://www.redfin.com/stingray/do/printable-listing?listing-id=1606698","Active")</f>
        <v>Active</v>
      </c>
      <c r="D3102" t="s">
        <v>99</v>
      </c>
      <c r="E3102" t="s">
        <v>6664</v>
      </c>
      <c r="F3102">
        <v>489000</v>
      </c>
      <c r="G3102">
        <v>1949</v>
      </c>
      <c r="H3102">
        <v>1440</v>
      </c>
      <c r="I3102">
        <v>6930</v>
      </c>
      <c r="J3102">
        <v>3</v>
      </c>
      <c r="K3102">
        <v>1.75</v>
      </c>
      <c r="M3102" s="2" t="str">
        <f>HYPERLINK("http://maps.live.com/default.aspx?v=2&amp;lvl=15&amp;sp=Point.47.703664_-122.37237_10306 13th Ave NW&amp;cp=47.703664~-122.37237","Map")</f>
        <v>Map</v>
      </c>
      <c r="N3102" s="2" t="str">
        <f>HYPERLINK("http://i-0.rfimg.us/photo/1/bigphoto/963/28054963_0.jpg","Photo")</f>
        <v>Photo</v>
      </c>
      <c r="AG3102">
        <v>47.703664000000003</v>
      </c>
      <c r="AH3102">
        <v>-122.37237</v>
      </c>
      <c r="AI3102" t="s">
        <v>66</v>
      </c>
      <c r="AJ3102">
        <v>98177</v>
      </c>
      <c r="AN3102">
        <v>189500</v>
      </c>
      <c r="BC3102" s="22">
        <v>39539.683032407411</v>
      </c>
      <c r="BI3102" s="22">
        <v>39549.294907407406</v>
      </c>
      <c r="BL3102">
        <v>9780</v>
      </c>
      <c r="BM3102">
        <v>1606698</v>
      </c>
      <c r="BN3102" t="s">
        <v>3253</v>
      </c>
      <c r="BO3102" s="17">
        <f t="shared" ca="1" si="48"/>
        <v>9.6263734953681706</v>
      </c>
      <c r="BP3102" t="b">
        <v>0</v>
      </c>
      <c r="BQ3102">
        <v>1</v>
      </c>
      <c r="BR3102" t="s">
        <v>1667</v>
      </c>
      <c r="BS3102" t="s">
        <v>1809</v>
      </c>
      <c r="BT3102" t="b">
        <v>0</v>
      </c>
      <c r="BV3102" t="s">
        <v>1668</v>
      </c>
      <c r="BW3102">
        <v>10306</v>
      </c>
      <c r="BX3102" t="s">
        <v>1669</v>
      </c>
      <c r="BY3102">
        <v>96443</v>
      </c>
      <c r="BZ3102" t="s">
        <v>1745</v>
      </c>
      <c r="CA3102">
        <v>1</v>
      </c>
      <c r="CB3102" t="b">
        <v>1</v>
      </c>
      <c r="CC3102">
        <v>0</v>
      </c>
      <c r="CD3102" t="b">
        <v>0</v>
      </c>
      <c r="CE3102" t="b">
        <v>1</v>
      </c>
      <c r="CF3102" t="b">
        <v>0</v>
      </c>
      <c r="CG3102">
        <v>2553442</v>
      </c>
      <c r="CH3102" t="s">
        <v>1681</v>
      </c>
      <c r="CI3102" s="10">
        <v>489000</v>
      </c>
      <c r="CJ3102" s="7">
        <v>35954</v>
      </c>
      <c r="CL3102" t="s">
        <v>6966</v>
      </c>
    </row>
    <row r="3103" spans="1:90">
      <c r="A3103">
        <v>28054972</v>
      </c>
      <c r="B3103" s="2" t="str">
        <f>HYPERLINK("http://www.redfin.com/stingray/do/printable-listing?listing-id=1602443","Active")</f>
        <v>Active</v>
      </c>
      <c r="D3103" t="s">
        <v>100</v>
      </c>
      <c r="E3103" t="s">
        <v>6623</v>
      </c>
      <c r="F3103">
        <v>399950</v>
      </c>
      <c r="G3103">
        <v>2008</v>
      </c>
      <c r="H3103">
        <v>0</v>
      </c>
      <c r="I3103">
        <v>0</v>
      </c>
      <c r="J3103">
        <v>2</v>
      </c>
      <c r="K3103">
        <v>1.5</v>
      </c>
      <c r="M3103" s="2" t="str">
        <f>HYPERLINK("http://maps.live.com/default.aspx?v=2&amp;lvl=15&amp;sp=Point.47.653406_-122.355803_3655 Greenwood Ave N&amp;cp=47.653406~-122.355803","Map")</f>
        <v>Map</v>
      </c>
      <c r="N3103" s="2" t="str">
        <f>HYPERLINK("http://i-0.rfimg.us/photo/1/bigphoto/972/28054972_0.jpg","Photo")</f>
        <v>Photo</v>
      </c>
      <c r="AG3103">
        <v>47.653405999999997</v>
      </c>
      <c r="AH3103">
        <v>-122.35580299999999</v>
      </c>
      <c r="AI3103" t="s">
        <v>66</v>
      </c>
      <c r="AJ3103">
        <v>98103</v>
      </c>
      <c r="BC3103" s="22">
        <v>39538.57949074074</v>
      </c>
      <c r="BI3103" s="22">
        <v>39549.294907407406</v>
      </c>
      <c r="BL3103">
        <v>7999</v>
      </c>
      <c r="BM3103">
        <v>1602443</v>
      </c>
      <c r="BN3103" t="s">
        <v>1693</v>
      </c>
      <c r="BO3103" s="17">
        <f t="shared" ca="1" si="48"/>
        <v>10.729915162039106</v>
      </c>
      <c r="BP3103" t="b">
        <v>0</v>
      </c>
      <c r="BQ3103">
        <v>1</v>
      </c>
      <c r="BR3103" t="s">
        <v>1667</v>
      </c>
      <c r="BS3103" t="s">
        <v>55</v>
      </c>
      <c r="BT3103" t="b">
        <v>0</v>
      </c>
      <c r="BV3103" t="s">
        <v>1668</v>
      </c>
      <c r="BW3103">
        <v>3655</v>
      </c>
      <c r="BX3103" t="s">
        <v>1712</v>
      </c>
      <c r="BY3103">
        <v>12436199</v>
      </c>
      <c r="BZ3103" t="s">
        <v>1745</v>
      </c>
      <c r="CA3103">
        <v>1</v>
      </c>
      <c r="CB3103" t="b">
        <v>1</v>
      </c>
      <c r="CC3103">
        <v>0</v>
      </c>
      <c r="CD3103" t="b">
        <v>0</v>
      </c>
      <c r="CE3103" t="b">
        <v>1</v>
      </c>
      <c r="CF3103" t="b">
        <v>0</v>
      </c>
      <c r="CG3103">
        <v>15639947</v>
      </c>
      <c r="CH3103" t="s">
        <v>1681</v>
      </c>
      <c r="CI3103" s="10">
        <v>399950</v>
      </c>
    </row>
    <row r="3104" spans="1:90">
      <c r="A3104">
        <v>28054975</v>
      </c>
      <c r="B3104" s="2" t="str">
        <f>HYPERLINK("http://www.redfin.com/stingray/do/printable-listing?listing-id=1602444","Active")</f>
        <v>Active</v>
      </c>
      <c r="D3104" t="s">
        <v>100</v>
      </c>
      <c r="E3104" t="s">
        <v>6624</v>
      </c>
      <c r="F3104">
        <v>419950</v>
      </c>
      <c r="G3104">
        <v>2008</v>
      </c>
      <c r="H3104">
        <v>0</v>
      </c>
      <c r="I3104">
        <v>0</v>
      </c>
      <c r="J3104">
        <v>2</v>
      </c>
      <c r="K3104">
        <v>1.5</v>
      </c>
      <c r="M3104" s="2" t="str">
        <f>HYPERLINK("http://maps.live.com/default.aspx?v=2&amp;lvl=15&amp;sp=Point.47.653457_-122.355803_3659 Greenwood Ave N&amp;cp=47.653457~-122.355803","Map")</f>
        <v>Map</v>
      </c>
      <c r="N3104" s="2" t="str">
        <f>HYPERLINK("http://i-0.rfimg.us/photo/1/bigphoto/975/28054975_0.jpg","Photo")</f>
        <v>Photo</v>
      </c>
      <c r="AG3104">
        <v>47.653457000000003</v>
      </c>
      <c r="AH3104">
        <v>-122.35580299999999</v>
      </c>
      <c r="AI3104" t="s">
        <v>66</v>
      </c>
      <c r="AJ3104">
        <v>98103</v>
      </c>
      <c r="BC3104" s="22">
        <v>39538.57949074074</v>
      </c>
      <c r="BI3104" s="22">
        <v>39549.294907407406</v>
      </c>
      <c r="BL3104">
        <v>8399</v>
      </c>
      <c r="BM3104">
        <v>1602444</v>
      </c>
      <c r="BN3104" t="s">
        <v>1693</v>
      </c>
      <c r="BO3104" s="17">
        <f t="shared" ca="1" si="48"/>
        <v>10.729915162039106</v>
      </c>
      <c r="BP3104" t="b">
        <v>0</v>
      </c>
      <c r="BQ3104">
        <v>1</v>
      </c>
      <c r="BR3104" t="s">
        <v>1667</v>
      </c>
      <c r="BS3104" t="s">
        <v>55</v>
      </c>
      <c r="BT3104" t="b">
        <v>0</v>
      </c>
      <c r="BV3104" t="s">
        <v>1668</v>
      </c>
      <c r="BW3104">
        <v>3659</v>
      </c>
      <c r="BX3104" t="s">
        <v>1712</v>
      </c>
      <c r="BY3104">
        <v>12436200</v>
      </c>
      <c r="BZ3104" t="s">
        <v>1745</v>
      </c>
      <c r="CA3104">
        <v>1</v>
      </c>
      <c r="CB3104" t="b">
        <v>1</v>
      </c>
      <c r="CC3104">
        <v>0</v>
      </c>
      <c r="CD3104" t="b">
        <v>0</v>
      </c>
      <c r="CE3104" t="b">
        <v>1</v>
      </c>
      <c r="CF3104" t="b">
        <v>0</v>
      </c>
      <c r="CG3104">
        <v>15639948</v>
      </c>
      <c r="CH3104" t="s">
        <v>1681</v>
      </c>
      <c r="CI3104" s="10">
        <v>419950</v>
      </c>
    </row>
    <row r="3105" spans="1:90">
      <c r="A3105">
        <v>28054979</v>
      </c>
      <c r="B3105" s="15" t="str">
        <f>HYPERLINK("http://www.redfin.com/stingray/do/printable-listing?listing-id=1602513","Contingent")</f>
        <v>Contingent</v>
      </c>
      <c r="D3105" t="s">
        <v>63</v>
      </c>
      <c r="E3105" t="s">
        <v>1396</v>
      </c>
      <c r="F3105">
        <v>425000</v>
      </c>
      <c r="G3105">
        <v>1923</v>
      </c>
      <c r="H3105">
        <v>1050</v>
      </c>
      <c r="I3105">
        <v>2550</v>
      </c>
      <c r="J3105">
        <v>2</v>
      </c>
      <c r="K3105">
        <v>1</v>
      </c>
      <c r="M3105" s="2" t="str">
        <f>HYPERLINK("http://maps.live.com/default.aspx?v=2&amp;lvl=15&amp;sp=Point.47.679396_-122.384625_2207 NW 70th St&amp;cp=47.679396~-122.384625","Map")</f>
        <v>Map</v>
      </c>
      <c r="N3105" s="2" t="str">
        <f>HYPERLINK("http://i-0.rfimg.us/photo/1/bigphoto/979/28054979_0.jpg","Photo")</f>
        <v>Photo</v>
      </c>
      <c r="AG3105">
        <v>47.679395999999997</v>
      </c>
      <c r="AH3105">
        <v>-122.384625</v>
      </c>
      <c r="AI3105" t="s">
        <v>66</v>
      </c>
      <c r="AJ3105">
        <v>98117</v>
      </c>
      <c r="AN3105">
        <v>179000</v>
      </c>
      <c r="BC3105" s="22">
        <v>39538.590509259258</v>
      </c>
      <c r="BI3105" s="22">
        <v>39549.294907407406</v>
      </c>
      <c r="BL3105">
        <v>8500</v>
      </c>
      <c r="BM3105">
        <v>1602513</v>
      </c>
      <c r="BN3105" t="s">
        <v>1702</v>
      </c>
      <c r="BO3105" s="17">
        <f t="shared" ca="1" si="48"/>
        <v>10.718896643520566</v>
      </c>
      <c r="BP3105" t="b">
        <v>0</v>
      </c>
      <c r="BQ3105">
        <v>1</v>
      </c>
      <c r="BR3105" t="s">
        <v>1686</v>
      </c>
      <c r="BS3105" t="s">
        <v>1703</v>
      </c>
      <c r="BT3105" t="b">
        <v>0</v>
      </c>
      <c r="BU3105" t="s">
        <v>1669</v>
      </c>
      <c r="BV3105" t="s">
        <v>1668</v>
      </c>
      <c r="BW3105">
        <v>2207</v>
      </c>
      <c r="BY3105">
        <v>166728</v>
      </c>
      <c r="BZ3105" t="s">
        <v>1747</v>
      </c>
      <c r="CA3105">
        <v>1</v>
      </c>
      <c r="CB3105" t="b">
        <v>1</v>
      </c>
      <c r="CC3105">
        <v>0</v>
      </c>
      <c r="CD3105" t="b">
        <v>0</v>
      </c>
      <c r="CE3105" t="b">
        <v>1</v>
      </c>
      <c r="CF3105" t="b">
        <v>0</v>
      </c>
      <c r="CG3105">
        <v>2895145</v>
      </c>
      <c r="CH3105" t="s">
        <v>1681</v>
      </c>
      <c r="CI3105" s="10">
        <v>425000</v>
      </c>
      <c r="CJ3105" s="7">
        <v>36725</v>
      </c>
    </row>
    <row r="3106" spans="1:90">
      <c r="A3106">
        <v>28054987</v>
      </c>
      <c r="B3106" s="2" t="str">
        <f>HYPERLINK("http://www.redfin.com/stingray/do/printable-listing?listing-id=1602510","Contingent")</f>
        <v>Contingent</v>
      </c>
      <c r="D3106" t="s">
        <v>6218</v>
      </c>
      <c r="E3106" t="s">
        <v>6662</v>
      </c>
      <c r="F3106">
        <v>399950</v>
      </c>
      <c r="G3106">
        <v>2007</v>
      </c>
      <c r="H3106">
        <v>2315</v>
      </c>
      <c r="I3106">
        <v>0</v>
      </c>
      <c r="J3106">
        <v>3</v>
      </c>
      <c r="K3106">
        <v>2.5</v>
      </c>
      <c r="M3106" s="2" t="str">
        <f>HYPERLINK("http://maps.live.com/default.aspx?v=2&amp;lvl=15&amp;sp=adr.11738 SE 189th Pl (Unable to map),98055","Map")</f>
        <v>Map</v>
      </c>
      <c r="N3106" s="2" t="str">
        <f>HYPERLINK("http://i-0.rfimg.us/photo/1/bigphoto/987/28054987_.jpg","Photo")</f>
        <v>Photo</v>
      </c>
      <c r="AI3106" t="s">
        <v>1077</v>
      </c>
      <c r="AJ3106">
        <v>98055</v>
      </c>
      <c r="BC3106" s="22">
        <v>39538.590370370373</v>
      </c>
      <c r="BI3106" s="7">
        <v>39542</v>
      </c>
      <c r="BL3106">
        <v>7999</v>
      </c>
      <c r="BM3106">
        <v>1602510</v>
      </c>
      <c r="BN3106" t="s">
        <v>6215</v>
      </c>
      <c r="BO3106" s="17">
        <f t="shared" ca="1" si="48"/>
        <v>10.719035532405542</v>
      </c>
      <c r="BP3106" t="b">
        <v>0</v>
      </c>
      <c r="BQ3106">
        <v>2</v>
      </c>
      <c r="BR3106" t="s">
        <v>1842</v>
      </c>
      <c r="BS3106" t="s">
        <v>6217</v>
      </c>
      <c r="BT3106" t="b">
        <v>0</v>
      </c>
      <c r="BU3106" t="s">
        <v>3856</v>
      </c>
      <c r="BV3106" t="s">
        <v>1668</v>
      </c>
      <c r="BW3106">
        <v>11738</v>
      </c>
      <c r="BY3106">
        <v>0</v>
      </c>
      <c r="CA3106">
        <v>1</v>
      </c>
      <c r="CB3106" t="b">
        <v>1</v>
      </c>
      <c r="CC3106">
        <v>0</v>
      </c>
      <c r="CD3106" t="b">
        <v>0</v>
      </c>
      <c r="CE3106" t="b">
        <v>1</v>
      </c>
      <c r="CF3106" t="b">
        <v>0</v>
      </c>
      <c r="CG3106" t="s">
        <v>1870</v>
      </c>
      <c r="CH3106" t="s">
        <v>1681</v>
      </c>
      <c r="CI3106" s="10">
        <v>399950</v>
      </c>
    </row>
    <row r="3107" spans="1:90">
      <c r="A3107">
        <v>28055021</v>
      </c>
      <c r="B3107" s="2" t="str">
        <f>HYPERLINK("http://www.redfin.com/stingray/do/printable-listing?listing-id=1604497","Active")</f>
        <v>Active</v>
      </c>
      <c r="D3107" t="s">
        <v>4663</v>
      </c>
      <c r="E3107" t="s">
        <v>6687</v>
      </c>
      <c r="F3107">
        <v>635000</v>
      </c>
      <c r="G3107">
        <v>1990</v>
      </c>
      <c r="H3107">
        <v>2137</v>
      </c>
      <c r="I3107">
        <v>9000</v>
      </c>
      <c r="J3107">
        <v>3</v>
      </c>
      <c r="K3107">
        <v>2.5</v>
      </c>
      <c r="M3107" s="2" t="str">
        <f>HYPERLINK("http://maps.live.com/default.aspx?v=2&amp;lvl=15&amp;sp=Point.47.67099_-122.165103_7405 131 Pl NE&amp;cp=47.67099~-122.165103","Map")</f>
        <v>Map</v>
      </c>
      <c r="N3107" s="2" t="str">
        <f>HYPERLINK("http://i-0.rfimg.us/photo/1/bigphoto/021/28055021_0.jpg","Photo")</f>
        <v>Photo</v>
      </c>
      <c r="AG3107">
        <v>47.670990000000003</v>
      </c>
      <c r="AH3107">
        <v>-122.165103</v>
      </c>
      <c r="AI3107" t="s">
        <v>1058</v>
      </c>
      <c r="AJ3107">
        <v>98033</v>
      </c>
      <c r="AN3107">
        <v>499000</v>
      </c>
      <c r="BC3107" s="22">
        <v>39539.327268518522</v>
      </c>
      <c r="BI3107" s="22">
        <v>39549.294907407406</v>
      </c>
      <c r="BL3107">
        <v>12700</v>
      </c>
      <c r="BM3107">
        <v>1604497</v>
      </c>
      <c r="BN3107" t="s">
        <v>1798</v>
      </c>
      <c r="BO3107" s="17">
        <f t="shared" ca="1" si="48"/>
        <v>9.9821373842569301</v>
      </c>
      <c r="BP3107" t="b">
        <v>0</v>
      </c>
      <c r="BQ3107">
        <v>1</v>
      </c>
      <c r="BR3107" t="s">
        <v>1842</v>
      </c>
      <c r="BS3107">
        <v>131</v>
      </c>
      <c r="BT3107" t="b">
        <v>0</v>
      </c>
      <c r="BV3107" t="s">
        <v>1668</v>
      </c>
      <c r="BW3107">
        <v>7405</v>
      </c>
      <c r="BX3107" t="s">
        <v>1738</v>
      </c>
      <c r="BY3107">
        <v>517172</v>
      </c>
      <c r="BZ3107" t="s">
        <v>1672</v>
      </c>
      <c r="CA3107">
        <v>1</v>
      </c>
      <c r="CB3107" t="b">
        <v>1</v>
      </c>
      <c r="CC3107">
        <v>0</v>
      </c>
      <c r="CD3107" t="b">
        <v>0</v>
      </c>
      <c r="CE3107" t="b">
        <v>1</v>
      </c>
      <c r="CF3107" t="b">
        <v>0</v>
      </c>
      <c r="CG3107">
        <v>2404000</v>
      </c>
      <c r="CH3107" t="s">
        <v>1681</v>
      </c>
      <c r="CI3107" s="10">
        <v>635000</v>
      </c>
      <c r="CJ3107" s="7">
        <v>38161</v>
      </c>
    </row>
    <row r="3108" spans="1:90">
      <c r="A3108">
        <v>28055084</v>
      </c>
      <c r="B3108" s="2" t="str">
        <f>HYPERLINK("http://www.redfin.com/stingray/do/printable-listing?listing-id=1604126","Active")</f>
        <v>Active</v>
      </c>
      <c r="D3108" t="s">
        <v>2552</v>
      </c>
      <c r="E3108" t="s">
        <v>3401</v>
      </c>
      <c r="F3108">
        <v>615000</v>
      </c>
      <c r="G3108">
        <v>1942</v>
      </c>
      <c r="H3108">
        <v>1830</v>
      </c>
      <c r="I3108">
        <v>7206</v>
      </c>
      <c r="J3108">
        <v>3</v>
      </c>
      <c r="K3108">
        <v>2.5</v>
      </c>
      <c r="M3108" s="2" t="str">
        <f>HYPERLINK("http://maps.live.com/default.aspx?v=2&amp;lvl=15&amp;sp=Point.47.651307_-122.410975_3439 42nd Ave W&amp;cp=47.651307~-122.410975","Map")</f>
        <v>Map</v>
      </c>
      <c r="N3108" s="2" t="str">
        <f>HYPERLINK("http://i-0.rfimg.us/photo/1/bigphoto/084/28055084_0.jpg","Photo")</f>
        <v>Photo</v>
      </c>
      <c r="AG3108">
        <v>47.651307000000003</v>
      </c>
      <c r="AH3108">
        <v>-122.41097499999999</v>
      </c>
      <c r="AI3108" t="s">
        <v>66</v>
      </c>
      <c r="AJ3108">
        <v>98199</v>
      </c>
      <c r="BC3108" s="22">
        <v>39539.046226851853</v>
      </c>
      <c r="BI3108" s="22">
        <v>39549.294907407406</v>
      </c>
      <c r="BL3108">
        <v>12300</v>
      </c>
      <c r="BM3108">
        <v>1604126</v>
      </c>
      <c r="BN3108" t="s">
        <v>1766</v>
      </c>
      <c r="BO3108" s="17">
        <f t="shared" ca="1" si="48"/>
        <v>10.263179050925828</v>
      </c>
      <c r="BP3108" t="b">
        <v>0</v>
      </c>
      <c r="BQ3108">
        <v>1</v>
      </c>
      <c r="BR3108" t="s">
        <v>1667</v>
      </c>
      <c r="BS3108" t="s">
        <v>3371</v>
      </c>
      <c r="BT3108" t="b">
        <v>0</v>
      </c>
      <c r="BV3108" t="s">
        <v>1668</v>
      </c>
      <c r="BW3108">
        <v>3439</v>
      </c>
      <c r="BX3108" t="s">
        <v>2423</v>
      </c>
      <c r="BY3108">
        <v>127378</v>
      </c>
      <c r="BZ3108" t="s">
        <v>1672</v>
      </c>
      <c r="CA3108">
        <v>1</v>
      </c>
      <c r="CB3108" t="b">
        <v>1</v>
      </c>
      <c r="CC3108">
        <v>0</v>
      </c>
      <c r="CD3108" t="b">
        <v>0</v>
      </c>
      <c r="CE3108" t="b">
        <v>1</v>
      </c>
      <c r="CF3108" t="b">
        <v>0</v>
      </c>
      <c r="CG3108">
        <v>2623098</v>
      </c>
      <c r="CH3108" t="s">
        <v>1681</v>
      </c>
      <c r="CI3108" s="10">
        <v>615000</v>
      </c>
    </row>
    <row r="3109" spans="1:90">
      <c r="A3109">
        <v>28055159</v>
      </c>
      <c r="B3109" s="2" t="str">
        <f>HYPERLINK("http://www.redfin.com/stingray/do/printable-listing?listing-id=1620595","Active")</f>
        <v>Active</v>
      </c>
      <c r="D3109" t="s">
        <v>240</v>
      </c>
      <c r="E3109" t="s">
        <v>6892</v>
      </c>
      <c r="F3109">
        <v>675000</v>
      </c>
      <c r="G3109">
        <v>1946</v>
      </c>
      <c r="H3109">
        <v>1860</v>
      </c>
      <c r="I3109">
        <v>6500</v>
      </c>
      <c r="J3109">
        <v>3</v>
      </c>
      <c r="K3109">
        <v>2</v>
      </c>
      <c r="M3109" s="2" t="str">
        <f>HYPERLINK("http://maps.live.com/default.aspx?v=2&amp;lvl=15&amp;sp=Point.47.671911_-122.265208_5719 NE 60th St&amp;cp=47.671911~-122.265208","Map")</f>
        <v>Map</v>
      </c>
      <c r="N3109" s="2" t="str">
        <f>HYPERLINK("http://i-0.rfimg.us/photo/1/bigphoto/159/28055159_0.jpg","Photo")</f>
        <v>Photo</v>
      </c>
      <c r="AG3109">
        <v>47.671911000000001</v>
      </c>
      <c r="AH3109">
        <v>-122.265208</v>
      </c>
      <c r="AI3109" t="s">
        <v>66</v>
      </c>
      <c r="AJ3109">
        <v>98115</v>
      </c>
      <c r="AN3109">
        <v>489000</v>
      </c>
      <c r="BC3109" s="22">
        <v>39543.61996527778</v>
      </c>
      <c r="BI3109" s="22">
        <v>39549.294907407406</v>
      </c>
      <c r="BL3109">
        <v>13500</v>
      </c>
      <c r="BM3109">
        <v>1620595</v>
      </c>
      <c r="BN3109" t="s">
        <v>1710</v>
      </c>
      <c r="BO3109" s="17">
        <f t="shared" ca="1" si="48"/>
        <v>5.6894406249994063</v>
      </c>
      <c r="BP3109" t="b">
        <v>0</v>
      </c>
      <c r="BQ3109">
        <v>1</v>
      </c>
      <c r="BR3109" t="s">
        <v>1686</v>
      </c>
      <c r="BS3109" t="s">
        <v>2417</v>
      </c>
      <c r="BT3109" t="b">
        <v>0</v>
      </c>
      <c r="BU3109" t="s">
        <v>1738</v>
      </c>
      <c r="BV3109" t="s">
        <v>1668</v>
      </c>
      <c r="BW3109">
        <v>5719</v>
      </c>
      <c r="BY3109">
        <v>120764</v>
      </c>
      <c r="BZ3109" t="s">
        <v>1672</v>
      </c>
      <c r="CA3109">
        <v>1</v>
      </c>
      <c r="CB3109" t="b">
        <v>1</v>
      </c>
      <c r="CC3109">
        <v>0</v>
      </c>
      <c r="CD3109" t="b">
        <v>0</v>
      </c>
      <c r="CE3109" t="b">
        <v>1</v>
      </c>
      <c r="CF3109" t="b">
        <v>0</v>
      </c>
      <c r="CG3109">
        <v>2447990</v>
      </c>
      <c r="CH3109" t="s">
        <v>1681</v>
      </c>
      <c r="CI3109" s="10">
        <v>675000</v>
      </c>
      <c r="CJ3109" s="7">
        <v>37365</v>
      </c>
    </row>
    <row r="3110" spans="1:90">
      <c r="A3110">
        <v>28055166</v>
      </c>
      <c r="B3110" s="2" t="str">
        <f>HYPERLINK("http://www.redfin.com/stingray/do/printable-listing?listing-id=1602918","Active")</f>
        <v>Active</v>
      </c>
      <c r="D3110" t="s">
        <v>3249</v>
      </c>
      <c r="E3110" t="s">
        <v>6620</v>
      </c>
      <c r="F3110">
        <v>875000</v>
      </c>
      <c r="G3110">
        <v>1913</v>
      </c>
      <c r="H3110">
        <v>2180</v>
      </c>
      <c r="I3110">
        <v>4800</v>
      </c>
      <c r="J3110">
        <v>4</v>
      </c>
      <c r="K3110">
        <v>3.25</v>
      </c>
      <c r="M3110" s="2" t="str">
        <f>HYPERLINK("http://maps.live.com/default.aspx?v=2&amp;lvl=15&amp;sp=Point.47.633913_-122.369983_1610 10th Ave W&amp;cp=47.633913~-122.369983","Map")</f>
        <v>Map</v>
      </c>
      <c r="N3110" s="2" t="str">
        <f>HYPERLINK("http://i-0.rfimg.us/photo/1/bigphoto/166/28055166_0.jpg","Photo")</f>
        <v>Photo</v>
      </c>
      <c r="AG3110">
        <v>47.633913</v>
      </c>
      <c r="AH3110">
        <v>-122.369983</v>
      </c>
      <c r="AI3110" t="s">
        <v>66</v>
      </c>
      <c r="AJ3110">
        <v>98119</v>
      </c>
      <c r="AN3110">
        <v>740000</v>
      </c>
      <c r="BC3110" s="22">
        <v>39538.683923611112</v>
      </c>
      <c r="BI3110" s="22">
        <v>39549.294907407406</v>
      </c>
      <c r="BL3110">
        <v>17500</v>
      </c>
      <c r="BM3110">
        <v>1602918</v>
      </c>
      <c r="BN3110" t="s">
        <v>1766</v>
      </c>
      <c r="BO3110" s="17">
        <f t="shared" ca="1" si="48"/>
        <v>10.62548229166714</v>
      </c>
      <c r="BP3110" t="b">
        <v>0</v>
      </c>
      <c r="BQ3110">
        <v>1</v>
      </c>
      <c r="BR3110" t="s">
        <v>1667</v>
      </c>
      <c r="BS3110" t="s">
        <v>1788</v>
      </c>
      <c r="BT3110" t="b">
        <v>0</v>
      </c>
      <c r="BV3110" t="s">
        <v>1668</v>
      </c>
      <c r="BW3110">
        <v>1610</v>
      </c>
      <c r="BX3110" t="s">
        <v>2423</v>
      </c>
      <c r="BY3110">
        <v>134157</v>
      </c>
      <c r="BZ3110" t="s">
        <v>1701</v>
      </c>
      <c r="CA3110">
        <v>1</v>
      </c>
      <c r="CB3110" t="b">
        <v>1</v>
      </c>
      <c r="CC3110">
        <v>0</v>
      </c>
      <c r="CD3110" t="b">
        <v>0</v>
      </c>
      <c r="CE3110" t="b">
        <v>1</v>
      </c>
      <c r="CF3110" t="b">
        <v>0</v>
      </c>
      <c r="CG3110">
        <v>2540212</v>
      </c>
      <c r="CH3110" t="s">
        <v>1681</v>
      </c>
      <c r="CI3110" s="10">
        <v>875000</v>
      </c>
      <c r="CJ3110" s="7">
        <v>38974</v>
      </c>
    </row>
    <row r="3111" spans="1:90">
      <c r="A3111">
        <v>28055210</v>
      </c>
      <c r="B3111" s="15" t="str">
        <f>HYPERLINK("http://www.redfin.com/stingray/do/printable-listing?listing-id=1605973","Subject To Inspection")</f>
        <v>Subject To Inspection</v>
      </c>
      <c r="D3111" t="s">
        <v>63</v>
      </c>
      <c r="E3111" t="s">
        <v>1205</v>
      </c>
      <c r="F3111">
        <v>575000</v>
      </c>
      <c r="G3111">
        <v>1941</v>
      </c>
      <c r="H3111">
        <v>1650</v>
      </c>
      <c r="I3111">
        <v>4640</v>
      </c>
      <c r="J3111">
        <v>4</v>
      </c>
      <c r="K3111">
        <v>2</v>
      </c>
      <c r="M3111" s="2" t="str">
        <f>HYPERLINK("http://maps.live.com/default.aspx?v=2&amp;lvl=15&amp;sp=Point.47.68822_-122.396109_8051 30th Ave NW&amp;cp=47.68822~-122.396109","Map")</f>
        <v>Map</v>
      </c>
      <c r="N3111" s="2" t="str">
        <f>HYPERLINK("http://i-0.rfimg.us/photo/1/bigphoto/210/28055210_.jpg","Photo")</f>
        <v>Photo</v>
      </c>
      <c r="AG3111">
        <v>47.688220000000001</v>
      </c>
      <c r="AH3111">
        <v>-122.396109</v>
      </c>
      <c r="AI3111" t="s">
        <v>66</v>
      </c>
      <c r="AJ3111">
        <v>98117</v>
      </c>
      <c r="AN3111">
        <v>444000</v>
      </c>
      <c r="BC3111" s="22">
        <v>39539.548344907409</v>
      </c>
      <c r="BI3111" s="22">
        <v>39547.913935185185</v>
      </c>
      <c r="BL3111">
        <v>11500</v>
      </c>
      <c r="BM3111">
        <v>1605973</v>
      </c>
      <c r="BN3111" t="s">
        <v>1678</v>
      </c>
      <c r="BO3111" s="17">
        <f t="shared" ca="1" si="48"/>
        <v>9.7610609953699168</v>
      </c>
      <c r="BP3111" t="b">
        <v>0</v>
      </c>
      <c r="BQ3111">
        <v>1</v>
      </c>
      <c r="BR3111" t="s">
        <v>1667</v>
      </c>
      <c r="BS3111" t="s">
        <v>1818</v>
      </c>
      <c r="BT3111" t="b">
        <v>0</v>
      </c>
      <c r="BV3111" t="s">
        <v>1668</v>
      </c>
      <c r="BW3111">
        <v>8051</v>
      </c>
      <c r="BX3111" t="s">
        <v>1669</v>
      </c>
      <c r="BY3111">
        <v>164774</v>
      </c>
      <c r="BZ3111" t="s">
        <v>2319</v>
      </c>
      <c r="CA3111">
        <v>1</v>
      </c>
      <c r="CB3111" t="b">
        <v>1</v>
      </c>
      <c r="CC3111">
        <v>0</v>
      </c>
      <c r="CD3111" t="b">
        <v>0</v>
      </c>
      <c r="CE3111" t="b">
        <v>1</v>
      </c>
      <c r="CF3111" t="b">
        <v>0</v>
      </c>
      <c r="CG3111">
        <v>2594524</v>
      </c>
      <c r="CH3111" t="s">
        <v>1681</v>
      </c>
      <c r="CI3111" s="10">
        <v>575000</v>
      </c>
      <c r="CJ3111" s="7">
        <v>39148</v>
      </c>
    </row>
    <row r="3112" spans="1:90">
      <c r="A3112">
        <v>28055211</v>
      </c>
      <c r="B3112" s="2" t="str">
        <f>HYPERLINK("http://www.redfin.com/stingray/do/printable-listing?listing-id=1603015","Active")</f>
        <v>Active</v>
      </c>
      <c r="D3112" t="s">
        <v>5539</v>
      </c>
      <c r="E3112" t="s">
        <v>6655</v>
      </c>
      <c r="F3112" s="19">
        <v>869900</v>
      </c>
      <c r="G3112">
        <v>1999</v>
      </c>
      <c r="H3112">
        <v>3540</v>
      </c>
      <c r="I3112">
        <v>0</v>
      </c>
      <c r="J3112">
        <v>4</v>
      </c>
      <c r="K3112">
        <v>3.5</v>
      </c>
      <c r="M3112" s="2" t="str">
        <f>HYPERLINK("http://maps.live.com/default.aspx?v=2&amp;lvl=15&amp;sp=Point.47.551948_-122.136789_5622 153rd Ave SE&amp;cp=47.551948~-122.136789","Map")</f>
        <v>Map</v>
      </c>
      <c r="N3112" s="2" t="str">
        <f>HYPERLINK("http://i-0.rfimg.us/photo/1/bigphoto/211/28055211_.jpg","Photo")</f>
        <v>Photo</v>
      </c>
      <c r="AG3112">
        <v>47.551948000000003</v>
      </c>
      <c r="AH3112">
        <v>-122.13678899999999</v>
      </c>
      <c r="AI3112" t="s">
        <v>369</v>
      </c>
      <c r="AJ3112">
        <v>98006</v>
      </c>
      <c r="AN3112">
        <v>812000</v>
      </c>
      <c r="BC3112" s="22">
        <v>39538.71502314815</v>
      </c>
      <c r="BI3112" s="22">
        <v>39549.294907407406</v>
      </c>
      <c r="BL3112">
        <v>18180</v>
      </c>
      <c r="BM3112">
        <v>1603015</v>
      </c>
      <c r="BN3112" t="s">
        <v>1737</v>
      </c>
      <c r="BO3112" s="17">
        <f t="shared" ca="1" si="48"/>
        <v>10.594382754628896</v>
      </c>
      <c r="BP3112" t="b">
        <v>0</v>
      </c>
      <c r="BQ3112">
        <v>1</v>
      </c>
      <c r="BR3112" t="s">
        <v>1667</v>
      </c>
      <c r="BS3112" t="s">
        <v>4918</v>
      </c>
      <c r="BT3112" t="b">
        <v>0</v>
      </c>
      <c r="BV3112" t="s">
        <v>1668</v>
      </c>
      <c r="BW3112">
        <v>5622</v>
      </c>
      <c r="BX3112" t="s">
        <v>3856</v>
      </c>
      <c r="BY3112">
        <v>239885</v>
      </c>
      <c r="CA3112">
        <v>1</v>
      </c>
      <c r="CB3112" t="b">
        <v>1</v>
      </c>
      <c r="CC3112">
        <v>0</v>
      </c>
      <c r="CD3112" t="b">
        <v>0</v>
      </c>
      <c r="CE3112" t="b">
        <v>1</v>
      </c>
      <c r="CF3112" t="b">
        <v>0</v>
      </c>
      <c r="CG3112">
        <v>2688566</v>
      </c>
      <c r="CH3112" t="s">
        <v>1681</v>
      </c>
      <c r="CI3112" s="10">
        <v>909000</v>
      </c>
      <c r="CJ3112" s="7">
        <v>38657</v>
      </c>
    </row>
    <row r="3113" spans="1:90">
      <c r="A3113">
        <v>28055219</v>
      </c>
      <c r="B3113" s="2" t="str">
        <f>HYPERLINK("http://www.redfin.com/stingray/do/printable-listing?listing-id=1603017","Active")</f>
        <v>Active</v>
      </c>
      <c r="D3113" t="s">
        <v>2552</v>
      </c>
      <c r="E3113" t="s">
        <v>6619</v>
      </c>
      <c r="F3113">
        <v>825000</v>
      </c>
      <c r="G3113">
        <v>1941</v>
      </c>
      <c r="H3113">
        <v>2630</v>
      </c>
      <c r="I3113">
        <v>8146</v>
      </c>
      <c r="J3113">
        <v>3</v>
      </c>
      <c r="K3113">
        <v>1.75</v>
      </c>
      <c r="M3113" s="2" t="str">
        <f>HYPERLINK("http://maps.live.com/default.aspx?v=2&amp;lvl=15&amp;sp=Point.47.64692_-122.406087_3001 38th Ave W&amp;cp=47.64692~-122.406087","Map")</f>
        <v>Map</v>
      </c>
      <c r="N3113" s="2" t="str">
        <f>HYPERLINK("http://i-0.rfimg.us/photo/1/bigphoto/219/28055219_0.jpg","Photo")</f>
        <v>Photo</v>
      </c>
      <c r="AG3113">
        <v>47.646920000000001</v>
      </c>
      <c r="AH3113">
        <v>-122.406087</v>
      </c>
      <c r="AI3113" t="s">
        <v>66</v>
      </c>
      <c r="AJ3113">
        <v>98199</v>
      </c>
      <c r="BC3113" s="22">
        <v>39538.715046296296</v>
      </c>
      <c r="BI3113" s="22">
        <v>39549.294907407406</v>
      </c>
      <c r="BL3113">
        <v>16500</v>
      </c>
      <c r="BM3113">
        <v>1603017</v>
      </c>
      <c r="BN3113" t="s">
        <v>1746</v>
      </c>
      <c r="BO3113" s="17">
        <f t="shared" ca="1" si="48"/>
        <v>10.594359606482612</v>
      </c>
      <c r="BP3113" t="b">
        <v>0</v>
      </c>
      <c r="BQ3113">
        <v>1</v>
      </c>
      <c r="BR3113" t="s">
        <v>1667</v>
      </c>
      <c r="BS3113" t="s">
        <v>3126</v>
      </c>
      <c r="BT3113" t="b">
        <v>0</v>
      </c>
      <c r="BV3113" t="s">
        <v>1668</v>
      </c>
      <c r="BW3113">
        <v>3001</v>
      </c>
      <c r="BX3113" t="s">
        <v>2423</v>
      </c>
      <c r="BY3113">
        <v>126874</v>
      </c>
      <c r="BZ3113" t="s">
        <v>1672</v>
      </c>
      <c r="CA3113">
        <v>1</v>
      </c>
      <c r="CB3113" t="b">
        <v>1</v>
      </c>
      <c r="CC3113">
        <v>0</v>
      </c>
      <c r="CD3113" t="b">
        <v>0</v>
      </c>
      <c r="CE3113" t="b">
        <v>1</v>
      </c>
      <c r="CF3113" t="b">
        <v>0</v>
      </c>
      <c r="CG3113">
        <v>2656892</v>
      </c>
      <c r="CH3113" t="s">
        <v>1681</v>
      </c>
      <c r="CI3113" s="10">
        <v>825000</v>
      </c>
    </row>
    <row r="3114" spans="1:90">
      <c r="A3114">
        <v>28055221</v>
      </c>
      <c r="B3114" s="2" t="str">
        <f>HYPERLINK("http://www.redfin.com/stingray/do/printable-listing?listing-id=1603051","Active")</f>
        <v>Active</v>
      </c>
      <c r="D3114" t="s">
        <v>5578</v>
      </c>
      <c r="E3114" t="s">
        <v>6656</v>
      </c>
      <c r="F3114" s="19">
        <v>909000</v>
      </c>
      <c r="G3114">
        <v>1996</v>
      </c>
      <c r="H3114">
        <v>3510</v>
      </c>
      <c r="I3114">
        <v>11144</v>
      </c>
      <c r="J3114">
        <v>5</v>
      </c>
      <c r="K3114">
        <v>3.5</v>
      </c>
      <c r="M3114" s="2" t="str">
        <f>HYPERLINK("http://maps.live.com/default.aspx?v=2&amp;lvl=15&amp;sp=Point.47.550453_-122.098566_18123 NW Village park Dr&amp;cp=47.550453~-122.098566","Map")</f>
        <v>Map</v>
      </c>
      <c r="N3114" s="2" t="str">
        <f>HYPERLINK("http://i-0.rfimg.us/photo/1/bigphoto/221/28055221_0.jpg","Photo")</f>
        <v>Photo</v>
      </c>
      <c r="AG3114">
        <v>47.550452999999997</v>
      </c>
      <c r="AH3114">
        <v>-122.09856600000001</v>
      </c>
      <c r="AI3114" t="s">
        <v>5280</v>
      </c>
      <c r="AJ3114">
        <v>98027</v>
      </c>
      <c r="AN3114">
        <v>899800</v>
      </c>
      <c r="BC3114" s="22">
        <v>39538.724537037036</v>
      </c>
      <c r="BI3114" s="22">
        <v>39549.294907407406</v>
      </c>
      <c r="BL3114">
        <v>18980</v>
      </c>
      <c r="BM3114">
        <v>1603051</v>
      </c>
      <c r="BN3114" t="s">
        <v>1737</v>
      </c>
      <c r="BO3114" s="17">
        <f t="shared" ca="1" si="48"/>
        <v>10.584868865742465</v>
      </c>
      <c r="BP3114" t="b">
        <v>0</v>
      </c>
      <c r="BQ3114">
        <v>1</v>
      </c>
      <c r="BR3114" t="s">
        <v>1816</v>
      </c>
      <c r="BS3114" t="s">
        <v>6657</v>
      </c>
      <c r="BT3114" t="b">
        <v>0</v>
      </c>
      <c r="BU3114" t="s">
        <v>1669</v>
      </c>
      <c r="BV3114" t="s">
        <v>1668</v>
      </c>
      <c r="BW3114">
        <v>18123</v>
      </c>
      <c r="BY3114">
        <v>418875</v>
      </c>
      <c r="BZ3114" t="s">
        <v>1672</v>
      </c>
      <c r="CA3114">
        <v>1</v>
      </c>
      <c r="CB3114" t="b">
        <v>1</v>
      </c>
      <c r="CC3114">
        <v>0</v>
      </c>
      <c r="CD3114" t="b">
        <v>0</v>
      </c>
      <c r="CE3114" t="b">
        <v>1</v>
      </c>
      <c r="CF3114" t="b">
        <v>0</v>
      </c>
      <c r="CG3114">
        <v>2701607</v>
      </c>
      <c r="CH3114" t="s">
        <v>1681</v>
      </c>
      <c r="CI3114" s="10">
        <v>949000</v>
      </c>
      <c r="CJ3114" s="7">
        <v>38632</v>
      </c>
    </row>
    <row r="3115" spans="1:90">
      <c r="A3115">
        <v>28055245</v>
      </c>
      <c r="B3115" s="2" t="str">
        <f>HYPERLINK("http://www.redfin.com/stingray/do/printable-listing?listing-id=1621273","Active")</f>
        <v>Active</v>
      </c>
      <c r="D3115" t="s">
        <v>967</v>
      </c>
      <c r="E3115" t="s">
        <v>1109</v>
      </c>
      <c r="F3115">
        <v>389950</v>
      </c>
      <c r="G3115">
        <v>1924</v>
      </c>
      <c r="H3115">
        <v>1780</v>
      </c>
      <c r="I3115">
        <v>5815</v>
      </c>
      <c r="J3115">
        <v>3</v>
      </c>
      <c r="K3115">
        <v>1.75</v>
      </c>
      <c r="M3115" s="2" t="str">
        <f>HYPERLINK("http://maps.live.com/default.aspx?v=2&amp;lvl=15&amp;sp=Point.47.71267_-122.296664_11517 30th Ave NE&amp;cp=47.71267~-122.296664","Map")</f>
        <v>Map</v>
      </c>
      <c r="N3115" s="2" t="str">
        <f>HYPERLINK("http://i-0.rfimg.us/photo/1/bigphoto/245/28055245_0.jpg","Photo")</f>
        <v>Photo</v>
      </c>
      <c r="AG3115">
        <v>47.712670000000003</v>
      </c>
      <c r="AH3115">
        <v>-122.29666400000001</v>
      </c>
      <c r="AI3115" t="s">
        <v>66</v>
      </c>
      <c r="AJ3115">
        <v>98125</v>
      </c>
      <c r="AN3115">
        <v>366000</v>
      </c>
      <c r="BC3115" s="22">
        <v>39544.046435185184</v>
      </c>
      <c r="BI3115" s="22">
        <v>39549.294907407406</v>
      </c>
      <c r="BL3115">
        <v>7799</v>
      </c>
      <c r="BM3115">
        <v>1621273</v>
      </c>
      <c r="BN3115" t="s">
        <v>1817</v>
      </c>
      <c r="BO3115" s="17">
        <f t="shared" ca="1" si="48"/>
        <v>5.262970717594726</v>
      </c>
      <c r="BP3115" t="b">
        <v>0</v>
      </c>
      <c r="BQ3115">
        <v>1</v>
      </c>
      <c r="BR3115" t="s">
        <v>1667</v>
      </c>
      <c r="BS3115" t="s">
        <v>1818</v>
      </c>
      <c r="BT3115" t="b">
        <v>0</v>
      </c>
      <c r="BV3115" t="s">
        <v>1668</v>
      </c>
      <c r="BW3115">
        <v>11517</v>
      </c>
      <c r="BX3115" t="s">
        <v>1738</v>
      </c>
      <c r="BY3115">
        <v>111835</v>
      </c>
      <c r="BZ3115" t="s">
        <v>1672</v>
      </c>
      <c r="CA3115">
        <v>1</v>
      </c>
      <c r="CB3115" t="b">
        <v>1</v>
      </c>
      <c r="CC3115">
        <v>0</v>
      </c>
      <c r="CD3115" t="b">
        <v>0</v>
      </c>
      <c r="CE3115" t="b">
        <v>1</v>
      </c>
      <c r="CF3115" t="b">
        <v>0</v>
      </c>
      <c r="CG3115">
        <v>2485490</v>
      </c>
      <c r="CH3115" t="s">
        <v>1681</v>
      </c>
      <c r="CI3115" s="10">
        <v>389950</v>
      </c>
      <c r="CJ3115" s="7">
        <v>38825</v>
      </c>
    </row>
    <row r="3116" spans="1:90">
      <c r="A3116">
        <v>28055257</v>
      </c>
      <c r="B3116" s="2" t="str">
        <f>HYPERLINK("http://www.redfin.com/stingray/do/printable-listing?listing-id=1606634","Active")</f>
        <v>Active</v>
      </c>
      <c r="D3116" t="s">
        <v>192</v>
      </c>
      <c r="E3116" t="s">
        <v>6670</v>
      </c>
      <c r="F3116">
        <v>529000</v>
      </c>
      <c r="G3116">
        <v>1927</v>
      </c>
      <c r="H3116">
        <v>1700</v>
      </c>
      <c r="I3116">
        <v>6380</v>
      </c>
      <c r="J3116">
        <v>4</v>
      </c>
      <c r="K3116">
        <v>1.75</v>
      </c>
      <c r="M3116" s="2" t="str">
        <f>HYPERLINK("http://maps.live.com/default.aspx?v=2&amp;lvl=15&amp;sp=Point.47.699223_-122.318455_845 NE 97th St&amp;cp=47.699223~-122.318455","Map")</f>
        <v>Map</v>
      </c>
      <c r="N3116" s="2" t="str">
        <f>HYPERLINK("http://i-0.rfimg.us/photo/1/bigphoto/257/28055257_0.jpg","Photo")</f>
        <v>Photo</v>
      </c>
      <c r="AG3116">
        <v>47.699223000000003</v>
      </c>
      <c r="AH3116">
        <v>-122.318455</v>
      </c>
      <c r="AI3116" t="s">
        <v>66</v>
      </c>
      <c r="AJ3116">
        <v>98115</v>
      </c>
      <c r="AN3116">
        <v>278000</v>
      </c>
      <c r="BC3116" s="22">
        <v>39539.67328703704</v>
      </c>
      <c r="BI3116" s="22">
        <v>39549.294907407406</v>
      </c>
      <c r="BL3116">
        <v>10580</v>
      </c>
      <c r="BM3116">
        <v>1606634</v>
      </c>
      <c r="BN3116" t="s">
        <v>1702</v>
      </c>
      <c r="BO3116" s="17">
        <f t="shared" ca="1" si="48"/>
        <v>9.6361188657392631</v>
      </c>
      <c r="BP3116" t="b">
        <v>0</v>
      </c>
      <c r="BQ3116">
        <v>1</v>
      </c>
      <c r="BR3116" t="s">
        <v>1686</v>
      </c>
      <c r="BS3116" t="s">
        <v>1840</v>
      </c>
      <c r="BT3116" t="b">
        <v>0</v>
      </c>
      <c r="BU3116" t="s">
        <v>1738</v>
      </c>
      <c r="BV3116" t="s">
        <v>1668</v>
      </c>
      <c r="BW3116">
        <v>845</v>
      </c>
      <c r="BY3116">
        <v>109394</v>
      </c>
      <c r="BZ3116" t="s">
        <v>1676</v>
      </c>
      <c r="CA3116">
        <v>1</v>
      </c>
      <c r="CB3116" t="b">
        <v>1</v>
      </c>
      <c r="CC3116">
        <v>0</v>
      </c>
      <c r="CD3116" t="b">
        <v>0</v>
      </c>
      <c r="CE3116" t="b">
        <v>1</v>
      </c>
      <c r="CF3116" t="b">
        <v>0</v>
      </c>
      <c r="CG3116">
        <v>2677624</v>
      </c>
      <c r="CH3116" t="s">
        <v>1681</v>
      </c>
      <c r="CI3116" s="10">
        <v>529000</v>
      </c>
      <c r="CJ3116" s="7">
        <v>37659</v>
      </c>
    </row>
    <row r="3117" spans="1:90">
      <c r="A3117">
        <v>28055258</v>
      </c>
      <c r="B3117" s="2" t="str">
        <f>HYPERLINK("http://www.redfin.com/stingray/do/printable-listing?listing-id=1604419","Active")</f>
        <v>Active</v>
      </c>
      <c r="D3117" t="s">
        <v>63</v>
      </c>
      <c r="E3117" t="s">
        <v>2316</v>
      </c>
      <c r="F3117">
        <v>430000</v>
      </c>
      <c r="G3117">
        <v>1913</v>
      </c>
      <c r="H3117">
        <v>910</v>
      </c>
      <c r="I3117">
        <v>4218</v>
      </c>
      <c r="J3117">
        <v>2</v>
      </c>
      <c r="K3117">
        <v>1</v>
      </c>
      <c r="M3117" s="2" t="str">
        <f>HYPERLINK("http://maps.live.com/default.aspx?v=2&amp;lvl=15&amp;sp=Point.47.682642_-122.366436_7403 8th Ave NW&amp;cp=47.682642~-122.366436","Map")</f>
        <v>Map</v>
      </c>
      <c r="N3117" s="2" t="str">
        <f>HYPERLINK("http://i-0.rfimg.us/photo/1/bigphoto/258/28055258_3.jpg","Photo")</f>
        <v>Photo</v>
      </c>
      <c r="AG3117">
        <v>47.682642000000001</v>
      </c>
      <c r="AH3117">
        <v>-122.36643599999999</v>
      </c>
      <c r="AI3117" t="s">
        <v>66</v>
      </c>
      <c r="AJ3117">
        <v>98117</v>
      </c>
      <c r="AN3117">
        <v>240000</v>
      </c>
      <c r="BC3117" s="22">
        <v>39539.307500000003</v>
      </c>
      <c r="BI3117" s="22">
        <v>39549.294907407406</v>
      </c>
      <c r="BL3117">
        <v>8600</v>
      </c>
      <c r="BM3117">
        <v>1604419</v>
      </c>
      <c r="BN3117" t="s">
        <v>1702</v>
      </c>
      <c r="BO3117" s="17">
        <f t="shared" ca="1" si="48"/>
        <v>10.001905902776343</v>
      </c>
      <c r="BP3117" t="b">
        <v>0</v>
      </c>
      <c r="BQ3117">
        <v>1</v>
      </c>
      <c r="BR3117" t="s">
        <v>1667</v>
      </c>
      <c r="BS3117" t="s">
        <v>1723</v>
      </c>
      <c r="BT3117" t="b">
        <v>0</v>
      </c>
      <c r="BV3117" t="s">
        <v>1668</v>
      </c>
      <c r="BW3117">
        <v>7403</v>
      </c>
      <c r="BX3117" t="s">
        <v>1669</v>
      </c>
      <c r="BY3117">
        <v>497996</v>
      </c>
      <c r="BZ3117" t="s">
        <v>2317</v>
      </c>
      <c r="CA3117">
        <v>1</v>
      </c>
      <c r="CB3117" t="b">
        <v>1</v>
      </c>
      <c r="CC3117">
        <v>0</v>
      </c>
      <c r="CD3117" t="b">
        <v>0</v>
      </c>
      <c r="CE3117" t="b">
        <v>1</v>
      </c>
      <c r="CF3117" t="b">
        <v>0</v>
      </c>
      <c r="CG3117">
        <v>2663758</v>
      </c>
      <c r="CH3117" t="s">
        <v>1681</v>
      </c>
      <c r="CI3117" s="10">
        <v>430000</v>
      </c>
      <c r="CJ3117" s="7">
        <v>37407</v>
      </c>
      <c r="CL3117" s="19" t="s">
        <v>6966</v>
      </c>
    </row>
    <row r="3118" spans="1:90">
      <c r="A3118">
        <v>28055259</v>
      </c>
      <c r="B3118" s="2" t="str">
        <f>HYPERLINK("http://www.redfin.com/stingray/do/printable-listing?listing-id=1616067","Active")</f>
        <v>Active</v>
      </c>
      <c r="D3118" t="s">
        <v>60</v>
      </c>
      <c r="E3118" t="s">
        <v>6812</v>
      </c>
      <c r="F3118">
        <v>1395000</v>
      </c>
      <c r="G3118">
        <v>2008</v>
      </c>
      <c r="H3118">
        <v>4501</v>
      </c>
      <c r="I3118">
        <v>4500</v>
      </c>
      <c r="J3118">
        <v>5</v>
      </c>
      <c r="K3118">
        <v>3.5</v>
      </c>
      <c r="M3118" s="2" t="str">
        <f>HYPERLINK("http://maps.live.com/default.aspx?v=2&amp;lvl=15&amp;sp=Point.47.669681_-122.338713_5530 Ashworth Ave N&amp;cp=47.669681~-122.338713","Map")</f>
        <v>Map</v>
      </c>
      <c r="N3118" s="2" t="str">
        <f>HYPERLINK("http://i-0.rfimg.us/photo/1/bigphoto/259/28055259_0.jpg","Photo")</f>
        <v>Photo</v>
      </c>
      <c r="AG3118">
        <v>47.669680999999997</v>
      </c>
      <c r="AH3118">
        <v>-122.338713</v>
      </c>
      <c r="AI3118" t="s">
        <v>66</v>
      </c>
      <c r="AJ3118">
        <v>98103</v>
      </c>
      <c r="AN3118">
        <v>560500</v>
      </c>
      <c r="BC3118" s="22">
        <v>39542.327662037038</v>
      </c>
      <c r="BI3118" s="22">
        <v>39549.294907407406</v>
      </c>
      <c r="BL3118">
        <v>27900</v>
      </c>
      <c r="BM3118">
        <v>1616067</v>
      </c>
      <c r="BN3118" t="s">
        <v>1700</v>
      </c>
      <c r="BO3118" s="17">
        <f t="shared" ca="1" si="48"/>
        <v>6.9817438657410094</v>
      </c>
      <c r="BP3118" t="b">
        <v>0</v>
      </c>
      <c r="BQ3118">
        <v>1</v>
      </c>
      <c r="BR3118" t="s">
        <v>1667</v>
      </c>
      <c r="BS3118" t="s">
        <v>1825</v>
      </c>
      <c r="BT3118" t="b">
        <v>0</v>
      </c>
      <c r="BV3118" t="s">
        <v>1668</v>
      </c>
      <c r="BW3118">
        <v>5530</v>
      </c>
      <c r="BX3118" t="s">
        <v>1712</v>
      </c>
      <c r="BY3118">
        <v>305756</v>
      </c>
      <c r="BZ3118" s="21">
        <v>0</v>
      </c>
      <c r="CA3118">
        <v>1</v>
      </c>
      <c r="CB3118" t="b">
        <v>1</v>
      </c>
      <c r="CC3118">
        <v>0</v>
      </c>
      <c r="CD3118" t="b">
        <v>0</v>
      </c>
      <c r="CE3118" t="b">
        <v>1</v>
      </c>
      <c r="CF3118" t="b">
        <v>0</v>
      </c>
      <c r="CG3118">
        <v>2403477</v>
      </c>
      <c r="CH3118" t="s">
        <v>1681</v>
      </c>
      <c r="CI3118" s="10">
        <v>1395000</v>
      </c>
      <c r="CJ3118" s="7">
        <v>39227</v>
      </c>
    </row>
    <row r="3119" spans="1:90">
      <c r="A3119">
        <v>28055260</v>
      </c>
      <c r="B3119" s="2" t="str">
        <f>HYPERLINK("http://www.redfin.com/stingray/do/printable-listing?listing-id=1616069","Active")</f>
        <v>Active</v>
      </c>
      <c r="D3119" s="19" t="s">
        <v>100</v>
      </c>
      <c r="E3119" t="s">
        <v>6830</v>
      </c>
      <c r="F3119">
        <v>479950</v>
      </c>
      <c r="G3119">
        <v>2002</v>
      </c>
      <c r="H3119">
        <v>1580</v>
      </c>
      <c r="I3119">
        <v>0</v>
      </c>
      <c r="J3119">
        <v>3</v>
      </c>
      <c r="K3119">
        <v>3.5</v>
      </c>
      <c r="M3119" s="2" t="str">
        <f>HYPERLINK("http://maps.live.com/default.aspx?v=2&amp;lvl=15&amp;sp=Point.47.652931_-122.354702_3619 Phinney Ave N nB&amp;cp=47.652931~-122.354702","Map")</f>
        <v>Map</v>
      </c>
      <c r="N3119" s="2" t="str">
        <f>HYPERLINK("http://i-0.rfimg.us/photo/1/bigphoto/260/28055260_0.jpg","Photo")</f>
        <v>Photo</v>
      </c>
      <c r="AG3119">
        <v>47.652931000000002</v>
      </c>
      <c r="AH3119">
        <v>-122.354702</v>
      </c>
      <c r="AI3119" t="s">
        <v>66</v>
      </c>
      <c r="AJ3119">
        <v>98103</v>
      </c>
      <c r="AM3119" t="s">
        <v>1699</v>
      </c>
      <c r="BC3119" s="22">
        <v>39542.327800925923</v>
      </c>
      <c r="BI3119" s="22">
        <v>39549.294907407406</v>
      </c>
      <c r="BL3119">
        <v>9599</v>
      </c>
      <c r="BM3119">
        <v>1616069</v>
      </c>
      <c r="BN3119" t="s">
        <v>1700</v>
      </c>
      <c r="BO3119" s="17">
        <f t="shared" ca="1" si="48"/>
        <v>6.9816049768560333</v>
      </c>
      <c r="BP3119" t="b">
        <v>0</v>
      </c>
      <c r="BQ3119">
        <v>1</v>
      </c>
      <c r="BR3119" t="s">
        <v>1667</v>
      </c>
      <c r="BS3119" t="s">
        <v>2475</v>
      </c>
      <c r="BT3119" t="b">
        <v>0</v>
      </c>
      <c r="BV3119" t="s">
        <v>1668</v>
      </c>
      <c r="BW3119">
        <v>3619</v>
      </c>
      <c r="BX3119" t="s">
        <v>1712</v>
      </c>
      <c r="BY3119">
        <v>12437638</v>
      </c>
      <c r="BZ3119" s="21">
        <v>0</v>
      </c>
      <c r="CA3119">
        <v>1</v>
      </c>
      <c r="CB3119" t="b">
        <v>1</v>
      </c>
      <c r="CC3119">
        <v>0</v>
      </c>
      <c r="CD3119" t="b">
        <v>0</v>
      </c>
      <c r="CE3119" t="b">
        <v>1</v>
      </c>
      <c r="CF3119" t="b">
        <v>0</v>
      </c>
      <c r="CG3119">
        <v>15641386</v>
      </c>
      <c r="CH3119" t="s">
        <v>1681</v>
      </c>
      <c r="CI3119" s="10">
        <v>479950</v>
      </c>
    </row>
    <row r="3120" spans="1:90">
      <c r="A3120">
        <v>28055262</v>
      </c>
      <c r="B3120" s="2" t="str">
        <f>HYPERLINK("http://www.redfin.com/stingray/do/printable-listing?listing-id=1604135","Active")</f>
        <v>Active</v>
      </c>
      <c r="D3120" t="s">
        <v>194</v>
      </c>
      <c r="E3120" t="s">
        <v>6668</v>
      </c>
      <c r="F3120">
        <v>789000</v>
      </c>
      <c r="G3120">
        <v>1947</v>
      </c>
      <c r="H3120">
        <v>2992</v>
      </c>
      <c r="I3120">
        <v>9583</v>
      </c>
      <c r="J3120">
        <v>4</v>
      </c>
      <c r="K3120">
        <v>3</v>
      </c>
      <c r="M3120" s="2" t="str">
        <f>HYPERLINK("http://maps.live.com/default.aspx?v=2&amp;lvl=15&amp;sp=Point.47.700578_-122.297974_2720 NE 98th St&amp;cp=47.700578~-122.297974","Map")</f>
        <v>Map</v>
      </c>
      <c r="N3120" s="2" t="str">
        <f>HYPERLINK("http://i-0.rfimg.us/photo/1/bigphoto/262/28055262_0.jpg","Photo")</f>
        <v>Photo</v>
      </c>
      <c r="AG3120">
        <v>47.700578</v>
      </c>
      <c r="AH3120">
        <v>-122.297974</v>
      </c>
      <c r="AI3120" t="s">
        <v>66</v>
      </c>
      <c r="AJ3120">
        <v>98115</v>
      </c>
      <c r="AN3120">
        <v>276500</v>
      </c>
      <c r="BC3120" s="22">
        <v>39539.046261574076</v>
      </c>
      <c r="BI3120" s="22">
        <v>39549.294907407406</v>
      </c>
      <c r="BL3120">
        <v>15780</v>
      </c>
      <c r="BM3120">
        <v>1604135</v>
      </c>
      <c r="BN3120" t="s">
        <v>1841</v>
      </c>
      <c r="BO3120" s="17">
        <f t="shared" ca="1" si="48"/>
        <v>10.263144328702765</v>
      </c>
      <c r="BP3120" t="b">
        <v>0</v>
      </c>
      <c r="BQ3120">
        <v>1</v>
      </c>
      <c r="BR3120" t="s">
        <v>1686</v>
      </c>
      <c r="BS3120" t="s">
        <v>3007</v>
      </c>
      <c r="BT3120" t="b">
        <v>0</v>
      </c>
      <c r="BU3120" t="s">
        <v>1738</v>
      </c>
      <c r="BV3120" t="s">
        <v>1668</v>
      </c>
      <c r="BW3120">
        <v>2720</v>
      </c>
      <c r="BY3120">
        <v>113835</v>
      </c>
      <c r="BZ3120" t="s">
        <v>6669</v>
      </c>
      <c r="CA3120">
        <v>1</v>
      </c>
      <c r="CB3120" t="b">
        <v>1</v>
      </c>
      <c r="CC3120">
        <v>0</v>
      </c>
      <c r="CD3120" t="b">
        <v>0</v>
      </c>
      <c r="CE3120" t="b">
        <v>1</v>
      </c>
      <c r="CF3120" t="b">
        <v>0</v>
      </c>
      <c r="CG3120">
        <v>2675195</v>
      </c>
      <c r="CH3120" t="s">
        <v>1681</v>
      </c>
      <c r="CI3120" s="10">
        <v>789000</v>
      </c>
      <c r="CJ3120" s="7">
        <v>38545</v>
      </c>
    </row>
    <row r="3121" spans="1:90">
      <c r="A3121">
        <v>28055283</v>
      </c>
      <c r="B3121" s="2" t="str">
        <f>HYPERLINK("http://www.redfin.com/stingray/do/printable-listing?listing-id=1609572","Active")</f>
        <v>Active</v>
      </c>
      <c r="D3121" t="s">
        <v>5618</v>
      </c>
      <c r="E3121" t="s">
        <v>6749</v>
      </c>
      <c r="F3121">
        <v>675000</v>
      </c>
      <c r="G3121">
        <v>1976</v>
      </c>
      <c r="H3121">
        <v>2850</v>
      </c>
      <c r="I3121">
        <v>7909</v>
      </c>
      <c r="J3121">
        <v>4</v>
      </c>
      <c r="K3121">
        <v>3.5</v>
      </c>
      <c r="M3121" s="2" t="str">
        <f>HYPERLINK("http://maps.live.com/default.aspx?v=2&amp;lvl=15&amp;sp=Point.47.559318_-122.136579_4810 152nd Pl SE&amp;cp=47.559318~-122.136579","Map")</f>
        <v>Map</v>
      </c>
      <c r="N3121" s="2" t="str">
        <f>HYPERLINK("http://i-0.rfimg.us/photo/1/bigphoto/283/28055283_3.jpg","Photo")</f>
        <v>Photo</v>
      </c>
      <c r="AG3121">
        <v>47.559317999999998</v>
      </c>
      <c r="AH3121">
        <v>-122.136579</v>
      </c>
      <c r="AI3121" t="s">
        <v>369</v>
      </c>
      <c r="AJ3121">
        <v>98006</v>
      </c>
      <c r="AN3121">
        <v>174900</v>
      </c>
      <c r="BC3121" s="22">
        <v>39540.548101851855</v>
      </c>
      <c r="BI3121" s="22">
        <v>39549.294907407406</v>
      </c>
      <c r="BL3121">
        <v>13500</v>
      </c>
      <c r="BM3121">
        <v>1609572</v>
      </c>
      <c r="BN3121" t="s">
        <v>1768</v>
      </c>
      <c r="BO3121" s="17">
        <f t="shared" ca="1" si="48"/>
        <v>8.7613040509240818</v>
      </c>
      <c r="BP3121" t="b">
        <v>0</v>
      </c>
      <c r="BQ3121">
        <v>1</v>
      </c>
      <c r="BR3121" t="s">
        <v>1842</v>
      </c>
      <c r="BS3121" t="s">
        <v>4752</v>
      </c>
      <c r="BT3121" t="b">
        <v>0</v>
      </c>
      <c r="BV3121" t="s">
        <v>1668</v>
      </c>
      <c r="BW3121">
        <v>4810</v>
      </c>
      <c r="BX3121" t="s">
        <v>3856</v>
      </c>
      <c r="BY3121">
        <v>235400</v>
      </c>
      <c r="BZ3121" t="s">
        <v>2707</v>
      </c>
      <c r="CA3121">
        <v>1</v>
      </c>
      <c r="CB3121" t="b">
        <v>1</v>
      </c>
      <c r="CC3121">
        <v>0</v>
      </c>
      <c r="CD3121" t="b">
        <v>0</v>
      </c>
      <c r="CE3121" t="b">
        <v>1</v>
      </c>
      <c r="CF3121" t="b">
        <v>0</v>
      </c>
      <c r="CG3121">
        <v>2568118</v>
      </c>
      <c r="CH3121" t="s">
        <v>1681</v>
      </c>
      <c r="CI3121" s="10">
        <v>675000</v>
      </c>
      <c r="CJ3121" s="7">
        <v>33627</v>
      </c>
    </row>
    <row r="3122" spans="1:90">
      <c r="A3122">
        <v>28055286</v>
      </c>
      <c r="B3122" s="2" t="str">
        <f>HYPERLINK("http://www.redfin.com/stingray/do/printable-listing?listing-id=1605161","Active")</f>
        <v>Active</v>
      </c>
      <c r="D3122" t="s">
        <v>4710</v>
      </c>
      <c r="E3122" t="s">
        <v>6690</v>
      </c>
      <c r="F3122">
        <v>1249500</v>
      </c>
      <c r="G3122">
        <v>1987</v>
      </c>
      <c r="H3122">
        <v>3101</v>
      </c>
      <c r="I3122">
        <v>411642</v>
      </c>
      <c r="J3122">
        <v>3</v>
      </c>
      <c r="K3122">
        <v>3.25</v>
      </c>
      <c r="M3122" s="2" t="str">
        <f>HYPERLINK("http://maps.live.com/default.aspx?v=2&amp;lvl=15&amp;sp=Point.47.626074_-122.201495_1712 Bellevue Way NE&amp;cp=47.626074~-122.201495","Map")</f>
        <v>Map</v>
      </c>
      <c r="N3122" s="2" t="str">
        <f>HYPERLINK("http://i-0.rfimg.us/photo/1/bigphoto/286/28055286_2.jpg","Photo")</f>
        <v>Photo</v>
      </c>
      <c r="AG3122">
        <v>47.626074000000003</v>
      </c>
      <c r="AH3122">
        <v>-122.20149499999999</v>
      </c>
      <c r="AI3122" t="s">
        <v>369</v>
      </c>
      <c r="AJ3122">
        <v>98004</v>
      </c>
      <c r="BC3122" s="22">
        <v>39539.432210648149</v>
      </c>
      <c r="BI3122" s="22">
        <v>39549.294907407406</v>
      </c>
      <c r="BL3122">
        <v>24990</v>
      </c>
      <c r="BM3122">
        <v>1605161</v>
      </c>
      <c r="BN3122" t="s">
        <v>1688</v>
      </c>
      <c r="BO3122" s="17">
        <f t="shared" ca="1" si="48"/>
        <v>9.877195254630351</v>
      </c>
      <c r="BP3122" t="b">
        <v>0</v>
      </c>
      <c r="BQ3122">
        <v>1</v>
      </c>
      <c r="BR3122" t="s">
        <v>2463</v>
      </c>
      <c r="BS3122" t="s">
        <v>369</v>
      </c>
      <c r="BT3122" t="b">
        <v>0</v>
      </c>
      <c r="BV3122" t="s">
        <v>1668</v>
      </c>
      <c r="BW3122">
        <v>1712</v>
      </c>
      <c r="BX3122" t="s">
        <v>1738</v>
      </c>
      <c r="BY3122">
        <v>12386635</v>
      </c>
      <c r="BZ3122" t="s">
        <v>3173</v>
      </c>
      <c r="CA3122">
        <v>1</v>
      </c>
      <c r="CB3122" t="b">
        <v>1</v>
      </c>
      <c r="CC3122">
        <v>0</v>
      </c>
      <c r="CD3122" t="b">
        <v>0</v>
      </c>
      <c r="CE3122" t="b">
        <v>1</v>
      </c>
      <c r="CF3122" t="b">
        <v>0</v>
      </c>
      <c r="CG3122">
        <v>15590383</v>
      </c>
      <c r="CH3122" t="s">
        <v>1681</v>
      </c>
      <c r="CI3122" s="10">
        <v>1249500</v>
      </c>
    </row>
    <row r="3123" spans="1:90">
      <c r="A3123">
        <v>28055293</v>
      </c>
      <c r="B3123" s="2" t="str">
        <f>HYPERLINK("http://www.redfin.com/stingray/do/printable-listing?listing-id=1603468","Active")</f>
        <v>Active</v>
      </c>
      <c r="D3123" t="s">
        <v>3959</v>
      </c>
      <c r="E3123" t="s">
        <v>6634</v>
      </c>
      <c r="F3123">
        <v>459000</v>
      </c>
      <c r="G3123">
        <v>2005</v>
      </c>
      <c r="H3123">
        <v>1495</v>
      </c>
      <c r="I3123">
        <v>1591</v>
      </c>
      <c r="J3123">
        <v>3</v>
      </c>
      <c r="K3123">
        <v>3.5</v>
      </c>
      <c r="M3123" s="2" t="str">
        <f>HYPERLINK("http://maps.live.com/default.aspx?v=2&amp;lvl=15&amp;sp=Point.47.603363_-122.303303_2223 E Spruce St&amp;cp=47.603363~-122.303303","Map")</f>
        <v>Map</v>
      </c>
      <c r="N3123" s="2" t="str">
        <f>HYPERLINK("http://i-0.rfimg.us/photo/1/bigphoto/293/28055293_.jpg","Photo")</f>
        <v>Photo</v>
      </c>
      <c r="AG3123">
        <v>47.603363000000002</v>
      </c>
      <c r="AH3123">
        <v>-122.303303</v>
      </c>
      <c r="AI3123" t="s">
        <v>66</v>
      </c>
      <c r="AJ3123">
        <v>98122</v>
      </c>
      <c r="BC3123" s="22">
        <v>39538.843969907408</v>
      </c>
      <c r="BI3123" s="22">
        <v>39549.294907407406</v>
      </c>
      <c r="BL3123">
        <v>9180</v>
      </c>
      <c r="BM3123">
        <v>1603468</v>
      </c>
      <c r="BN3123" t="s">
        <v>1775</v>
      </c>
      <c r="BO3123" s="17">
        <f t="shared" ca="1" si="48"/>
        <v>10.465435995371081</v>
      </c>
      <c r="BP3123" t="b">
        <v>0</v>
      </c>
      <c r="BQ3123">
        <v>1</v>
      </c>
      <c r="BR3123" t="s">
        <v>1686</v>
      </c>
      <c r="BS3123" t="s">
        <v>6635</v>
      </c>
      <c r="BT3123" t="b">
        <v>0</v>
      </c>
      <c r="BU3123" t="s">
        <v>2436</v>
      </c>
      <c r="BV3123" t="s">
        <v>1668</v>
      </c>
      <c r="BW3123">
        <v>2223</v>
      </c>
      <c r="BY3123">
        <v>8187482</v>
      </c>
      <c r="BZ3123" t="s">
        <v>1762</v>
      </c>
      <c r="CA3123">
        <v>1</v>
      </c>
      <c r="CB3123" t="b">
        <v>1</v>
      </c>
      <c r="CC3123">
        <v>0</v>
      </c>
      <c r="CD3123" t="b">
        <v>0</v>
      </c>
      <c r="CE3123" t="b">
        <v>1</v>
      </c>
      <c r="CF3123" t="b">
        <v>0</v>
      </c>
      <c r="CG3123">
        <v>2438903</v>
      </c>
      <c r="CH3123" t="s">
        <v>1681</v>
      </c>
      <c r="CI3123" s="10">
        <v>459000</v>
      </c>
    </row>
    <row r="3124" spans="1:90">
      <c r="A3124">
        <v>28055361</v>
      </c>
      <c r="B3124" s="2" t="str">
        <f>HYPERLINK("http://www.redfin.com/stingray/do/printable-listing?listing-id=1604338","Active")</f>
        <v>Active</v>
      </c>
      <c r="D3124" t="s">
        <v>60</v>
      </c>
      <c r="E3124" t="s">
        <v>6663</v>
      </c>
      <c r="F3124">
        <v>619950</v>
      </c>
      <c r="G3124">
        <v>1924</v>
      </c>
      <c r="H3124">
        <v>2620</v>
      </c>
      <c r="I3124">
        <v>4262</v>
      </c>
      <c r="J3124">
        <v>5</v>
      </c>
      <c r="K3124">
        <v>2</v>
      </c>
      <c r="M3124" s="2" t="str">
        <f>HYPERLINK("http://maps.live.com/default.aspx?v=2&amp;lvl=15&amp;sp=Point.47.692083_-122.336664_1757 N 88th Ave&amp;cp=47.692083~-122.336664","Map")</f>
        <v>Map</v>
      </c>
      <c r="N3124" s="2" t="str">
        <f>HYPERLINK("http://i-0.rfimg.us/photo/1/bigphoto/361/28055361_1.jpg","Photo")</f>
        <v>Photo</v>
      </c>
      <c r="AG3124">
        <v>47.692082999999997</v>
      </c>
      <c r="AH3124">
        <v>-122.336664</v>
      </c>
      <c r="AI3124" t="s">
        <v>66</v>
      </c>
      <c r="AJ3124">
        <v>98103</v>
      </c>
      <c r="AN3124">
        <v>825000</v>
      </c>
      <c r="BC3124" s="22">
        <v>39539.257337962961</v>
      </c>
      <c r="BI3124" s="22">
        <v>39549.294907407406</v>
      </c>
      <c r="BL3124">
        <v>12399</v>
      </c>
      <c r="BM3124">
        <v>1604338</v>
      </c>
      <c r="BN3124" t="s">
        <v>1715</v>
      </c>
      <c r="BO3124" s="17">
        <f t="shared" ca="1" si="48"/>
        <v>10.052067939817789</v>
      </c>
      <c r="BP3124" t="b">
        <v>0</v>
      </c>
      <c r="BQ3124">
        <v>1</v>
      </c>
      <c r="BR3124" t="s">
        <v>1667</v>
      </c>
      <c r="BS3124" t="s">
        <v>1719</v>
      </c>
      <c r="BT3124" t="b">
        <v>0</v>
      </c>
      <c r="BU3124" t="s">
        <v>1712</v>
      </c>
      <c r="BV3124" t="s">
        <v>1668</v>
      </c>
      <c r="BW3124">
        <v>1757</v>
      </c>
      <c r="BY3124">
        <v>105601</v>
      </c>
      <c r="BZ3124" t="s">
        <v>4998</v>
      </c>
      <c r="CA3124">
        <v>1</v>
      </c>
      <c r="CB3124" t="b">
        <v>1</v>
      </c>
      <c r="CC3124">
        <v>0</v>
      </c>
      <c r="CD3124" t="b">
        <v>0</v>
      </c>
      <c r="CE3124" t="b">
        <v>1</v>
      </c>
      <c r="CF3124" t="b">
        <v>0</v>
      </c>
      <c r="CG3124">
        <v>2605810</v>
      </c>
      <c r="CH3124" t="s">
        <v>1681</v>
      </c>
      <c r="CI3124" s="10">
        <v>619950</v>
      </c>
      <c r="CJ3124" s="7">
        <v>39155</v>
      </c>
    </row>
    <row r="3125" spans="1:90">
      <c r="A3125">
        <v>28055378</v>
      </c>
      <c r="B3125" s="2" t="str">
        <f>HYPERLINK("http://www.redfin.com/stingray/do/printable-listing?listing-id=1604418","Active")</f>
        <v>Active</v>
      </c>
      <c r="D3125" t="s">
        <v>60</v>
      </c>
      <c r="E3125" t="s">
        <v>2387</v>
      </c>
      <c r="F3125">
        <v>875000</v>
      </c>
      <c r="G3125">
        <v>1931</v>
      </c>
      <c r="H3125">
        <v>2900</v>
      </c>
      <c r="I3125">
        <v>4000</v>
      </c>
      <c r="J3125">
        <v>4</v>
      </c>
      <c r="K3125">
        <v>3</v>
      </c>
      <c r="M3125" s="2" t="str">
        <f>HYPERLINK("http://maps.live.com/default.aspx?v=2&amp;lvl=15&amp;sp=Point.47.685648_-122.330753_7717 Corliss Ave N&amp;cp=47.685648~-122.330753","Map")</f>
        <v>Map</v>
      </c>
      <c r="N3125" s="2" t="str">
        <f>HYPERLINK("http://i-0.rfimg.us/photo/1/bigphoto/378/28055378_0.jpg","Photo")</f>
        <v>Photo</v>
      </c>
      <c r="AG3125">
        <v>47.685648</v>
      </c>
      <c r="AH3125">
        <v>-122.330753</v>
      </c>
      <c r="AI3125" t="s">
        <v>66</v>
      </c>
      <c r="AJ3125">
        <v>98103</v>
      </c>
      <c r="AN3125">
        <v>875000</v>
      </c>
      <c r="BC3125" s="22">
        <v>39539.307500000003</v>
      </c>
      <c r="BI3125" s="22">
        <v>39549.294907407406</v>
      </c>
      <c r="BL3125">
        <v>17500</v>
      </c>
      <c r="BM3125">
        <v>1604418</v>
      </c>
      <c r="BN3125" t="s">
        <v>1702</v>
      </c>
      <c r="BO3125" s="17">
        <f t="shared" ca="1" si="48"/>
        <v>10.001905902776343</v>
      </c>
      <c r="BP3125" t="b">
        <v>0</v>
      </c>
      <c r="BQ3125">
        <v>1</v>
      </c>
      <c r="BR3125" t="s">
        <v>1667</v>
      </c>
      <c r="BS3125" t="s">
        <v>2388</v>
      </c>
      <c r="BT3125" t="b">
        <v>0</v>
      </c>
      <c r="BV3125" t="s">
        <v>1668</v>
      </c>
      <c r="BW3125">
        <v>7717</v>
      </c>
      <c r="BX3125" t="s">
        <v>1712</v>
      </c>
      <c r="BY3125">
        <v>307655</v>
      </c>
      <c r="BZ3125" t="s">
        <v>1745</v>
      </c>
      <c r="CA3125">
        <v>1</v>
      </c>
      <c r="CB3125" t="b">
        <v>1</v>
      </c>
      <c r="CC3125">
        <v>0</v>
      </c>
      <c r="CD3125" t="b">
        <v>0</v>
      </c>
      <c r="CE3125" t="b">
        <v>1</v>
      </c>
      <c r="CF3125" t="b">
        <v>0</v>
      </c>
      <c r="CG3125">
        <v>2987424</v>
      </c>
      <c r="CH3125" t="s">
        <v>1681</v>
      </c>
      <c r="CI3125" s="10">
        <v>875000</v>
      </c>
      <c r="CJ3125" s="7">
        <v>38380</v>
      </c>
    </row>
    <row r="3126" spans="1:90">
      <c r="A3126">
        <v>28055480</v>
      </c>
      <c r="B3126" s="2" t="str">
        <f>HYPERLINK("http://www.redfin.com/stingray/do/printable-listing?listing-id=1604862","Active")</f>
        <v>Active</v>
      </c>
      <c r="D3126" t="s">
        <v>3061</v>
      </c>
      <c r="E3126" t="s">
        <v>4514</v>
      </c>
      <c r="F3126">
        <v>669000</v>
      </c>
      <c r="G3126">
        <v>2006</v>
      </c>
      <c r="H3126">
        <v>3100</v>
      </c>
      <c r="I3126">
        <v>0</v>
      </c>
      <c r="J3126">
        <v>5</v>
      </c>
      <c r="K3126">
        <v>2.5</v>
      </c>
      <c r="M3126" s="2" t="str">
        <f>HYPERLINK("http://maps.live.com/default.aspx?v=2&amp;lvl=15&amp;sp=Point.47.724045009217_-122.16361805667_13217 NE 137th Ct&amp;cp=47.724045009217~-122.16361805667","Map")</f>
        <v>Map</v>
      </c>
      <c r="N3126" s="2" t="str">
        <f>HYPERLINK("http://i-0.rfimg.us/photo/1/bigphoto/480/28055480_1.jpg","Photo")</f>
        <v>Photo</v>
      </c>
      <c r="AG3126">
        <v>47.724045009217001</v>
      </c>
      <c r="AH3126">
        <v>-122.16361805667</v>
      </c>
      <c r="AI3126" t="s">
        <v>1058</v>
      </c>
      <c r="AJ3126">
        <v>98034</v>
      </c>
      <c r="AN3126">
        <v>669950</v>
      </c>
      <c r="BC3126" s="22">
        <v>39539.368900462963</v>
      </c>
      <c r="BI3126" s="22">
        <v>39549.294907407406</v>
      </c>
      <c r="BL3126">
        <v>13380</v>
      </c>
      <c r="BM3126">
        <v>1604862</v>
      </c>
      <c r="BN3126" t="s">
        <v>1768</v>
      </c>
      <c r="BO3126" s="17">
        <f t="shared" ca="1" si="48"/>
        <v>9.9405054398157517</v>
      </c>
      <c r="BP3126" t="b">
        <v>0</v>
      </c>
      <c r="BQ3126">
        <v>1</v>
      </c>
      <c r="BR3126" t="s">
        <v>3768</v>
      </c>
      <c r="BS3126" t="s">
        <v>3855</v>
      </c>
      <c r="BT3126" t="b">
        <v>0</v>
      </c>
      <c r="BU3126" t="s">
        <v>1738</v>
      </c>
      <c r="BV3126" t="s">
        <v>1668</v>
      </c>
      <c r="BW3126">
        <v>13217</v>
      </c>
      <c r="BY3126">
        <v>2064652</v>
      </c>
      <c r="BZ3126" t="s">
        <v>1861</v>
      </c>
      <c r="CA3126">
        <v>1</v>
      </c>
      <c r="CB3126" t="b">
        <v>1</v>
      </c>
      <c r="CC3126">
        <v>0</v>
      </c>
      <c r="CD3126" t="b">
        <v>0</v>
      </c>
      <c r="CE3126" t="b">
        <v>1</v>
      </c>
      <c r="CF3126" t="b">
        <v>0</v>
      </c>
      <c r="CG3126">
        <v>2438501</v>
      </c>
      <c r="CH3126" t="s">
        <v>1681</v>
      </c>
      <c r="CI3126" s="10">
        <v>669000</v>
      </c>
      <c r="CJ3126" s="7">
        <v>38828</v>
      </c>
    </row>
    <row r="3127" spans="1:90">
      <c r="A3127">
        <v>28055513</v>
      </c>
      <c r="B3127" s="2" t="str">
        <f>HYPERLINK("http://www.redfin.com/stingray/do/printable-listing?listing-id=1605462","Active")</f>
        <v>Active</v>
      </c>
      <c r="D3127" t="s">
        <v>5204</v>
      </c>
      <c r="E3127" t="s">
        <v>5408</v>
      </c>
      <c r="F3127">
        <v>374900</v>
      </c>
      <c r="G3127">
        <v>1956</v>
      </c>
      <c r="H3127">
        <v>1250</v>
      </c>
      <c r="I3127">
        <v>7000</v>
      </c>
      <c r="J3127">
        <v>3</v>
      </c>
      <c r="K3127">
        <v>1</v>
      </c>
      <c r="M3127" s="2" t="str">
        <f>HYPERLINK("http://maps.live.com/default.aspx?v=2&amp;lvl=15&amp;sp=Point.47.602583_-122.132049_15525 SE 8th St&amp;cp=47.602583~-122.132049","Map")</f>
        <v>Map</v>
      </c>
      <c r="N3127" s="2" t="str">
        <f>HYPERLINK("http://i-0.rfimg.us/photo/1/bigphoto/513/28055513_0.jpg","Photo")</f>
        <v>Photo</v>
      </c>
      <c r="AG3127">
        <v>47.602583000000003</v>
      </c>
      <c r="AH3127">
        <v>-122.13204899999999</v>
      </c>
      <c r="AI3127" t="s">
        <v>369</v>
      </c>
      <c r="AJ3127">
        <v>98007</v>
      </c>
      <c r="BC3127" s="22">
        <v>39539.484791666669</v>
      </c>
      <c r="BI3127" s="22">
        <v>39549.294907407406</v>
      </c>
      <c r="BL3127">
        <v>7498</v>
      </c>
      <c r="BM3127">
        <v>1605462</v>
      </c>
      <c r="BN3127" t="s">
        <v>2014</v>
      </c>
      <c r="BO3127" s="17">
        <f t="shared" ca="1" si="48"/>
        <v>9.8246142361094826</v>
      </c>
      <c r="BP3127" t="b">
        <v>0</v>
      </c>
      <c r="BQ3127">
        <v>1</v>
      </c>
      <c r="BR3127" t="s">
        <v>1686</v>
      </c>
      <c r="BS3127" t="s">
        <v>1723</v>
      </c>
      <c r="BT3127" t="b">
        <v>0</v>
      </c>
      <c r="BU3127" t="s">
        <v>3856</v>
      </c>
      <c r="BV3127" t="s">
        <v>1668</v>
      </c>
      <c r="BW3127">
        <v>15525</v>
      </c>
      <c r="BY3127">
        <v>425511</v>
      </c>
      <c r="BZ3127" t="s">
        <v>1672</v>
      </c>
      <c r="CA3127">
        <v>1</v>
      </c>
      <c r="CB3127" t="b">
        <v>1</v>
      </c>
      <c r="CC3127">
        <v>0</v>
      </c>
      <c r="CD3127" t="b">
        <v>0</v>
      </c>
      <c r="CE3127" t="b">
        <v>1</v>
      </c>
      <c r="CF3127" t="b">
        <v>0</v>
      </c>
      <c r="CG3127">
        <v>2554831</v>
      </c>
      <c r="CH3127" t="s">
        <v>1681</v>
      </c>
      <c r="CI3127" s="10">
        <v>374900</v>
      </c>
    </row>
    <row r="3128" spans="1:90">
      <c r="A3128">
        <v>28055549</v>
      </c>
      <c r="B3128" s="2" t="str">
        <f>HYPERLINK("http://www.redfin.com/stingray/do/printable-listing?listing-id=1608238","Active")</f>
        <v>Active</v>
      </c>
      <c r="D3128" t="s">
        <v>207</v>
      </c>
      <c r="E3128" t="s">
        <v>6718</v>
      </c>
      <c r="F3128">
        <v>489900</v>
      </c>
      <c r="G3128">
        <v>1931</v>
      </c>
      <c r="H3128">
        <v>1660</v>
      </c>
      <c r="I3128">
        <v>3649</v>
      </c>
      <c r="J3128">
        <v>3</v>
      </c>
      <c r="K3128">
        <v>1</v>
      </c>
      <c r="M3128" s="2" t="str">
        <f>HYPERLINK("http://maps.live.com/default.aspx?v=2&amp;lvl=15&amp;sp=Point.47.670818_-122.285141_5715 40th Ave NE&amp;cp=47.670818~-122.285141","Map")</f>
        <v>Map</v>
      </c>
      <c r="N3128" s="2" t="str">
        <f>HYPERLINK("http://i-0.rfimg.us/photo/1/bigphoto/549/28055549_1.jpg","Photo")</f>
        <v>Photo</v>
      </c>
      <c r="AG3128">
        <v>47.670817999999997</v>
      </c>
      <c r="AH3128">
        <v>-122.285141</v>
      </c>
      <c r="AI3128" t="s">
        <v>66</v>
      </c>
      <c r="AJ3128">
        <v>98115</v>
      </c>
      <c r="AN3128">
        <v>312000</v>
      </c>
      <c r="BC3128" s="22">
        <v>39540.317094907405</v>
      </c>
      <c r="BI3128" s="22">
        <v>39549.294907407406</v>
      </c>
      <c r="BL3128">
        <v>9798</v>
      </c>
      <c r="BM3128">
        <v>1608238</v>
      </c>
      <c r="BN3128" t="s">
        <v>1710</v>
      </c>
      <c r="BO3128" s="17">
        <f t="shared" ca="1" si="48"/>
        <v>8.9923109953742824</v>
      </c>
      <c r="BP3128" t="b">
        <v>0</v>
      </c>
      <c r="BQ3128">
        <v>1</v>
      </c>
      <c r="BR3128" t="s">
        <v>1667</v>
      </c>
      <c r="BS3128" t="s">
        <v>2832</v>
      </c>
      <c r="BT3128" t="b">
        <v>0</v>
      </c>
      <c r="BV3128" t="s">
        <v>1668</v>
      </c>
      <c r="BW3128">
        <v>5715</v>
      </c>
      <c r="BX3128" t="s">
        <v>1738</v>
      </c>
      <c r="BY3128">
        <v>313512</v>
      </c>
      <c r="BZ3128" t="s">
        <v>1709</v>
      </c>
      <c r="CA3128">
        <v>1</v>
      </c>
      <c r="CB3128" t="b">
        <v>1</v>
      </c>
      <c r="CC3128">
        <v>0</v>
      </c>
      <c r="CD3128" t="b">
        <v>0</v>
      </c>
      <c r="CE3128" t="b">
        <v>1</v>
      </c>
      <c r="CF3128" t="b">
        <v>0</v>
      </c>
      <c r="CG3128">
        <v>2864786</v>
      </c>
      <c r="CH3128" t="s">
        <v>1681</v>
      </c>
      <c r="CI3128" s="10">
        <v>489900</v>
      </c>
      <c r="CJ3128" s="7">
        <v>37680</v>
      </c>
    </row>
    <row r="3129" spans="1:90">
      <c r="A3129">
        <v>28055566</v>
      </c>
      <c r="B3129" s="2" t="str">
        <f>HYPERLINK("http://www.redfin.com/stingray/do/printable-listing?listing-id=1609681","Active")</f>
        <v>Active</v>
      </c>
      <c r="D3129" t="s">
        <v>5490</v>
      </c>
      <c r="E3129" t="s">
        <v>6751</v>
      </c>
      <c r="F3129">
        <v>734950</v>
      </c>
      <c r="G3129">
        <v>2000</v>
      </c>
      <c r="H3129">
        <v>2626</v>
      </c>
      <c r="I3129">
        <v>6547</v>
      </c>
      <c r="J3129">
        <v>3</v>
      </c>
      <c r="K3129">
        <v>2.75</v>
      </c>
      <c r="M3129" s="2" t="str">
        <f>HYPERLINK("http://maps.live.com/default.aspx?v=2&amp;lvl=15&amp;sp=Point.47.543773_-122.119056_6439 166th Pl SE&amp;cp=47.543773~-122.119056","Map")</f>
        <v>Map</v>
      </c>
      <c r="N3129" s="2" t="str">
        <f>HYPERLINK("http://i-0.rfimg.us/photo/1/bigphoto/566/28055566_0.jpg","Photo")</f>
        <v>Photo</v>
      </c>
      <c r="AG3129">
        <v>47.543773000000002</v>
      </c>
      <c r="AH3129">
        <v>-122.119056</v>
      </c>
      <c r="AI3129" t="s">
        <v>369</v>
      </c>
      <c r="AJ3129">
        <v>98006</v>
      </c>
      <c r="AN3129">
        <v>509950</v>
      </c>
      <c r="BC3129" s="22">
        <v>39540.569872685184</v>
      </c>
      <c r="BI3129" s="22">
        <v>39549.294907407406</v>
      </c>
      <c r="BL3129">
        <v>14699</v>
      </c>
      <c r="BM3129">
        <v>1609681</v>
      </c>
      <c r="BN3129" t="s">
        <v>1768</v>
      </c>
      <c r="BO3129" s="17">
        <f t="shared" ca="1" si="48"/>
        <v>8.739533217594726</v>
      </c>
      <c r="BP3129" t="b">
        <v>0</v>
      </c>
      <c r="BQ3129">
        <v>1</v>
      </c>
      <c r="BR3129" t="s">
        <v>1842</v>
      </c>
      <c r="BS3129" t="s">
        <v>5194</v>
      </c>
      <c r="BT3129" t="b">
        <v>0</v>
      </c>
      <c r="BV3129" t="s">
        <v>1668</v>
      </c>
      <c r="BW3129">
        <v>6439</v>
      </c>
      <c r="BX3129" t="s">
        <v>3856</v>
      </c>
      <c r="BY3129">
        <v>418922</v>
      </c>
      <c r="BZ3129" t="s">
        <v>1672</v>
      </c>
      <c r="CA3129">
        <v>1</v>
      </c>
      <c r="CB3129" t="b">
        <v>1</v>
      </c>
      <c r="CC3129">
        <v>0</v>
      </c>
      <c r="CD3129" t="b">
        <v>0</v>
      </c>
      <c r="CE3129" t="b">
        <v>1</v>
      </c>
      <c r="CF3129" t="b">
        <v>0</v>
      </c>
      <c r="CG3129">
        <v>2840232</v>
      </c>
      <c r="CH3129" t="s">
        <v>1681</v>
      </c>
      <c r="CI3129" s="10">
        <v>734950</v>
      </c>
      <c r="CJ3129" s="7">
        <v>36858</v>
      </c>
    </row>
    <row r="3130" spans="1:90">
      <c r="A3130">
        <v>28055578</v>
      </c>
      <c r="B3130" s="15" t="str">
        <f>HYPERLINK("http://www.redfin.com/stingray/do/printable-listing?listing-id=1606080","Subject To Inspection")</f>
        <v>Subject To Inspection</v>
      </c>
      <c r="D3130" t="s">
        <v>369</v>
      </c>
      <c r="E3130" t="s">
        <v>5222</v>
      </c>
      <c r="F3130">
        <v>524950</v>
      </c>
      <c r="G3130">
        <v>1962</v>
      </c>
      <c r="H3130">
        <v>2040</v>
      </c>
      <c r="I3130">
        <v>0</v>
      </c>
      <c r="J3130">
        <v>4</v>
      </c>
      <c r="K3130">
        <v>1.75</v>
      </c>
      <c r="M3130" s="2" t="str">
        <f>HYPERLINK("http://maps.live.com/default.aspx?v=2&amp;lvl=15&amp;sp=Point.47.592523_-122.147235_14506 SE 20th Pl&amp;cp=47.592523~-122.147235","Map")</f>
        <v>Map</v>
      </c>
      <c r="N3130" s="2" t="str">
        <f>HYPERLINK("http://i-0.rfimg.us/photo/1/bigphoto/578/28055578_1.jpg","Photo")</f>
        <v>Photo</v>
      </c>
      <c r="AG3130">
        <v>47.592523</v>
      </c>
      <c r="AH3130">
        <v>-122.14723499999999</v>
      </c>
      <c r="AI3130" t="s">
        <v>369</v>
      </c>
      <c r="AJ3130">
        <v>98007</v>
      </c>
      <c r="AN3130">
        <v>430000</v>
      </c>
      <c r="BC3130" s="22">
        <v>39539.568506944444</v>
      </c>
      <c r="BI3130" s="22">
        <v>39549.294907407406</v>
      </c>
      <c r="BL3130">
        <v>10499</v>
      </c>
      <c r="BM3130">
        <v>1606080</v>
      </c>
      <c r="BN3130" t="s">
        <v>3883</v>
      </c>
      <c r="BO3130" s="17">
        <f t="shared" ca="1" si="48"/>
        <v>9.7408989583345829</v>
      </c>
      <c r="BP3130" t="b">
        <v>0</v>
      </c>
      <c r="BQ3130">
        <v>1</v>
      </c>
      <c r="BR3130" t="s">
        <v>1842</v>
      </c>
      <c r="BS3130" t="s">
        <v>1844</v>
      </c>
      <c r="BT3130" t="b">
        <v>0</v>
      </c>
      <c r="BU3130" t="s">
        <v>3856</v>
      </c>
      <c r="BV3130" t="s">
        <v>1668</v>
      </c>
      <c r="BW3130">
        <v>14506</v>
      </c>
      <c r="BY3130">
        <v>426090</v>
      </c>
      <c r="BZ3130" t="s">
        <v>6166</v>
      </c>
      <c r="CA3130">
        <v>1</v>
      </c>
      <c r="CB3130" t="b">
        <v>1</v>
      </c>
      <c r="CC3130">
        <v>0</v>
      </c>
      <c r="CD3130" t="b">
        <v>0</v>
      </c>
      <c r="CE3130" t="b">
        <v>1</v>
      </c>
      <c r="CF3130" t="b">
        <v>0</v>
      </c>
      <c r="CG3130">
        <v>2782645</v>
      </c>
      <c r="CH3130" t="s">
        <v>1681</v>
      </c>
      <c r="CI3130" s="10">
        <v>524950</v>
      </c>
      <c r="CJ3130" s="7">
        <v>39353</v>
      </c>
    </row>
    <row r="3131" spans="1:90">
      <c r="A3131">
        <v>28055604</v>
      </c>
      <c r="B3131" s="2" t="str">
        <f>HYPERLINK("http://www.redfin.com/stingray/do/printable-listing?listing-id=1608848","Active")</f>
        <v>Active</v>
      </c>
      <c r="D3131" t="s">
        <v>3961</v>
      </c>
      <c r="E3131" t="s">
        <v>6726</v>
      </c>
      <c r="F3131">
        <v>1595000</v>
      </c>
      <c r="G3131">
        <v>1905</v>
      </c>
      <c r="H3131">
        <v>4828</v>
      </c>
      <c r="I3131">
        <v>10350</v>
      </c>
      <c r="J3131">
        <v>5</v>
      </c>
      <c r="K3131">
        <v>3.75</v>
      </c>
      <c r="M3131" s="2" t="str">
        <f>HYPERLINK("http://maps.live.com/default.aspx?v=2&amp;lvl=15&amp;sp=Point.47.598866_-122.294003_421 30th Ave S&amp;cp=47.598866~-122.294003","Map")</f>
        <v>Map</v>
      </c>
      <c r="N3131" s="2" t="str">
        <f>HYPERLINK("http://i-0.rfimg.us/photo/1/bigphoto/604/28055604_1.jpg","Photo")</f>
        <v>Photo</v>
      </c>
      <c r="AG3131">
        <v>47.598866000000001</v>
      </c>
      <c r="AH3131">
        <v>-122.294003</v>
      </c>
      <c r="AI3131" t="s">
        <v>66</v>
      </c>
      <c r="AJ3131">
        <v>98144</v>
      </c>
      <c r="BC3131" s="22">
        <v>39540.45039351852</v>
      </c>
      <c r="BI3131" s="22">
        <v>39549.294907407406</v>
      </c>
      <c r="BL3131">
        <v>31900</v>
      </c>
      <c r="BM3131">
        <v>1608848</v>
      </c>
      <c r="BN3131" t="s">
        <v>1710</v>
      </c>
      <c r="BO3131" s="17">
        <f t="shared" ca="1" si="48"/>
        <v>8.8590123842586763</v>
      </c>
      <c r="BP3131" t="b">
        <v>0</v>
      </c>
      <c r="BQ3131">
        <v>1</v>
      </c>
      <c r="BR3131" t="s">
        <v>1667</v>
      </c>
      <c r="BS3131" t="s">
        <v>1818</v>
      </c>
      <c r="BT3131" t="b">
        <v>0</v>
      </c>
      <c r="BV3131" t="s">
        <v>1668</v>
      </c>
      <c r="BW3131">
        <v>421</v>
      </c>
      <c r="BX3131" t="s">
        <v>1881</v>
      </c>
      <c r="BY3131">
        <v>12184157</v>
      </c>
      <c r="BZ3131" t="s">
        <v>2200</v>
      </c>
      <c r="CA3131">
        <v>1</v>
      </c>
      <c r="CB3131" t="b">
        <v>1</v>
      </c>
      <c r="CC3131">
        <v>0</v>
      </c>
      <c r="CD3131" t="b">
        <v>0</v>
      </c>
      <c r="CE3131" t="b">
        <v>1</v>
      </c>
      <c r="CF3131" t="b">
        <v>0</v>
      </c>
      <c r="CG3131">
        <v>15413459</v>
      </c>
      <c r="CH3131" t="s">
        <v>1681</v>
      </c>
      <c r="CI3131" s="10">
        <v>1595000</v>
      </c>
    </row>
    <row r="3132" spans="1:90">
      <c r="A3132">
        <v>28055615</v>
      </c>
      <c r="B3132" s="2" t="str">
        <f>HYPERLINK("http://www.redfin.com/stingray/do/printable-listing?listing-id=1616980","Active")</f>
        <v>Active</v>
      </c>
      <c r="D3132" t="s">
        <v>3249</v>
      </c>
      <c r="E3132" t="s">
        <v>6828</v>
      </c>
      <c r="F3132">
        <v>1950000</v>
      </c>
      <c r="G3132">
        <v>1915</v>
      </c>
      <c r="H3132">
        <v>3566</v>
      </c>
      <c r="I3132">
        <v>4980</v>
      </c>
      <c r="J3132">
        <v>4</v>
      </c>
      <c r="K3132">
        <v>3</v>
      </c>
      <c r="M3132" s="2" t="str">
        <f>HYPERLINK("http://maps.live.com/default.aspx?v=2&amp;lvl=15&amp;sp=Point.47.634274_-122.366757_1625 7th Ave W&amp;cp=47.634274~-122.366757","Map")</f>
        <v>Map</v>
      </c>
      <c r="N3132" s="2" t="str">
        <f>HYPERLINK("http://i-0.rfimg.us/photo/1/bigphoto/615/28055615_1.jpg","Photo")</f>
        <v>Photo</v>
      </c>
      <c r="AG3132">
        <v>47.634273999999998</v>
      </c>
      <c r="AH3132">
        <v>-122.36675700000001</v>
      </c>
      <c r="AI3132" t="s">
        <v>66</v>
      </c>
      <c r="AJ3132">
        <v>98119</v>
      </c>
      <c r="AN3132">
        <v>635000</v>
      </c>
      <c r="BC3132" s="22">
        <v>39542.495393518519</v>
      </c>
      <c r="BI3132" s="22">
        <v>39549.294907407406</v>
      </c>
      <c r="BL3132">
        <v>39000</v>
      </c>
      <c r="BM3132">
        <v>1616980</v>
      </c>
      <c r="BN3132" t="s">
        <v>1710</v>
      </c>
      <c r="BO3132" s="17">
        <f t="shared" ca="1" si="48"/>
        <v>6.8140123842604226</v>
      </c>
      <c r="BP3132" t="b">
        <v>0</v>
      </c>
      <c r="BQ3132">
        <v>1</v>
      </c>
      <c r="BR3132" t="s">
        <v>1667</v>
      </c>
      <c r="BS3132" t="s">
        <v>1859</v>
      </c>
      <c r="BT3132" t="b">
        <v>0</v>
      </c>
      <c r="BV3132" t="s">
        <v>1668</v>
      </c>
      <c r="BW3132">
        <v>1625</v>
      </c>
      <c r="BX3132" t="s">
        <v>2423</v>
      </c>
      <c r="BY3132">
        <v>134227</v>
      </c>
      <c r="BZ3132" t="s">
        <v>1709</v>
      </c>
      <c r="CA3132">
        <v>1</v>
      </c>
      <c r="CB3132" t="b">
        <v>1</v>
      </c>
      <c r="CC3132">
        <v>0</v>
      </c>
      <c r="CD3132" t="b">
        <v>0</v>
      </c>
      <c r="CE3132" t="b">
        <v>1</v>
      </c>
      <c r="CF3132" t="b">
        <v>0</v>
      </c>
      <c r="CG3132">
        <v>2974067</v>
      </c>
      <c r="CH3132" t="s">
        <v>1681</v>
      </c>
      <c r="CI3132" s="10">
        <v>1950000</v>
      </c>
      <c r="CJ3132" s="7">
        <v>36249</v>
      </c>
    </row>
    <row r="3133" spans="1:90">
      <c r="A3133">
        <v>28055637</v>
      </c>
      <c r="B3133" s="2" t="str">
        <f>HYPERLINK("http://www.redfin.com/stingray/do/printable-listing?listing-id=1608228","Active")</f>
        <v>Active</v>
      </c>
      <c r="D3133" t="s">
        <v>109</v>
      </c>
      <c r="E3133" t="s">
        <v>6706</v>
      </c>
      <c r="F3133">
        <v>549000</v>
      </c>
      <c r="G3133">
        <v>1914</v>
      </c>
      <c r="H3133">
        <v>0</v>
      </c>
      <c r="I3133">
        <v>3750</v>
      </c>
      <c r="J3133">
        <v>3</v>
      </c>
      <c r="K3133">
        <v>1</v>
      </c>
      <c r="M3133" s="2" t="str">
        <f>HYPERLINK("http://maps.live.com/default.aspx?v=2&amp;lvl=15&amp;sp=Point.47.662374_-122.334512_1912 N 46th St&amp;cp=47.662374~-122.334512","Map")</f>
        <v>Map</v>
      </c>
      <c r="N3133" s="2" t="str">
        <f>HYPERLINK("http://i-0.rfimg.us/photo/1/bigphoto/637/28055637_.jpg","Photo")</f>
        <v>Photo</v>
      </c>
      <c r="AG3133">
        <v>47.662374</v>
      </c>
      <c r="AH3133">
        <v>-122.334512</v>
      </c>
      <c r="AI3133" t="s">
        <v>66</v>
      </c>
      <c r="AJ3133">
        <v>98103</v>
      </c>
      <c r="AN3133">
        <v>441500</v>
      </c>
      <c r="BC3133" s="22">
        <v>39540.307719907411</v>
      </c>
      <c r="BI3133" s="22">
        <v>39549.294907407406</v>
      </c>
      <c r="BL3133">
        <v>10980</v>
      </c>
      <c r="BM3133">
        <v>1608228</v>
      </c>
      <c r="BN3133" t="s">
        <v>1710</v>
      </c>
      <c r="BO3133" s="17">
        <f t="shared" ca="1" si="48"/>
        <v>9.0016859953684616</v>
      </c>
      <c r="BP3133" t="b">
        <v>0</v>
      </c>
      <c r="BQ3133">
        <v>1</v>
      </c>
      <c r="BR3133" t="s">
        <v>1686</v>
      </c>
      <c r="BS3133" t="s">
        <v>2471</v>
      </c>
      <c r="BT3133" t="b">
        <v>0</v>
      </c>
      <c r="BU3133" t="s">
        <v>1712</v>
      </c>
      <c r="BV3133" t="s">
        <v>1668</v>
      </c>
      <c r="BW3133">
        <v>1912</v>
      </c>
      <c r="BY3133">
        <v>117357</v>
      </c>
      <c r="BZ3133" t="s">
        <v>1672</v>
      </c>
      <c r="CA3133">
        <v>1</v>
      </c>
      <c r="CB3133" t="b">
        <v>1</v>
      </c>
      <c r="CC3133">
        <v>0</v>
      </c>
      <c r="CD3133" t="b">
        <v>0</v>
      </c>
      <c r="CE3133" t="b">
        <v>1</v>
      </c>
      <c r="CF3133" t="b">
        <v>0</v>
      </c>
      <c r="CG3133">
        <v>2485975</v>
      </c>
      <c r="CH3133" t="s">
        <v>1681</v>
      </c>
      <c r="CI3133" s="10">
        <v>549000</v>
      </c>
      <c r="CJ3133" s="7">
        <v>38096</v>
      </c>
    </row>
    <row r="3134" spans="1:90">
      <c r="A3134">
        <v>28055639</v>
      </c>
      <c r="B3134" s="2" t="str">
        <f>HYPERLINK("http://www.redfin.com/stingray/do/printable-listing?listing-id=1617627","Active")</f>
        <v>Active</v>
      </c>
      <c r="D3134" t="s">
        <v>194</v>
      </c>
      <c r="E3134" t="s">
        <v>6821</v>
      </c>
      <c r="F3134">
        <v>559000</v>
      </c>
      <c r="G3134">
        <v>1952</v>
      </c>
      <c r="H3134">
        <v>2430</v>
      </c>
      <c r="I3134">
        <v>6120</v>
      </c>
      <c r="J3134">
        <v>4</v>
      </c>
      <c r="K3134">
        <v>1.75</v>
      </c>
      <c r="M3134" s="2" t="str">
        <f>HYPERLINK("http://maps.live.com/default.aspx?v=2&amp;lvl=15&amp;sp=Point.47.694762_-122.289137_3530 NE 91st St&amp;cp=47.694762~-122.289137","Map")</f>
        <v>Map</v>
      </c>
      <c r="N3134" s="2" t="str">
        <f>HYPERLINK("http://i-0.rfimg.us/photo/1/bigphoto/639/28055639_0.jpg","Photo")</f>
        <v>Photo</v>
      </c>
      <c r="AG3134">
        <v>47.694761999999997</v>
      </c>
      <c r="AH3134">
        <v>-122.289137</v>
      </c>
      <c r="AI3134" t="s">
        <v>66</v>
      </c>
      <c r="AJ3134">
        <v>98115</v>
      </c>
      <c r="AN3134">
        <v>167000</v>
      </c>
      <c r="BC3134" s="22">
        <v>39542.55809027778</v>
      </c>
      <c r="BI3134" s="22">
        <v>39549.294907407406</v>
      </c>
      <c r="BL3134">
        <v>11180</v>
      </c>
      <c r="BM3134">
        <v>1617627</v>
      </c>
      <c r="BN3134" t="s">
        <v>1710</v>
      </c>
      <c r="BO3134" s="17">
        <f t="shared" ca="1" si="48"/>
        <v>6.7513156249988242</v>
      </c>
      <c r="BP3134" t="b">
        <v>0</v>
      </c>
      <c r="BQ3134">
        <v>1</v>
      </c>
      <c r="BR3134" t="s">
        <v>1686</v>
      </c>
      <c r="BS3134" t="s">
        <v>2818</v>
      </c>
      <c r="BT3134" t="b">
        <v>0</v>
      </c>
      <c r="BU3134" t="s">
        <v>1738</v>
      </c>
      <c r="BV3134" t="s">
        <v>1668</v>
      </c>
      <c r="BW3134">
        <v>3530</v>
      </c>
      <c r="BY3134">
        <v>315727</v>
      </c>
      <c r="BZ3134" s="21">
        <v>0</v>
      </c>
      <c r="CA3134">
        <v>1</v>
      </c>
      <c r="CB3134" t="b">
        <v>1</v>
      </c>
      <c r="CC3134">
        <v>0</v>
      </c>
      <c r="CD3134" t="b">
        <v>0</v>
      </c>
      <c r="CE3134" t="b">
        <v>1</v>
      </c>
      <c r="CF3134" t="b">
        <v>0</v>
      </c>
      <c r="CG3134">
        <v>2572873</v>
      </c>
      <c r="CH3134" t="s">
        <v>1681</v>
      </c>
      <c r="CI3134" s="10">
        <v>559000</v>
      </c>
      <c r="CJ3134" s="7">
        <v>34915</v>
      </c>
    </row>
    <row r="3135" spans="1:90">
      <c r="A3135">
        <v>28055650</v>
      </c>
      <c r="B3135" s="2" t="str">
        <f>HYPERLINK("http://www.redfin.com/stingray/do/printable-listing?listing-id=1605273","Active")</f>
        <v>Active</v>
      </c>
      <c r="D3135" t="s">
        <v>2552</v>
      </c>
      <c r="E3135" t="s">
        <v>3495</v>
      </c>
      <c r="F3135">
        <v>439950</v>
      </c>
      <c r="G3135">
        <v>1948</v>
      </c>
      <c r="H3135">
        <v>1680</v>
      </c>
      <c r="I3135">
        <v>4800</v>
      </c>
      <c r="J3135">
        <v>2</v>
      </c>
      <c r="K3135">
        <v>1.75</v>
      </c>
      <c r="M3135" s="2" t="str">
        <f>HYPERLINK("http://maps.live.com/default.aspx?v=2&amp;lvl=15&amp;sp=Point.47.655549_-122.396028_3849 30th Ave W&amp;cp=47.655549~-122.396028","Map")</f>
        <v>Map</v>
      </c>
      <c r="N3135" s="2" t="str">
        <f>HYPERLINK("http://i-0.rfimg.us/photo/1/bigphoto/650/28055650_.jpg","Photo")</f>
        <v>Photo</v>
      </c>
      <c r="AG3135">
        <v>47.655549000000001</v>
      </c>
      <c r="AH3135">
        <v>-122.396028</v>
      </c>
      <c r="AI3135" t="s">
        <v>66</v>
      </c>
      <c r="AJ3135">
        <v>98199</v>
      </c>
      <c r="AN3135">
        <v>194200</v>
      </c>
      <c r="BC3135" s="22">
        <v>39539.453090277777</v>
      </c>
      <c r="BI3135" s="22">
        <v>39549.294907407406</v>
      </c>
      <c r="BL3135">
        <v>8799</v>
      </c>
      <c r="BM3135">
        <v>1605273</v>
      </c>
      <c r="BN3135" t="s">
        <v>1979</v>
      </c>
      <c r="BO3135" s="17">
        <f t="shared" ca="1" si="48"/>
        <v>9.8563156250020256</v>
      </c>
      <c r="BP3135" t="b">
        <v>0</v>
      </c>
      <c r="BQ3135">
        <v>1</v>
      </c>
      <c r="BR3135" t="s">
        <v>1667</v>
      </c>
      <c r="BS3135" t="s">
        <v>1818</v>
      </c>
      <c r="BT3135" t="b">
        <v>0</v>
      </c>
      <c r="BV3135" t="s">
        <v>1668</v>
      </c>
      <c r="BW3135">
        <v>3849</v>
      </c>
      <c r="BX3135" t="s">
        <v>2423</v>
      </c>
      <c r="BY3135">
        <v>128459</v>
      </c>
      <c r="BZ3135" t="s">
        <v>2799</v>
      </c>
      <c r="CA3135">
        <v>1</v>
      </c>
      <c r="CB3135" t="b">
        <v>1</v>
      </c>
      <c r="CC3135">
        <v>0</v>
      </c>
      <c r="CD3135" t="b">
        <v>0</v>
      </c>
      <c r="CE3135" t="b">
        <v>1</v>
      </c>
      <c r="CF3135" t="b">
        <v>0</v>
      </c>
      <c r="CG3135">
        <v>2405721</v>
      </c>
      <c r="CH3135" t="s">
        <v>1681</v>
      </c>
      <c r="CI3135" s="10">
        <v>439950</v>
      </c>
      <c r="CJ3135" s="7">
        <v>36119</v>
      </c>
      <c r="CL3135" t="s">
        <v>6311</v>
      </c>
    </row>
    <row r="3136" spans="1:90">
      <c r="A3136">
        <v>28055653</v>
      </c>
      <c r="B3136" s="2" t="str">
        <f>HYPERLINK("http://www.redfin.com/stingray/do/printable-listing?listing-id=1606253","Active")</f>
        <v>Active</v>
      </c>
      <c r="D3136" t="s">
        <v>6698</v>
      </c>
      <c r="E3136" t="s">
        <v>6697</v>
      </c>
      <c r="F3136">
        <v>1190000</v>
      </c>
      <c r="G3136">
        <v>1967</v>
      </c>
      <c r="H3136">
        <v>3500</v>
      </c>
      <c r="I3136">
        <v>12840</v>
      </c>
      <c r="J3136">
        <v>5</v>
      </c>
      <c r="K3136">
        <v>3.5</v>
      </c>
      <c r="M3136" s="2" t="str">
        <f>HYPERLINK("http://maps.live.com/default.aspx?v=2&amp;lvl=15&amp;sp=Point.47.537949_-122.225593_8515 SE 72nd St&amp;cp=47.537949~-122.225593","Map")</f>
        <v>Map</v>
      </c>
      <c r="N3136" s="2" t="str">
        <f>HYPERLINK("http://i-0.rfimg.us/photo/1/bigphoto/653/28055653_0.jpg","Photo")</f>
        <v>Photo</v>
      </c>
      <c r="AG3136">
        <v>47.537948999999998</v>
      </c>
      <c r="AH3136">
        <v>-122.225593</v>
      </c>
      <c r="AI3136" t="s">
        <v>5139</v>
      </c>
      <c r="AJ3136">
        <v>98040</v>
      </c>
      <c r="AN3136">
        <v>794000</v>
      </c>
      <c r="BC3136" s="22">
        <v>39539.613587962966</v>
      </c>
      <c r="BI3136" s="22">
        <v>39549.294907407406</v>
      </c>
      <c r="BL3136">
        <v>23800</v>
      </c>
      <c r="BM3136">
        <v>1606253</v>
      </c>
      <c r="BN3136" t="s">
        <v>1798</v>
      </c>
      <c r="BO3136" s="17">
        <f t="shared" ca="1" si="48"/>
        <v>9.6958179398134234</v>
      </c>
      <c r="BP3136" t="b">
        <v>0</v>
      </c>
      <c r="BQ3136">
        <v>1</v>
      </c>
      <c r="BR3136" t="s">
        <v>1686</v>
      </c>
      <c r="BS3136" t="s">
        <v>2632</v>
      </c>
      <c r="BT3136" t="b">
        <v>0</v>
      </c>
      <c r="BU3136" t="s">
        <v>3856</v>
      </c>
      <c r="BV3136" t="s">
        <v>1668</v>
      </c>
      <c r="BW3136">
        <v>8515</v>
      </c>
      <c r="BY3136">
        <v>260208</v>
      </c>
      <c r="BZ3136" t="s">
        <v>1745</v>
      </c>
      <c r="CA3136">
        <v>1</v>
      </c>
      <c r="CB3136" t="b">
        <v>1</v>
      </c>
      <c r="CC3136">
        <v>0</v>
      </c>
      <c r="CD3136" t="b">
        <v>0</v>
      </c>
      <c r="CE3136" t="b">
        <v>1</v>
      </c>
      <c r="CF3136" t="b">
        <v>0</v>
      </c>
      <c r="CG3136">
        <v>2789356</v>
      </c>
      <c r="CH3136" t="s">
        <v>1681</v>
      </c>
      <c r="CI3136" s="10">
        <v>1190000</v>
      </c>
      <c r="CJ3136" s="7">
        <v>38412</v>
      </c>
    </row>
    <row r="3137" spans="1:90">
      <c r="A3137">
        <v>28055705</v>
      </c>
      <c r="B3137" s="15" t="str">
        <f>HYPERLINK("http://www.redfin.com/stingray/do/printable-listing?listing-id=1605350","Subject To Inspection")</f>
        <v>Subject To Inspection</v>
      </c>
      <c r="D3137" t="s">
        <v>4542</v>
      </c>
      <c r="E3137" t="s">
        <v>6684</v>
      </c>
      <c r="F3137">
        <v>895000</v>
      </c>
      <c r="G3137">
        <v>2006</v>
      </c>
      <c r="H3137">
        <v>0</v>
      </c>
      <c r="I3137">
        <v>6362</v>
      </c>
      <c r="J3137">
        <v>3</v>
      </c>
      <c r="K3137">
        <v>2.5</v>
      </c>
      <c r="M3137" s="2" t="str">
        <f>HYPERLINK("http://maps.live.com/default.aspx?v=2&amp;lvl=15&amp;sp=Point.47.685728_-122.19865_1225 5th Pl&amp;cp=47.685728~-122.19865","Map")</f>
        <v>Map</v>
      </c>
      <c r="N3137" s="2" t="str">
        <f>HYPERLINK("http://i-0.rfimg.us/photo/1/bigphoto/705/28055705_1.jpg","Photo")</f>
        <v>Photo</v>
      </c>
      <c r="AG3137">
        <v>47.685727999999997</v>
      </c>
      <c r="AH3137">
        <v>-122.19865</v>
      </c>
      <c r="AI3137" t="s">
        <v>1058</v>
      </c>
      <c r="AJ3137">
        <v>98033</v>
      </c>
      <c r="AN3137">
        <v>415000</v>
      </c>
      <c r="BC3137" s="22">
        <v>39539.463877314818</v>
      </c>
      <c r="BI3137" s="22">
        <v>39547.913935185185</v>
      </c>
      <c r="BL3137">
        <v>17900</v>
      </c>
      <c r="BM3137">
        <v>1605350</v>
      </c>
      <c r="BN3137" t="s">
        <v>3092</v>
      </c>
      <c r="BO3137" s="17">
        <f t="shared" ca="1" si="48"/>
        <v>9.8455285879608709</v>
      </c>
      <c r="BP3137" t="b">
        <v>0</v>
      </c>
      <c r="BQ3137">
        <v>1</v>
      </c>
      <c r="BR3137" t="s">
        <v>1842</v>
      </c>
      <c r="BS3137" t="s">
        <v>1832</v>
      </c>
      <c r="BT3137" t="b">
        <v>0</v>
      </c>
      <c r="BV3137" t="s">
        <v>1668</v>
      </c>
      <c r="BW3137">
        <v>1225</v>
      </c>
      <c r="BY3137">
        <v>461206</v>
      </c>
      <c r="BZ3137" t="s">
        <v>2133</v>
      </c>
      <c r="CA3137">
        <v>1</v>
      </c>
      <c r="CB3137" t="b">
        <v>1</v>
      </c>
      <c r="CC3137">
        <v>0</v>
      </c>
      <c r="CD3137" t="b">
        <v>0</v>
      </c>
      <c r="CE3137" t="b">
        <v>1</v>
      </c>
      <c r="CF3137" t="b">
        <v>0</v>
      </c>
      <c r="CG3137">
        <v>2466620</v>
      </c>
      <c r="CH3137" t="s">
        <v>1681</v>
      </c>
      <c r="CI3137" s="10">
        <v>895000</v>
      </c>
      <c r="CJ3137" s="7">
        <v>38533</v>
      </c>
    </row>
    <row r="3138" spans="1:90">
      <c r="A3138">
        <v>28055712</v>
      </c>
      <c r="B3138" s="2" t="str">
        <f>HYPERLINK("http://www.redfin.com/stingray/do/printable-listing?listing-id=1605916","Active")</f>
        <v>Active</v>
      </c>
      <c r="D3138" t="s">
        <v>218</v>
      </c>
      <c r="E3138" t="s">
        <v>6672</v>
      </c>
      <c r="F3138">
        <v>698000</v>
      </c>
      <c r="G3138">
        <v>1928</v>
      </c>
      <c r="H3138">
        <v>2230</v>
      </c>
      <c r="I3138">
        <v>4600</v>
      </c>
      <c r="J3138">
        <v>3</v>
      </c>
      <c r="K3138">
        <v>1.5</v>
      </c>
      <c r="M3138" s="2" t="str">
        <f>HYPERLINK("http://maps.live.com/default.aspx?v=2&amp;lvl=15&amp;sp=Point.47.673159_-122.302559_2276 NE 61st Street&amp;cp=47.673159~-122.302559","Map")</f>
        <v>Map</v>
      </c>
      <c r="N3138" s="2" t="str">
        <f>HYPERLINK("http://i-0.rfimg.us/photo/1/bigphoto/712/28055712_1.jpg","Photo")</f>
        <v>Photo</v>
      </c>
      <c r="AG3138">
        <v>47.673158999999998</v>
      </c>
      <c r="AH3138">
        <v>-122.302559</v>
      </c>
      <c r="AI3138" t="s">
        <v>66</v>
      </c>
      <c r="AJ3138">
        <v>98115</v>
      </c>
      <c r="AN3138">
        <v>508000</v>
      </c>
      <c r="BC3138" s="22">
        <v>39539.536932870367</v>
      </c>
      <c r="BI3138" s="22">
        <v>39549.294907407406</v>
      </c>
      <c r="BL3138">
        <v>13960</v>
      </c>
      <c r="BM3138">
        <v>1605916</v>
      </c>
      <c r="BN3138" t="s">
        <v>1688</v>
      </c>
      <c r="BO3138" s="17">
        <f t="shared" ref="BO3138:BO3201" ca="1" si="49">NOW()-BC3138</f>
        <v>9.7724730324116535</v>
      </c>
      <c r="BP3138" t="b">
        <v>0</v>
      </c>
      <c r="BQ3138">
        <v>1</v>
      </c>
      <c r="BR3138" t="s">
        <v>1656</v>
      </c>
      <c r="BS3138" t="s">
        <v>2431</v>
      </c>
      <c r="BT3138" t="b">
        <v>0</v>
      </c>
      <c r="BU3138" t="s">
        <v>1738</v>
      </c>
      <c r="BV3138" t="s">
        <v>1668</v>
      </c>
      <c r="BW3138">
        <v>2276</v>
      </c>
      <c r="BY3138">
        <v>307812</v>
      </c>
      <c r="BZ3138" t="s">
        <v>6673</v>
      </c>
      <c r="CA3138">
        <v>1</v>
      </c>
      <c r="CB3138" t="b">
        <v>1</v>
      </c>
      <c r="CC3138">
        <v>0</v>
      </c>
      <c r="CD3138" t="b">
        <v>0</v>
      </c>
      <c r="CE3138" t="b">
        <v>1</v>
      </c>
      <c r="CF3138" t="b">
        <v>0</v>
      </c>
      <c r="CG3138">
        <v>2660289</v>
      </c>
      <c r="CH3138" t="s">
        <v>1681</v>
      </c>
      <c r="CI3138" s="10">
        <v>698000</v>
      </c>
      <c r="CJ3138" s="7">
        <v>37777</v>
      </c>
    </row>
    <row r="3139" spans="1:90">
      <c r="A3139">
        <v>28055738</v>
      </c>
      <c r="B3139" s="2" t="str">
        <f>HYPERLINK("http://www.redfin.com/stingray/do/printable-listing?listing-id=1605465","Active")</f>
        <v>Active</v>
      </c>
      <c r="D3139" t="s">
        <v>1058</v>
      </c>
      <c r="E3139" t="s">
        <v>4348</v>
      </c>
      <c r="F3139">
        <v>999950</v>
      </c>
      <c r="G3139">
        <v>2007</v>
      </c>
      <c r="H3139">
        <v>3244</v>
      </c>
      <c r="I3139">
        <v>7163</v>
      </c>
      <c r="J3139">
        <v>3</v>
      </c>
      <c r="K3139">
        <v>2.5</v>
      </c>
      <c r="M3139" s="2" t="str">
        <f>HYPERLINK("http://maps.live.com/default.aspx?v=2&amp;lvl=15&amp;sp=Point.47.6952_-122.1686_10607 106 Pl NE&amp;cp=47.6952~-122.1686","Map")</f>
        <v>Map</v>
      </c>
      <c r="N3139" s="2" t="str">
        <f>HYPERLINK("http://i-0.rfimg.us/photo/1/bigphoto/738/28055738_0.jpg","Photo")</f>
        <v>Photo</v>
      </c>
      <c r="AG3139">
        <v>47.6952</v>
      </c>
      <c r="AH3139">
        <v>-122.1686</v>
      </c>
      <c r="AI3139" t="s">
        <v>1058</v>
      </c>
      <c r="AJ3139">
        <v>98033</v>
      </c>
      <c r="BC3139" s="22">
        <v>39539.484814814816</v>
      </c>
      <c r="BI3139" s="22">
        <v>39549.294907407406</v>
      </c>
      <c r="BL3139">
        <v>19999</v>
      </c>
      <c r="BM3139">
        <v>1605465</v>
      </c>
      <c r="BN3139" t="s">
        <v>1688</v>
      </c>
      <c r="BO3139" s="17">
        <f t="shared" ca="1" si="49"/>
        <v>9.8245910879631992</v>
      </c>
      <c r="BP3139" t="b">
        <v>0</v>
      </c>
      <c r="BQ3139">
        <v>1</v>
      </c>
      <c r="BR3139" t="s">
        <v>1842</v>
      </c>
      <c r="BS3139">
        <v>106</v>
      </c>
      <c r="BT3139" t="b">
        <v>0</v>
      </c>
      <c r="BV3139" t="s">
        <v>1668</v>
      </c>
      <c r="BW3139">
        <v>10607</v>
      </c>
      <c r="BX3139" t="s">
        <v>1738</v>
      </c>
      <c r="BY3139">
        <v>12322075</v>
      </c>
      <c r="BZ3139" s="21" t="s">
        <v>1701</v>
      </c>
      <c r="CA3139">
        <v>1</v>
      </c>
      <c r="CB3139" t="b">
        <v>1</v>
      </c>
      <c r="CC3139">
        <v>0</v>
      </c>
      <c r="CD3139" t="b">
        <v>0</v>
      </c>
      <c r="CE3139" t="b">
        <v>1</v>
      </c>
      <c r="CF3139" t="b">
        <v>0</v>
      </c>
      <c r="CG3139">
        <v>15528110</v>
      </c>
      <c r="CH3139" t="s">
        <v>1681</v>
      </c>
      <c r="CI3139" s="10">
        <v>999950</v>
      </c>
    </row>
    <row r="3140" spans="1:90">
      <c r="A3140">
        <v>28055740</v>
      </c>
      <c r="B3140" s="2" t="str">
        <f>HYPERLINK("http://www.redfin.com/stingray/do/printable-listing?listing-id=1605463","Active")</f>
        <v>Active</v>
      </c>
      <c r="D3140" t="s">
        <v>3885</v>
      </c>
      <c r="E3140" t="s">
        <v>5843</v>
      </c>
      <c r="F3140">
        <v>675000</v>
      </c>
      <c r="G3140">
        <v>1996</v>
      </c>
      <c r="H3140">
        <v>2500</v>
      </c>
      <c r="I3140">
        <v>14652</v>
      </c>
      <c r="J3140">
        <v>4</v>
      </c>
      <c r="K3140">
        <v>2.5</v>
      </c>
      <c r="M3140" s="2" t="str">
        <f>HYPERLINK("http://maps.live.com/default.aspx?v=2&amp;lvl=15&amp;sp=Point.47.528502_-122.145351_14625 SE 82nd Ct&amp;cp=47.528502~-122.145351","Map")</f>
        <v>Map</v>
      </c>
      <c r="N3140" s="2" t="str">
        <f>HYPERLINK("http://i-0.rfimg.us/photo/1/bigphoto/740/28055740_0.jpg","Photo")</f>
        <v>Photo</v>
      </c>
      <c r="AG3140">
        <v>47.528502000000003</v>
      </c>
      <c r="AH3140">
        <v>-122.14535100000001</v>
      </c>
      <c r="AI3140" t="s">
        <v>3885</v>
      </c>
      <c r="AJ3140">
        <v>98059</v>
      </c>
      <c r="AN3140">
        <v>265000</v>
      </c>
      <c r="BC3140" s="22">
        <v>39539.484791666669</v>
      </c>
      <c r="BI3140" s="22">
        <v>39549.294907407406</v>
      </c>
      <c r="BL3140">
        <v>13500</v>
      </c>
      <c r="BM3140">
        <v>1605463</v>
      </c>
      <c r="BN3140" t="s">
        <v>1674</v>
      </c>
      <c r="BO3140" s="17">
        <f t="shared" ca="1" si="49"/>
        <v>9.8246142361094826</v>
      </c>
      <c r="BP3140" t="b">
        <v>0</v>
      </c>
      <c r="BQ3140">
        <v>1</v>
      </c>
      <c r="BR3140" t="s">
        <v>3768</v>
      </c>
      <c r="BS3140" t="s">
        <v>2359</v>
      </c>
      <c r="BT3140" t="b">
        <v>0</v>
      </c>
      <c r="BU3140" t="s">
        <v>3856</v>
      </c>
      <c r="BV3140" t="s">
        <v>1668</v>
      </c>
      <c r="BW3140">
        <v>14625</v>
      </c>
      <c r="BY3140">
        <v>416426</v>
      </c>
      <c r="BZ3140" t="s">
        <v>1672</v>
      </c>
      <c r="CA3140">
        <v>1</v>
      </c>
      <c r="CB3140" t="b">
        <v>1</v>
      </c>
      <c r="CC3140">
        <v>0</v>
      </c>
      <c r="CD3140" t="b">
        <v>0</v>
      </c>
      <c r="CE3140" t="b">
        <v>1</v>
      </c>
      <c r="CF3140" t="b">
        <v>0</v>
      </c>
      <c r="CG3140">
        <v>2483410</v>
      </c>
      <c r="CH3140" t="s">
        <v>1681</v>
      </c>
      <c r="CI3140" s="10">
        <v>675000</v>
      </c>
      <c r="CJ3140" s="7">
        <v>35018</v>
      </c>
    </row>
    <row r="3141" spans="1:90">
      <c r="A3141">
        <v>28055749</v>
      </c>
      <c r="B3141" s="2" t="str">
        <f>HYPERLINK("http://www.redfin.com/stingray/do/printable-listing?listing-id=1605512","Active")</f>
        <v>Active</v>
      </c>
      <c r="D3141" t="s">
        <v>3685</v>
      </c>
      <c r="E3141" t="s">
        <v>6676</v>
      </c>
      <c r="F3141">
        <v>1089000</v>
      </c>
      <c r="G3141">
        <v>1987</v>
      </c>
      <c r="H3141">
        <v>0</v>
      </c>
      <c r="I3141">
        <v>0</v>
      </c>
      <c r="J3141">
        <v>2</v>
      </c>
      <c r="K3141">
        <v>2</v>
      </c>
      <c r="M3141" s="2" t="str">
        <f>HYPERLINK("http://maps.live.com/default.aspx?v=2&amp;lvl=15&amp;sp=Point.47.637523_-122.278791_2017 42nd Ave E&amp;cp=47.637523~-122.278791","Map")</f>
        <v>Map</v>
      </c>
      <c r="N3141" s="2" t="str">
        <f>HYPERLINK("http://i-0.rfimg.us/photo/1/bigphoto/749/28055749_1.jpg","Photo")</f>
        <v>Photo</v>
      </c>
      <c r="AG3141">
        <v>47.637523000000002</v>
      </c>
      <c r="AH3141">
        <v>-122.278791</v>
      </c>
      <c r="AI3141" t="s">
        <v>66</v>
      </c>
      <c r="AJ3141">
        <v>98112</v>
      </c>
      <c r="AN3141">
        <v>725000</v>
      </c>
      <c r="BC3141" s="22">
        <v>39539.494571759256</v>
      </c>
      <c r="BI3141" s="22">
        <v>39549.294907407406</v>
      </c>
      <c r="BL3141">
        <v>21780</v>
      </c>
      <c r="BM3141">
        <v>1605512</v>
      </c>
      <c r="BN3141" t="s">
        <v>1829</v>
      </c>
      <c r="BO3141" s="17">
        <f t="shared" ca="1" si="49"/>
        <v>9.814834143522603</v>
      </c>
      <c r="BP3141" t="b">
        <v>0</v>
      </c>
      <c r="BQ3141">
        <v>1</v>
      </c>
      <c r="BR3141" t="s">
        <v>1667</v>
      </c>
      <c r="BS3141" t="s">
        <v>3371</v>
      </c>
      <c r="BT3141" t="b">
        <v>0</v>
      </c>
      <c r="BV3141" t="s">
        <v>1668</v>
      </c>
      <c r="BW3141">
        <v>2017</v>
      </c>
      <c r="BX3141" t="s">
        <v>2436</v>
      </c>
      <c r="BY3141">
        <v>140162</v>
      </c>
      <c r="BZ3141" t="s">
        <v>1820</v>
      </c>
      <c r="CA3141">
        <v>1</v>
      </c>
      <c r="CB3141" t="b">
        <v>1</v>
      </c>
      <c r="CC3141">
        <v>0</v>
      </c>
      <c r="CD3141" t="b">
        <v>0</v>
      </c>
      <c r="CE3141" t="b">
        <v>1</v>
      </c>
      <c r="CF3141" t="b">
        <v>0</v>
      </c>
      <c r="CG3141">
        <v>2953971</v>
      </c>
      <c r="CH3141" t="s">
        <v>1681</v>
      </c>
      <c r="CI3141" s="10">
        <v>1089000</v>
      </c>
      <c r="CJ3141" s="7">
        <v>38559</v>
      </c>
    </row>
    <row r="3142" spans="1:90">
      <c r="A3142">
        <v>28055755</v>
      </c>
      <c r="B3142" s="2" t="str">
        <f>HYPERLINK("http://www.redfin.com/stingray/do/printable-listing?listing-id=1609682","Active")</f>
        <v>Active</v>
      </c>
      <c r="D3142" t="s">
        <v>3064</v>
      </c>
      <c r="E3142" t="s">
        <v>6755</v>
      </c>
      <c r="F3142">
        <v>659950</v>
      </c>
      <c r="G3142">
        <v>2008</v>
      </c>
      <c r="H3142">
        <v>3601</v>
      </c>
      <c r="I3142">
        <v>7841</v>
      </c>
      <c r="J3142">
        <v>4</v>
      </c>
      <c r="K3142">
        <v>2.5</v>
      </c>
      <c r="M3142" s="2" t="str">
        <f>HYPERLINK("http://maps.live.com/default.aspx?v=2&amp;lvl=15&amp;sp=adr.107 Shadow Ave SE (Unable to map),98059","Map")</f>
        <v>Map</v>
      </c>
      <c r="N3142" s="2" t="str">
        <f>HYPERLINK("http://i-0.rfimg.us/photo/1/bigphoto/755/28055755_0.jpg","Photo")</f>
        <v>Photo</v>
      </c>
      <c r="AI3142" t="s">
        <v>1077</v>
      </c>
      <c r="AJ3142">
        <v>98059</v>
      </c>
      <c r="BC3142" s="22">
        <v>39540.569872685184</v>
      </c>
      <c r="BI3142" s="22">
        <v>39549.294907407406</v>
      </c>
      <c r="BL3142">
        <v>13199</v>
      </c>
      <c r="BM3142">
        <v>1609682</v>
      </c>
      <c r="BN3142" t="s">
        <v>4376</v>
      </c>
      <c r="BO3142" s="17">
        <f t="shared" ca="1" si="49"/>
        <v>8.739533217594726</v>
      </c>
      <c r="BP3142" t="b">
        <v>0</v>
      </c>
      <c r="BQ3142">
        <v>1</v>
      </c>
      <c r="BR3142" t="s">
        <v>1667</v>
      </c>
      <c r="BS3142" t="s">
        <v>6754</v>
      </c>
      <c r="BT3142" t="b">
        <v>0</v>
      </c>
      <c r="BV3142" t="s">
        <v>1668</v>
      </c>
      <c r="BW3142">
        <v>107</v>
      </c>
      <c r="BX3142" t="s">
        <v>3856</v>
      </c>
      <c r="BY3142">
        <v>0</v>
      </c>
      <c r="BZ3142" s="21">
        <v>0</v>
      </c>
      <c r="CA3142">
        <v>1</v>
      </c>
      <c r="CB3142" t="b">
        <v>1</v>
      </c>
      <c r="CC3142">
        <v>0</v>
      </c>
      <c r="CD3142" t="b">
        <v>0</v>
      </c>
      <c r="CE3142" t="b">
        <v>1</v>
      </c>
      <c r="CF3142" t="b">
        <v>0</v>
      </c>
      <c r="CG3142" t="s">
        <v>1870</v>
      </c>
      <c r="CH3142" t="s">
        <v>1681</v>
      </c>
      <c r="CI3142" s="10">
        <v>659950</v>
      </c>
    </row>
    <row r="3143" spans="1:90">
      <c r="A3143">
        <v>28055766</v>
      </c>
      <c r="B3143" s="2" t="str">
        <f>HYPERLINK("http://www.redfin.com/stingray/do/printable-listing?listing-id=1608845","Active")</f>
        <v>Active</v>
      </c>
      <c r="D3143" t="s">
        <v>4948</v>
      </c>
      <c r="E3143" t="s">
        <v>4975</v>
      </c>
      <c r="F3143">
        <v>890000</v>
      </c>
      <c r="G3143">
        <v>1949</v>
      </c>
      <c r="H3143">
        <v>1480</v>
      </c>
      <c r="I3143">
        <v>6229</v>
      </c>
      <c r="J3143">
        <v>4</v>
      </c>
      <c r="K3143">
        <v>2</v>
      </c>
      <c r="M3143" s="2" t="str">
        <f>HYPERLINK("http://maps.live.com/default.aspx?v=2&amp;lvl=15&amp;sp=Point.47.649709_-122.216627_4437 94th Ave NE&amp;cp=47.649709~-122.216627","Map")</f>
        <v>Map</v>
      </c>
      <c r="N3143" s="2" t="str">
        <f>HYPERLINK("http://i-0.rfimg.us/photo/1/bigphoto/766/28055766_0.jpg","Photo")</f>
        <v>Photo</v>
      </c>
      <c r="AG3143">
        <v>47.649709000000001</v>
      </c>
      <c r="AH3143">
        <v>-122.216627</v>
      </c>
      <c r="AI3143" t="s">
        <v>4948</v>
      </c>
      <c r="AJ3143">
        <v>98004</v>
      </c>
      <c r="BC3143" s="22">
        <v>39540.450358796297</v>
      </c>
      <c r="BI3143" s="22">
        <v>39549.294907407406</v>
      </c>
      <c r="BL3143">
        <v>17800</v>
      </c>
      <c r="BM3143">
        <v>1608845</v>
      </c>
      <c r="BN3143" t="s">
        <v>3611</v>
      </c>
      <c r="BO3143" s="17">
        <f t="shared" ca="1" si="49"/>
        <v>8.8590471064817393</v>
      </c>
      <c r="BP3143" t="b">
        <v>0</v>
      </c>
      <c r="BQ3143">
        <v>1</v>
      </c>
      <c r="BR3143" t="s">
        <v>1667</v>
      </c>
      <c r="BS3143" t="s">
        <v>2716</v>
      </c>
      <c r="BT3143" t="b">
        <v>0</v>
      </c>
      <c r="BV3143" t="s">
        <v>1668</v>
      </c>
      <c r="BW3143">
        <v>4437</v>
      </c>
      <c r="BX3143" t="s">
        <v>1738</v>
      </c>
      <c r="BY3143">
        <v>12097577</v>
      </c>
      <c r="BZ3143" t="s">
        <v>1672</v>
      </c>
      <c r="CA3143">
        <v>1</v>
      </c>
      <c r="CB3143" t="b">
        <v>1</v>
      </c>
      <c r="CC3143">
        <v>0</v>
      </c>
      <c r="CD3143" t="b">
        <v>0</v>
      </c>
      <c r="CE3143" t="b">
        <v>1</v>
      </c>
      <c r="CF3143" t="b">
        <v>0</v>
      </c>
      <c r="CG3143">
        <v>15351129</v>
      </c>
      <c r="CH3143" t="s">
        <v>1681</v>
      </c>
      <c r="CI3143" s="10">
        <v>890000</v>
      </c>
    </row>
    <row r="3144" spans="1:90">
      <c r="A3144">
        <v>28055806</v>
      </c>
      <c r="B3144" s="2" t="str">
        <f>HYPERLINK("http://www.redfin.com/stingray/do/printable-listing?listing-id=1616053","Active")</f>
        <v>Active</v>
      </c>
      <c r="D3144" t="s">
        <v>3961</v>
      </c>
      <c r="E3144" t="s">
        <v>6840</v>
      </c>
      <c r="F3144">
        <v>1499950</v>
      </c>
      <c r="G3144">
        <v>1915</v>
      </c>
      <c r="H3144">
        <v>4320</v>
      </c>
      <c r="I3144">
        <v>3181</v>
      </c>
      <c r="J3144">
        <v>4</v>
      </c>
      <c r="K3144">
        <v>3.5</v>
      </c>
      <c r="M3144" s="2" t="str">
        <f>HYPERLINK("http://maps.live.com/default.aspx?v=2&amp;lvl=15&amp;sp=Point.47.598513_-122.287151_419 Lakeside Ave S&amp;cp=47.598513~-122.287151","Map")</f>
        <v>Map</v>
      </c>
      <c r="N3144" s="2" t="str">
        <f>HYPERLINK("http://i-0.rfimg.us/photo/1/bigphoto/806/28055806_1.jpg","Photo")</f>
        <v>Photo</v>
      </c>
      <c r="AG3144">
        <v>47.598512999999997</v>
      </c>
      <c r="AH3144">
        <v>-122.28715099999999</v>
      </c>
      <c r="AI3144" t="s">
        <v>66</v>
      </c>
      <c r="AJ3144">
        <v>98144</v>
      </c>
      <c r="AN3144">
        <v>1025000</v>
      </c>
      <c r="BC3144" s="22">
        <v>39542.318090277775</v>
      </c>
      <c r="BI3144" s="22">
        <v>39549.294907407406</v>
      </c>
      <c r="BL3144">
        <v>29999</v>
      </c>
      <c r="BM3144">
        <v>1616053</v>
      </c>
      <c r="BN3144" t="s">
        <v>3701</v>
      </c>
      <c r="BO3144" s="17">
        <f t="shared" ca="1" si="49"/>
        <v>6.9913156250040629</v>
      </c>
      <c r="BP3144" t="b">
        <v>0</v>
      </c>
      <c r="BQ3144">
        <v>1</v>
      </c>
      <c r="BR3144" t="s">
        <v>1667</v>
      </c>
      <c r="BS3144" t="s">
        <v>2838</v>
      </c>
      <c r="BT3144" t="b">
        <v>0</v>
      </c>
      <c r="BV3144" t="s">
        <v>1668</v>
      </c>
      <c r="BW3144">
        <v>419</v>
      </c>
      <c r="BX3144" t="s">
        <v>1881</v>
      </c>
      <c r="BY3144">
        <v>141713</v>
      </c>
      <c r="BZ3144" t="s">
        <v>3360</v>
      </c>
      <c r="CA3144">
        <v>1</v>
      </c>
      <c r="CB3144" t="b">
        <v>1</v>
      </c>
      <c r="CC3144">
        <v>0</v>
      </c>
      <c r="CD3144" t="b">
        <v>0</v>
      </c>
      <c r="CE3144" t="b">
        <v>1</v>
      </c>
      <c r="CF3144" t="b">
        <v>0</v>
      </c>
      <c r="CG3144">
        <v>2553199</v>
      </c>
      <c r="CH3144" t="s">
        <v>1681</v>
      </c>
      <c r="CI3144" s="10">
        <v>1499950</v>
      </c>
      <c r="CJ3144" s="7">
        <v>38793</v>
      </c>
    </row>
    <row r="3145" spans="1:90">
      <c r="A3145">
        <v>28055841</v>
      </c>
      <c r="B3145" s="2" t="str">
        <f>HYPERLINK("http://www.redfin.com/stingray/do/printable-listing?listing-id=1605914","Active")</f>
        <v>Active</v>
      </c>
      <c r="D3145" t="s">
        <v>3966</v>
      </c>
      <c r="E3145" t="s">
        <v>6680</v>
      </c>
      <c r="F3145">
        <v>1430000</v>
      </c>
      <c r="G3145">
        <v>2007</v>
      </c>
      <c r="H3145">
        <v>3290</v>
      </c>
      <c r="I3145">
        <v>5000</v>
      </c>
      <c r="J3145">
        <v>4</v>
      </c>
      <c r="K3145">
        <v>3.5</v>
      </c>
      <c r="M3145" s="2" t="str">
        <f>HYPERLINK("http://maps.live.com/default.aspx?v=2&amp;lvl=15&amp;sp=Point.47.614646_-122.290635_1517 33rd Ave&amp;cp=47.614646~-122.290635","Map")</f>
        <v>Map</v>
      </c>
      <c r="N3145" s="2" t="str">
        <f>HYPERLINK("http://i-0.rfimg.us/photo/1/bigphoto/841/28055841_1.jpg","Photo")</f>
        <v>Photo</v>
      </c>
      <c r="AG3145">
        <v>47.614646</v>
      </c>
      <c r="AH3145">
        <v>-122.29063499999999</v>
      </c>
      <c r="AI3145" t="s">
        <v>66</v>
      </c>
      <c r="AJ3145">
        <v>98122</v>
      </c>
      <c r="AN3145">
        <v>460000</v>
      </c>
      <c r="BC3145" s="22">
        <v>39539.536909722221</v>
      </c>
      <c r="BI3145" s="22">
        <v>39549.294907407406</v>
      </c>
      <c r="BL3145">
        <v>28600</v>
      </c>
      <c r="BM3145">
        <v>1605914</v>
      </c>
      <c r="BN3145" t="s">
        <v>2985</v>
      </c>
      <c r="BO3145" s="17">
        <f t="shared" ca="1" si="49"/>
        <v>9.7724961805579369</v>
      </c>
      <c r="BP3145" t="b">
        <v>0</v>
      </c>
      <c r="BQ3145">
        <v>1</v>
      </c>
      <c r="BR3145" t="s">
        <v>1667</v>
      </c>
      <c r="BS3145" t="s">
        <v>3460</v>
      </c>
      <c r="BT3145" t="b">
        <v>0</v>
      </c>
      <c r="BV3145" t="s">
        <v>1668</v>
      </c>
      <c r="BW3145">
        <v>1517</v>
      </c>
      <c r="BY3145">
        <v>147597</v>
      </c>
      <c r="BZ3145" t="s">
        <v>2133</v>
      </c>
      <c r="CA3145">
        <v>1</v>
      </c>
      <c r="CB3145" t="b">
        <v>1</v>
      </c>
      <c r="CC3145">
        <v>0</v>
      </c>
      <c r="CD3145" t="b">
        <v>0</v>
      </c>
      <c r="CE3145" t="b">
        <v>1</v>
      </c>
      <c r="CF3145" t="b">
        <v>0</v>
      </c>
      <c r="CG3145">
        <v>2530724</v>
      </c>
      <c r="CH3145" t="s">
        <v>1681</v>
      </c>
      <c r="CI3145" s="10">
        <v>1430000</v>
      </c>
      <c r="CJ3145" s="7">
        <v>38975</v>
      </c>
    </row>
    <row r="3146" spans="1:90">
      <c r="A3146">
        <v>28055865</v>
      </c>
      <c r="B3146" s="2" t="str">
        <f>HYPERLINK("http://www.redfin.com/stingray/do/printable-listing?listing-id=1606503","Active")</f>
        <v>Active</v>
      </c>
      <c r="D3146" t="s">
        <v>3691</v>
      </c>
      <c r="E3146" t="s">
        <v>3786</v>
      </c>
      <c r="F3146">
        <v>1500000</v>
      </c>
      <c r="G3146">
        <v>1922</v>
      </c>
      <c r="H3146">
        <v>0</v>
      </c>
      <c r="I3146">
        <v>0</v>
      </c>
      <c r="J3146">
        <v>4</v>
      </c>
      <c r="K3146">
        <v>1.5</v>
      </c>
      <c r="M3146" s="2" t="str">
        <f>HYPERLINK("http://maps.live.com/default.aspx?v=2&amp;lvl=15&amp;sp=Point.47.650816_-122.319617_3218 Portage Bay Pl E&amp;cp=47.650816~-122.319617","Map")</f>
        <v>Map</v>
      </c>
      <c r="N3146" s="2" t="str">
        <f>HYPERLINK("http://i-0.rfimg.us/photo/1/bigphoto/865/28055865_0.jpg","Photo")</f>
        <v>Photo</v>
      </c>
      <c r="AG3146">
        <v>47.650815999999999</v>
      </c>
      <c r="AH3146">
        <v>-122.31961699999999</v>
      </c>
      <c r="AI3146" t="s">
        <v>66</v>
      </c>
      <c r="AJ3146">
        <v>98102</v>
      </c>
      <c r="BC3146" s="22">
        <v>39539.653032407405</v>
      </c>
      <c r="BI3146" s="22">
        <v>39549.294907407406</v>
      </c>
      <c r="BL3146">
        <v>30000</v>
      </c>
      <c r="BM3146">
        <v>1606503</v>
      </c>
      <c r="BN3146" t="s">
        <v>1702</v>
      </c>
      <c r="BO3146" s="17">
        <f t="shared" ca="1" si="49"/>
        <v>9.6563734953742824</v>
      </c>
      <c r="BP3146" t="b">
        <v>0</v>
      </c>
      <c r="BQ3146">
        <v>1</v>
      </c>
      <c r="BR3146" t="s">
        <v>1842</v>
      </c>
      <c r="BS3146" t="s">
        <v>3691</v>
      </c>
      <c r="BT3146" t="b">
        <v>0</v>
      </c>
      <c r="BV3146" t="s">
        <v>1668</v>
      </c>
      <c r="BW3146">
        <v>3218</v>
      </c>
      <c r="BX3146" t="s">
        <v>2436</v>
      </c>
      <c r="BY3146">
        <v>2094907</v>
      </c>
      <c r="BZ3146" t="s">
        <v>1676</v>
      </c>
      <c r="CA3146">
        <v>1</v>
      </c>
      <c r="CB3146" t="b">
        <v>1</v>
      </c>
      <c r="CC3146">
        <v>0</v>
      </c>
      <c r="CD3146" t="b">
        <v>1</v>
      </c>
      <c r="CE3146" t="b">
        <v>1</v>
      </c>
      <c r="CF3146" t="b">
        <v>0</v>
      </c>
      <c r="CG3146">
        <v>2952545</v>
      </c>
      <c r="CH3146" t="s">
        <v>1681</v>
      </c>
      <c r="CI3146" s="10">
        <v>1500000</v>
      </c>
    </row>
    <row r="3147" spans="1:90">
      <c r="A3147">
        <v>28055934</v>
      </c>
      <c r="B3147" s="2" t="str">
        <f>HYPERLINK("http://www.redfin.com/stingray/do/printable-listing?listing-id=1606118","Active")</f>
        <v>Active</v>
      </c>
      <c r="D3147" t="s">
        <v>2552</v>
      </c>
      <c r="E3147" t="s">
        <v>6674</v>
      </c>
      <c r="F3147">
        <v>959000</v>
      </c>
      <c r="G3147">
        <v>1927</v>
      </c>
      <c r="H3147">
        <v>2720</v>
      </c>
      <c r="I3147">
        <v>5000</v>
      </c>
      <c r="J3147">
        <v>4</v>
      </c>
      <c r="K3147">
        <v>2.5</v>
      </c>
      <c r="M3147" s="2" t="str">
        <f>HYPERLINK("http://maps.live.com/default.aspx?v=2&amp;lvl=15&amp;sp=Point.47.635399_-122.396335_3012 W Blaine&amp;cp=47.635399~-122.396335","Map")</f>
        <v>Map</v>
      </c>
      <c r="N3147" s="2" t="str">
        <f>HYPERLINK("http://i-0.rfimg.us/photo/1/bigphoto/934/28055934_0.jpg","Photo")</f>
        <v>Photo</v>
      </c>
      <c r="AG3147">
        <v>47.635399</v>
      </c>
      <c r="AH3147">
        <v>-122.39633499999999</v>
      </c>
      <c r="AI3147" t="s">
        <v>66</v>
      </c>
      <c r="AJ3147">
        <v>98199</v>
      </c>
      <c r="AN3147">
        <v>511000</v>
      </c>
      <c r="BC3147" s="22">
        <v>39539.578969907408</v>
      </c>
      <c r="BI3147" s="22">
        <v>39549.294907407406</v>
      </c>
      <c r="BL3147">
        <v>19180</v>
      </c>
      <c r="BM3147">
        <v>1606118</v>
      </c>
      <c r="BN3147" t="s">
        <v>1929</v>
      </c>
      <c r="BO3147" s="17">
        <f t="shared" ca="1" si="49"/>
        <v>9.7304359953704989</v>
      </c>
      <c r="BP3147" t="b">
        <v>0</v>
      </c>
      <c r="BQ3147">
        <v>1</v>
      </c>
      <c r="BS3147" t="s">
        <v>3542</v>
      </c>
      <c r="BT3147" t="b">
        <v>0</v>
      </c>
      <c r="BU3147" t="s">
        <v>2423</v>
      </c>
      <c r="BV3147" t="s">
        <v>1668</v>
      </c>
      <c r="BW3147">
        <v>3012</v>
      </c>
      <c r="BY3147">
        <v>125976</v>
      </c>
      <c r="BZ3147" t="s">
        <v>1672</v>
      </c>
      <c r="CA3147">
        <v>1</v>
      </c>
      <c r="CB3147" t="b">
        <v>1</v>
      </c>
      <c r="CC3147">
        <v>0</v>
      </c>
      <c r="CD3147" t="b">
        <v>0</v>
      </c>
      <c r="CE3147" t="b">
        <v>1</v>
      </c>
      <c r="CF3147" t="b">
        <v>0</v>
      </c>
      <c r="CG3147">
        <v>2347417</v>
      </c>
      <c r="CH3147" t="s">
        <v>1681</v>
      </c>
      <c r="CI3147" s="10">
        <v>959000</v>
      </c>
      <c r="CJ3147" s="7">
        <v>37673</v>
      </c>
    </row>
    <row r="3148" spans="1:90">
      <c r="A3148">
        <v>28055940</v>
      </c>
      <c r="B3148" s="2" t="str">
        <f>HYPERLINK("http://www.redfin.com/stingray/do/printable-listing?listing-id=1606194","Active")</f>
        <v>Active</v>
      </c>
      <c r="D3148" t="s">
        <v>5277</v>
      </c>
      <c r="E3148" t="s">
        <v>6696</v>
      </c>
      <c r="F3148" s="19">
        <v>739950</v>
      </c>
      <c r="G3148">
        <v>1968</v>
      </c>
      <c r="H3148">
        <v>3240</v>
      </c>
      <c r="I3148">
        <v>13410</v>
      </c>
      <c r="J3148">
        <v>4</v>
      </c>
      <c r="K3148">
        <v>3.25</v>
      </c>
      <c r="M3148" s="2" t="str">
        <f>HYPERLINK("http://maps.live.com/default.aspx?v=2&amp;lvl=15&amp;sp=Point.47.565711_-122.225169_8530 SE 45th&amp;cp=47.565711~-122.225169","Map")</f>
        <v>Map</v>
      </c>
      <c r="N3148" s="2" t="str">
        <f>HYPERLINK("http://i-0.rfimg.us/photo/1/bigphoto/940/28055940_.jpg","Photo")</f>
        <v>Photo</v>
      </c>
      <c r="AG3148">
        <v>47.565711</v>
      </c>
      <c r="AH3148">
        <v>-122.22516899999999</v>
      </c>
      <c r="AI3148" t="s">
        <v>5139</v>
      </c>
      <c r="AJ3148">
        <v>98040</v>
      </c>
      <c r="BC3148" s="22">
        <v>39539.590266203704</v>
      </c>
      <c r="BI3148" s="22">
        <v>39549.294907407406</v>
      </c>
      <c r="BL3148">
        <v>15919</v>
      </c>
      <c r="BM3148">
        <v>1606194</v>
      </c>
      <c r="BN3148" t="s">
        <v>1674</v>
      </c>
      <c r="BO3148" s="17">
        <f t="shared" ca="1" si="49"/>
        <v>9.7191396990747307</v>
      </c>
      <c r="BP3148" t="b">
        <v>0</v>
      </c>
      <c r="BQ3148">
        <v>1</v>
      </c>
      <c r="BS3148" t="s">
        <v>2667</v>
      </c>
      <c r="BT3148" t="b">
        <v>0</v>
      </c>
      <c r="BU3148" t="s">
        <v>3856</v>
      </c>
      <c r="BV3148" t="s">
        <v>1668</v>
      </c>
      <c r="BW3148">
        <v>8530</v>
      </c>
      <c r="BY3148">
        <v>255303</v>
      </c>
      <c r="CA3148">
        <v>1</v>
      </c>
      <c r="CB3148" t="b">
        <v>1</v>
      </c>
      <c r="CC3148">
        <v>0</v>
      </c>
      <c r="CD3148" t="b">
        <v>0</v>
      </c>
      <c r="CE3148" t="b">
        <v>1</v>
      </c>
      <c r="CF3148" t="b">
        <v>0</v>
      </c>
      <c r="CG3148">
        <v>2711081</v>
      </c>
      <c r="CH3148" t="s">
        <v>1681</v>
      </c>
      <c r="CI3148" s="10">
        <v>795950</v>
      </c>
    </row>
    <row r="3149" spans="1:90">
      <c r="A3149">
        <v>28055978</v>
      </c>
      <c r="B3149" s="2" t="str">
        <f>HYPERLINK("http://www.redfin.com/stingray/do/printable-listing?listing-id=1606252","Active")</f>
        <v>Active</v>
      </c>
      <c r="D3149" t="s">
        <v>2850</v>
      </c>
      <c r="E3149" t="s">
        <v>6683</v>
      </c>
      <c r="F3149">
        <v>474800</v>
      </c>
      <c r="G3149">
        <v>1986</v>
      </c>
      <c r="H3149">
        <v>0</v>
      </c>
      <c r="I3149">
        <v>6657</v>
      </c>
      <c r="J3149">
        <v>4</v>
      </c>
      <c r="K3149">
        <v>2.25</v>
      </c>
      <c r="M3149" s="2" t="str">
        <f>HYPERLINK("http://maps.live.com/default.aspx?v=2&amp;lvl=15&amp;sp=Point.47.708007_-122.216803_12021 93rd Pl NE&amp;cp=47.708007~-122.216803","Map")</f>
        <v>Map</v>
      </c>
      <c r="N3149" s="2" t="str">
        <f>HYPERLINK("http://i-0.rfimg.us/photo/1/bigphoto/978/28055978_.jpg","Photo")</f>
        <v>Photo</v>
      </c>
      <c r="AG3149">
        <v>47.708007000000002</v>
      </c>
      <c r="AH3149">
        <v>-122.216803</v>
      </c>
      <c r="AI3149" t="s">
        <v>1058</v>
      </c>
      <c r="AJ3149">
        <v>98034</v>
      </c>
      <c r="AN3149">
        <v>440000</v>
      </c>
      <c r="BC3149" s="22">
        <v>39539.613564814812</v>
      </c>
      <c r="BI3149" s="22">
        <v>39549.294907407406</v>
      </c>
      <c r="BL3149">
        <v>9496</v>
      </c>
      <c r="BM3149">
        <v>1606252</v>
      </c>
      <c r="BN3149" t="s">
        <v>1674</v>
      </c>
      <c r="BO3149" s="17">
        <f t="shared" ca="1" si="49"/>
        <v>9.6958410879669827</v>
      </c>
      <c r="BP3149" t="b">
        <v>0</v>
      </c>
      <c r="BQ3149">
        <v>1</v>
      </c>
      <c r="BR3149" t="s">
        <v>1842</v>
      </c>
      <c r="BS3149" t="s">
        <v>2732</v>
      </c>
      <c r="BT3149" t="b">
        <v>0</v>
      </c>
      <c r="BV3149" t="s">
        <v>1668</v>
      </c>
      <c r="BW3149">
        <v>12021</v>
      </c>
      <c r="BX3149" t="s">
        <v>1738</v>
      </c>
      <c r="BY3149">
        <v>282334</v>
      </c>
      <c r="BZ3149" t="s">
        <v>6735</v>
      </c>
      <c r="CA3149">
        <v>1</v>
      </c>
      <c r="CB3149" t="b">
        <v>1</v>
      </c>
      <c r="CC3149">
        <v>0</v>
      </c>
      <c r="CD3149" t="b">
        <v>0</v>
      </c>
      <c r="CE3149" t="b">
        <v>1</v>
      </c>
      <c r="CF3149" t="b">
        <v>0</v>
      </c>
      <c r="CG3149">
        <v>2361937</v>
      </c>
      <c r="CH3149" t="s">
        <v>1681</v>
      </c>
      <c r="CI3149" s="10">
        <v>474800</v>
      </c>
      <c r="CJ3149" s="7">
        <v>38908</v>
      </c>
    </row>
    <row r="3150" spans="1:90">
      <c r="A3150">
        <v>28055994</v>
      </c>
      <c r="B3150" s="2" t="str">
        <f>HYPERLINK("http://www.redfin.com/stingray/do/printable-listing?listing-id=1606259","Active")</f>
        <v>Active</v>
      </c>
      <c r="D3150" t="s">
        <v>194</v>
      </c>
      <c r="E3150" t="s">
        <v>6671</v>
      </c>
      <c r="F3150">
        <v>625000</v>
      </c>
      <c r="G3150">
        <v>1950</v>
      </c>
      <c r="H3150">
        <v>2300</v>
      </c>
      <c r="I3150">
        <v>5595</v>
      </c>
      <c r="J3150">
        <v>4</v>
      </c>
      <c r="K3150">
        <v>1.75</v>
      </c>
      <c r="M3150" s="2" t="str">
        <f>HYPERLINK("http://maps.live.com/default.aspx?v=2&amp;lvl=15&amp;sp=Point.47.6843_-122.296888_7540 28th Ave NE&amp;cp=47.6843~-122.296888","Map")</f>
        <v>Map</v>
      </c>
      <c r="N3150" s="2" t="str">
        <f>HYPERLINK("http://i-0.rfimg.us/photo/1/bigphoto/994/28055994_0.jpg","Photo")</f>
        <v>Photo</v>
      </c>
      <c r="AG3150">
        <v>47.6843</v>
      </c>
      <c r="AH3150">
        <v>-122.296888</v>
      </c>
      <c r="AI3150" t="s">
        <v>66</v>
      </c>
      <c r="AJ3150">
        <v>98115</v>
      </c>
      <c r="AN3150">
        <v>91000</v>
      </c>
      <c r="BC3150" s="22">
        <v>39539.61414351852</v>
      </c>
      <c r="BI3150" s="22">
        <v>39549.294907407406</v>
      </c>
      <c r="BL3150">
        <v>12500</v>
      </c>
      <c r="BM3150">
        <v>1606259</v>
      </c>
      <c r="BN3150" t="s">
        <v>1823</v>
      </c>
      <c r="BO3150" s="17">
        <f t="shared" ca="1" si="49"/>
        <v>9.6952623842589674</v>
      </c>
      <c r="BP3150" t="b">
        <v>0</v>
      </c>
      <c r="BQ3150">
        <v>1</v>
      </c>
      <c r="BR3150" t="s">
        <v>1667</v>
      </c>
      <c r="BS3150" t="s">
        <v>1760</v>
      </c>
      <c r="BT3150" t="b">
        <v>0</v>
      </c>
      <c r="BV3150" t="s">
        <v>1668</v>
      </c>
      <c r="BW3150">
        <v>7540</v>
      </c>
      <c r="BX3150" t="s">
        <v>1738</v>
      </c>
      <c r="BY3150">
        <v>315199</v>
      </c>
      <c r="BZ3150" t="s">
        <v>1745</v>
      </c>
      <c r="CA3150">
        <v>1</v>
      </c>
      <c r="CB3150" t="b">
        <v>1</v>
      </c>
      <c r="CC3150">
        <v>0</v>
      </c>
      <c r="CD3150" t="b">
        <v>0</v>
      </c>
      <c r="CE3150" t="b">
        <v>1</v>
      </c>
      <c r="CF3150" t="b">
        <v>0</v>
      </c>
      <c r="CG3150">
        <v>2976086</v>
      </c>
      <c r="CH3150" t="s">
        <v>1681</v>
      </c>
      <c r="CI3150" s="10">
        <v>625000</v>
      </c>
      <c r="CJ3150" s="7">
        <v>32889</v>
      </c>
    </row>
    <row r="3151" spans="1:90">
      <c r="A3151">
        <v>28056005</v>
      </c>
      <c r="B3151" s="2" t="str">
        <f>HYPERLINK("http://www.redfin.com/stingray/do/printable-listing?listing-id=1606386","Active")</f>
        <v>Active</v>
      </c>
      <c r="D3151" t="s">
        <v>3691</v>
      </c>
      <c r="E3151" t="s">
        <v>6677</v>
      </c>
      <c r="F3151">
        <v>725000</v>
      </c>
      <c r="G3151">
        <v>1919</v>
      </c>
      <c r="H3151">
        <v>2780</v>
      </c>
      <c r="I3151">
        <v>6000</v>
      </c>
      <c r="J3151">
        <v>3</v>
      </c>
      <c r="K3151">
        <v>2.75</v>
      </c>
      <c r="M3151" s="2" t="str">
        <f>HYPERLINK("http://maps.live.com/default.aspx?v=2&amp;lvl=15&amp;sp=Point.47.648462_-122.32002_917 E Allison St&amp;cp=47.648462~-122.32002","Map")</f>
        <v>Map</v>
      </c>
      <c r="N3151" s="2" t="str">
        <f>HYPERLINK("http://i-0.rfimg.us/photo/1/bigphoto/005/28056005_1.jpg","Photo")</f>
        <v>Photo</v>
      </c>
      <c r="AG3151">
        <v>47.648462000000002</v>
      </c>
      <c r="AH3151">
        <v>-122.32002</v>
      </c>
      <c r="AI3151" t="s">
        <v>66</v>
      </c>
      <c r="AJ3151">
        <v>98102</v>
      </c>
      <c r="BC3151" s="22">
        <v>39539.637048611112</v>
      </c>
      <c r="BI3151" s="22">
        <v>39549.294907407406</v>
      </c>
      <c r="BL3151">
        <v>14500</v>
      </c>
      <c r="BM3151">
        <v>1606386</v>
      </c>
      <c r="BN3151" t="s">
        <v>1674</v>
      </c>
      <c r="BO3151" s="17">
        <f t="shared" ca="1" si="49"/>
        <v>9.6723572916671401</v>
      </c>
      <c r="BP3151" t="b">
        <v>0</v>
      </c>
      <c r="BQ3151">
        <v>1</v>
      </c>
      <c r="BR3151" t="s">
        <v>1686</v>
      </c>
      <c r="BS3151" t="s">
        <v>6678</v>
      </c>
      <c r="BT3151" t="b">
        <v>0</v>
      </c>
      <c r="BU3151" t="s">
        <v>2436</v>
      </c>
      <c r="BV3151" t="s">
        <v>1668</v>
      </c>
      <c r="BW3151">
        <v>917</v>
      </c>
      <c r="BY3151">
        <v>136586</v>
      </c>
      <c r="BZ3151" t="s">
        <v>6679</v>
      </c>
      <c r="CA3151">
        <v>1</v>
      </c>
      <c r="CB3151" t="b">
        <v>1</v>
      </c>
      <c r="CC3151">
        <v>0</v>
      </c>
      <c r="CD3151" t="b">
        <v>0</v>
      </c>
      <c r="CE3151" t="b">
        <v>1</v>
      </c>
      <c r="CF3151" t="b">
        <v>0</v>
      </c>
      <c r="CG3151">
        <v>2592929</v>
      </c>
      <c r="CH3151" t="s">
        <v>1681</v>
      </c>
      <c r="CI3151" s="10">
        <v>725000</v>
      </c>
    </row>
    <row r="3152" spans="1:90">
      <c r="A3152">
        <v>28056006</v>
      </c>
      <c r="B3152" s="2" t="str">
        <f>HYPERLINK("http://www.redfin.com/stingray/do/printable-listing?listing-id=1616745","Active")</f>
        <v>Active</v>
      </c>
      <c r="D3152" t="s">
        <v>63</v>
      </c>
      <c r="E3152" t="s">
        <v>6811</v>
      </c>
      <c r="F3152">
        <v>444500</v>
      </c>
      <c r="G3152">
        <v>2005</v>
      </c>
      <c r="H3152">
        <v>1450</v>
      </c>
      <c r="I3152">
        <v>1187</v>
      </c>
      <c r="J3152">
        <v>3</v>
      </c>
      <c r="K3152">
        <v>2.5</v>
      </c>
      <c r="M3152" s="2" t="str">
        <f>HYPERLINK("http://maps.live.com/default.aspx?v=2&amp;lvl=15&amp;sp=Point.47.670418_-122.39073_2612 NW 57th St&amp;cp=47.670418~-122.39073","Map")</f>
        <v>Map</v>
      </c>
      <c r="N3152" s="2" t="str">
        <f>HYPERLINK("http://i-0.rfimg.us/photo/1/bigphoto/006/28056006_0.jpg","Photo")</f>
        <v>Photo</v>
      </c>
      <c r="AG3152">
        <v>47.670417999999998</v>
      </c>
      <c r="AH3152">
        <v>-122.39073</v>
      </c>
      <c r="AI3152" t="s">
        <v>66</v>
      </c>
      <c r="AJ3152">
        <v>98107</v>
      </c>
      <c r="BC3152" s="22">
        <v>39542.454085648147</v>
      </c>
      <c r="BI3152" s="22">
        <v>39549.294907407406</v>
      </c>
      <c r="BL3152">
        <v>8890</v>
      </c>
      <c r="BM3152">
        <v>1616745</v>
      </c>
      <c r="BN3152" t="s">
        <v>1671</v>
      </c>
      <c r="BO3152" s="17">
        <f t="shared" ca="1" si="49"/>
        <v>6.8553202546318062</v>
      </c>
      <c r="BP3152" t="b">
        <v>0</v>
      </c>
      <c r="BQ3152">
        <v>1</v>
      </c>
      <c r="BR3152" t="s">
        <v>1686</v>
      </c>
      <c r="BS3152" t="s">
        <v>1687</v>
      </c>
      <c r="BT3152" t="b">
        <v>0</v>
      </c>
      <c r="BU3152" t="s">
        <v>1669</v>
      </c>
      <c r="BV3152" t="s">
        <v>1668</v>
      </c>
      <c r="BW3152">
        <v>2612</v>
      </c>
      <c r="BY3152">
        <v>12437728</v>
      </c>
      <c r="BZ3152" t="s">
        <v>1672</v>
      </c>
      <c r="CA3152">
        <v>1</v>
      </c>
      <c r="CB3152" t="b">
        <v>1</v>
      </c>
      <c r="CC3152">
        <v>0</v>
      </c>
      <c r="CD3152" t="b">
        <v>0</v>
      </c>
      <c r="CE3152" t="b">
        <v>1</v>
      </c>
      <c r="CF3152" t="b">
        <v>0</v>
      </c>
      <c r="CG3152">
        <v>15641476</v>
      </c>
      <c r="CH3152" t="s">
        <v>1681</v>
      </c>
      <c r="CI3152" s="10">
        <v>444500</v>
      </c>
      <c r="CL3152" t="s">
        <v>6945</v>
      </c>
    </row>
    <row r="3153" spans="1:88">
      <c r="A3153">
        <v>28056051</v>
      </c>
      <c r="B3153" s="2" t="str">
        <f>HYPERLINK("http://www.redfin.com/stingray/do/printable-listing?listing-id=1629174","Active")</f>
        <v>Active</v>
      </c>
      <c r="D3153" t="s">
        <v>2850</v>
      </c>
      <c r="E3153" t="s">
        <v>7077</v>
      </c>
      <c r="F3153">
        <v>448500</v>
      </c>
      <c r="G3153">
        <v>1955</v>
      </c>
      <c r="H3153">
        <v>1280</v>
      </c>
      <c r="I3153">
        <v>10140</v>
      </c>
      <c r="J3153">
        <v>3</v>
      </c>
      <c r="K3153">
        <v>1</v>
      </c>
      <c r="M3153" s="2" t="str">
        <f>HYPERLINK("http://maps.live.com/default.aspx?v=2&amp;lvl=15&amp;sp=Point.47.701246_-122.203022_11227 104th Ave NE&amp;cp=47.701246~-122.203022","Map")</f>
        <v>Map</v>
      </c>
      <c r="N3153" s="2" t="str">
        <f>HYPERLINK("http://i-0.rfimg.us/photo/1/bigphoto/051/28056051_0.jpg","Photo")</f>
        <v>Photo</v>
      </c>
      <c r="AG3153">
        <v>47.701245999999998</v>
      </c>
      <c r="AH3153">
        <v>-122.203022</v>
      </c>
      <c r="AI3153" t="s">
        <v>1058</v>
      </c>
      <c r="AJ3153">
        <v>98033</v>
      </c>
      <c r="AN3153">
        <v>277900</v>
      </c>
      <c r="BC3153" s="22">
        <v>39547.380243055559</v>
      </c>
      <c r="BI3153" s="22">
        <v>39549.294907407406</v>
      </c>
      <c r="BL3153">
        <v>8970</v>
      </c>
      <c r="BM3153">
        <v>1629174</v>
      </c>
      <c r="BN3153" t="s">
        <v>1688</v>
      </c>
      <c r="BO3153" s="17">
        <f t="shared" ca="1" si="49"/>
        <v>1.929162847220141</v>
      </c>
      <c r="BP3153" t="b">
        <v>0</v>
      </c>
      <c r="BQ3153">
        <v>1</v>
      </c>
      <c r="BR3153" t="s">
        <v>1667</v>
      </c>
      <c r="BS3153" t="s">
        <v>2910</v>
      </c>
      <c r="BT3153" t="b">
        <v>0</v>
      </c>
      <c r="BV3153" t="s">
        <v>1668</v>
      </c>
      <c r="BW3153">
        <v>11227</v>
      </c>
      <c r="BX3153" t="s">
        <v>1738</v>
      </c>
      <c r="BY3153">
        <v>463213</v>
      </c>
      <c r="BZ3153" t="s">
        <v>1670</v>
      </c>
      <c r="CA3153">
        <v>1</v>
      </c>
      <c r="CB3153" t="b">
        <v>1</v>
      </c>
      <c r="CC3153">
        <v>0</v>
      </c>
      <c r="CD3153" t="b">
        <v>0</v>
      </c>
      <c r="CE3153" t="b">
        <v>1</v>
      </c>
      <c r="CF3153" t="b">
        <v>0</v>
      </c>
      <c r="CG3153">
        <v>2766623</v>
      </c>
      <c r="CH3153" t="s">
        <v>1681</v>
      </c>
      <c r="CI3153" s="10">
        <v>448500</v>
      </c>
      <c r="CJ3153" s="7">
        <v>36879</v>
      </c>
    </row>
    <row r="3154" spans="1:88">
      <c r="A3154">
        <v>28056059</v>
      </c>
      <c r="B3154" s="2" t="str">
        <f>HYPERLINK("http://www.redfin.com/stingray/do/printable-listing?listing-id=1627859","Active")</f>
        <v>Active</v>
      </c>
      <c r="D3154" t="s">
        <v>369</v>
      </c>
      <c r="E3154" t="s">
        <v>7042</v>
      </c>
      <c r="F3154">
        <v>789887</v>
      </c>
      <c r="G3154">
        <v>1999</v>
      </c>
      <c r="H3154">
        <v>2550</v>
      </c>
      <c r="I3154">
        <v>8749</v>
      </c>
      <c r="J3154">
        <v>4</v>
      </c>
      <c r="K3154">
        <v>2.75</v>
      </c>
      <c r="M3154" s="2" t="str">
        <f>HYPERLINK("http://maps.live.com/default.aspx?v=2&amp;lvl=15&amp;sp=Point.47.614457_-122.136443_430 150th Pl NE&amp;cp=47.614457~-122.136443","Map")</f>
        <v>Map</v>
      </c>
      <c r="N3154" s="2" t="str">
        <f>HYPERLINK("http://i-0.rfimg.us/photo/1/bigphoto/059/28056059_5.jpg","Photo")</f>
        <v>Photo</v>
      </c>
      <c r="AG3154">
        <v>47.614457000000002</v>
      </c>
      <c r="AH3154">
        <v>-122.136443</v>
      </c>
      <c r="AI3154" t="s">
        <v>369</v>
      </c>
      <c r="AJ3154">
        <v>98007</v>
      </c>
      <c r="AN3154">
        <v>446281</v>
      </c>
      <c r="BC3154" s="22">
        <v>39546.798645833333</v>
      </c>
      <c r="BI3154" s="22">
        <v>39549.294907407406</v>
      </c>
      <c r="BL3154">
        <v>15798</v>
      </c>
      <c r="BM3154">
        <v>1627859</v>
      </c>
      <c r="BN3154" t="s">
        <v>1710</v>
      </c>
      <c r="BO3154" s="17">
        <f t="shared" ca="1" si="49"/>
        <v>2.5107600694464054</v>
      </c>
      <c r="BP3154" t="b">
        <v>0</v>
      </c>
      <c r="BQ3154">
        <v>1</v>
      </c>
      <c r="BR3154" t="s">
        <v>1842</v>
      </c>
      <c r="BS3154" t="s">
        <v>4926</v>
      </c>
      <c r="BT3154" t="b">
        <v>0</v>
      </c>
      <c r="BV3154" t="s">
        <v>1668</v>
      </c>
      <c r="BW3154">
        <v>430</v>
      </c>
      <c r="BX3154" t="s">
        <v>1738</v>
      </c>
      <c r="BY3154">
        <v>501102</v>
      </c>
      <c r="BZ3154" t="s">
        <v>7043</v>
      </c>
      <c r="CA3154">
        <v>1</v>
      </c>
      <c r="CB3154" t="b">
        <v>1</v>
      </c>
      <c r="CC3154">
        <v>0</v>
      </c>
      <c r="CD3154" t="b">
        <v>0</v>
      </c>
      <c r="CE3154" t="b">
        <v>1</v>
      </c>
      <c r="CF3154" t="b">
        <v>0</v>
      </c>
      <c r="CG3154">
        <v>2571703</v>
      </c>
      <c r="CH3154" t="s">
        <v>1681</v>
      </c>
      <c r="CI3154" s="10">
        <v>789887</v>
      </c>
      <c r="CJ3154" s="7">
        <v>36329</v>
      </c>
    </row>
    <row r="3155" spans="1:88">
      <c r="A3155">
        <v>28056112</v>
      </c>
      <c r="B3155" s="2" t="str">
        <f>HYPERLINK("http://www.redfin.com/stingray/do/printable-listing?listing-id=1606700","Active")</f>
        <v>Active</v>
      </c>
      <c r="D3155" t="s">
        <v>99</v>
      </c>
      <c r="E3155" t="s">
        <v>1222</v>
      </c>
      <c r="F3155">
        <v>569900</v>
      </c>
      <c r="G3155">
        <v>1950</v>
      </c>
      <c r="H3155">
        <v>2440</v>
      </c>
      <c r="I3155">
        <v>8910</v>
      </c>
      <c r="J3155">
        <v>3</v>
      </c>
      <c r="K3155">
        <v>1.75</v>
      </c>
      <c r="M3155" s="2" t="str">
        <f>HYPERLINK("http://maps.live.com/default.aspx?v=2&amp;lvl=15&amp;sp=Point.47.699777_-122.371817_9615 12th ave NW&amp;cp=47.699777~-122.371817","Map")</f>
        <v>Map</v>
      </c>
      <c r="N3155" s="2" t="str">
        <f>HYPERLINK("http://i-0.rfimg.us/photo/1/bigphoto/112/28056112_0.jpg","Photo")</f>
        <v>Photo</v>
      </c>
      <c r="AG3155">
        <v>47.699776999999997</v>
      </c>
      <c r="AH3155">
        <v>-122.37181699999999</v>
      </c>
      <c r="AI3155" t="s">
        <v>66</v>
      </c>
      <c r="AJ3155">
        <v>98117</v>
      </c>
      <c r="AN3155">
        <v>425000</v>
      </c>
      <c r="BC3155" s="22">
        <v>39539.68304398148</v>
      </c>
      <c r="BI3155" s="22">
        <v>39549.294907407406</v>
      </c>
      <c r="BL3155">
        <v>11398</v>
      </c>
      <c r="BM3155">
        <v>1606700</v>
      </c>
      <c r="BN3155" t="s">
        <v>1725</v>
      </c>
      <c r="BO3155" s="17">
        <f t="shared" ca="1" si="49"/>
        <v>9.6263619212986669</v>
      </c>
      <c r="BP3155" t="b">
        <v>0</v>
      </c>
      <c r="BQ3155">
        <v>1</v>
      </c>
      <c r="BR3155" t="s">
        <v>1964</v>
      </c>
      <c r="BS3155" t="s">
        <v>1803</v>
      </c>
      <c r="BT3155" t="b">
        <v>0</v>
      </c>
      <c r="BV3155" t="s">
        <v>1668</v>
      </c>
      <c r="BW3155">
        <v>9615</v>
      </c>
      <c r="BX3155" t="s">
        <v>1669</v>
      </c>
      <c r="BY3155">
        <v>97371</v>
      </c>
      <c r="BZ3155" t="s">
        <v>1701</v>
      </c>
      <c r="CA3155">
        <v>1</v>
      </c>
      <c r="CB3155" t="b">
        <v>1</v>
      </c>
      <c r="CC3155">
        <v>0</v>
      </c>
      <c r="CD3155" t="b">
        <v>0</v>
      </c>
      <c r="CE3155" t="b">
        <v>1</v>
      </c>
      <c r="CF3155" t="b">
        <v>0</v>
      </c>
      <c r="CG3155">
        <v>2403143</v>
      </c>
      <c r="CH3155" t="s">
        <v>1681</v>
      </c>
      <c r="CI3155" s="10">
        <v>569900</v>
      </c>
      <c r="CJ3155" s="7">
        <v>39199</v>
      </c>
    </row>
    <row r="3156" spans="1:88">
      <c r="A3156">
        <v>28056151</v>
      </c>
      <c r="B3156" s="2" t="str">
        <f>HYPERLINK("http://www.redfin.com/stingray/do/printable-listing?listing-id=1614712","Active")</f>
        <v>Active</v>
      </c>
      <c r="D3156" t="s">
        <v>100</v>
      </c>
      <c r="E3156" t="s">
        <v>6768</v>
      </c>
      <c r="F3156">
        <v>565000</v>
      </c>
      <c r="G3156">
        <v>1924</v>
      </c>
      <c r="H3156">
        <v>2060</v>
      </c>
      <c r="I3156">
        <v>4400</v>
      </c>
      <c r="J3156">
        <v>3</v>
      </c>
      <c r="K3156">
        <v>1.75</v>
      </c>
      <c r="M3156" s="2" t="str">
        <f>HYPERLINK("http://maps.live.com/default.aspx?v=2&amp;lvl=15&amp;sp=Point.47.661229_-122.36043_4432 3rd Ave NW&amp;cp=47.661229~-122.36043","Map")</f>
        <v>Map</v>
      </c>
      <c r="N3156" s="2" t="str">
        <f>HYPERLINK("http://i-0.rfimg.us/photo/1/bigphoto/151/28056151_0.jpg","Photo")</f>
        <v>Photo</v>
      </c>
      <c r="AG3156">
        <v>47.661228999999999</v>
      </c>
      <c r="AH3156">
        <v>-122.36042999999999</v>
      </c>
      <c r="AI3156" t="s">
        <v>66</v>
      </c>
      <c r="AJ3156">
        <v>98107</v>
      </c>
      <c r="AN3156">
        <v>326500</v>
      </c>
      <c r="BC3156" s="22">
        <v>39541.766319444447</v>
      </c>
      <c r="BI3156" s="22">
        <v>39549.294907407406</v>
      </c>
      <c r="BL3156">
        <v>11300</v>
      </c>
      <c r="BM3156">
        <v>1614712</v>
      </c>
      <c r="BN3156" t="s">
        <v>1746</v>
      </c>
      <c r="BO3156" s="17">
        <f t="shared" ca="1" si="49"/>
        <v>7.5430864583322546</v>
      </c>
      <c r="BP3156" t="b">
        <v>0</v>
      </c>
      <c r="BQ3156">
        <v>1</v>
      </c>
      <c r="BR3156" t="s">
        <v>1667</v>
      </c>
      <c r="BS3156" t="s">
        <v>1796</v>
      </c>
      <c r="BT3156" t="b">
        <v>0</v>
      </c>
      <c r="BV3156" t="s">
        <v>1668</v>
      </c>
      <c r="BW3156">
        <v>4432</v>
      </c>
      <c r="BX3156" t="s">
        <v>1669</v>
      </c>
      <c r="BY3156">
        <v>302650</v>
      </c>
      <c r="BZ3156" t="s">
        <v>1713</v>
      </c>
      <c r="CA3156">
        <v>1</v>
      </c>
      <c r="CB3156" t="b">
        <v>1</v>
      </c>
      <c r="CC3156">
        <v>0</v>
      </c>
      <c r="CD3156" t="b">
        <v>0</v>
      </c>
      <c r="CE3156" t="b">
        <v>1</v>
      </c>
      <c r="CF3156" t="b">
        <v>0</v>
      </c>
      <c r="CG3156">
        <v>2745853</v>
      </c>
      <c r="CH3156" t="s">
        <v>1681</v>
      </c>
      <c r="CI3156" s="10">
        <v>565000</v>
      </c>
      <c r="CJ3156" s="7">
        <v>37883</v>
      </c>
    </row>
    <row r="3157" spans="1:88">
      <c r="A3157">
        <v>28056162</v>
      </c>
      <c r="B3157" s="2" t="str">
        <f>HYPERLINK("http://www.redfin.com/stingray/do/printable-listing?listing-id=1610181","Active")</f>
        <v>Active</v>
      </c>
      <c r="D3157" t="s">
        <v>2745</v>
      </c>
      <c r="E3157" t="s">
        <v>6714</v>
      </c>
      <c r="F3157">
        <v>534995</v>
      </c>
      <c r="G3157">
        <v>1950</v>
      </c>
      <c r="H3157">
        <v>1880</v>
      </c>
      <c r="I3157">
        <v>8129</v>
      </c>
      <c r="J3157">
        <v>4</v>
      </c>
      <c r="K3157">
        <v>1.75</v>
      </c>
      <c r="M3157" s="2" t="str">
        <f>HYPERLINK("http://maps.live.com/default.aspx?v=2&amp;lvl=15&amp;sp=Point.47.704174_-122.36835_10324 9th Ave NW&amp;cp=47.704174~-122.36835","Map")</f>
        <v>Map</v>
      </c>
      <c r="N3157" s="2" t="str">
        <f>HYPERLINK("http://i-0.rfimg.us/photo/1/bigphoto/162/28056162_1.jpg","Photo")</f>
        <v>Photo</v>
      </c>
      <c r="AG3157">
        <v>47.704174000000002</v>
      </c>
      <c r="AH3157">
        <v>-122.36835000000001</v>
      </c>
      <c r="AI3157" t="s">
        <v>66</v>
      </c>
      <c r="AJ3157">
        <v>98177</v>
      </c>
      <c r="AN3157">
        <v>268500</v>
      </c>
      <c r="BC3157" s="22">
        <v>39540.652337962965</v>
      </c>
      <c r="BI3157" s="22">
        <v>39549.294907407406</v>
      </c>
      <c r="BL3157">
        <v>10700</v>
      </c>
      <c r="BM3157">
        <v>1610181</v>
      </c>
      <c r="BN3157" t="s">
        <v>1673</v>
      </c>
      <c r="BO3157" s="17">
        <f t="shared" ca="1" si="49"/>
        <v>8.6570679398137145</v>
      </c>
      <c r="BP3157" t="b">
        <v>0</v>
      </c>
      <c r="BQ3157">
        <v>1</v>
      </c>
      <c r="BR3157" t="s">
        <v>1667</v>
      </c>
      <c r="BS3157" t="s">
        <v>1785</v>
      </c>
      <c r="BT3157" t="b">
        <v>0</v>
      </c>
      <c r="BV3157" t="s">
        <v>1668</v>
      </c>
      <c r="BW3157">
        <v>10324</v>
      </c>
      <c r="BX3157" t="s">
        <v>1669</v>
      </c>
      <c r="BY3157">
        <v>97094</v>
      </c>
      <c r="BZ3157" t="s">
        <v>1704</v>
      </c>
      <c r="CA3157">
        <v>1</v>
      </c>
      <c r="CB3157" t="b">
        <v>1</v>
      </c>
      <c r="CC3157">
        <v>0</v>
      </c>
      <c r="CD3157" t="b">
        <v>0</v>
      </c>
      <c r="CE3157" t="b">
        <v>1</v>
      </c>
      <c r="CF3157" t="b">
        <v>0</v>
      </c>
      <c r="CG3157">
        <v>2790973</v>
      </c>
      <c r="CH3157" t="s">
        <v>1681</v>
      </c>
      <c r="CI3157" s="10">
        <v>534995</v>
      </c>
      <c r="CJ3157" s="7">
        <v>37785</v>
      </c>
    </row>
    <row r="3158" spans="1:88">
      <c r="A3158">
        <v>28056182</v>
      </c>
      <c r="B3158" s="2" t="str">
        <f>HYPERLINK("http://www.redfin.com/stingray/do/printable-listing?listing-id=1616947","Active")</f>
        <v>Active</v>
      </c>
      <c r="D3158" t="s">
        <v>1058</v>
      </c>
      <c r="E3158" t="s">
        <v>6848</v>
      </c>
      <c r="F3158">
        <v>565000</v>
      </c>
      <c r="G3158">
        <v>1974</v>
      </c>
      <c r="H3158">
        <v>2300</v>
      </c>
      <c r="I3158">
        <v>10000</v>
      </c>
      <c r="J3158">
        <v>4</v>
      </c>
      <c r="K3158">
        <v>2</v>
      </c>
      <c r="M3158" s="2" t="str">
        <f>HYPERLINK("http://maps.live.com/default.aspx?v=2&amp;lvl=15&amp;sp=Point.47.715773_-122.189346_11332 NE 129th St&amp;cp=47.715773~-122.189346","Map")</f>
        <v>Map</v>
      </c>
      <c r="N3158" s="2" t="str">
        <f>HYPERLINK("http://i-0.rfimg.us/photo/1/bigphoto/182/28056182_1.jpg","Photo")</f>
        <v>Photo</v>
      </c>
      <c r="AG3158">
        <v>47.715772999999999</v>
      </c>
      <c r="AH3158">
        <v>-122.189346</v>
      </c>
      <c r="AI3158" t="s">
        <v>1058</v>
      </c>
      <c r="AJ3158">
        <v>98034</v>
      </c>
      <c r="AN3158">
        <v>157500</v>
      </c>
      <c r="BC3158" s="22">
        <v>39542.485196759262</v>
      </c>
      <c r="BI3158" s="22">
        <v>39549.294907407406</v>
      </c>
      <c r="BL3158">
        <v>11300</v>
      </c>
      <c r="BM3158">
        <v>1616947</v>
      </c>
      <c r="BN3158" t="s">
        <v>2203</v>
      </c>
      <c r="BO3158" s="17">
        <f t="shared" ca="1" si="49"/>
        <v>6.8242091435167822</v>
      </c>
      <c r="BP3158" t="b">
        <v>0</v>
      </c>
      <c r="BQ3158">
        <v>1</v>
      </c>
      <c r="BR3158" t="s">
        <v>1686</v>
      </c>
      <c r="BS3158" t="s">
        <v>2980</v>
      </c>
      <c r="BT3158" t="b">
        <v>0</v>
      </c>
      <c r="BU3158" t="s">
        <v>1738</v>
      </c>
      <c r="BV3158" t="s">
        <v>1668</v>
      </c>
      <c r="BW3158">
        <v>11332</v>
      </c>
      <c r="BY3158">
        <v>458685</v>
      </c>
      <c r="BZ3158" t="s">
        <v>1709</v>
      </c>
      <c r="CA3158">
        <v>1</v>
      </c>
      <c r="CB3158" t="b">
        <v>1</v>
      </c>
      <c r="CC3158">
        <v>0</v>
      </c>
      <c r="CD3158" t="b">
        <v>0</v>
      </c>
      <c r="CE3158" t="b">
        <v>1</v>
      </c>
      <c r="CF3158" t="b">
        <v>0</v>
      </c>
      <c r="CG3158">
        <v>2736480</v>
      </c>
      <c r="CH3158" t="s">
        <v>1681</v>
      </c>
      <c r="CI3158" s="10">
        <v>565000</v>
      </c>
      <c r="CJ3158" s="7">
        <v>34400</v>
      </c>
    </row>
    <row r="3159" spans="1:88">
      <c r="A3159">
        <v>28056198</v>
      </c>
      <c r="B3159" s="2" t="str">
        <f>HYPERLINK("http://www.redfin.com/stingray/do/printable-listing?listing-id=1614438","Active")</f>
        <v>Active</v>
      </c>
      <c r="D3159" t="s">
        <v>5204</v>
      </c>
      <c r="E3159" t="s">
        <v>6794</v>
      </c>
      <c r="F3159">
        <v>365000</v>
      </c>
      <c r="G3159">
        <v>1955</v>
      </c>
      <c r="H3159">
        <v>1340</v>
      </c>
      <c r="I3159">
        <v>8840</v>
      </c>
      <c r="J3159">
        <v>3</v>
      </c>
      <c r="K3159">
        <v>1.5</v>
      </c>
      <c r="M3159" s="2" t="str">
        <f>HYPERLINK("http://maps.live.com/default.aspx?v=2&amp;lvl=15&amp;sp=Point.47.59809_-122.145842_14427 SE 14th&amp;cp=47.59809~-122.145842","Map")</f>
        <v>Map</v>
      </c>
      <c r="N3159" s="2" t="str">
        <f>HYPERLINK("http://i-0.rfimg.us/photo/1/bigphoto/198/28056198_0.jpg","Photo")</f>
        <v>Photo</v>
      </c>
      <c r="AG3159">
        <v>47.598089999999999</v>
      </c>
      <c r="AH3159">
        <v>-122.145842</v>
      </c>
      <c r="AI3159" t="s">
        <v>369</v>
      </c>
      <c r="AJ3159">
        <v>98007</v>
      </c>
      <c r="AN3159">
        <v>218000</v>
      </c>
      <c r="BC3159" s="22">
        <v>39541.69462962963</v>
      </c>
      <c r="BI3159" s="22">
        <v>39549.294907407406</v>
      </c>
      <c r="BL3159">
        <v>7300</v>
      </c>
      <c r="BM3159">
        <v>1614438</v>
      </c>
      <c r="BN3159" t="s">
        <v>4966</v>
      </c>
      <c r="BO3159" s="17">
        <f t="shared" ca="1" si="49"/>
        <v>7.6147762731488911</v>
      </c>
      <c r="BP3159" t="b">
        <v>0</v>
      </c>
      <c r="BQ3159">
        <v>1</v>
      </c>
      <c r="BS3159" t="s">
        <v>1900</v>
      </c>
      <c r="BT3159" t="b">
        <v>0</v>
      </c>
      <c r="BU3159" t="s">
        <v>3856</v>
      </c>
      <c r="BV3159" t="s">
        <v>1668</v>
      </c>
      <c r="BW3159">
        <v>14427</v>
      </c>
      <c r="BY3159">
        <v>425977</v>
      </c>
      <c r="BZ3159" s="21">
        <v>0</v>
      </c>
      <c r="CA3159">
        <v>1</v>
      </c>
      <c r="CB3159" t="b">
        <v>1</v>
      </c>
      <c r="CC3159">
        <v>0</v>
      </c>
      <c r="CD3159" t="b">
        <v>0</v>
      </c>
      <c r="CE3159" t="b">
        <v>1</v>
      </c>
      <c r="CF3159" t="b">
        <v>0</v>
      </c>
      <c r="CG3159">
        <v>2496165</v>
      </c>
      <c r="CH3159" t="s">
        <v>1681</v>
      </c>
      <c r="CI3159" s="10">
        <v>365000</v>
      </c>
      <c r="CJ3159" s="7">
        <v>36889</v>
      </c>
    </row>
    <row r="3160" spans="1:88">
      <c r="A3160">
        <v>28056230</v>
      </c>
      <c r="B3160" s="2" t="str">
        <f>HYPERLINK("http://www.redfin.com/stingray/do/printable-listing?listing-id=1621472","Active")</f>
        <v>Active</v>
      </c>
      <c r="D3160" t="s">
        <v>5776</v>
      </c>
      <c r="E3160" t="s">
        <v>6922</v>
      </c>
      <c r="F3160">
        <v>549950</v>
      </c>
      <c r="G3160">
        <v>1995</v>
      </c>
      <c r="H3160">
        <v>2640</v>
      </c>
      <c r="I3160">
        <v>6120</v>
      </c>
      <c r="J3160">
        <v>4</v>
      </c>
      <c r="K3160">
        <v>2.5</v>
      </c>
      <c r="M3160" s="2" t="str">
        <f>HYPERLINK("http://maps.live.com/default.aspx?v=2&amp;lvl=15&amp;sp=Point.47.519686_-122.202406_1217 N 32nd St&amp;cp=47.519686~-122.202406","Map")</f>
        <v>Map</v>
      </c>
      <c r="N3160" s="2" t="str">
        <f>HYPERLINK("http://i-0.rfimg.us/photo/1/bigphoto/230/28056230_.jpg","Photo")</f>
        <v>Photo</v>
      </c>
      <c r="AG3160">
        <v>47.519686</v>
      </c>
      <c r="AH3160">
        <v>-122.202406</v>
      </c>
      <c r="AI3160" t="s">
        <v>1077</v>
      </c>
      <c r="AJ3160">
        <v>98056</v>
      </c>
      <c r="BC3160" s="22">
        <v>39544.400671296295</v>
      </c>
      <c r="BI3160" s="22">
        <v>39549.294907407406</v>
      </c>
      <c r="BL3160">
        <v>10999</v>
      </c>
      <c r="BM3160">
        <v>1621472</v>
      </c>
      <c r="BN3160" t="s">
        <v>1773</v>
      </c>
      <c r="BO3160" s="17">
        <f t="shared" ca="1" si="49"/>
        <v>4.9087346064843587</v>
      </c>
      <c r="BP3160" t="b">
        <v>0</v>
      </c>
      <c r="BQ3160">
        <v>1</v>
      </c>
      <c r="BR3160" t="s">
        <v>1686</v>
      </c>
      <c r="BS3160" t="s">
        <v>1733</v>
      </c>
      <c r="BT3160" t="b">
        <v>0</v>
      </c>
      <c r="BU3160" t="s">
        <v>1712</v>
      </c>
      <c r="BV3160" t="s">
        <v>1668</v>
      </c>
      <c r="BW3160">
        <v>1217</v>
      </c>
      <c r="BY3160">
        <v>408063</v>
      </c>
      <c r="BZ3160" t="s">
        <v>1741</v>
      </c>
      <c r="CA3160">
        <v>1</v>
      </c>
      <c r="CB3160" t="b">
        <v>1</v>
      </c>
      <c r="CC3160">
        <v>0</v>
      </c>
      <c r="CD3160" t="b">
        <v>0</v>
      </c>
      <c r="CE3160" t="b">
        <v>1</v>
      </c>
      <c r="CF3160" t="b">
        <v>0</v>
      </c>
      <c r="CG3160">
        <v>2656100</v>
      </c>
      <c r="CH3160" t="s">
        <v>1681</v>
      </c>
      <c r="CI3160" s="10">
        <v>549950</v>
      </c>
    </row>
    <row r="3161" spans="1:88">
      <c r="A3161">
        <v>28056232</v>
      </c>
      <c r="B3161" s="2" t="str">
        <f>HYPERLINK("http://www.redfin.com/stingray/do/printable-listing?listing-id=1607290","Active")</f>
        <v>Active</v>
      </c>
      <c r="D3161" t="s">
        <v>55</v>
      </c>
      <c r="E3161" t="s">
        <v>6710</v>
      </c>
      <c r="F3161">
        <v>345000</v>
      </c>
      <c r="G3161">
        <v>2000</v>
      </c>
      <c r="H3161">
        <v>1590</v>
      </c>
      <c r="I3161">
        <v>1225</v>
      </c>
      <c r="J3161">
        <v>3</v>
      </c>
      <c r="K3161">
        <v>3.25</v>
      </c>
      <c r="M3161" s="2" t="str">
        <f>HYPERLINK("http://maps.live.com/default.aspx?v=2&amp;lvl=15&amp;sp=Point.47.703463_-122.351463_533 N 103rd St&amp;cp=47.703463~-122.351463","Map")</f>
        <v>Map</v>
      </c>
      <c r="N3161" s="2" t="str">
        <f>HYPERLINK("http://i-0.rfimg.us/photo/1/bigphoto/232/28056232_0.jpg","Photo")</f>
        <v>Photo</v>
      </c>
      <c r="AG3161">
        <v>47.703462999999999</v>
      </c>
      <c r="AH3161">
        <v>-122.351463</v>
      </c>
      <c r="AI3161" t="s">
        <v>66</v>
      </c>
      <c r="AJ3161">
        <v>98133</v>
      </c>
      <c r="BC3161" s="22">
        <v>39539.890497685185</v>
      </c>
      <c r="BI3161" s="22">
        <v>39549.294907407406</v>
      </c>
      <c r="BL3161">
        <v>6900</v>
      </c>
      <c r="BM3161">
        <v>1607290</v>
      </c>
      <c r="BN3161" t="s">
        <v>1710</v>
      </c>
      <c r="BO3161" s="17">
        <f t="shared" ca="1" si="49"/>
        <v>9.418908217594435</v>
      </c>
      <c r="BP3161" t="b">
        <v>0</v>
      </c>
      <c r="BQ3161">
        <v>1</v>
      </c>
      <c r="BR3161" t="s">
        <v>1686</v>
      </c>
      <c r="BS3161" t="s">
        <v>2691</v>
      </c>
      <c r="BT3161" t="b">
        <v>0</v>
      </c>
      <c r="BU3161" t="s">
        <v>1712</v>
      </c>
      <c r="BV3161" t="s">
        <v>1668</v>
      </c>
      <c r="BW3161">
        <v>533</v>
      </c>
      <c r="BY3161">
        <v>12436665</v>
      </c>
      <c r="BZ3161" t="s">
        <v>1672</v>
      </c>
      <c r="CA3161">
        <v>1</v>
      </c>
      <c r="CB3161" t="b">
        <v>1</v>
      </c>
      <c r="CC3161">
        <v>0</v>
      </c>
      <c r="CD3161" t="b">
        <v>0</v>
      </c>
      <c r="CE3161" t="b">
        <v>1</v>
      </c>
      <c r="CF3161" t="b">
        <v>0</v>
      </c>
      <c r="CG3161">
        <v>15640413</v>
      </c>
      <c r="CH3161" t="s">
        <v>1681</v>
      </c>
      <c r="CI3161" s="10">
        <v>345000</v>
      </c>
    </row>
    <row r="3162" spans="1:88">
      <c r="A3162">
        <v>28056240</v>
      </c>
      <c r="B3162" s="15" t="str">
        <f>HYPERLINK("http://www.redfin.com/stingray/do/printable-listing?listing-id=1607320","Subject To Inspection")</f>
        <v>Subject To Inspection</v>
      </c>
      <c r="D3162" t="s">
        <v>4542</v>
      </c>
      <c r="E3162" t="s">
        <v>6738</v>
      </c>
      <c r="F3162">
        <v>1150000</v>
      </c>
      <c r="G3162">
        <v>1999</v>
      </c>
      <c r="H3162">
        <v>2890</v>
      </c>
      <c r="I3162">
        <v>7500</v>
      </c>
      <c r="J3162">
        <v>4</v>
      </c>
      <c r="K3162">
        <v>3.5</v>
      </c>
      <c r="M3162" s="2" t="str">
        <f>HYPERLINK("http://maps.live.com/default.aspx?v=2&amp;lvl=15&amp;sp=Point.47.683137_-122.205582_230 10 Ave&amp;cp=47.683137~-122.205582","Map")</f>
        <v>Map</v>
      </c>
      <c r="N3162" s="2" t="str">
        <f>HYPERLINK("http://i-0.rfimg.us/photo/1/bigphoto/240/28056240_0.jpg","Photo")</f>
        <v>Photo</v>
      </c>
      <c r="AG3162">
        <v>47.683137000000002</v>
      </c>
      <c r="AH3162">
        <v>-122.20558200000001</v>
      </c>
      <c r="AI3162" t="s">
        <v>1058</v>
      </c>
      <c r="AJ3162">
        <v>98033</v>
      </c>
      <c r="AN3162">
        <v>680000</v>
      </c>
      <c r="BC3162" s="22">
        <v>39539.91134259259</v>
      </c>
      <c r="BI3162" s="22">
        <v>39549.294907407406</v>
      </c>
      <c r="BL3162">
        <v>23000</v>
      </c>
      <c r="BM3162">
        <v>1607320</v>
      </c>
      <c r="BN3162" t="s">
        <v>1674</v>
      </c>
      <c r="BO3162" s="17">
        <f t="shared" ca="1" si="49"/>
        <v>9.3980633101891726</v>
      </c>
      <c r="BP3162" t="b">
        <v>0</v>
      </c>
      <c r="BQ3162">
        <v>1</v>
      </c>
      <c r="BR3162" t="s">
        <v>1667</v>
      </c>
      <c r="BS3162">
        <v>10</v>
      </c>
      <c r="BT3162" t="b">
        <v>0</v>
      </c>
      <c r="BV3162" t="s">
        <v>1668</v>
      </c>
      <c r="BW3162">
        <v>230</v>
      </c>
      <c r="BY3162">
        <v>464096</v>
      </c>
      <c r="BZ3162" t="s">
        <v>1676</v>
      </c>
      <c r="CA3162">
        <v>1</v>
      </c>
      <c r="CB3162" t="b">
        <v>1</v>
      </c>
      <c r="CC3162">
        <v>0</v>
      </c>
      <c r="CD3162" t="b">
        <v>0</v>
      </c>
      <c r="CE3162" t="b">
        <v>1</v>
      </c>
      <c r="CF3162" t="b">
        <v>0</v>
      </c>
      <c r="CG3162">
        <v>2891480</v>
      </c>
      <c r="CH3162" t="s">
        <v>1681</v>
      </c>
      <c r="CI3162" s="10">
        <v>1150000</v>
      </c>
      <c r="CJ3162" s="7">
        <v>37232</v>
      </c>
    </row>
    <row r="3163" spans="1:88">
      <c r="A3163">
        <v>28056242</v>
      </c>
      <c r="B3163" s="15" t="str">
        <f>HYPERLINK("http://www.redfin.com/stingray/do/printable-listing?listing-id=1607321","Subject To Inspection")</f>
        <v>Subject To Inspection</v>
      </c>
      <c r="D3163" t="s">
        <v>3924</v>
      </c>
      <c r="E3163" t="s">
        <v>6733</v>
      </c>
      <c r="F3163">
        <v>469950</v>
      </c>
      <c r="G3163">
        <v>1902</v>
      </c>
      <c r="H3163">
        <v>1480</v>
      </c>
      <c r="I3163">
        <v>3600</v>
      </c>
      <c r="J3163">
        <v>3</v>
      </c>
      <c r="K3163">
        <v>2</v>
      </c>
      <c r="M3163" s="2" t="str">
        <f>HYPERLINK("http://maps.live.com/default.aspx?v=2&amp;lvl=15&amp;sp=Point.47.617018_-122.300446_1717 25th Ave&amp;cp=47.617018~-122.300446","Map")</f>
        <v>Map</v>
      </c>
      <c r="N3163" s="2" t="str">
        <f>HYPERLINK("http://i-0.rfimg.us/photo/1/bigphoto/242/28056242_3.jpg","Photo")</f>
        <v>Photo</v>
      </c>
      <c r="AG3163">
        <v>47.617018000000002</v>
      </c>
      <c r="AH3163">
        <v>-122.30044599999999</v>
      </c>
      <c r="AI3163" t="s">
        <v>66</v>
      </c>
      <c r="AJ3163">
        <v>98122</v>
      </c>
      <c r="AN3163">
        <v>260000</v>
      </c>
      <c r="BC3163" s="22">
        <v>39539.911400462966</v>
      </c>
      <c r="BI3163" s="22">
        <v>39549.294907407406</v>
      </c>
      <c r="BL3163">
        <v>9399</v>
      </c>
      <c r="BM3163">
        <v>1607321</v>
      </c>
      <c r="BN3163" t="s">
        <v>1685</v>
      </c>
      <c r="BO3163" s="17">
        <f t="shared" ca="1" si="49"/>
        <v>9.3980054398125503</v>
      </c>
      <c r="BP3163" t="b">
        <v>0</v>
      </c>
      <c r="BQ3163">
        <v>1</v>
      </c>
      <c r="BR3163" t="s">
        <v>1667</v>
      </c>
      <c r="BS3163" t="s">
        <v>1819</v>
      </c>
      <c r="BT3163" t="b">
        <v>0</v>
      </c>
      <c r="BV3163" t="s">
        <v>1668</v>
      </c>
      <c r="BW3163">
        <v>1717</v>
      </c>
      <c r="BY3163">
        <v>147965</v>
      </c>
      <c r="BZ3163" t="s">
        <v>3239</v>
      </c>
      <c r="CA3163">
        <v>1</v>
      </c>
      <c r="CB3163" t="b">
        <v>1</v>
      </c>
      <c r="CC3163">
        <v>0</v>
      </c>
      <c r="CD3163" t="b">
        <v>0</v>
      </c>
      <c r="CE3163" t="b">
        <v>1</v>
      </c>
      <c r="CF3163" t="b">
        <v>0</v>
      </c>
      <c r="CG3163">
        <v>2490579</v>
      </c>
      <c r="CH3163" t="s">
        <v>1681</v>
      </c>
      <c r="CI3163" s="10">
        <v>469950</v>
      </c>
      <c r="CJ3163" s="7">
        <v>36097</v>
      </c>
    </row>
    <row r="3164" spans="1:88">
      <c r="A3164">
        <v>28056247</v>
      </c>
      <c r="B3164" s="2" t="str">
        <f>HYPERLINK("http://www.redfin.com/stingray/do/printable-listing?listing-id=1607347","Active")</f>
        <v>Active</v>
      </c>
      <c r="D3164" t="s">
        <v>55</v>
      </c>
      <c r="E3164" t="s">
        <v>6715</v>
      </c>
      <c r="F3164">
        <v>339950</v>
      </c>
      <c r="G3164">
        <v>1955</v>
      </c>
      <c r="H3164">
        <v>1033</v>
      </c>
      <c r="I3164">
        <v>6350</v>
      </c>
      <c r="J3164">
        <v>3</v>
      </c>
      <c r="K3164">
        <v>1</v>
      </c>
      <c r="M3164" s="2" t="str">
        <f>HYPERLINK("http://maps.live.com/default.aspx?v=2&amp;lvl=15&amp;sp=Point.47.698266_-122.356342_9512 Palatine Ave NW&amp;cp=47.698266~-122.356342","Map")</f>
        <v>Map</v>
      </c>
      <c r="N3164" s="2" t="str">
        <f>HYPERLINK("http://i-0.rfimg.us/photo/1/bigphoto/247/28056247_1.jpg","Photo")</f>
        <v>Photo</v>
      </c>
      <c r="AG3164">
        <v>47.698265999999997</v>
      </c>
      <c r="AH3164">
        <v>-122.356342</v>
      </c>
      <c r="AI3164" t="s">
        <v>66</v>
      </c>
      <c r="AJ3164">
        <v>98103</v>
      </c>
      <c r="BC3164" s="22">
        <v>39539.943009259259</v>
      </c>
      <c r="BI3164" s="22">
        <v>39549.294907407406</v>
      </c>
      <c r="BL3164">
        <v>6799</v>
      </c>
      <c r="BM3164">
        <v>1607347</v>
      </c>
      <c r="BN3164" t="s">
        <v>1688</v>
      </c>
      <c r="BO3164" s="17">
        <f t="shared" ca="1" si="49"/>
        <v>9.3663966435196926</v>
      </c>
      <c r="BP3164" t="b">
        <v>0</v>
      </c>
      <c r="BQ3164">
        <v>1</v>
      </c>
      <c r="BR3164" t="s">
        <v>1667</v>
      </c>
      <c r="BS3164" t="s">
        <v>2605</v>
      </c>
      <c r="BT3164" t="b">
        <v>0</v>
      </c>
      <c r="BV3164" t="s">
        <v>1668</v>
      </c>
      <c r="BW3164">
        <v>9512</v>
      </c>
      <c r="BX3164" t="s">
        <v>1669</v>
      </c>
      <c r="BY3164">
        <v>101272</v>
      </c>
      <c r="BZ3164" t="s">
        <v>1836</v>
      </c>
      <c r="CA3164">
        <v>1</v>
      </c>
      <c r="CB3164" t="b">
        <v>1</v>
      </c>
      <c r="CC3164">
        <v>0</v>
      </c>
      <c r="CD3164" t="b">
        <v>0</v>
      </c>
      <c r="CE3164" t="b">
        <v>1</v>
      </c>
      <c r="CF3164" t="b">
        <v>0</v>
      </c>
      <c r="CG3164">
        <v>2629653</v>
      </c>
      <c r="CH3164" t="s">
        <v>1681</v>
      </c>
      <c r="CI3164" s="10">
        <v>339950</v>
      </c>
    </row>
    <row r="3165" spans="1:88">
      <c r="A3165">
        <v>28056256</v>
      </c>
      <c r="B3165" s="2" t="str">
        <f>HYPERLINK("http://www.redfin.com/stingray/do/printable-listing?listing-id=1607947","Active")</f>
        <v>Active</v>
      </c>
      <c r="D3165" t="s">
        <v>5490</v>
      </c>
      <c r="E3165" t="s">
        <v>5872</v>
      </c>
      <c r="F3165">
        <v>769000</v>
      </c>
      <c r="G3165">
        <v>2000</v>
      </c>
      <c r="H3165">
        <v>2980</v>
      </c>
      <c r="I3165">
        <v>4930</v>
      </c>
      <c r="J3165">
        <v>4</v>
      </c>
      <c r="K3165">
        <v>3</v>
      </c>
      <c r="M3165" s="2" t="str">
        <f>HYPERLINK("http://maps.live.com/default.aspx?v=2&amp;lvl=15&amp;sp=Point.47.54444_-122.12023_16410 SE 64th Pl&amp;cp=47.54444~-122.12023","Map")</f>
        <v>Map</v>
      </c>
      <c r="N3165" s="2" t="str">
        <f>HYPERLINK("http://i-0.rfimg.us/photo/1/bigphoto/256/28056256_.jpg","Photo")</f>
        <v>Photo</v>
      </c>
      <c r="AG3165">
        <v>47.544440000000002</v>
      </c>
      <c r="AH3165">
        <v>-122.12023000000001</v>
      </c>
      <c r="AI3165" t="s">
        <v>369</v>
      </c>
      <c r="AJ3165">
        <v>98006</v>
      </c>
      <c r="AN3165">
        <v>524950</v>
      </c>
      <c r="BC3165" s="22">
        <v>39540.046365740738</v>
      </c>
      <c r="BI3165" s="22">
        <v>39549.294907407406</v>
      </c>
      <c r="BL3165">
        <v>15380</v>
      </c>
      <c r="BM3165">
        <v>1607947</v>
      </c>
      <c r="BN3165" t="s">
        <v>1737</v>
      </c>
      <c r="BO3165" s="17">
        <f t="shared" ca="1" si="49"/>
        <v>9.263040162040852</v>
      </c>
      <c r="BP3165" t="b">
        <v>0</v>
      </c>
      <c r="BQ3165">
        <v>1</v>
      </c>
      <c r="BR3165" t="s">
        <v>1842</v>
      </c>
      <c r="BS3165" t="s">
        <v>2405</v>
      </c>
      <c r="BT3165" t="b">
        <v>0</v>
      </c>
      <c r="BU3165" t="s">
        <v>3856</v>
      </c>
      <c r="BV3165" t="s">
        <v>1668</v>
      </c>
      <c r="BW3165">
        <v>16410</v>
      </c>
      <c r="BY3165">
        <v>419235</v>
      </c>
      <c r="BZ3165" t="s">
        <v>1762</v>
      </c>
      <c r="CA3165">
        <v>1</v>
      </c>
      <c r="CB3165" t="b">
        <v>1</v>
      </c>
      <c r="CC3165">
        <v>0</v>
      </c>
      <c r="CD3165" t="b">
        <v>0</v>
      </c>
      <c r="CE3165" t="b">
        <v>1</v>
      </c>
      <c r="CF3165" t="b">
        <v>0</v>
      </c>
      <c r="CG3165">
        <v>2430444</v>
      </c>
      <c r="CH3165" t="s">
        <v>1681</v>
      </c>
      <c r="CI3165" s="10">
        <v>769000</v>
      </c>
      <c r="CJ3165" s="7">
        <v>37134</v>
      </c>
    </row>
    <row r="3166" spans="1:88">
      <c r="A3166">
        <v>28056260</v>
      </c>
      <c r="B3166" s="15" t="str">
        <f>HYPERLINK("http://www.redfin.com/stingray/do/printable-listing?listing-id=1615924","Subject To Inspection")</f>
        <v>Subject To Inspection</v>
      </c>
      <c r="D3166" t="s">
        <v>70</v>
      </c>
      <c r="E3166" t="s">
        <v>6818</v>
      </c>
      <c r="F3166">
        <v>485000</v>
      </c>
      <c r="G3166">
        <v>1930</v>
      </c>
      <c r="H3166">
        <v>2800</v>
      </c>
      <c r="I3166">
        <v>8040</v>
      </c>
      <c r="J3166">
        <v>4</v>
      </c>
      <c r="K3166">
        <v>2.75</v>
      </c>
      <c r="M3166" s="2" t="str">
        <f>HYPERLINK("http://maps.live.com/default.aspx?v=2&amp;lvl=15&amp;sp=Point.47.716191_-122.366697_12001 8th Ave NW&amp;cp=47.716191~-122.366697","Map")</f>
        <v>Map</v>
      </c>
      <c r="N3166" s="2" t="str">
        <f>HYPERLINK("http://i-0.rfimg.us/photo/1/bigphoto/260/28056260_3.jpg","Photo")</f>
        <v>Photo</v>
      </c>
      <c r="AG3166">
        <v>47.716191000000002</v>
      </c>
      <c r="AH3166">
        <v>-122.366697</v>
      </c>
      <c r="AI3166" t="s">
        <v>66</v>
      </c>
      <c r="AJ3166">
        <v>98177</v>
      </c>
      <c r="AN3166">
        <v>330000</v>
      </c>
      <c r="BC3166" s="22">
        <v>39542.265243055554</v>
      </c>
      <c r="BI3166" s="22">
        <v>39549.294907407406</v>
      </c>
      <c r="BL3166">
        <v>9700</v>
      </c>
      <c r="BM3166">
        <v>1615924</v>
      </c>
      <c r="BN3166" t="s">
        <v>1697</v>
      </c>
      <c r="BO3166" s="17">
        <f t="shared" ca="1" si="49"/>
        <v>7.0441628472253797</v>
      </c>
      <c r="BP3166" t="b">
        <v>0</v>
      </c>
      <c r="BQ3166">
        <v>1</v>
      </c>
      <c r="BR3166" t="s">
        <v>1667</v>
      </c>
      <c r="BS3166" t="s">
        <v>1723</v>
      </c>
      <c r="BT3166" t="b">
        <v>0</v>
      </c>
      <c r="BV3166" t="s">
        <v>1668</v>
      </c>
      <c r="BW3166">
        <v>12001</v>
      </c>
      <c r="BX3166" t="s">
        <v>1669</v>
      </c>
      <c r="BY3166">
        <v>291343</v>
      </c>
      <c r="BZ3166" t="s">
        <v>3964</v>
      </c>
      <c r="CA3166">
        <v>1</v>
      </c>
      <c r="CB3166" t="b">
        <v>1</v>
      </c>
      <c r="CC3166">
        <v>0</v>
      </c>
      <c r="CD3166" t="b">
        <v>1</v>
      </c>
      <c r="CE3166" t="b">
        <v>1</v>
      </c>
      <c r="CF3166" t="b">
        <v>0</v>
      </c>
      <c r="CG3166">
        <v>2360092</v>
      </c>
      <c r="CH3166" t="s">
        <v>1681</v>
      </c>
      <c r="CI3166" s="10">
        <v>485000</v>
      </c>
      <c r="CJ3166" s="7">
        <v>37407</v>
      </c>
    </row>
    <row r="3167" spans="1:88">
      <c r="A3167">
        <v>28056310</v>
      </c>
      <c r="B3167" s="2" t="str">
        <f>HYPERLINK("http://www.redfin.com/stingray/do/printable-listing?listing-id=1608277","Active")</f>
        <v>Active</v>
      </c>
      <c r="D3167" t="s">
        <v>6041</v>
      </c>
      <c r="E3167" t="s">
        <v>6759</v>
      </c>
      <c r="F3167">
        <v>570000</v>
      </c>
      <c r="G3167">
        <v>1998</v>
      </c>
      <c r="H3167">
        <v>2709</v>
      </c>
      <c r="I3167">
        <v>6390</v>
      </c>
      <c r="J3167">
        <v>4</v>
      </c>
      <c r="K3167">
        <v>2.5</v>
      </c>
      <c r="M3167" s="2" t="str">
        <f>HYPERLINK("http://maps.live.com/default.aspx?v=2&amp;lvl=15&amp;sp=Point.47.512794_-122.173342_3525 NE 24 Ct&amp;cp=47.512794~-122.173342","Map")</f>
        <v>Map</v>
      </c>
      <c r="N3167" s="2" t="str">
        <f>HYPERLINK("http://i-0.rfimg.us/photo/1/bigphoto/310/28056310_0.jpg","Photo")</f>
        <v>Photo</v>
      </c>
      <c r="AG3167">
        <v>47.512794</v>
      </c>
      <c r="AH3167">
        <v>-122.17334200000001</v>
      </c>
      <c r="AI3167" t="s">
        <v>1077</v>
      </c>
      <c r="AJ3167">
        <v>98056</v>
      </c>
      <c r="AN3167">
        <v>538000</v>
      </c>
      <c r="BC3167" s="22">
        <v>39540.327326388891</v>
      </c>
      <c r="BI3167" s="22">
        <v>39549.294907407406</v>
      </c>
      <c r="BL3167">
        <v>11400</v>
      </c>
      <c r="BM3167">
        <v>1608277</v>
      </c>
      <c r="BN3167" t="s">
        <v>2590</v>
      </c>
      <c r="BO3167" s="17">
        <f t="shared" ca="1" si="49"/>
        <v>8.9820795138875837</v>
      </c>
      <c r="BP3167" t="b">
        <v>0</v>
      </c>
      <c r="BQ3167">
        <v>1</v>
      </c>
      <c r="BR3167" t="s">
        <v>3768</v>
      </c>
      <c r="BS3167">
        <v>24</v>
      </c>
      <c r="BT3167" t="b">
        <v>0</v>
      </c>
      <c r="BU3167" t="s">
        <v>1738</v>
      </c>
      <c r="BV3167" t="s">
        <v>1668</v>
      </c>
      <c r="BW3167">
        <v>3525</v>
      </c>
      <c r="BY3167">
        <v>411175</v>
      </c>
      <c r="BZ3167" t="s">
        <v>1672</v>
      </c>
      <c r="CA3167">
        <v>1</v>
      </c>
      <c r="CB3167" t="b">
        <v>1</v>
      </c>
      <c r="CC3167">
        <v>0</v>
      </c>
      <c r="CD3167" t="b">
        <v>0</v>
      </c>
      <c r="CE3167" t="b">
        <v>1</v>
      </c>
      <c r="CF3167" t="b">
        <v>0</v>
      </c>
      <c r="CG3167">
        <v>2656231</v>
      </c>
      <c r="CH3167" t="s">
        <v>1681</v>
      </c>
      <c r="CI3167" s="10">
        <v>570000</v>
      </c>
      <c r="CJ3167" s="7">
        <v>38863</v>
      </c>
    </row>
    <row r="3168" spans="1:88">
      <c r="A3168">
        <v>28056320</v>
      </c>
      <c r="B3168" s="2" t="str">
        <f>HYPERLINK("http://www.redfin.com/stingray/do/printable-listing?listing-id=1608303","Active")</f>
        <v>Active</v>
      </c>
      <c r="D3168" t="s">
        <v>1023</v>
      </c>
      <c r="E3168" t="s">
        <v>2539</v>
      </c>
      <c r="F3168">
        <v>859000</v>
      </c>
      <c r="G3168">
        <v>1954</v>
      </c>
      <c r="H3168">
        <v>2940</v>
      </c>
      <c r="I3168">
        <v>6120</v>
      </c>
      <c r="J3168">
        <v>4</v>
      </c>
      <c r="K3168">
        <v>2</v>
      </c>
      <c r="M3168" s="2" t="str">
        <f>HYPERLINK("http://maps.live.com/default.aspx?v=2&amp;lvl=15&amp;sp=Point.47.670669_-122.399187_3216 NW 57th St&amp;cp=47.670669~-122.399187","Map")</f>
        <v>Map</v>
      </c>
      <c r="N3168" s="2" t="str">
        <f>HYPERLINK("http://i-0.rfimg.us/photo/1/bigphoto/320/28056320_0.jpg","Photo")</f>
        <v>Photo</v>
      </c>
      <c r="AG3168">
        <v>47.670668999999997</v>
      </c>
      <c r="AH3168">
        <v>-122.399187</v>
      </c>
      <c r="AI3168" t="s">
        <v>66</v>
      </c>
      <c r="AJ3168">
        <v>98107</v>
      </c>
      <c r="AN3168">
        <v>380000</v>
      </c>
      <c r="BC3168" s="22">
        <v>39540.337951388887</v>
      </c>
      <c r="BI3168" s="22">
        <v>39549.294907407406</v>
      </c>
      <c r="BL3168">
        <v>17180</v>
      </c>
      <c r="BM3168">
        <v>1608303</v>
      </c>
      <c r="BN3168" t="s">
        <v>1702</v>
      </c>
      <c r="BO3168" s="17">
        <f t="shared" ca="1" si="49"/>
        <v>8.9714545138922404</v>
      </c>
      <c r="BP3168" t="b">
        <v>0</v>
      </c>
      <c r="BQ3168">
        <v>1</v>
      </c>
      <c r="BR3168" t="s">
        <v>1686</v>
      </c>
      <c r="BS3168" t="s">
        <v>1687</v>
      </c>
      <c r="BT3168" t="b">
        <v>0</v>
      </c>
      <c r="BU3168" t="s">
        <v>1669</v>
      </c>
      <c r="BV3168" t="s">
        <v>1668</v>
      </c>
      <c r="BW3168">
        <v>3216</v>
      </c>
      <c r="BY3168">
        <v>162160</v>
      </c>
      <c r="BZ3168" t="s">
        <v>1676</v>
      </c>
      <c r="CA3168">
        <v>1</v>
      </c>
      <c r="CB3168" t="b">
        <v>1</v>
      </c>
      <c r="CC3168">
        <v>0</v>
      </c>
      <c r="CD3168" t="b">
        <v>0</v>
      </c>
      <c r="CE3168" t="b">
        <v>1</v>
      </c>
      <c r="CF3168" t="b">
        <v>0</v>
      </c>
      <c r="CG3168">
        <v>2776626</v>
      </c>
      <c r="CH3168" t="s">
        <v>1681</v>
      </c>
      <c r="CI3168" s="10">
        <v>859000</v>
      </c>
      <c r="CJ3168" s="7">
        <v>38336</v>
      </c>
    </row>
    <row r="3169" spans="1:90">
      <c r="A3169">
        <v>28056341</v>
      </c>
      <c r="B3169" s="2" t="str">
        <f>HYPERLINK("http://www.redfin.com/stingray/do/printable-listing?listing-id=1608367","Active")</f>
        <v>Active</v>
      </c>
      <c r="D3169" t="s">
        <v>192</v>
      </c>
      <c r="E3169" t="s">
        <v>6717</v>
      </c>
      <c r="F3169">
        <v>359999</v>
      </c>
      <c r="G3169">
        <v>2008</v>
      </c>
      <c r="H3169">
        <v>1251</v>
      </c>
      <c r="I3169">
        <v>0</v>
      </c>
      <c r="J3169">
        <v>3</v>
      </c>
      <c r="K3169">
        <v>2.25</v>
      </c>
      <c r="M3169" s="2" t="str">
        <f>HYPERLINK("http://maps.live.com/default.aspx?v=2&amp;lvl=15&amp;sp=Point.47.695992_-122.317803_9215 Roosevelt Way NE nD&amp;cp=47.695992~-122.317803","Map")</f>
        <v>Map</v>
      </c>
      <c r="N3169" s="2" t="str">
        <f>HYPERLINK("http://i-0.rfimg.us/photo/1/bigphoto/341/28056341_1.jpg","Photo")</f>
        <v>Photo</v>
      </c>
      <c r="AG3169">
        <v>47.695991999999997</v>
      </c>
      <c r="AH3169">
        <v>-122.317803</v>
      </c>
      <c r="AI3169" t="s">
        <v>66</v>
      </c>
      <c r="AJ3169">
        <v>98115</v>
      </c>
      <c r="AM3169" t="s">
        <v>2685</v>
      </c>
      <c r="BC3169" s="22">
        <v>39540.348275462966</v>
      </c>
      <c r="BI3169" s="22">
        <v>39549.294907407406</v>
      </c>
      <c r="BL3169">
        <v>7200</v>
      </c>
      <c r="BM3169">
        <v>1608367</v>
      </c>
      <c r="BN3169" t="s">
        <v>1718</v>
      </c>
      <c r="BO3169" s="17">
        <f t="shared" ca="1" si="49"/>
        <v>8.9611304398131324</v>
      </c>
      <c r="BP3169" t="b">
        <v>0</v>
      </c>
      <c r="BQ3169">
        <v>1</v>
      </c>
      <c r="BR3169" t="s">
        <v>2463</v>
      </c>
      <c r="BS3169" t="s">
        <v>190</v>
      </c>
      <c r="BT3169" t="b">
        <v>0</v>
      </c>
      <c r="BV3169" t="s">
        <v>1668</v>
      </c>
      <c r="BW3169">
        <v>9215</v>
      </c>
      <c r="BX3169" t="s">
        <v>1738</v>
      </c>
      <c r="BY3169">
        <v>12436758</v>
      </c>
      <c r="BZ3169" t="s">
        <v>4347</v>
      </c>
      <c r="CA3169">
        <v>1</v>
      </c>
      <c r="CB3169" t="b">
        <v>1</v>
      </c>
      <c r="CC3169">
        <v>0</v>
      </c>
      <c r="CD3169" t="b">
        <v>0</v>
      </c>
      <c r="CE3169" t="b">
        <v>1</v>
      </c>
      <c r="CF3169" t="b">
        <v>0</v>
      </c>
      <c r="CG3169">
        <v>15638967</v>
      </c>
      <c r="CH3169" t="s">
        <v>1681</v>
      </c>
      <c r="CI3169" s="10">
        <v>359999</v>
      </c>
      <c r="CL3169" t="s">
        <v>2325</v>
      </c>
    </row>
    <row r="3170" spans="1:90">
      <c r="A3170">
        <v>28056367</v>
      </c>
      <c r="B3170" s="2" t="str">
        <f>HYPERLINK("http://www.redfin.com/stingray/do/printable-listing?listing-id=1608500","Active")</f>
        <v>Active</v>
      </c>
      <c r="D3170" t="s">
        <v>3071</v>
      </c>
      <c r="E3170" t="s">
        <v>6734</v>
      </c>
      <c r="F3170">
        <v>390000</v>
      </c>
      <c r="G3170">
        <v>1969</v>
      </c>
      <c r="H3170">
        <v>1370</v>
      </c>
      <c r="I3170">
        <v>8755</v>
      </c>
      <c r="J3170">
        <v>4</v>
      </c>
      <c r="K3170">
        <v>2</v>
      </c>
      <c r="M3170" s="2" t="str">
        <f>HYPERLINK("http://maps.live.com/default.aspx?v=2&amp;lvl=15&amp;sp=Point.47.723908_-122.220906_13737 90th Pl NE&amp;cp=47.723908~-122.220906","Map")</f>
        <v>Map</v>
      </c>
      <c r="N3170" s="2" t="str">
        <f>HYPERLINK("http://i-0.rfimg.us/photo/1/bigphoto/367/28056367_.jpg","Photo")</f>
        <v>Photo</v>
      </c>
      <c r="AG3170">
        <v>47.723908000000002</v>
      </c>
      <c r="AH3170">
        <v>-122.220906</v>
      </c>
      <c r="AI3170" t="s">
        <v>1058</v>
      </c>
      <c r="AJ3170">
        <v>98034</v>
      </c>
      <c r="AN3170">
        <v>399950</v>
      </c>
      <c r="BC3170" s="22">
        <v>39540.37090277778</v>
      </c>
      <c r="BI3170" s="22">
        <v>39549.294907407406</v>
      </c>
      <c r="BL3170">
        <v>7800</v>
      </c>
      <c r="BM3170">
        <v>1608500</v>
      </c>
      <c r="BN3170" t="s">
        <v>1674</v>
      </c>
      <c r="BO3170" s="17">
        <f t="shared" ca="1" si="49"/>
        <v>8.9385031249985332</v>
      </c>
      <c r="BP3170" t="b">
        <v>0</v>
      </c>
      <c r="BQ3170">
        <v>1</v>
      </c>
      <c r="BR3170" t="s">
        <v>1842</v>
      </c>
      <c r="BS3170" t="s">
        <v>1761</v>
      </c>
      <c r="BT3170" t="b">
        <v>0</v>
      </c>
      <c r="BV3170" t="s">
        <v>1668</v>
      </c>
      <c r="BW3170">
        <v>13737</v>
      </c>
      <c r="BX3170" t="s">
        <v>1738</v>
      </c>
      <c r="BY3170">
        <v>277263</v>
      </c>
      <c r="BZ3170" t="s">
        <v>6849</v>
      </c>
      <c r="CA3170">
        <v>1</v>
      </c>
      <c r="CB3170" t="b">
        <v>1</v>
      </c>
      <c r="CC3170">
        <v>0</v>
      </c>
      <c r="CD3170" t="b">
        <v>0</v>
      </c>
      <c r="CE3170" t="b">
        <v>1</v>
      </c>
      <c r="CF3170" t="b">
        <v>0</v>
      </c>
      <c r="CG3170">
        <v>2713429</v>
      </c>
      <c r="CH3170" t="s">
        <v>1681</v>
      </c>
      <c r="CI3170" s="10">
        <v>390000</v>
      </c>
      <c r="CJ3170" s="7">
        <v>39239</v>
      </c>
    </row>
    <row r="3171" spans="1:90">
      <c r="A3171">
        <v>28056382</v>
      </c>
      <c r="B3171" s="2" t="str">
        <f>HYPERLINK("http://www.redfin.com/stingray/do/printable-listing?listing-id=1608532","Active")</f>
        <v>Active</v>
      </c>
      <c r="D3171" t="s">
        <v>3959</v>
      </c>
      <c r="E3171" t="s">
        <v>4145</v>
      </c>
      <c r="F3171">
        <v>439950</v>
      </c>
      <c r="G3171">
        <v>2007</v>
      </c>
      <c r="H3171">
        <v>1500</v>
      </c>
      <c r="I3171">
        <v>0</v>
      </c>
      <c r="J3171">
        <v>3</v>
      </c>
      <c r="K3171">
        <v>2.5</v>
      </c>
      <c r="M3171" s="2" t="str">
        <f>HYPERLINK("http://maps.live.com/default.aspx?v=2&amp;lvl=15&amp;sp=Point.47.603095_-122.309103_165 18th Ave&amp;cp=47.603095~-122.309103","Map")</f>
        <v>Map</v>
      </c>
      <c r="N3171" s="2" t="str">
        <f>HYPERLINK("http://i-0.rfimg.us/photo/1/bigphoto/382/28056382_0.jpg","Photo")</f>
        <v>Photo</v>
      </c>
      <c r="AG3171">
        <v>47.603095000000003</v>
      </c>
      <c r="AH3171">
        <v>-122.30910299999999</v>
      </c>
      <c r="AI3171" t="s">
        <v>66</v>
      </c>
      <c r="AJ3171">
        <v>98122</v>
      </c>
      <c r="BC3171" s="22">
        <v>39540.379988425928</v>
      </c>
      <c r="BI3171" s="22">
        <v>39549.294907407406</v>
      </c>
      <c r="BL3171">
        <v>8799</v>
      </c>
      <c r="BM3171">
        <v>1608532</v>
      </c>
      <c r="BN3171" t="s">
        <v>1725</v>
      </c>
      <c r="BO3171" s="17">
        <f t="shared" ca="1" si="49"/>
        <v>8.9294174768510857</v>
      </c>
      <c r="BP3171" t="b">
        <v>0</v>
      </c>
      <c r="BQ3171">
        <v>1</v>
      </c>
      <c r="BR3171" t="s">
        <v>1667</v>
      </c>
      <c r="BS3171" t="s">
        <v>1909</v>
      </c>
      <c r="BT3171" t="b">
        <v>0</v>
      </c>
      <c r="BV3171" t="s">
        <v>1668</v>
      </c>
      <c r="BW3171">
        <v>165</v>
      </c>
      <c r="BY3171">
        <v>11920416</v>
      </c>
      <c r="BZ3171" t="s">
        <v>1713</v>
      </c>
      <c r="CA3171">
        <v>1</v>
      </c>
      <c r="CB3171" t="b">
        <v>1</v>
      </c>
      <c r="CC3171">
        <v>0</v>
      </c>
      <c r="CD3171" t="b">
        <v>0</v>
      </c>
      <c r="CE3171" t="b">
        <v>1</v>
      </c>
      <c r="CF3171" t="b">
        <v>0</v>
      </c>
      <c r="CG3171">
        <v>15174641</v>
      </c>
      <c r="CH3171" t="s">
        <v>1681</v>
      </c>
      <c r="CI3171" s="10">
        <v>439950</v>
      </c>
    </row>
    <row r="3172" spans="1:90">
      <c r="A3172">
        <v>28056396</v>
      </c>
      <c r="B3172" s="2" t="str">
        <f>HYPERLINK("http://www.redfin.com/stingray/do/printable-listing?listing-id=1608529","Active")</f>
        <v>Active</v>
      </c>
      <c r="D3172" t="s">
        <v>5926</v>
      </c>
      <c r="E3172" t="s">
        <v>6750</v>
      </c>
      <c r="F3172">
        <v>424950</v>
      </c>
      <c r="G3172">
        <v>1985</v>
      </c>
      <c r="H3172">
        <v>1780</v>
      </c>
      <c r="I3172">
        <v>8077</v>
      </c>
      <c r="J3172">
        <v>2</v>
      </c>
      <c r="K3172">
        <v>2.5</v>
      </c>
      <c r="M3172" s="2" t="str">
        <f>HYPERLINK("http://maps.live.com/default.aspx?v=2&amp;lvl=15&amp;sp=Point.47.52185_-122.200434_1315 N 34th St&amp;cp=47.52185~-122.200434","Map")</f>
        <v>Map</v>
      </c>
      <c r="N3172" s="2" t="str">
        <f>HYPERLINK("http://i-0.rfimg.us/photo/1/bigphoto/396/28056396_0.jpg","Photo")</f>
        <v>Photo</v>
      </c>
      <c r="AG3172">
        <v>47.521850000000001</v>
      </c>
      <c r="AH3172">
        <v>-122.200434</v>
      </c>
      <c r="AI3172" t="s">
        <v>1077</v>
      </c>
      <c r="AJ3172">
        <v>98056</v>
      </c>
      <c r="AN3172">
        <v>53812</v>
      </c>
      <c r="BC3172" s="22">
        <v>39540.379942129628</v>
      </c>
      <c r="BI3172" s="22">
        <v>39549.294907407406</v>
      </c>
      <c r="BL3172">
        <v>8499</v>
      </c>
      <c r="BM3172">
        <v>1608529</v>
      </c>
      <c r="BN3172" t="s">
        <v>1790</v>
      </c>
      <c r="BO3172" s="17">
        <f t="shared" ca="1" si="49"/>
        <v>8.9294637731509283</v>
      </c>
      <c r="BP3172" t="b">
        <v>0</v>
      </c>
      <c r="BQ3172">
        <v>1</v>
      </c>
      <c r="BR3172" t="s">
        <v>1686</v>
      </c>
      <c r="BS3172" t="s">
        <v>2912</v>
      </c>
      <c r="BT3172" t="b">
        <v>0</v>
      </c>
      <c r="BU3172" t="s">
        <v>1712</v>
      </c>
      <c r="BV3172" t="s">
        <v>1668</v>
      </c>
      <c r="BW3172">
        <v>1315</v>
      </c>
      <c r="BY3172">
        <v>408371</v>
      </c>
      <c r="BZ3172" t="s">
        <v>1741</v>
      </c>
      <c r="CA3172">
        <v>1</v>
      </c>
      <c r="CB3172" t="b">
        <v>1</v>
      </c>
      <c r="CC3172">
        <v>0</v>
      </c>
      <c r="CD3172" t="b">
        <v>0</v>
      </c>
      <c r="CE3172" t="b">
        <v>1</v>
      </c>
      <c r="CF3172" t="b">
        <v>0</v>
      </c>
      <c r="CG3172">
        <v>2958726</v>
      </c>
      <c r="CH3172" t="s">
        <v>1681</v>
      </c>
      <c r="CI3172" s="10">
        <v>424950</v>
      </c>
      <c r="CJ3172" s="7">
        <v>31268</v>
      </c>
    </row>
    <row r="3173" spans="1:90">
      <c r="A3173">
        <v>28056398</v>
      </c>
      <c r="B3173" s="2" t="str">
        <f>HYPERLINK("http://www.redfin.com/stingray/do/printable-listing?listing-id=1608594","Active")</f>
        <v>Active</v>
      </c>
      <c r="D3173" t="s">
        <v>3959</v>
      </c>
      <c r="E3173" t="s">
        <v>6732</v>
      </c>
      <c r="F3173">
        <v>455950</v>
      </c>
      <c r="G3173">
        <v>2007</v>
      </c>
      <c r="H3173">
        <v>1734</v>
      </c>
      <c r="I3173">
        <v>0</v>
      </c>
      <c r="J3173">
        <v>3</v>
      </c>
      <c r="K3173">
        <v>2.5</v>
      </c>
      <c r="M3173" s="2" t="str">
        <f>HYPERLINK("http://maps.live.com/default.aspx?v=2&amp;lvl=15&amp;sp=Point.47.603097_-122.30934_163 18th Ave&amp;cp=47.603097~-122.30934","Map")</f>
        <v>Map</v>
      </c>
      <c r="N3173" s="2" t="str">
        <f>HYPERLINK("http://i-0.rfimg.us/photo/1/bigphoto/398/28056398_0.jpg","Photo")</f>
        <v>Photo</v>
      </c>
      <c r="AG3173">
        <v>47.603096999999998</v>
      </c>
      <c r="AH3173">
        <v>-122.30934000000001</v>
      </c>
      <c r="AI3173" t="s">
        <v>66</v>
      </c>
      <c r="AJ3173">
        <v>98122</v>
      </c>
      <c r="AN3173">
        <v>437000</v>
      </c>
      <c r="BC3173" s="22">
        <v>39540.390347222223</v>
      </c>
      <c r="BI3173" s="22">
        <v>39549.294907407406</v>
      </c>
      <c r="BL3173">
        <v>9119</v>
      </c>
      <c r="BM3173">
        <v>1608594</v>
      </c>
      <c r="BN3173" t="s">
        <v>1725</v>
      </c>
      <c r="BO3173" s="17">
        <f t="shared" ca="1" si="49"/>
        <v>8.9190586805561907</v>
      </c>
      <c r="BP3173" t="b">
        <v>0</v>
      </c>
      <c r="BQ3173">
        <v>1</v>
      </c>
      <c r="BR3173" t="s">
        <v>1667</v>
      </c>
      <c r="BS3173" t="s">
        <v>1909</v>
      </c>
      <c r="BT3173" t="b">
        <v>0</v>
      </c>
      <c r="BV3173" t="s">
        <v>1668</v>
      </c>
      <c r="BW3173">
        <v>163</v>
      </c>
      <c r="BY3173">
        <v>145033</v>
      </c>
      <c r="BZ3173" t="s">
        <v>1676</v>
      </c>
      <c r="CA3173">
        <v>1</v>
      </c>
      <c r="CB3173" t="b">
        <v>1</v>
      </c>
      <c r="CC3173">
        <v>0</v>
      </c>
      <c r="CD3173" t="b">
        <v>0</v>
      </c>
      <c r="CE3173" t="b">
        <v>1</v>
      </c>
      <c r="CF3173" t="b">
        <v>0</v>
      </c>
      <c r="CG3173">
        <v>2735765</v>
      </c>
      <c r="CH3173" t="s">
        <v>1681</v>
      </c>
      <c r="CI3173" s="10">
        <v>455950</v>
      </c>
      <c r="CJ3173" s="7">
        <v>39505</v>
      </c>
    </row>
    <row r="3174" spans="1:90">
      <c r="A3174">
        <v>28056412</v>
      </c>
      <c r="B3174" s="2" t="str">
        <f>HYPERLINK("http://www.redfin.com/stingray/do/printable-listing?listing-id=1608593","Active")</f>
        <v>Active</v>
      </c>
      <c r="D3174" t="s">
        <v>6748</v>
      </c>
      <c r="E3174" t="s">
        <v>6747</v>
      </c>
      <c r="F3174">
        <v>868900</v>
      </c>
      <c r="G3174">
        <v>1995</v>
      </c>
      <c r="H3174">
        <v>3330</v>
      </c>
      <c r="I3174">
        <v>12197</v>
      </c>
      <c r="J3174">
        <v>4</v>
      </c>
      <c r="K3174">
        <v>3.5</v>
      </c>
      <c r="M3174" s="2" t="str">
        <f>HYPERLINK("http://maps.live.com/default.aspx?v=2&amp;lvl=15&amp;sp=adr.25921 SE 20 Pl (Unable to map),98075","Map")</f>
        <v>Map</v>
      </c>
      <c r="N3174" s="2" t="str">
        <f>HYPERLINK("http://i-0.rfimg.us/photo/1/bigphoto/412/28056412_3.jpg","Photo")</f>
        <v>Photo</v>
      </c>
      <c r="AI3174" t="s">
        <v>5273</v>
      </c>
      <c r="AJ3174">
        <v>98075</v>
      </c>
      <c r="BC3174" s="22">
        <v>39540.3903125</v>
      </c>
      <c r="BI3174" s="7">
        <v>39541</v>
      </c>
      <c r="BL3174">
        <v>17378</v>
      </c>
      <c r="BM3174">
        <v>1608593</v>
      </c>
      <c r="BN3174" t="s">
        <v>1688</v>
      </c>
      <c r="BO3174" s="17">
        <f t="shared" ca="1" si="49"/>
        <v>8.9190934027792537</v>
      </c>
      <c r="BP3174" t="b">
        <v>0</v>
      </c>
      <c r="BQ3174">
        <v>1</v>
      </c>
      <c r="BR3174" t="s">
        <v>1842</v>
      </c>
      <c r="BS3174">
        <v>20</v>
      </c>
      <c r="BT3174" t="b">
        <v>0</v>
      </c>
      <c r="BU3174" t="s">
        <v>3856</v>
      </c>
      <c r="BV3174" t="s">
        <v>1668</v>
      </c>
      <c r="BW3174">
        <v>25921</v>
      </c>
      <c r="BY3174">
        <v>0</v>
      </c>
      <c r="BZ3174" t="s">
        <v>2592</v>
      </c>
      <c r="CA3174">
        <v>1</v>
      </c>
      <c r="CB3174" t="b">
        <v>1</v>
      </c>
      <c r="CC3174">
        <v>0</v>
      </c>
      <c r="CD3174" t="b">
        <v>0</v>
      </c>
      <c r="CE3174" t="b">
        <v>1</v>
      </c>
      <c r="CF3174" t="b">
        <v>0</v>
      </c>
      <c r="CG3174" t="s">
        <v>1870</v>
      </c>
      <c r="CH3174" t="s">
        <v>1681</v>
      </c>
      <c r="CI3174" s="10">
        <v>868900</v>
      </c>
    </row>
    <row r="3175" spans="1:90">
      <c r="A3175">
        <v>28056421</v>
      </c>
      <c r="B3175" s="2" t="str">
        <f>HYPERLINK("http://www.redfin.com/stingray/do/printable-listing?listing-id=1608631","Active")</f>
        <v>Active</v>
      </c>
      <c r="D3175" t="s">
        <v>63</v>
      </c>
      <c r="E3175" t="s">
        <v>2320</v>
      </c>
      <c r="F3175">
        <v>374950</v>
      </c>
      <c r="G3175">
        <v>1924</v>
      </c>
      <c r="H3175">
        <v>0</v>
      </c>
      <c r="I3175">
        <v>0</v>
      </c>
      <c r="J3175">
        <v>4</v>
      </c>
      <c r="K3175">
        <v>1.75</v>
      </c>
      <c r="M3175" s="2" t="str">
        <f>HYPERLINK("http://maps.live.com/default.aspx?v=2&amp;lvl=15&amp;sp=Point.47.68585_-122.377141_7725 15th Ave NW&amp;cp=47.68585~-122.377141","Map")</f>
        <v>Map</v>
      </c>
      <c r="N3175" s="2" t="str">
        <f>HYPERLINK("http://i-0.rfimg.us/photo/1/bigphoto/421/28056421_0.jpg","Photo")</f>
        <v>Photo</v>
      </c>
      <c r="AG3175">
        <v>47.685850000000002</v>
      </c>
      <c r="AH3175">
        <v>-122.37714099999999</v>
      </c>
      <c r="AI3175" t="s">
        <v>66</v>
      </c>
      <c r="AJ3175">
        <v>98117</v>
      </c>
      <c r="AN3175">
        <v>203600</v>
      </c>
      <c r="BC3175" s="22">
        <v>39540.401041666664</v>
      </c>
      <c r="BI3175" s="22">
        <v>39549.294907407406</v>
      </c>
      <c r="BL3175">
        <v>7499</v>
      </c>
      <c r="BM3175">
        <v>1608631</v>
      </c>
      <c r="BN3175" t="s">
        <v>1710</v>
      </c>
      <c r="BO3175" s="17">
        <f t="shared" ca="1" si="49"/>
        <v>8.9083642361147213</v>
      </c>
      <c r="BP3175" t="b">
        <v>0</v>
      </c>
      <c r="BQ3175">
        <v>1</v>
      </c>
      <c r="BR3175" t="s">
        <v>1667</v>
      </c>
      <c r="BS3175" t="s">
        <v>1838</v>
      </c>
      <c r="BT3175" t="b">
        <v>0</v>
      </c>
      <c r="BV3175" t="s">
        <v>1668</v>
      </c>
      <c r="BW3175">
        <v>7725</v>
      </c>
      <c r="BX3175" t="s">
        <v>1669</v>
      </c>
      <c r="BY3175">
        <v>166882</v>
      </c>
      <c r="BZ3175" t="s">
        <v>1813</v>
      </c>
      <c r="CA3175">
        <v>1</v>
      </c>
      <c r="CB3175" t="b">
        <v>1</v>
      </c>
      <c r="CC3175">
        <v>0</v>
      </c>
      <c r="CD3175" t="b">
        <v>1</v>
      </c>
      <c r="CE3175" t="b">
        <v>1</v>
      </c>
      <c r="CF3175" t="b">
        <v>0</v>
      </c>
      <c r="CG3175">
        <v>2471238</v>
      </c>
      <c r="CH3175" t="s">
        <v>1681</v>
      </c>
      <c r="CI3175" s="10">
        <v>374950</v>
      </c>
      <c r="CJ3175" s="7">
        <v>36222</v>
      </c>
    </row>
    <row r="3176" spans="1:90">
      <c r="A3176">
        <v>28056445</v>
      </c>
      <c r="B3176" s="2" t="str">
        <f>HYPERLINK("http://www.redfin.com/stingray/do/printable-listing?listing-id=1608800","Active")</f>
        <v>Active</v>
      </c>
      <c r="D3176" t="s">
        <v>5198</v>
      </c>
      <c r="E3176" t="s">
        <v>6743</v>
      </c>
      <c r="F3176">
        <v>655000</v>
      </c>
      <c r="G3176">
        <v>1980</v>
      </c>
      <c r="H3176">
        <v>2640</v>
      </c>
      <c r="I3176">
        <v>9152</v>
      </c>
      <c r="J3176">
        <v>4</v>
      </c>
      <c r="K3176">
        <v>2.5</v>
      </c>
      <c r="M3176" s="2" t="str">
        <f>HYPERLINK("http://maps.live.com/default.aspx?v=2&amp;lvl=15&amp;sp=Point.47.572768_-122.11006_17172 SE 40th Pl&amp;cp=47.572768~-122.11006","Map")</f>
        <v>Map</v>
      </c>
      <c r="N3176" s="2" t="str">
        <f>HYPERLINK("http://i-0.rfimg.us/photo/1/bigphoto/445/28056445_1.jpg","Photo")</f>
        <v>Photo</v>
      </c>
      <c r="AG3176">
        <v>47.572768000000003</v>
      </c>
      <c r="AH3176">
        <v>-122.11006</v>
      </c>
      <c r="AI3176" t="s">
        <v>369</v>
      </c>
      <c r="AJ3176">
        <v>98008</v>
      </c>
      <c r="BC3176" s="22">
        <v>39540.432824074072</v>
      </c>
      <c r="BI3176" s="22">
        <v>39549.294907407406</v>
      </c>
      <c r="BL3176">
        <v>13100</v>
      </c>
      <c r="BM3176">
        <v>1608800</v>
      </c>
      <c r="BN3176" t="s">
        <v>1674</v>
      </c>
      <c r="BO3176" s="17">
        <f t="shared" ca="1" si="49"/>
        <v>8.8765818287065485</v>
      </c>
      <c r="BP3176" t="b">
        <v>0</v>
      </c>
      <c r="BQ3176">
        <v>1</v>
      </c>
      <c r="BR3176" t="s">
        <v>1842</v>
      </c>
      <c r="BS3176" t="s">
        <v>2832</v>
      </c>
      <c r="BT3176" t="b">
        <v>0</v>
      </c>
      <c r="BU3176" t="s">
        <v>3856</v>
      </c>
      <c r="BV3176" t="s">
        <v>1668</v>
      </c>
      <c r="BW3176">
        <v>17172</v>
      </c>
      <c r="BY3176">
        <v>429125</v>
      </c>
      <c r="BZ3176" t="s">
        <v>2429</v>
      </c>
      <c r="CA3176">
        <v>1</v>
      </c>
      <c r="CB3176" t="b">
        <v>1</v>
      </c>
      <c r="CC3176">
        <v>0</v>
      </c>
      <c r="CD3176" t="b">
        <v>0</v>
      </c>
      <c r="CE3176" t="b">
        <v>1</v>
      </c>
      <c r="CF3176" t="b">
        <v>0</v>
      </c>
      <c r="CG3176">
        <v>2371269</v>
      </c>
      <c r="CH3176" t="s">
        <v>1681</v>
      </c>
      <c r="CI3176" s="10">
        <v>655000</v>
      </c>
    </row>
    <row r="3177" spans="1:90">
      <c r="A3177">
        <v>28056448</v>
      </c>
      <c r="B3177" s="2" t="str">
        <f>HYPERLINK("http://www.redfin.com/stingray/do/printable-listing?listing-id=1624807","Active")</f>
        <v>Active</v>
      </c>
      <c r="D3177" t="s">
        <v>88</v>
      </c>
      <c r="E3177" t="s">
        <v>6995</v>
      </c>
      <c r="F3177">
        <v>1295000</v>
      </c>
      <c r="G3177">
        <v>2001</v>
      </c>
      <c r="H3177">
        <v>3614</v>
      </c>
      <c r="I3177">
        <v>4600</v>
      </c>
      <c r="J3177">
        <v>5</v>
      </c>
      <c r="K3177">
        <v>3.75</v>
      </c>
      <c r="M3177" s="2" t="str">
        <f>HYPERLINK("http://maps.live.com/default.aspx?v=2&amp;lvl=15&amp;sp=Point.47.680049_-122.357724_7015 1st Ave NW&amp;cp=47.680049~-122.357724","Map")</f>
        <v>Map</v>
      </c>
      <c r="N3177" s="2" t="str">
        <f>HYPERLINK("http://i-0.rfimg.us/photo/1/bigphoto/448/28056448_0.jpg","Photo")</f>
        <v>Photo</v>
      </c>
      <c r="AG3177">
        <v>47.680048999999997</v>
      </c>
      <c r="AH3177">
        <v>-122.357724</v>
      </c>
      <c r="AI3177" t="s">
        <v>66</v>
      </c>
      <c r="AJ3177">
        <v>98117</v>
      </c>
      <c r="AN3177">
        <v>1285000</v>
      </c>
      <c r="BC3177" s="22">
        <v>39546.047314814816</v>
      </c>
      <c r="BI3177" s="22">
        <v>39549.294907407406</v>
      </c>
      <c r="BL3177">
        <v>25900</v>
      </c>
      <c r="BM3177">
        <v>1624807</v>
      </c>
      <c r="BN3177" t="s">
        <v>1688</v>
      </c>
      <c r="BO3177" s="17">
        <f t="shared" ca="1" si="49"/>
        <v>3.2620910879631992</v>
      </c>
      <c r="BP3177" t="b">
        <v>0</v>
      </c>
      <c r="BQ3177">
        <v>1</v>
      </c>
      <c r="BR3177" t="s">
        <v>1667</v>
      </c>
      <c r="BS3177" t="s">
        <v>1822</v>
      </c>
      <c r="BT3177" t="b">
        <v>0</v>
      </c>
      <c r="BV3177" t="s">
        <v>1668</v>
      </c>
      <c r="BW3177">
        <v>7015</v>
      </c>
      <c r="BX3177" t="s">
        <v>1669</v>
      </c>
      <c r="BY3177">
        <v>497024</v>
      </c>
      <c r="BZ3177" t="s">
        <v>1670</v>
      </c>
      <c r="CA3177">
        <v>1</v>
      </c>
      <c r="CB3177" t="b">
        <v>1</v>
      </c>
      <c r="CC3177">
        <v>0</v>
      </c>
      <c r="CD3177" t="b">
        <v>0</v>
      </c>
      <c r="CE3177" t="b">
        <v>1</v>
      </c>
      <c r="CF3177" t="b">
        <v>0</v>
      </c>
      <c r="CG3177">
        <v>2715336</v>
      </c>
      <c r="CH3177" t="s">
        <v>1681</v>
      </c>
      <c r="CI3177" s="10">
        <v>1295000</v>
      </c>
      <c r="CJ3177" s="7">
        <v>39275</v>
      </c>
    </row>
    <row r="3178" spans="1:90">
      <c r="A3178">
        <v>28056449</v>
      </c>
      <c r="B3178" s="2" t="str">
        <f>HYPERLINK("http://www.redfin.com/stingray/do/printable-listing?listing-id=1608717","Active")</f>
        <v>Active</v>
      </c>
      <c r="D3178" t="s">
        <v>3249</v>
      </c>
      <c r="E3178" t="s">
        <v>3527</v>
      </c>
      <c r="F3178">
        <v>629500</v>
      </c>
      <c r="G3178">
        <v>2003</v>
      </c>
      <c r="H3178">
        <v>2290</v>
      </c>
      <c r="I3178">
        <v>0</v>
      </c>
      <c r="J3178">
        <v>3</v>
      </c>
      <c r="K3178">
        <v>3.5</v>
      </c>
      <c r="M3178" s="2" t="str">
        <f>HYPERLINK("http://maps.live.com/default.aspx?v=2&amp;lvl=15&amp;sp=Point.47.646996_-122.362564_3011 Humes Pl W&amp;cp=47.646996~-122.362564","Map")</f>
        <v>Map</v>
      </c>
      <c r="N3178" s="2" t="str">
        <f>HYPERLINK("http://i-0.rfimg.us/photo/1/bigphoto/449/28056449_0.jpg","Photo")</f>
        <v>Photo</v>
      </c>
      <c r="AG3178">
        <v>47.646996000000001</v>
      </c>
      <c r="AH3178">
        <v>-122.36256400000001</v>
      </c>
      <c r="AI3178" t="s">
        <v>66</v>
      </c>
      <c r="AJ3178">
        <v>98119</v>
      </c>
      <c r="AN3178">
        <v>449000</v>
      </c>
      <c r="BC3178" s="22">
        <v>39540.422395833331</v>
      </c>
      <c r="BI3178" s="22">
        <v>39549.294907407406</v>
      </c>
      <c r="BL3178">
        <v>12590</v>
      </c>
      <c r="BM3178">
        <v>1608717</v>
      </c>
      <c r="BN3178" t="s">
        <v>1700</v>
      </c>
      <c r="BO3178" s="17">
        <f t="shared" ca="1" si="49"/>
        <v>8.8870100694475695</v>
      </c>
      <c r="BP3178" t="b">
        <v>0</v>
      </c>
      <c r="BQ3178">
        <v>1</v>
      </c>
      <c r="BR3178" t="s">
        <v>1842</v>
      </c>
      <c r="BS3178" t="s">
        <v>3528</v>
      </c>
      <c r="BT3178" t="b">
        <v>0</v>
      </c>
      <c r="BV3178" t="s">
        <v>1668</v>
      </c>
      <c r="BW3178">
        <v>3011</v>
      </c>
      <c r="BX3178" t="s">
        <v>2423</v>
      </c>
      <c r="BY3178">
        <v>131124</v>
      </c>
      <c r="BZ3178" t="s">
        <v>1670</v>
      </c>
      <c r="CA3178">
        <v>1</v>
      </c>
      <c r="CB3178" t="b">
        <v>1</v>
      </c>
      <c r="CC3178">
        <v>0</v>
      </c>
      <c r="CD3178" t="b">
        <v>0</v>
      </c>
      <c r="CE3178" t="b">
        <v>1</v>
      </c>
      <c r="CF3178" t="b">
        <v>0</v>
      </c>
      <c r="CG3178">
        <v>2514550</v>
      </c>
      <c r="CH3178" t="s">
        <v>1681</v>
      </c>
      <c r="CI3178" s="10">
        <v>629500</v>
      </c>
      <c r="CJ3178" s="7">
        <v>38099</v>
      </c>
    </row>
    <row r="3179" spans="1:90">
      <c r="A3179">
        <v>28056474</v>
      </c>
      <c r="B3179" s="2" t="str">
        <f>HYPERLINK("http://www.redfin.com/stingray/do/printable-listing?listing-id=1611159","Active")</f>
        <v>Active</v>
      </c>
      <c r="D3179" t="s">
        <v>4974</v>
      </c>
      <c r="E3179" t="s">
        <v>6740</v>
      </c>
      <c r="F3179">
        <v>975000</v>
      </c>
      <c r="G3179">
        <v>1953</v>
      </c>
      <c r="H3179">
        <v>2520</v>
      </c>
      <c r="I3179">
        <v>8370</v>
      </c>
      <c r="J3179">
        <v>3</v>
      </c>
      <c r="K3179">
        <v>2.5</v>
      </c>
      <c r="M3179" s="2" t="str">
        <f>HYPERLINK("http://maps.live.com/default.aspx?v=2&amp;lvl=15&amp;sp=Point.47.634967_-122.207286_9856 NE 27th St&amp;cp=47.634967~-122.207286","Map")</f>
        <v>Map</v>
      </c>
      <c r="N3179" s="2" t="str">
        <f>HYPERLINK("http://i-0.rfimg.us/photo/1/bigphoto/474/28056474_.jpg","Photo")</f>
        <v>Photo</v>
      </c>
      <c r="AG3179">
        <v>47.634967000000003</v>
      </c>
      <c r="AH3179">
        <v>-122.207286</v>
      </c>
      <c r="AI3179" t="s">
        <v>369</v>
      </c>
      <c r="AJ3179">
        <v>98004</v>
      </c>
      <c r="AN3179">
        <v>345000</v>
      </c>
      <c r="BC3179" s="22">
        <v>39540.797175925924</v>
      </c>
      <c r="BI3179" s="22">
        <v>39549.294907407406</v>
      </c>
      <c r="BL3179">
        <v>19500</v>
      </c>
      <c r="BM3179">
        <v>1611159</v>
      </c>
      <c r="BN3179" t="s">
        <v>1768</v>
      </c>
      <c r="BO3179" s="17">
        <f t="shared" ca="1" si="49"/>
        <v>8.5122299768554512</v>
      </c>
      <c r="BP3179" t="b">
        <v>0</v>
      </c>
      <c r="BQ3179">
        <v>1</v>
      </c>
      <c r="BR3179" t="s">
        <v>1686</v>
      </c>
      <c r="BS3179" t="s">
        <v>1751</v>
      </c>
      <c r="BT3179" t="b">
        <v>0</v>
      </c>
      <c r="BU3179" t="s">
        <v>1738</v>
      </c>
      <c r="BV3179" t="s">
        <v>1668</v>
      </c>
      <c r="BW3179">
        <v>9856</v>
      </c>
      <c r="BY3179">
        <v>505715</v>
      </c>
      <c r="BZ3179" t="s">
        <v>2114</v>
      </c>
      <c r="CA3179">
        <v>1</v>
      </c>
      <c r="CB3179" t="b">
        <v>1</v>
      </c>
      <c r="CC3179">
        <v>0</v>
      </c>
      <c r="CD3179" t="b">
        <v>0</v>
      </c>
      <c r="CE3179" t="b">
        <v>1</v>
      </c>
      <c r="CF3179" t="b">
        <v>0</v>
      </c>
      <c r="CG3179">
        <v>2487679</v>
      </c>
      <c r="CH3179" t="s">
        <v>1681</v>
      </c>
      <c r="CI3179" s="10">
        <v>975000</v>
      </c>
      <c r="CJ3179" s="7">
        <v>37721</v>
      </c>
    </row>
    <row r="3180" spans="1:90">
      <c r="A3180">
        <v>28056526</v>
      </c>
      <c r="B3180" s="2" t="str">
        <f>HYPERLINK("http://www.redfin.com/stingray/do/printable-listing?listing-id=1613237","Active")</f>
        <v>Active</v>
      </c>
      <c r="D3180" t="s">
        <v>5058</v>
      </c>
      <c r="E3180" t="s">
        <v>6791</v>
      </c>
      <c r="F3180">
        <v>1020000</v>
      </c>
      <c r="G3180">
        <v>1919</v>
      </c>
      <c r="H3180">
        <v>840</v>
      </c>
      <c r="I3180">
        <v>10890</v>
      </c>
      <c r="J3180">
        <v>2</v>
      </c>
      <c r="K3180">
        <v>1</v>
      </c>
      <c r="M3180" s="2" t="str">
        <f>HYPERLINK("http://maps.live.com/default.aspx?v=2&amp;lvl=15&amp;sp=Point.47.615596_-122.230414_515 82nd Ave&amp;cp=47.615596~-122.230414","Map")</f>
        <v>Map</v>
      </c>
      <c r="N3180" s="2" t="str">
        <f>HYPERLINK("http://i-0.rfimg.us/photo/1/bigphoto/526/28056526_2.jpg","Photo")</f>
        <v>Photo</v>
      </c>
      <c r="AG3180">
        <v>47.615595999999996</v>
      </c>
      <c r="AH3180">
        <v>-122.230414</v>
      </c>
      <c r="AI3180" t="s">
        <v>5058</v>
      </c>
      <c r="AJ3180">
        <v>98039</v>
      </c>
      <c r="AN3180">
        <v>725000</v>
      </c>
      <c r="BC3180" s="22">
        <v>39541.506516203706</v>
      </c>
      <c r="BI3180" s="22">
        <v>39549.294907407406</v>
      </c>
      <c r="BL3180">
        <v>20400</v>
      </c>
      <c r="BM3180">
        <v>1613237</v>
      </c>
      <c r="BN3180" t="s">
        <v>1768</v>
      </c>
      <c r="BO3180" s="17">
        <f t="shared" ca="1" si="49"/>
        <v>7.8028896990726935</v>
      </c>
      <c r="BP3180" t="b">
        <v>0</v>
      </c>
      <c r="BQ3180">
        <v>1</v>
      </c>
      <c r="BR3180" t="s">
        <v>1667</v>
      </c>
      <c r="BS3180" t="s">
        <v>2359</v>
      </c>
      <c r="BT3180" t="b">
        <v>0</v>
      </c>
      <c r="BV3180" t="s">
        <v>1668</v>
      </c>
      <c r="BW3180">
        <v>515</v>
      </c>
      <c r="BY3180">
        <v>249752</v>
      </c>
      <c r="BZ3180" t="s">
        <v>6792</v>
      </c>
      <c r="CA3180">
        <v>1</v>
      </c>
      <c r="CB3180" t="b">
        <v>1</v>
      </c>
      <c r="CC3180">
        <v>0</v>
      </c>
      <c r="CD3180" t="b">
        <v>0</v>
      </c>
      <c r="CE3180" t="b">
        <v>1</v>
      </c>
      <c r="CF3180" t="b">
        <v>0</v>
      </c>
      <c r="CG3180">
        <v>2675592</v>
      </c>
      <c r="CH3180" t="s">
        <v>1681</v>
      </c>
      <c r="CI3180" s="10">
        <v>1020000</v>
      </c>
      <c r="CJ3180" s="7">
        <v>39034</v>
      </c>
    </row>
    <row r="3181" spans="1:90">
      <c r="A3181">
        <v>28056611</v>
      </c>
      <c r="B3181" s="2" t="str">
        <f>HYPERLINK("http://www.redfin.com/stingray/do/printable-listing?listing-id=1620586","Active")</f>
        <v>Active</v>
      </c>
      <c r="D3181" t="s">
        <v>2850</v>
      </c>
      <c r="E3181" t="s">
        <v>6899</v>
      </c>
      <c r="F3181">
        <v>625000</v>
      </c>
      <c r="G3181">
        <v>1970</v>
      </c>
      <c r="H3181">
        <v>1950</v>
      </c>
      <c r="I3181">
        <v>7405</v>
      </c>
      <c r="J3181">
        <v>4</v>
      </c>
      <c r="K3181">
        <v>1</v>
      </c>
      <c r="M3181" s="2" t="str">
        <f>HYPERLINK("http://maps.live.com/default.aspx?v=2&amp;lvl=15&amp;sp=Point.47.721781_-122.215597_13613 94th Ave NE&amp;cp=47.721781~-122.215597","Map")</f>
        <v>Map</v>
      </c>
      <c r="N3181" s="2" t="str">
        <f>HYPERLINK("http://i-0.rfimg.us/photo/1/bigphoto/611/28056611_.jpg","Photo")</f>
        <v>Photo</v>
      </c>
      <c r="AG3181">
        <v>47.721781</v>
      </c>
      <c r="AH3181">
        <v>-122.215597</v>
      </c>
      <c r="AI3181" t="s">
        <v>1058</v>
      </c>
      <c r="AJ3181">
        <v>98034</v>
      </c>
      <c r="AN3181">
        <v>345000</v>
      </c>
      <c r="BC3181" s="22">
        <v>39543.609814814816</v>
      </c>
      <c r="BI3181" s="22">
        <v>39549.294907407406</v>
      </c>
      <c r="BL3181">
        <v>12500</v>
      </c>
      <c r="BM3181">
        <v>1620586</v>
      </c>
      <c r="BN3181" t="s">
        <v>1737</v>
      </c>
      <c r="BO3181" s="17">
        <f t="shared" ca="1" si="49"/>
        <v>5.6995910879631992</v>
      </c>
      <c r="BP3181" t="b">
        <v>0</v>
      </c>
      <c r="BQ3181">
        <v>1</v>
      </c>
      <c r="BR3181" t="s">
        <v>1667</v>
      </c>
      <c r="BS3181" t="s">
        <v>2716</v>
      </c>
      <c r="BT3181" t="b">
        <v>0</v>
      </c>
      <c r="BV3181" t="s">
        <v>1668</v>
      </c>
      <c r="BW3181">
        <v>13613</v>
      </c>
      <c r="BX3181" t="s">
        <v>1738</v>
      </c>
      <c r="BY3181">
        <v>279136</v>
      </c>
      <c r="BZ3181" t="s">
        <v>1670</v>
      </c>
      <c r="CA3181">
        <v>1</v>
      </c>
      <c r="CB3181" t="b">
        <v>1</v>
      </c>
      <c r="CC3181">
        <v>0</v>
      </c>
      <c r="CD3181" t="b">
        <v>0</v>
      </c>
      <c r="CE3181" t="b">
        <v>1</v>
      </c>
      <c r="CF3181" t="b">
        <v>0</v>
      </c>
      <c r="CG3181">
        <v>2554246</v>
      </c>
      <c r="CH3181" t="s">
        <v>1681</v>
      </c>
      <c r="CI3181" s="10">
        <v>625000</v>
      </c>
      <c r="CJ3181" s="7">
        <v>37802</v>
      </c>
    </row>
    <row r="3182" spans="1:90">
      <c r="A3182">
        <v>28056614</v>
      </c>
      <c r="B3182" s="2" t="str">
        <f>HYPERLINK("http://www.redfin.com/stingray/do/printable-listing?listing-id=1610361","Active")</f>
        <v>Active</v>
      </c>
      <c r="D3182" t="s">
        <v>3721</v>
      </c>
      <c r="E3182" t="s">
        <v>6731</v>
      </c>
      <c r="F3182">
        <v>649950</v>
      </c>
      <c r="G3182">
        <v>1905</v>
      </c>
      <c r="H3182">
        <v>1810</v>
      </c>
      <c r="I3182">
        <v>3032</v>
      </c>
      <c r="J3182">
        <v>4</v>
      </c>
      <c r="K3182">
        <v>2</v>
      </c>
      <c r="M3182" s="2" t="str">
        <f>HYPERLINK("http://maps.live.com/default.aspx?v=2&amp;lvl=15&amp;sp=Point.47.627301_-122.29149_3119 E Ward St&amp;cp=47.627301~-122.29149","Map")</f>
        <v>Map</v>
      </c>
      <c r="N3182" s="2" t="str">
        <f>HYPERLINK("http://i-0.rfimg.us/photo/1/bigphoto/614/28056614_1.jpg","Photo")</f>
        <v>Photo</v>
      </c>
      <c r="AG3182">
        <v>47.627301000000003</v>
      </c>
      <c r="AH3182">
        <v>-122.29149</v>
      </c>
      <c r="AI3182" t="s">
        <v>66</v>
      </c>
      <c r="AJ3182">
        <v>98112</v>
      </c>
      <c r="AN3182">
        <v>401000</v>
      </c>
      <c r="BC3182" s="22">
        <v>39540.67392361111</v>
      </c>
      <c r="BI3182" s="22">
        <v>39549.294907407406</v>
      </c>
      <c r="BL3182">
        <v>12999</v>
      </c>
      <c r="BM3182">
        <v>1610361</v>
      </c>
      <c r="BN3182" t="s">
        <v>2136</v>
      </c>
      <c r="BO3182" s="17">
        <f t="shared" ca="1" si="49"/>
        <v>8.6354822916691774</v>
      </c>
      <c r="BP3182" t="b">
        <v>0</v>
      </c>
      <c r="BQ3182">
        <v>1</v>
      </c>
      <c r="BR3182" t="s">
        <v>1686</v>
      </c>
      <c r="BS3182" t="s">
        <v>4227</v>
      </c>
      <c r="BT3182" t="b">
        <v>0</v>
      </c>
      <c r="BU3182" t="s">
        <v>2436</v>
      </c>
      <c r="BV3182" t="s">
        <v>1668</v>
      </c>
      <c r="BW3182">
        <v>3119</v>
      </c>
      <c r="BY3182">
        <v>139864</v>
      </c>
      <c r="BZ3182" t="s">
        <v>4706</v>
      </c>
      <c r="CA3182">
        <v>1</v>
      </c>
      <c r="CB3182" t="b">
        <v>1</v>
      </c>
      <c r="CC3182">
        <v>0</v>
      </c>
      <c r="CD3182" t="b">
        <v>0</v>
      </c>
      <c r="CE3182" t="b">
        <v>1</v>
      </c>
      <c r="CF3182" t="b">
        <v>0</v>
      </c>
      <c r="CG3182">
        <v>2914592</v>
      </c>
      <c r="CH3182" t="s">
        <v>1681</v>
      </c>
      <c r="CI3182" s="10">
        <v>649950</v>
      </c>
      <c r="CJ3182" s="7">
        <v>38168</v>
      </c>
    </row>
    <row r="3183" spans="1:90">
      <c r="A3183">
        <v>28056624</v>
      </c>
      <c r="B3183" s="2" t="str">
        <f>HYPERLINK("http://www.redfin.com/stingray/do/printable-listing?listing-id=1609849","Active")</f>
        <v>Active</v>
      </c>
      <c r="D3183" t="s">
        <v>3704</v>
      </c>
      <c r="E3183" t="s">
        <v>6725</v>
      </c>
      <c r="F3183">
        <v>1087500</v>
      </c>
      <c r="G3183">
        <v>1925</v>
      </c>
      <c r="H3183">
        <v>2940</v>
      </c>
      <c r="I3183">
        <v>3365</v>
      </c>
      <c r="J3183">
        <v>3</v>
      </c>
      <c r="K3183">
        <v>3.25</v>
      </c>
      <c r="M3183" s="2" t="str">
        <f>HYPERLINK("http://maps.live.com/default.aspx?v=2&amp;lvl=15&amp;sp=Point.47.634592_-122.304309_1646 21st Ave E&amp;cp=47.634592~-122.304309","Map")</f>
        <v>Map</v>
      </c>
      <c r="N3183" s="2" t="str">
        <f>HYPERLINK("http://i-0.rfimg.us/photo/1/bigphoto/624/28056624_0.jpg","Photo")</f>
        <v>Photo</v>
      </c>
      <c r="AG3183">
        <v>47.634591999999998</v>
      </c>
      <c r="AH3183">
        <v>-122.304309</v>
      </c>
      <c r="AI3183" t="s">
        <v>66</v>
      </c>
      <c r="AJ3183">
        <v>98112</v>
      </c>
      <c r="AN3183">
        <v>689950</v>
      </c>
      <c r="BC3183" s="22">
        <v>39540.590729166666</v>
      </c>
      <c r="BI3183" s="22">
        <v>39549.294907407406</v>
      </c>
      <c r="BL3183">
        <v>21750</v>
      </c>
      <c r="BM3183">
        <v>1609849</v>
      </c>
      <c r="BN3183" t="s">
        <v>1680</v>
      </c>
      <c r="BO3183" s="17">
        <f t="shared" ca="1" si="49"/>
        <v>8.718676736112684</v>
      </c>
      <c r="BP3183" t="b">
        <v>0</v>
      </c>
      <c r="BQ3183">
        <v>1</v>
      </c>
      <c r="BR3183" t="s">
        <v>1667</v>
      </c>
      <c r="BS3183" t="s">
        <v>1903</v>
      </c>
      <c r="BT3183" t="b">
        <v>0</v>
      </c>
      <c r="BV3183" t="s">
        <v>1668</v>
      </c>
      <c r="BW3183">
        <v>1646</v>
      </c>
      <c r="BX3183" t="s">
        <v>2436</v>
      </c>
      <c r="BY3183">
        <v>135842</v>
      </c>
      <c r="BZ3183" s="21">
        <v>0</v>
      </c>
      <c r="CA3183">
        <v>1</v>
      </c>
      <c r="CB3183" t="b">
        <v>1</v>
      </c>
      <c r="CC3183">
        <v>0</v>
      </c>
      <c r="CD3183" t="b">
        <v>0</v>
      </c>
      <c r="CE3183" t="b">
        <v>1</v>
      </c>
      <c r="CF3183" t="b">
        <v>0</v>
      </c>
      <c r="CG3183">
        <v>2982409</v>
      </c>
      <c r="CH3183" t="s">
        <v>1681</v>
      </c>
      <c r="CI3183" s="10">
        <v>1087500</v>
      </c>
      <c r="CJ3183" s="7">
        <v>37841</v>
      </c>
    </row>
    <row r="3184" spans="1:90">
      <c r="A3184">
        <v>28056645</v>
      </c>
      <c r="B3184" s="15" t="str">
        <f>HYPERLINK("http://www.redfin.com/stingray/do/printable-listing?listing-id=1609225","Subject To Inspection")</f>
        <v>Subject To Inspection</v>
      </c>
      <c r="D3184" t="s">
        <v>60</v>
      </c>
      <c r="E3184" t="s">
        <v>2369</v>
      </c>
      <c r="F3184">
        <v>925000</v>
      </c>
      <c r="G3184">
        <v>2005</v>
      </c>
      <c r="H3184">
        <v>3140</v>
      </c>
      <c r="I3184">
        <v>3753</v>
      </c>
      <c r="J3184">
        <v>4</v>
      </c>
      <c r="K3184">
        <v>3.5</v>
      </c>
      <c r="M3184" s="2" t="str">
        <f>HYPERLINK("http://maps.live.com/default.aspx?v=2&amp;lvl=15&amp;sp=Point.47.687652_-122.335293_8040 Burke Ave N&amp;cp=47.687652~-122.335293","Map")</f>
        <v>Map</v>
      </c>
      <c r="N3184" s="2" t="str">
        <f>HYPERLINK("http://i-0.rfimg.us/photo/1/bigphoto/645/28056645_3.jpg","Photo")</f>
        <v>Photo</v>
      </c>
      <c r="AG3184">
        <v>47.687652</v>
      </c>
      <c r="AH3184">
        <v>-122.33529299999999</v>
      </c>
      <c r="AI3184" t="s">
        <v>66</v>
      </c>
      <c r="AJ3184">
        <v>98103</v>
      </c>
      <c r="AN3184">
        <v>800000</v>
      </c>
      <c r="BC3184" s="22">
        <v>39540.527384259258</v>
      </c>
      <c r="BI3184" s="22">
        <v>39549.294907407406</v>
      </c>
      <c r="BL3184">
        <v>18500</v>
      </c>
      <c r="BM3184">
        <v>1609225</v>
      </c>
      <c r="BN3184" t="s">
        <v>1725</v>
      </c>
      <c r="BO3184" s="17">
        <f t="shared" ca="1" si="49"/>
        <v>8.7820216435211478</v>
      </c>
      <c r="BP3184" t="b">
        <v>0</v>
      </c>
      <c r="BQ3184">
        <v>1</v>
      </c>
      <c r="BR3184" t="s">
        <v>1667</v>
      </c>
      <c r="BS3184" t="s">
        <v>2370</v>
      </c>
      <c r="BT3184" t="b">
        <v>0</v>
      </c>
      <c r="BV3184" t="s">
        <v>1668</v>
      </c>
      <c r="BW3184">
        <v>8040</v>
      </c>
      <c r="BX3184" t="s">
        <v>1712</v>
      </c>
      <c r="BY3184">
        <v>2097594</v>
      </c>
      <c r="BZ3184" t="s">
        <v>6705</v>
      </c>
      <c r="CA3184">
        <v>1</v>
      </c>
      <c r="CB3184" t="b">
        <v>1</v>
      </c>
      <c r="CC3184">
        <v>0</v>
      </c>
      <c r="CD3184" t="b">
        <v>0</v>
      </c>
      <c r="CE3184" t="b">
        <v>1</v>
      </c>
      <c r="CF3184" t="b">
        <v>0</v>
      </c>
      <c r="CG3184">
        <v>2981639</v>
      </c>
      <c r="CH3184" t="s">
        <v>1681</v>
      </c>
      <c r="CI3184" s="10">
        <v>925000</v>
      </c>
      <c r="CJ3184" s="7">
        <v>38751</v>
      </c>
      <c r="CL3184" t="s">
        <v>2325</v>
      </c>
    </row>
    <row r="3185" spans="1:90">
      <c r="A3185">
        <v>28056698</v>
      </c>
      <c r="B3185" s="2" t="str">
        <f>HYPERLINK("http://www.redfin.com/stingray/do/printable-listing?listing-id=1609573","Active")</f>
        <v>Active</v>
      </c>
      <c r="D3185" t="s">
        <v>207</v>
      </c>
      <c r="E3185" t="s">
        <v>6719</v>
      </c>
      <c r="F3185">
        <v>869500</v>
      </c>
      <c r="G3185">
        <v>1929</v>
      </c>
      <c r="H3185">
        <v>0</v>
      </c>
      <c r="I3185">
        <v>0</v>
      </c>
      <c r="J3185">
        <v>5</v>
      </c>
      <c r="K3185">
        <v>3.5</v>
      </c>
      <c r="M3185" s="2" t="str">
        <f>HYPERLINK("http://maps.live.com/default.aspx?v=2&amp;lvl=15&amp;sp=Point.47.670186_-122.291712_5559 34th Ave NE&amp;cp=47.670186~-122.291712","Map")</f>
        <v>Map</v>
      </c>
      <c r="N3185" s="2" t="str">
        <f>HYPERLINK("http://i-0.rfimg.us/photo/1/bigphoto/698/28056698_1.jpg","Photo")</f>
        <v>Photo</v>
      </c>
      <c r="AG3185">
        <v>47.670186000000001</v>
      </c>
      <c r="AH3185">
        <v>-122.291712</v>
      </c>
      <c r="AI3185" t="s">
        <v>66</v>
      </c>
      <c r="AJ3185">
        <v>98105</v>
      </c>
      <c r="AN3185">
        <v>194000</v>
      </c>
      <c r="BC3185" s="22">
        <v>39540.548125000001</v>
      </c>
      <c r="BI3185" s="22">
        <v>39549.294907407406</v>
      </c>
      <c r="BL3185">
        <v>17390</v>
      </c>
      <c r="BM3185">
        <v>1609573</v>
      </c>
      <c r="BN3185" t="s">
        <v>1710</v>
      </c>
      <c r="BO3185" s="17">
        <f t="shared" ca="1" si="49"/>
        <v>8.7612809027777985</v>
      </c>
      <c r="BP3185" t="b">
        <v>0</v>
      </c>
      <c r="BQ3185">
        <v>1</v>
      </c>
      <c r="BR3185" t="s">
        <v>1667</v>
      </c>
      <c r="BS3185" t="s">
        <v>2912</v>
      </c>
      <c r="BT3185" t="b">
        <v>0</v>
      </c>
      <c r="BV3185" t="s">
        <v>1668</v>
      </c>
      <c r="BW3185">
        <v>5559</v>
      </c>
      <c r="BX3185" t="s">
        <v>1738</v>
      </c>
      <c r="BY3185">
        <v>312410</v>
      </c>
      <c r="BZ3185" t="s">
        <v>6720</v>
      </c>
      <c r="CA3185">
        <v>1</v>
      </c>
      <c r="CB3185" t="b">
        <v>1</v>
      </c>
      <c r="CC3185">
        <v>0</v>
      </c>
      <c r="CD3185" t="b">
        <v>0</v>
      </c>
      <c r="CE3185" t="b">
        <v>1</v>
      </c>
      <c r="CF3185" t="b">
        <v>0</v>
      </c>
      <c r="CG3185">
        <v>2647260</v>
      </c>
      <c r="CH3185" t="s">
        <v>1681</v>
      </c>
      <c r="CI3185" s="10">
        <v>869500</v>
      </c>
      <c r="CJ3185" s="7">
        <v>34059</v>
      </c>
    </row>
    <row r="3186" spans="1:90">
      <c r="A3186">
        <v>28056713</v>
      </c>
      <c r="B3186" s="2" t="str">
        <f>HYPERLINK("http://www.redfin.com/stingray/do/printable-listing?listing-id=1621573","Active")</f>
        <v>Active</v>
      </c>
      <c r="D3186" t="s">
        <v>1022</v>
      </c>
      <c r="E3186" t="s">
        <v>236</v>
      </c>
      <c r="F3186">
        <v>423000</v>
      </c>
      <c r="G3186">
        <v>1938</v>
      </c>
      <c r="H3186">
        <v>1640</v>
      </c>
      <c r="I3186">
        <v>4700</v>
      </c>
      <c r="J3186">
        <v>2</v>
      </c>
      <c r="K3186">
        <v>1</v>
      </c>
      <c r="M3186" s="2" t="str">
        <f>HYPERLINK("http://maps.live.com/default.aspx?v=2&amp;lvl=15&amp;sp=Point.47.689809_-122.367582_8323 Dibble Ave NW&amp;cp=47.689809~-122.367582","Map")</f>
        <v>Map</v>
      </c>
      <c r="N3186" s="2" t="str">
        <f>HYPERLINK("http://i-0.rfimg.us/photo/1/bigphoto/713/28056713_0.jpg","Photo")</f>
        <v>Photo</v>
      </c>
      <c r="AG3186">
        <v>47.689808999999997</v>
      </c>
      <c r="AH3186">
        <v>-122.367582</v>
      </c>
      <c r="AI3186" t="s">
        <v>66</v>
      </c>
      <c r="AJ3186">
        <v>98117</v>
      </c>
      <c r="AN3186">
        <v>279950</v>
      </c>
      <c r="BC3186" s="22">
        <v>39544.473344907405</v>
      </c>
      <c r="BI3186" s="22">
        <v>39549.294907407406</v>
      </c>
      <c r="BL3186">
        <v>8460</v>
      </c>
      <c r="BM3186">
        <v>1621573</v>
      </c>
      <c r="BN3186" t="s">
        <v>1715</v>
      </c>
      <c r="BO3186" s="17">
        <f t="shared" ca="1" si="49"/>
        <v>4.8360609953742824</v>
      </c>
      <c r="BP3186" t="b">
        <v>0</v>
      </c>
      <c r="BQ3186">
        <v>1</v>
      </c>
      <c r="BR3186" t="s">
        <v>1667</v>
      </c>
      <c r="BS3186" t="s">
        <v>1717</v>
      </c>
      <c r="BT3186" t="b">
        <v>0</v>
      </c>
      <c r="BV3186" t="s">
        <v>1668</v>
      </c>
      <c r="BW3186">
        <v>8323</v>
      </c>
      <c r="BX3186" t="s">
        <v>1669</v>
      </c>
      <c r="BY3186">
        <v>496027</v>
      </c>
      <c r="BZ3186" t="s">
        <v>6924</v>
      </c>
      <c r="CA3186">
        <v>1</v>
      </c>
      <c r="CB3186" t="b">
        <v>1</v>
      </c>
      <c r="CC3186">
        <v>0</v>
      </c>
      <c r="CD3186" t="b">
        <v>0</v>
      </c>
      <c r="CE3186" t="b">
        <v>1</v>
      </c>
      <c r="CF3186" t="b">
        <v>0</v>
      </c>
      <c r="CG3186">
        <v>2865089</v>
      </c>
      <c r="CH3186" t="s">
        <v>1681</v>
      </c>
      <c r="CI3186" s="10">
        <v>423000</v>
      </c>
      <c r="CJ3186" s="7">
        <v>37498</v>
      </c>
    </row>
    <row r="3187" spans="1:90">
      <c r="A3187">
        <v>28056735</v>
      </c>
      <c r="B3187" s="2" t="str">
        <f>HYPERLINK("http://www.redfin.com/stingray/do/printable-listing?listing-id=1623092","Active")</f>
        <v>Active</v>
      </c>
      <c r="D3187" t="s">
        <v>3961</v>
      </c>
      <c r="E3187" t="s">
        <v>6973</v>
      </c>
      <c r="F3187">
        <v>679000</v>
      </c>
      <c r="G3187">
        <v>1900</v>
      </c>
      <c r="H3187">
        <v>2440</v>
      </c>
      <c r="I3187">
        <v>5000</v>
      </c>
      <c r="J3187">
        <v>4</v>
      </c>
      <c r="K3187">
        <v>1.5</v>
      </c>
      <c r="M3187" s="2" t="str">
        <f>HYPERLINK("http://maps.live.com/default.aspx?v=2&amp;lvl=15&amp;sp=Point.47.602443_-122.29566_124 28th Ave&amp;cp=47.602443~-122.29566","Map")</f>
        <v>Map</v>
      </c>
      <c r="N3187" s="2" t="str">
        <f>HYPERLINK("http://i-0.rfimg.us/photo/1/bigphoto/735/28056735_1.jpg","Photo")</f>
        <v>Photo</v>
      </c>
      <c r="AG3187">
        <v>47.602443000000001</v>
      </c>
      <c r="AH3187">
        <v>-122.29566</v>
      </c>
      <c r="AI3187" t="s">
        <v>66</v>
      </c>
      <c r="AJ3187">
        <v>98122</v>
      </c>
      <c r="AN3187">
        <v>300000</v>
      </c>
      <c r="BC3187" s="22">
        <v>39545.495162037034</v>
      </c>
      <c r="BI3187" s="22">
        <v>39549.294907407406</v>
      </c>
      <c r="BL3187">
        <v>13580</v>
      </c>
      <c r="BM3187">
        <v>1623092</v>
      </c>
      <c r="BN3187" t="s">
        <v>1746</v>
      </c>
      <c r="BO3187" s="17">
        <f t="shared" ca="1" si="49"/>
        <v>3.8142438657450839</v>
      </c>
      <c r="BP3187" t="b">
        <v>0</v>
      </c>
      <c r="BQ3187">
        <v>1</v>
      </c>
      <c r="BR3187" t="s">
        <v>1667</v>
      </c>
      <c r="BS3187" t="s">
        <v>1760</v>
      </c>
      <c r="BT3187" t="b">
        <v>0</v>
      </c>
      <c r="BV3187" t="s">
        <v>1668</v>
      </c>
      <c r="BW3187">
        <v>124</v>
      </c>
      <c r="BY3187">
        <v>148622</v>
      </c>
      <c r="BZ3187" t="s">
        <v>1709</v>
      </c>
      <c r="CA3187">
        <v>1</v>
      </c>
      <c r="CB3187" t="b">
        <v>1</v>
      </c>
      <c r="CC3187">
        <v>0</v>
      </c>
      <c r="CD3187" t="b">
        <v>0</v>
      </c>
      <c r="CE3187" t="b">
        <v>1</v>
      </c>
      <c r="CF3187" t="b">
        <v>0</v>
      </c>
      <c r="CG3187">
        <v>2662346</v>
      </c>
      <c r="CH3187" t="s">
        <v>1681</v>
      </c>
      <c r="CI3187" s="10">
        <v>679000</v>
      </c>
      <c r="CJ3187" s="7">
        <v>36363</v>
      </c>
    </row>
    <row r="3188" spans="1:90">
      <c r="A3188">
        <v>28056749</v>
      </c>
      <c r="B3188" s="2" t="str">
        <f>HYPERLINK("http://www.redfin.com/stingray/do/printable-listing?listing-id=1629685","Active")</f>
        <v>Active</v>
      </c>
      <c r="D3188" t="s">
        <v>5565</v>
      </c>
      <c r="E3188" t="s">
        <v>7085</v>
      </c>
      <c r="F3188">
        <v>598000</v>
      </c>
      <c r="G3188">
        <v>1960</v>
      </c>
      <c r="H3188">
        <v>2900</v>
      </c>
      <c r="I3188">
        <v>14400</v>
      </c>
      <c r="J3188">
        <v>4</v>
      </c>
      <c r="K3188">
        <v>2.5</v>
      </c>
      <c r="M3188" s="2" t="str">
        <f>HYPERLINK("http://maps.live.com/default.aspx?v=2&amp;lvl=15&amp;sp=Point.47.55414_-122.174469_5407 125th Ave SE&amp;cp=47.55414~-122.174469","Map")</f>
        <v>Map</v>
      </c>
      <c r="N3188" s="2" t="str">
        <f>HYPERLINK("http://i-0.rfimg.us/photo/1/bigphoto/749/28056749_0.jpg","Photo")</f>
        <v>Photo</v>
      </c>
      <c r="AG3188">
        <v>47.554139999999997</v>
      </c>
      <c r="AH3188">
        <v>-122.174469</v>
      </c>
      <c r="AI3188" t="s">
        <v>369</v>
      </c>
      <c r="AJ3188">
        <v>98006</v>
      </c>
      <c r="AN3188">
        <v>91000</v>
      </c>
      <c r="BC3188" s="22">
        <v>39547.495358796295</v>
      </c>
      <c r="BI3188" s="22">
        <v>39549.294907407406</v>
      </c>
      <c r="BL3188">
        <v>11960</v>
      </c>
      <c r="BM3188">
        <v>1629685</v>
      </c>
      <c r="BN3188" t="s">
        <v>1768</v>
      </c>
      <c r="BO3188" s="17">
        <f t="shared" ca="1" si="49"/>
        <v>1.8140471064834855</v>
      </c>
      <c r="BP3188" t="b">
        <v>0</v>
      </c>
      <c r="BQ3188">
        <v>1</v>
      </c>
      <c r="BR3188" t="s">
        <v>1667</v>
      </c>
      <c r="BS3188" t="s">
        <v>2677</v>
      </c>
      <c r="BT3188" t="b">
        <v>0</v>
      </c>
      <c r="BV3188" t="s">
        <v>1668</v>
      </c>
      <c r="BW3188">
        <v>5407</v>
      </c>
      <c r="BX3188" t="s">
        <v>3856</v>
      </c>
      <c r="BY3188">
        <v>416860</v>
      </c>
      <c r="BZ3188" t="s">
        <v>1672</v>
      </c>
      <c r="CA3188">
        <v>1</v>
      </c>
      <c r="CB3188" t="b">
        <v>1</v>
      </c>
      <c r="CC3188">
        <v>0</v>
      </c>
      <c r="CD3188" t="b">
        <v>0</v>
      </c>
      <c r="CE3188" t="b">
        <v>1</v>
      </c>
      <c r="CF3188" t="b">
        <v>0</v>
      </c>
      <c r="CG3188">
        <v>2788111</v>
      </c>
      <c r="CH3188" t="s">
        <v>1681</v>
      </c>
      <c r="CI3188" s="10">
        <v>598000</v>
      </c>
      <c r="CJ3188" s="7">
        <v>31317</v>
      </c>
    </row>
    <row r="3189" spans="1:90">
      <c r="A3189">
        <v>28056753</v>
      </c>
      <c r="B3189" s="2" t="str">
        <f>HYPERLINK("http://www.redfin.com/stingray/do/printable-listing?listing-id=1610129","Active")</f>
        <v>Active</v>
      </c>
      <c r="D3189" t="s">
        <v>3721</v>
      </c>
      <c r="E3189" t="s">
        <v>6724</v>
      </c>
      <c r="F3189">
        <v>3995000</v>
      </c>
      <c r="G3189">
        <v>2003</v>
      </c>
      <c r="H3189">
        <v>5004</v>
      </c>
      <c r="I3189">
        <v>6600</v>
      </c>
      <c r="J3189">
        <v>5</v>
      </c>
      <c r="K3189">
        <v>4.25</v>
      </c>
      <c r="M3189" s="2" t="str">
        <f>HYPERLINK("http://maps.live.com/default.aspx?v=2&amp;lvl=15&amp;sp=Point.47.630118_-122.284504_1209 38th Ave E&amp;cp=47.630118~-122.284504","Map")</f>
        <v>Map</v>
      </c>
      <c r="N3189" s="2" t="str">
        <f>HYPERLINK("http://i-0.rfimg.us/photo/1/bigphoto/753/28056753_0.jpg","Photo")</f>
        <v>Photo</v>
      </c>
      <c r="AG3189">
        <v>47.630118000000003</v>
      </c>
      <c r="AH3189">
        <v>-122.284504</v>
      </c>
      <c r="AI3189" t="s">
        <v>66</v>
      </c>
      <c r="AJ3189">
        <v>98112</v>
      </c>
      <c r="AN3189">
        <v>340000</v>
      </c>
      <c r="BC3189" s="22">
        <v>39540.641574074078</v>
      </c>
      <c r="BI3189" s="22">
        <v>39549.294907407406</v>
      </c>
      <c r="BL3189">
        <v>79900</v>
      </c>
      <c r="BM3189">
        <v>1610129</v>
      </c>
      <c r="BN3189" t="s">
        <v>1768</v>
      </c>
      <c r="BO3189" s="17">
        <f t="shared" ca="1" si="49"/>
        <v>8.6678318287013099</v>
      </c>
      <c r="BP3189" t="b">
        <v>0</v>
      </c>
      <c r="BQ3189">
        <v>1</v>
      </c>
      <c r="BR3189" t="s">
        <v>1667</v>
      </c>
      <c r="BS3189" t="s">
        <v>3126</v>
      </c>
      <c r="BT3189" t="b">
        <v>0</v>
      </c>
      <c r="BV3189" t="s">
        <v>1668</v>
      </c>
      <c r="BW3189">
        <v>1209</v>
      </c>
      <c r="BX3189" t="s">
        <v>2436</v>
      </c>
      <c r="BY3189">
        <v>140046</v>
      </c>
      <c r="BZ3189" t="s">
        <v>1672</v>
      </c>
      <c r="CA3189">
        <v>1</v>
      </c>
      <c r="CB3189" t="b">
        <v>1</v>
      </c>
      <c r="CC3189">
        <v>0</v>
      </c>
      <c r="CD3189" t="b">
        <v>0</v>
      </c>
      <c r="CE3189" t="b">
        <v>1</v>
      </c>
      <c r="CF3189" t="b">
        <v>0</v>
      </c>
      <c r="CG3189">
        <v>2780096</v>
      </c>
      <c r="CH3189" t="s">
        <v>1681</v>
      </c>
      <c r="CI3189" s="10">
        <v>3995000</v>
      </c>
      <c r="CJ3189" s="7">
        <v>37720</v>
      </c>
    </row>
    <row r="3190" spans="1:90">
      <c r="A3190">
        <v>28056759</v>
      </c>
      <c r="B3190" s="2" t="str">
        <f>HYPERLINK("http://www.redfin.com/stingray/do/printable-listing?listing-id=1613550","Active")</f>
        <v>Active</v>
      </c>
      <c r="D3190" t="s">
        <v>1058</v>
      </c>
      <c r="E3190" t="s">
        <v>6784</v>
      </c>
      <c r="F3190">
        <v>600000</v>
      </c>
      <c r="G3190">
        <v>1981</v>
      </c>
      <c r="H3190">
        <v>2640</v>
      </c>
      <c r="I3190">
        <v>11761</v>
      </c>
      <c r="J3190">
        <v>3</v>
      </c>
      <c r="K3190">
        <v>2.75</v>
      </c>
      <c r="M3190" s="2" t="str">
        <f>HYPERLINK("http://maps.live.com/default.aspx?v=2&amp;lvl=15&amp;sp=Point.47.724698_-122.21206_13826 97th Ave NE&amp;cp=47.724698~-122.21206","Map")</f>
        <v>Map</v>
      </c>
      <c r="N3190" s="2" t="str">
        <f>HYPERLINK("http://i-0.rfimg.us/photo/1/bigphoto/759/28056759_1.jpg","Photo")</f>
        <v>Photo</v>
      </c>
      <c r="AG3190">
        <v>47.724697999999997</v>
      </c>
      <c r="AH3190">
        <v>-122.21205999999999</v>
      </c>
      <c r="AI3190" t="s">
        <v>1058</v>
      </c>
      <c r="AJ3190">
        <v>98034</v>
      </c>
      <c r="AN3190">
        <v>549950</v>
      </c>
      <c r="BC3190" s="22">
        <v>39541.558912037035</v>
      </c>
      <c r="BI3190" s="22">
        <v>39549.294907407406</v>
      </c>
      <c r="BL3190">
        <v>12000</v>
      </c>
      <c r="BM3190">
        <v>1613550</v>
      </c>
      <c r="BN3190" t="s">
        <v>1688</v>
      </c>
      <c r="BO3190" s="17">
        <f t="shared" ca="1" si="49"/>
        <v>7.7504938657439197</v>
      </c>
      <c r="BP3190" t="b">
        <v>0</v>
      </c>
      <c r="BQ3190">
        <v>1</v>
      </c>
      <c r="BR3190" t="s">
        <v>1667</v>
      </c>
      <c r="BS3190" t="s">
        <v>1840</v>
      </c>
      <c r="BT3190" t="b">
        <v>0</v>
      </c>
      <c r="BV3190" t="s">
        <v>1668</v>
      </c>
      <c r="BW3190">
        <v>13826</v>
      </c>
      <c r="BX3190" t="s">
        <v>1738</v>
      </c>
      <c r="BY3190">
        <v>279611</v>
      </c>
      <c r="BZ3190" t="s">
        <v>1679</v>
      </c>
      <c r="CA3190">
        <v>1</v>
      </c>
      <c r="CB3190" t="b">
        <v>1</v>
      </c>
      <c r="CC3190">
        <v>0</v>
      </c>
      <c r="CD3190" t="b">
        <v>0</v>
      </c>
      <c r="CE3190" t="b">
        <v>1</v>
      </c>
      <c r="CF3190" t="b">
        <v>0</v>
      </c>
      <c r="CG3190">
        <v>2468371</v>
      </c>
      <c r="CH3190" t="s">
        <v>1681</v>
      </c>
      <c r="CI3190" s="10">
        <v>600000</v>
      </c>
      <c r="CJ3190" s="7">
        <v>38838</v>
      </c>
    </row>
    <row r="3191" spans="1:90">
      <c r="A3191">
        <v>28056787</v>
      </c>
      <c r="B3191" s="2" t="str">
        <f>HYPERLINK("http://www.redfin.com/stingray/do/printable-listing?listing-id=1620128","Active")</f>
        <v>Active</v>
      </c>
      <c r="D3191" t="s">
        <v>60</v>
      </c>
      <c r="E3191" t="s">
        <v>6888</v>
      </c>
      <c r="F3191">
        <v>850000</v>
      </c>
      <c r="G3191">
        <v>1926</v>
      </c>
      <c r="H3191">
        <v>2760</v>
      </c>
      <c r="I3191">
        <v>3000</v>
      </c>
      <c r="J3191">
        <v>5</v>
      </c>
      <c r="K3191">
        <v>3.5</v>
      </c>
      <c r="M3191" s="2" t="str">
        <f>HYPERLINK("http://maps.live.com/default.aspx?v=2&amp;lvl=15&amp;sp=Point.47.688514_-122.331375_8057 Corliss Ave N&amp;cp=47.688514~-122.331375","Map")</f>
        <v>Map</v>
      </c>
      <c r="N3191" s="2" t="str">
        <f>HYPERLINK("http://i-0.rfimg.us/photo/1/bigphoto/787/28056787_2.jpg","Photo")</f>
        <v>Photo</v>
      </c>
      <c r="AG3191">
        <v>47.688513999999998</v>
      </c>
      <c r="AH3191">
        <v>-122.33137499999999</v>
      </c>
      <c r="AI3191" t="s">
        <v>66</v>
      </c>
      <c r="AJ3191">
        <v>98103</v>
      </c>
      <c r="AN3191">
        <v>149950</v>
      </c>
      <c r="BC3191" s="22">
        <v>39543.38994212963</v>
      </c>
      <c r="BI3191" s="22">
        <v>39549.294907407406</v>
      </c>
      <c r="BL3191">
        <v>17000</v>
      </c>
      <c r="BM3191">
        <v>1620128</v>
      </c>
      <c r="BN3191" t="s">
        <v>1954</v>
      </c>
      <c r="BO3191" s="17">
        <f t="shared" ca="1" si="49"/>
        <v>5.9194637731488911</v>
      </c>
      <c r="BP3191" t="b">
        <v>0</v>
      </c>
      <c r="BQ3191">
        <v>1</v>
      </c>
      <c r="BR3191" t="s">
        <v>1667</v>
      </c>
      <c r="BS3191" t="s">
        <v>2388</v>
      </c>
      <c r="BT3191" t="b">
        <v>0</v>
      </c>
      <c r="BV3191" t="s">
        <v>1668</v>
      </c>
      <c r="BW3191">
        <v>8057</v>
      </c>
      <c r="BX3191" t="s">
        <v>1712</v>
      </c>
      <c r="BY3191">
        <v>307441</v>
      </c>
      <c r="BZ3191" t="s">
        <v>1730</v>
      </c>
      <c r="CA3191">
        <v>1</v>
      </c>
      <c r="CB3191" t="b">
        <v>1</v>
      </c>
      <c r="CC3191">
        <v>0</v>
      </c>
      <c r="CD3191" t="b">
        <v>0</v>
      </c>
      <c r="CE3191" t="b">
        <v>1</v>
      </c>
      <c r="CF3191" t="b">
        <v>0</v>
      </c>
      <c r="CG3191">
        <v>2363552</v>
      </c>
      <c r="CH3191" t="s">
        <v>1681</v>
      </c>
      <c r="CI3191" s="10">
        <v>850000</v>
      </c>
      <c r="CJ3191" s="7">
        <v>32759</v>
      </c>
    </row>
    <row r="3192" spans="1:90">
      <c r="A3192">
        <v>28056849</v>
      </c>
      <c r="B3192" s="2" t="str">
        <f>HYPERLINK("http://www.redfin.com/stingray/do/printable-listing?listing-id=1609952","Active")</f>
        <v>Active</v>
      </c>
      <c r="D3192" t="s">
        <v>1115</v>
      </c>
      <c r="E3192" t="s">
        <v>6721</v>
      </c>
      <c r="F3192">
        <v>940000</v>
      </c>
      <c r="G3192">
        <v>2008</v>
      </c>
      <c r="H3192">
        <v>3692</v>
      </c>
      <c r="I3192">
        <v>4181</v>
      </c>
      <c r="J3192">
        <v>6</v>
      </c>
      <c r="K3192">
        <v>4.5</v>
      </c>
      <c r="M3192" s="2" t="str">
        <f>HYPERLINK("http://maps.live.com/default.aspx?v=2&amp;lvl=15&amp;sp=Point.47.679537_-122.287925_3710 NE 70th St&amp;cp=47.679537~-122.287925","Map")</f>
        <v>Map</v>
      </c>
      <c r="N3192" s="2" t="str">
        <f>HYPERLINK("http://i-0.rfimg.us/photo/1/bigphoto/849/28056849_.jpg","Photo")</f>
        <v>Photo</v>
      </c>
      <c r="AG3192">
        <v>47.679537000000003</v>
      </c>
      <c r="AH3192">
        <v>-122.287925</v>
      </c>
      <c r="AI3192" t="s">
        <v>66</v>
      </c>
      <c r="AJ3192">
        <v>98155</v>
      </c>
      <c r="BC3192" s="22">
        <v>39540.610694444447</v>
      </c>
      <c r="BI3192" s="7">
        <v>39541</v>
      </c>
      <c r="BL3192">
        <v>18800</v>
      </c>
      <c r="BM3192">
        <v>1609952</v>
      </c>
      <c r="BN3192" t="s">
        <v>1817</v>
      </c>
      <c r="BO3192" s="17">
        <f t="shared" ca="1" si="49"/>
        <v>8.6987114583316725</v>
      </c>
      <c r="BP3192" t="b">
        <v>0</v>
      </c>
      <c r="BQ3192">
        <v>1</v>
      </c>
      <c r="BR3192" t="s">
        <v>1686</v>
      </c>
      <c r="BS3192" t="s">
        <v>1703</v>
      </c>
      <c r="BT3192" t="b">
        <v>0</v>
      </c>
      <c r="BU3192" t="s">
        <v>1738</v>
      </c>
      <c r="BV3192" t="s">
        <v>1668</v>
      </c>
      <c r="BW3192">
        <v>3710</v>
      </c>
      <c r="BY3192">
        <v>12436958</v>
      </c>
      <c r="CA3192">
        <v>1</v>
      </c>
      <c r="CB3192" t="b">
        <v>1</v>
      </c>
      <c r="CC3192">
        <v>0</v>
      </c>
      <c r="CD3192" t="b">
        <v>0</v>
      </c>
      <c r="CE3192" t="b">
        <v>1</v>
      </c>
      <c r="CF3192" t="b">
        <v>0</v>
      </c>
      <c r="CG3192">
        <v>15640706</v>
      </c>
      <c r="CH3192" t="s">
        <v>1681</v>
      </c>
      <c r="CI3192" s="10">
        <v>940000</v>
      </c>
    </row>
    <row r="3193" spans="1:90">
      <c r="A3193">
        <v>28056873</v>
      </c>
      <c r="B3193" s="2" t="str">
        <f>HYPERLINK("http://www.redfin.com/stingray/do/printable-listing?listing-id=1610031","Active")</f>
        <v>Active</v>
      </c>
      <c r="D3193" t="s">
        <v>5014</v>
      </c>
      <c r="E3193" t="s">
        <v>6739</v>
      </c>
      <c r="F3193">
        <v>999000</v>
      </c>
      <c r="G3193">
        <v>1952</v>
      </c>
      <c r="H3193">
        <v>840</v>
      </c>
      <c r="I3193">
        <v>0</v>
      </c>
      <c r="J3193">
        <v>2</v>
      </c>
      <c r="K3193">
        <v>1</v>
      </c>
      <c r="M3193" s="2" t="str">
        <f>HYPERLINK("http://maps.live.com/default.aspx?v=2&amp;lvl=15&amp;sp=Point.47.638676_-122.217392_3108 92nd Ave NE&amp;cp=47.638676~-122.217392","Map")</f>
        <v>Map</v>
      </c>
      <c r="N3193" s="2" t="str">
        <f>HYPERLINK("http://i-0.rfimg.us/photo/1/bigphoto/873/28056873_0.jpg","Photo")</f>
        <v>Photo</v>
      </c>
      <c r="AG3193">
        <v>47.638675999999997</v>
      </c>
      <c r="AH3193">
        <v>-122.217392</v>
      </c>
      <c r="AI3193" t="s">
        <v>5014</v>
      </c>
      <c r="AJ3193">
        <v>98004</v>
      </c>
      <c r="AN3193">
        <v>825000</v>
      </c>
      <c r="BC3193" s="22">
        <v>39540.620381944442</v>
      </c>
      <c r="BI3193" s="22">
        <v>39549.294907407406</v>
      </c>
      <c r="BL3193">
        <v>19980</v>
      </c>
      <c r="BM3193">
        <v>1610031</v>
      </c>
      <c r="BN3193" t="s">
        <v>1688</v>
      </c>
      <c r="BO3193" s="17">
        <f t="shared" ca="1" si="49"/>
        <v>8.6890239583372022</v>
      </c>
      <c r="BP3193" t="b">
        <v>0</v>
      </c>
      <c r="BQ3193">
        <v>1</v>
      </c>
      <c r="BR3193" t="s">
        <v>1667</v>
      </c>
      <c r="BS3193" t="s">
        <v>2726</v>
      </c>
      <c r="BT3193" t="b">
        <v>0</v>
      </c>
      <c r="BV3193" t="s">
        <v>1668</v>
      </c>
      <c r="BW3193">
        <v>3108</v>
      </c>
      <c r="BX3193" t="s">
        <v>1738</v>
      </c>
      <c r="BY3193">
        <v>251458</v>
      </c>
      <c r="BZ3193" t="s">
        <v>1801</v>
      </c>
      <c r="CA3193">
        <v>1</v>
      </c>
      <c r="CB3193" t="b">
        <v>1</v>
      </c>
      <c r="CC3193">
        <v>0</v>
      </c>
      <c r="CD3193" t="b">
        <v>0</v>
      </c>
      <c r="CE3193" t="b">
        <v>1</v>
      </c>
      <c r="CF3193" t="b">
        <v>0</v>
      </c>
      <c r="CG3193">
        <v>2880141</v>
      </c>
      <c r="CH3193" t="s">
        <v>1681</v>
      </c>
      <c r="CI3193" s="10">
        <v>999000</v>
      </c>
      <c r="CJ3193" s="7">
        <v>39052</v>
      </c>
    </row>
    <row r="3194" spans="1:90">
      <c r="A3194">
        <v>28056938</v>
      </c>
      <c r="B3194" s="2" t="str">
        <f>HYPERLINK("http://www.redfin.com/stingray/do/printable-listing?listing-id=1610186","Active")</f>
        <v>Active</v>
      </c>
      <c r="D3194" t="s">
        <v>6746</v>
      </c>
      <c r="E3194" t="s">
        <v>6745</v>
      </c>
      <c r="F3194">
        <v>1190000</v>
      </c>
      <c r="G3194">
        <v>2008</v>
      </c>
      <c r="H3194">
        <v>3725</v>
      </c>
      <c r="I3194">
        <v>10324</v>
      </c>
      <c r="J3194">
        <v>4</v>
      </c>
      <c r="K3194">
        <v>3</v>
      </c>
      <c r="M3194" s="2" t="str">
        <f>HYPERLINK("http://maps.live.com/default.aspx?v=2&amp;lvl=15&amp;sp=adr.13339 SE Newport Way nLot 3 (Unable to map),98006","Map")</f>
        <v>Map</v>
      </c>
      <c r="N3194" s="2" t="str">
        <f>HYPERLINK("http://i-0.rfimg.us/photo/1/bigphoto/938/28056938_.jpg","Photo")</f>
        <v>Photo</v>
      </c>
      <c r="AG3194">
        <v>47.570656</v>
      </c>
      <c r="AH3194">
        <v>-122.16270400000001</v>
      </c>
      <c r="AI3194" t="s">
        <v>369</v>
      </c>
      <c r="AJ3194">
        <v>98006</v>
      </c>
      <c r="AM3194" t="s">
        <v>3918</v>
      </c>
      <c r="AN3194">
        <v>667000</v>
      </c>
      <c r="BC3194" s="22">
        <v>39540.652384259258</v>
      </c>
      <c r="BI3194" s="22">
        <v>39549.294907407406</v>
      </c>
      <c r="BL3194">
        <v>23800</v>
      </c>
      <c r="BM3194">
        <v>1610186</v>
      </c>
      <c r="BN3194" t="s">
        <v>6744</v>
      </c>
      <c r="BO3194" s="17">
        <f t="shared" ca="1" si="49"/>
        <v>8.6570216435211478</v>
      </c>
      <c r="BP3194" t="b">
        <v>0</v>
      </c>
      <c r="BQ3194">
        <v>1</v>
      </c>
      <c r="BR3194" t="s">
        <v>2463</v>
      </c>
      <c r="BS3194" t="s">
        <v>5326</v>
      </c>
      <c r="BT3194" t="b">
        <v>0</v>
      </c>
      <c r="BU3194" t="s">
        <v>3856</v>
      </c>
      <c r="BV3194" t="s">
        <v>1668</v>
      </c>
      <c r="BW3194">
        <v>13339</v>
      </c>
      <c r="BY3194">
        <v>0</v>
      </c>
      <c r="BZ3194" t="s">
        <v>1743</v>
      </c>
      <c r="CA3194">
        <v>1</v>
      </c>
      <c r="CB3194" t="b">
        <v>1</v>
      </c>
      <c r="CC3194">
        <v>0</v>
      </c>
      <c r="CD3194" t="b">
        <v>0</v>
      </c>
      <c r="CE3194" t="b">
        <v>1</v>
      </c>
      <c r="CF3194" t="b">
        <v>0</v>
      </c>
      <c r="CG3194" t="s">
        <v>1870</v>
      </c>
      <c r="CH3194" t="s">
        <v>1681</v>
      </c>
      <c r="CI3194" s="10">
        <v>1190000</v>
      </c>
      <c r="CJ3194" s="7">
        <v>38674</v>
      </c>
    </row>
    <row r="3195" spans="1:90">
      <c r="A3195">
        <v>28056949</v>
      </c>
      <c r="B3195" s="2" t="str">
        <f>HYPERLINK("http://www.redfin.com/stingray/do/printable-listing?listing-id=1611234","Active")</f>
        <v>Active</v>
      </c>
      <c r="D3195" t="s">
        <v>3249</v>
      </c>
      <c r="E3195" t="s">
        <v>6723</v>
      </c>
      <c r="F3195">
        <v>629950</v>
      </c>
      <c r="G3195">
        <v>1914</v>
      </c>
      <c r="H3195">
        <v>1230</v>
      </c>
      <c r="I3195">
        <v>2760</v>
      </c>
      <c r="J3195">
        <v>2</v>
      </c>
      <c r="K3195">
        <v>1</v>
      </c>
      <c r="M3195" s="2" t="str">
        <f>HYPERLINK("http://maps.live.com/default.aspx?v=2&amp;lvl=15&amp;sp=Point.47.646078_-122.350994_2912 3 Ave N&amp;cp=47.646078~-122.350994","Map")</f>
        <v>Map</v>
      </c>
      <c r="N3195" s="2" t="str">
        <f>HYPERLINK("http://i-0.rfimg.us/photo/1/bigphoto/949/28056949_.jpg","Photo")</f>
        <v>Photo</v>
      </c>
      <c r="AG3195">
        <v>47.646078000000003</v>
      </c>
      <c r="AH3195">
        <v>-122.350994</v>
      </c>
      <c r="AI3195" t="s">
        <v>66</v>
      </c>
      <c r="AJ3195">
        <v>98109</v>
      </c>
      <c r="AN3195">
        <v>589000</v>
      </c>
      <c r="BC3195" s="22">
        <v>39540.840127314812</v>
      </c>
      <c r="BI3195" s="22">
        <v>39549.294907407406</v>
      </c>
      <c r="BL3195">
        <v>12599</v>
      </c>
      <c r="BM3195">
        <v>1611234</v>
      </c>
      <c r="BN3195" t="s">
        <v>1735</v>
      </c>
      <c r="BO3195" s="17">
        <f t="shared" ca="1" si="49"/>
        <v>8.4692785879669827</v>
      </c>
      <c r="BP3195" t="b">
        <v>0</v>
      </c>
      <c r="BQ3195">
        <v>1</v>
      </c>
      <c r="BR3195" t="s">
        <v>1667</v>
      </c>
      <c r="BS3195">
        <v>3</v>
      </c>
      <c r="BT3195" t="b">
        <v>0</v>
      </c>
      <c r="BV3195" t="s">
        <v>1668</v>
      </c>
      <c r="BW3195">
        <v>2912</v>
      </c>
      <c r="BX3195" t="s">
        <v>1712</v>
      </c>
      <c r="BY3195">
        <v>129909</v>
      </c>
      <c r="BZ3195" t="s">
        <v>1672</v>
      </c>
      <c r="CA3195">
        <v>1</v>
      </c>
      <c r="CB3195" t="b">
        <v>1</v>
      </c>
      <c r="CC3195">
        <v>0</v>
      </c>
      <c r="CD3195" t="b">
        <v>0</v>
      </c>
      <c r="CE3195" t="b">
        <v>1</v>
      </c>
      <c r="CF3195" t="b">
        <v>0</v>
      </c>
      <c r="CG3195">
        <v>2438416</v>
      </c>
      <c r="CH3195" t="s">
        <v>1681</v>
      </c>
      <c r="CI3195" s="10">
        <v>629950</v>
      </c>
      <c r="CJ3195" s="7">
        <v>39066</v>
      </c>
    </row>
    <row r="3196" spans="1:90">
      <c r="A3196">
        <v>28056955</v>
      </c>
      <c r="B3196" s="2" t="str">
        <f>HYPERLINK("http://www.redfin.com/stingray/do/printable-listing?listing-id=1617500","Active")</f>
        <v>Active</v>
      </c>
      <c r="D3196" t="s">
        <v>4710</v>
      </c>
      <c r="E3196" t="s">
        <v>6851</v>
      </c>
      <c r="F3196">
        <v>949000</v>
      </c>
      <c r="G3196">
        <v>2005</v>
      </c>
      <c r="H3196">
        <v>1720</v>
      </c>
      <c r="I3196">
        <v>0</v>
      </c>
      <c r="J3196">
        <v>3</v>
      </c>
      <c r="K3196">
        <v>2.5</v>
      </c>
      <c r="M3196" s="2" t="str">
        <f>HYPERLINK("http://maps.live.com/default.aspx?v=2&amp;lvl=15&amp;sp=Point.47.675799_-122.193402_836 Kirkland Ave&amp;cp=47.675799~-122.193402","Map")</f>
        <v>Map</v>
      </c>
      <c r="N3196" s="2" t="str">
        <f>HYPERLINK("http://i-0.rfimg.us/photo/1/bigphoto/955/28056955_1.jpg","Photo")</f>
        <v>Photo</v>
      </c>
      <c r="AG3196">
        <v>47.675798999999998</v>
      </c>
      <c r="AH3196">
        <v>-122.19340200000001</v>
      </c>
      <c r="AI3196" t="s">
        <v>1058</v>
      </c>
      <c r="AJ3196">
        <v>98033</v>
      </c>
      <c r="AN3196">
        <v>720000</v>
      </c>
      <c r="BC3196" s="22">
        <v>39542.528194444443</v>
      </c>
      <c r="BI3196" s="22">
        <v>39549.294907407406</v>
      </c>
      <c r="BL3196">
        <v>18980</v>
      </c>
      <c r="BM3196">
        <v>1617500</v>
      </c>
      <c r="BN3196" t="s">
        <v>6309</v>
      </c>
      <c r="BO3196" s="17">
        <f t="shared" ca="1" si="49"/>
        <v>6.781211458335747</v>
      </c>
      <c r="BP3196" t="b">
        <v>0</v>
      </c>
      <c r="BQ3196">
        <v>1</v>
      </c>
      <c r="BR3196" t="s">
        <v>1667</v>
      </c>
      <c r="BS3196" t="s">
        <v>1058</v>
      </c>
      <c r="BT3196" t="b">
        <v>0</v>
      </c>
      <c r="BV3196" t="s">
        <v>1668</v>
      </c>
      <c r="BW3196">
        <v>836</v>
      </c>
      <c r="BY3196">
        <v>2066559</v>
      </c>
      <c r="BZ3196" t="s">
        <v>1704</v>
      </c>
      <c r="CA3196">
        <v>1</v>
      </c>
      <c r="CB3196" t="b">
        <v>1</v>
      </c>
      <c r="CC3196">
        <v>0</v>
      </c>
      <c r="CD3196" t="b">
        <v>0</v>
      </c>
      <c r="CE3196" t="b">
        <v>1</v>
      </c>
      <c r="CF3196" t="b">
        <v>0</v>
      </c>
      <c r="CG3196">
        <v>2464285</v>
      </c>
      <c r="CH3196" t="s">
        <v>1681</v>
      </c>
      <c r="CI3196" s="10">
        <v>949000</v>
      </c>
      <c r="CJ3196" s="7">
        <v>38618</v>
      </c>
      <c r="CL3196" t="s">
        <v>2325</v>
      </c>
    </row>
    <row r="3197" spans="1:90">
      <c r="A3197">
        <v>28056960</v>
      </c>
      <c r="B3197" s="2" t="str">
        <f>HYPERLINK("http://www.redfin.com/stingray/do/printable-listing?listing-id=1620441","Active")</f>
        <v>Active</v>
      </c>
      <c r="D3197" t="s">
        <v>5742</v>
      </c>
      <c r="E3197" t="s">
        <v>6909</v>
      </c>
      <c r="F3197">
        <v>925000</v>
      </c>
      <c r="G3197">
        <v>1961</v>
      </c>
      <c r="H3197">
        <v>2740</v>
      </c>
      <c r="I3197">
        <v>6000</v>
      </c>
      <c r="J3197">
        <v>6</v>
      </c>
      <c r="K3197">
        <v>3</v>
      </c>
      <c r="M3197" s="2" t="str">
        <f>HYPERLINK("http://maps.live.com/default.aspx?v=2&amp;lvl=15&amp;sp=Point.47.582999_-122.245835_3034 69th Ave SE&amp;cp=47.582999~-122.245835","Map")</f>
        <v>Map</v>
      </c>
      <c r="N3197" s="2" t="str">
        <f>HYPERLINK("http://i-0.rfimg.us/photo/1/bigphoto/960/28056960_0.jpg","Photo")</f>
        <v>Photo</v>
      </c>
      <c r="AG3197">
        <v>47.582999000000001</v>
      </c>
      <c r="AH3197">
        <v>-122.245835</v>
      </c>
      <c r="AI3197" t="s">
        <v>5139</v>
      </c>
      <c r="AJ3197">
        <v>98040</v>
      </c>
      <c r="BC3197" s="22">
        <v>39543.527013888888</v>
      </c>
      <c r="BI3197" s="22">
        <v>39549.294907407406</v>
      </c>
      <c r="BL3197">
        <v>18500</v>
      </c>
      <c r="BM3197">
        <v>1620441</v>
      </c>
      <c r="BN3197" t="s">
        <v>4563</v>
      </c>
      <c r="BO3197" s="17">
        <f t="shared" ca="1" si="49"/>
        <v>5.7823920138907852</v>
      </c>
      <c r="BP3197" t="b">
        <v>0</v>
      </c>
      <c r="BQ3197">
        <v>1</v>
      </c>
      <c r="BR3197" t="s">
        <v>1667</v>
      </c>
      <c r="BS3197" t="s">
        <v>1916</v>
      </c>
      <c r="BT3197" t="b">
        <v>0</v>
      </c>
      <c r="BV3197" t="s">
        <v>1668</v>
      </c>
      <c r="BW3197">
        <v>3034</v>
      </c>
      <c r="BX3197" t="s">
        <v>3856</v>
      </c>
      <c r="BY3197">
        <v>257873</v>
      </c>
      <c r="BZ3197" t="s">
        <v>1672</v>
      </c>
      <c r="CA3197">
        <v>1</v>
      </c>
      <c r="CB3197" t="b">
        <v>1</v>
      </c>
      <c r="CC3197">
        <v>0</v>
      </c>
      <c r="CD3197" t="b">
        <v>0</v>
      </c>
      <c r="CE3197" t="b">
        <v>1</v>
      </c>
      <c r="CF3197" t="b">
        <v>0</v>
      </c>
      <c r="CG3197">
        <v>2962445</v>
      </c>
      <c r="CH3197" t="s">
        <v>1681</v>
      </c>
      <c r="CI3197" s="10">
        <v>925000</v>
      </c>
    </row>
    <row r="3198" spans="1:90">
      <c r="A3198">
        <v>28057010</v>
      </c>
      <c r="B3198" s="2" t="str">
        <f>HYPERLINK("http://www.redfin.com/stingray/do/printable-listing?listing-id=1610419","Active")</f>
        <v>Active</v>
      </c>
      <c r="D3198" t="s">
        <v>3064</v>
      </c>
      <c r="E3198" t="s">
        <v>6753</v>
      </c>
      <c r="F3198">
        <v>649950</v>
      </c>
      <c r="G3198">
        <v>2008</v>
      </c>
      <c r="H3198">
        <v>3388</v>
      </c>
      <c r="I3198">
        <v>7325</v>
      </c>
      <c r="J3198">
        <v>4</v>
      </c>
      <c r="K3198">
        <v>2.5</v>
      </c>
      <c r="M3198" s="2" t="str">
        <f>HYPERLINK("http://maps.live.com/default.aspx?v=2&amp;lvl=15&amp;sp=adr.101 Shadow Ave SE (Unable to map),98059","Map")</f>
        <v>Map</v>
      </c>
      <c r="N3198" s="2" t="str">
        <f>HYPERLINK("http://i-0.rfimg.us/photo/1/bigphoto/010/28057010_0.jpg","Photo")</f>
        <v>Photo</v>
      </c>
      <c r="AI3198" t="s">
        <v>1077</v>
      </c>
      <c r="AJ3198">
        <v>98059</v>
      </c>
      <c r="BC3198" s="22">
        <v>39540.684317129628</v>
      </c>
      <c r="BI3198" s="22">
        <v>39549.294907407406</v>
      </c>
      <c r="BL3198">
        <v>12999</v>
      </c>
      <c r="BM3198">
        <v>1610419</v>
      </c>
      <c r="BN3198" t="s">
        <v>4376</v>
      </c>
      <c r="BO3198" s="17">
        <f t="shared" ca="1" si="49"/>
        <v>8.6250887731512194</v>
      </c>
      <c r="BP3198" t="b">
        <v>0</v>
      </c>
      <c r="BQ3198">
        <v>1</v>
      </c>
      <c r="BR3198" t="s">
        <v>1667</v>
      </c>
      <c r="BS3198" t="s">
        <v>6754</v>
      </c>
      <c r="BT3198" t="b">
        <v>0</v>
      </c>
      <c r="BV3198" t="s">
        <v>1668</v>
      </c>
      <c r="BW3198">
        <v>101</v>
      </c>
      <c r="BX3198" t="s">
        <v>3856</v>
      </c>
      <c r="BY3198">
        <v>0</v>
      </c>
      <c r="BZ3198" s="21">
        <v>0</v>
      </c>
      <c r="CA3198">
        <v>1</v>
      </c>
      <c r="CB3198" t="b">
        <v>1</v>
      </c>
      <c r="CC3198">
        <v>0</v>
      </c>
      <c r="CD3198" t="b">
        <v>0</v>
      </c>
      <c r="CE3198" t="b">
        <v>1</v>
      </c>
      <c r="CF3198" t="b">
        <v>0</v>
      </c>
      <c r="CG3198" t="s">
        <v>1870</v>
      </c>
      <c r="CH3198" t="s">
        <v>1681</v>
      </c>
      <c r="CI3198" s="10">
        <v>649950</v>
      </c>
    </row>
    <row r="3199" spans="1:90">
      <c r="A3199">
        <v>28057022</v>
      </c>
      <c r="B3199" s="2" t="str">
        <f>HYPERLINK("http://www.redfin.com/stingray/do/printable-listing?listing-id=1611195","Active")</f>
        <v>Active</v>
      </c>
      <c r="D3199" t="s">
        <v>369</v>
      </c>
      <c r="E3199" t="s">
        <v>6741</v>
      </c>
      <c r="F3199">
        <v>929950</v>
      </c>
      <c r="G3199">
        <v>1981</v>
      </c>
      <c r="H3199">
        <v>3120</v>
      </c>
      <c r="I3199">
        <v>10752</v>
      </c>
      <c r="J3199">
        <v>4</v>
      </c>
      <c r="K3199">
        <v>3.5</v>
      </c>
      <c r="M3199" s="2" t="str">
        <f>HYPERLINK("http://maps.live.com/default.aspx?v=2&amp;lvl=15&amp;sp=Point.47.61991_-122.151281_14105 NE 10 Pl&amp;cp=47.61991~-122.151281","Map")</f>
        <v>Map</v>
      </c>
      <c r="N3199" s="2" t="str">
        <f>HYPERLINK("http://i-0.rfimg.us/photo/1/bigphoto/022/28057022_1.jpg","Photo")</f>
        <v>Photo</v>
      </c>
      <c r="AG3199">
        <v>47.619909999999997</v>
      </c>
      <c r="AH3199">
        <v>-122.151281</v>
      </c>
      <c r="AI3199" t="s">
        <v>369</v>
      </c>
      <c r="AJ3199">
        <v>98007</v>
      </c>
      <c r="AN3199">
        <v>470000</v>
      </c>
      <c r="BC3199" s="22">
        <v>39540.818993055553</v>
      </c>
      <c r="BI3199" s="22">
        <v>39549.294907407406</v>
      </c>
      <c r="BL3199">
        <v>18599</v>
      </c>
      <c r="BM3199">
        <v>1611195</v>
      </c>
      <c r="BN3199" t="s">
        <v>1735</v>
      </c>
      <c r="BO3199" s="17">
        <f t="shared" ca="1" si="49"/>
        <v>8.4904128472262528</v>
      </c>
      <c r="BP3199" t="b">
        <v>0</v>
      </c>
      <c r="BQ3199">
        <v>1</v>
      </c>
      <c r="BR3199" t="s">
        <v>1842</v>
      </c>
      <c r="BS3199">
        <v>10</v>
      </c>
      <c r="BT3199" t="b">
        <v>0</v>
      </c>
      <c r="BU3199" t="s">
        <v>1738</v>
      </c>
      <c r="BV3199" t="s">
        <v>1668</v>
      </c>
      <c r="BW3199">
        <v>14105</v>
      </c>
      <c r="BY3199">
        <v>500213</v>
      </c>
      <c r="BZ3199" t="s">
        <v>3047</v>
      </c>
      <c r="CA3199">
        <v>1</v>
      </c>
      <c r="CB3199" t="b">
        <v>1</v>
      </c>
      <c r="CC3199">
        <v>0</v>
      </c>
      <c r="CD3199" t="b">
        <v>0</v>
      </c>
      <c r="CE3199" t="b">
        <v>1</v>
      </c>
      <c r="CF3199" t="b">
        <v>0</v>
      </c>
      <c r="CG3199">
        <v>2597498</v>
      </c>
      <c r="CH3199" t="s">
        <v>1681</v>
      </c>
      <c r="CI3199" s="10">
        <v>929950</v>
      </c>
      <c r="CJ3199" s="7">
        <v>37337</v>
      </c>
    </row>
    <row r="3200" spans="1:90">
      <c r="A3200">
        <v>28057035</v>
      </c>
      <c r="B3200" s="2" t="str">
        <f>HYPERLINK("http://www.redfin.com/stingray/do/printable-listing?listing-id=1612300","Active")</f>
        <v>Active</v>
      </c>
      <c r="D3200" t="s">
        <v>3721</v>
      </c>
      <c r="E3200" t="s">
        <v>6781</v>
      </c>
      <c r="F3200">
        <v>5995000</v>
      </c>
      <c r="G3200">
        <v>1926</v>
      </c>
      <c r="H3200">
        <v>7780</v>
      </c>
      <c r="I3200">
        <v>15460</v>
      </c>
      <c r="J3200">
        <v>6</v>
      </c>
      <c r="K3200">
        <v>6.5</v>
      </c>
      <c r="M3200" s="2" t="str">
        <f>HYPERLINK("http://maps.live.com/default.aspx?v=2&amp;lvl=15&amp;sp=adr.0 Undisclosed nxxx (Unable to map),98112","Map")</f>
        <v>Map</v>
      </c>
      <c r="N3200" s="2" t="str">
        <f>HYPERLINK("http://i-0.rfimg.us/photo/1/bigphoto/035/28057035_0.jpg","Photo")</f>
        <v>Photo</v>
      </c>
      <c r="AI3200" t="s">
        <v>66</v>
      </c>
      <c r="AJ3200">
        <v>98112</v>
      </c>
      <c r="AM3200" t="s">
        <v>4306</v>
      </c>
      <c r="BC3200" s="22">
        <v>39541.317106481481</v>
      </c>
      <c r="BI3200" s="22">
        <v>39549.294907407406</v>
      </c>
      <c r="BL3200">
        <v>119900</v>
      </c>
      <c r="BM3200">
        <v>1612300</v>
      </c>
      <c r="BN3200" t="s">
        <v>2556</v>
      </c>
      <c r="BO3200" s="17">
        <f t="shared" ca="1" si="49"/>
        <v>7.9922994212975027</v>
      </c>
      <c r="BP3200" t="b">
        <v>0</v>
      </c>
      <c r="BQ3200">
        <v>1</v>
      </c>
      <c r="BS3200" t="s">
        <v>1657</v>
      </c>
      <c r="BT3200" t="b">
        <v>0</v>
      </c>
      <c r="BV3200" t="s">
        <v>1668</v>
      </c>
      <c r="BW3200">
        <v>0</v>
      </c>
      <c r="BY3200">
        <v>0</v>
      </c>
      <c r="BZ3200" t="s">
        <v>1701</v>
      </c>
      <c r="CA3200">
        <v>1</v>
      </c>
      <c r="CB3200" t="b">
        <v>1</v>
      </c>
      <c r="CC3200">
        <v>0</v>
      </c>
      <c r="CD3200" t="b">
        <v>0</v>
      </c>
      <c r="CE3200" t="b">
        <v>1</v>
      </c>
      <c r="CF3200" t="b">
        <v>0</v>
      </c>
      <c r="CG3200" t="s">
        <v>1870</v>
      </c>
      <c r="CH3200" t="s">
        <v>1681</v>
      </c>
      <c r="CI3200" s="10">
        <v>5995000</v>
      </c>
    </row>
    <row r="3201" spans="1:90">
      <c r="A3201">
        <v>28057085</v>
      </c>
      <c r="B3201" s="2" t="str">
        <f>HYPERLINK("http://www.redfin.com/stingray/do/printable-listing?listing-id=1614479","Active")</f>
        <v>Active</v>
      </c>
      <c r="D3201" t="s">
        <v>60</v>
      </c>
      <c r="E3201" t="s">
        <v>6763</v>
      </c>
      <c r="F3201">
        <v>550000</v>
      </c>
      <c r="G3201">
        <v>1914</v>
      </c>
      <c r="H3201">
        <v>2341</v>
      </c>
      <c r="I3201">
        <v>3978</v>
      </c>
      <c r="J3201">
        <v>3</v>
      </c>
      <c r="K3201">
        <v>2</v>
      </c>
      <c r="M3201" s="2" t="str">
        <f>HYPERLINK("http://maps.live.com/default.aspx?v=2&amp;lvl=15&amp;sp=Point.47.667763_-122.323976_323 NE 54th St n325&amp;cp=47.667763~-122.323976","Map")</f>
        <v>Map</v>
      </c>
      <c r="N3201" s="2" t="str">
        <f>HYPERLINK("http://i-0.rfimg.us/photo/1/bigphoto/085/28057085_0.jpg","Photo")</f>
        <v>Photo</v>
      </c>
      <c r="AG3201">
        <v>47.667763000000001</v>
      </c>
      <c r="AH3201">
        <v>-122.323976</v>
      </c>
      <c r="AI3201" t="s">
        <v>66</v>
      </c>
      <c r="AJ3201">
        <v>98105</v>
      </c>
      <c r="AM3201" t="s">
        <v>6764</v>
      </c>
      <c r="BC3201" s="22">
        <v>39541.715532407405</v>
      </c>
      <c r="BI3201" s="22">
        <v>39549.294907407406</v>
      </c>
      <c r="BL3201">
        <v>11000</v>
      </c>
      <c r="BM3201">
        <v>1614479</v>
      </c>
      <c r="BN3201" t="s">
        <v>1735</v>
      </c>
      <c r="BO3201" s="17">
        <f t="shared" ca="1" si="49"/>
        <v>7.5938734953742824</v>
      </c>
      <c r="BP3201" t="b">
        <v>0</v>
      </c>
      <c r="BQ3201">
        <v>1</v>
      </c>
      <c r="BR3201" t="s">
        <v>1686</v>
      </c>
      <c r="BS3201" t="s">
        <v>2585</v>
      </c>
      <c r="BT3201" t="b">
        <v>0</v>
      </c>
      <c r="BU3201" t="s">
        <v>1738</v>
      </c>
      <c r="BV3201" t="s">
        <v>1668</v>
      </c>
      <c r="BW3201">
        <v>323</v>
      </c>
      <c r="BY3201">
        <v>12437449</v>
      </c>
      <c r="BZ3201" t="s">
        <v>1741</v>
      </c>
      <c r="CA3201">
        <v>1</v>
      </c>
      <c r="CB3201" t="b">
        <v>1</v>
      </c>
      <c r="CC3201">
        <v>0</v>
      </c>
      <c r="CD3201" t="b">
        <v>0</v>
      </c>
      <c r="CE3201" t="b">
        <v>1</v>
      </c>
      <c r="CF3201" t="b">
        <v>0</v>
      </c>
      <c r="CG3201">
        <v>15641197</v>
      </c>
      <c r="CH3201" t="s">
        <v>1681</v>
      </c>
      <c r="CI3201" s="10">
        <v>550000</v>
      </c>
    </row>
    <row r="3202" spans="1:90">
      <c r="A3202">
        <v>28057105</v>
      </c>
      <c r="B3202" s="2" t="str">
        <f>HYPERLINK("http://www.redfin.com/stingray/do/printable-listing?listing-id=1611136","Active")</f>
        <v>Active</v>
      </c>
      <c r="D3202" t="s">
        <v>109</v>
      </c>
      <c r="E3202" t="s">
        <v>6722</v>
      </c>
      <c r="F3202">
        <v>899000</v>
      </c>
      <c r="G3202">
        <v>1916</v>
      </c>
      <c r="H3202">
        <v>0</v>
      </c>
      <c r="I3202">
        <v>0</v>
      </c>
      <c r="J3202">
        <v>4</v>
      </c>
      <c r="K3202">
        <v>3.5</v>
      </c>
      <c r="M3202" s="2" t="str">
        <f>HYPERLINK("http://maps.live.com/default.aspx?v=2&amp;lvl=15&amp;sp=Point.47.657206_-122.341059_4111 Interlake Ave N&amp;cp=47.657206~-122.341059","Map")</f>
        <v>Map</v>
      </c>
      <c r="N3202" s="2" t="str">
        <f>HYPERLINK("http://i-0.rfimg.us/photo/1/bigphoto/105/28057105_0.jpg","Photo")</f>
        <v>Photo</v>
      </c>
      <c r="AG3202">
        <v>47.657206000000002</v>
      </c>
      <c r="AH3202">
        <v>-122.341059</v>
      </c>
      <c r="AI3202" t="s">
        <v>66</v>
      </c>
      <c r="AJ3202">
        <v>98103</v>
      </c>
      <c r="AN3202">
        <v>317000</v>
      </c>
      <c r="BC3202" s="22">
        <v>39540.786145833335</v>
      </c>
      <c r="BI3202" s="22">
        <v>39549.294907407406</v>
      </c>
      <c r="BL3202">
        <v>17980</v>
      </c>
      <c r="BM3202">
        <v>1611136</v>
      </c>
      <c r="BN3202" t="s">
        <v>1766</v>
      </c>
      <c r="BO3202" s="17">
        <f t="shared" ref="BO3202:BO3265" ca="1" si="50">NOW()-BC3202</f>
        <v>8.523260069443495</v>
      </c>
      <c r="BP3202" t="b">
        <v>0</v>
      </c>
      <c r="BQ3202">
        <v>1</v>
      </c>
      <c r="BR3202" t="s">
        <v>1667</v>
      </c>
      <c r="BS3202" t="s">
        <v>2378</v>
      </c>
      <c r="BT3202" t="b">
        <v>0</v>
      </c>
      <c r="BV3202" t="s">
        <v>1668</v>
      </c>
      <c r="BW3202">
        <v>4111</v>
      </c>
      <c r="BX3202" t="s">
        <v>1712</v>
      </c>
      <c r="BY3202">
        <v>118026</v>
      </c>
      <c r="BZ3202" t="s">
        <v>1743</v>
      </c>
      <c r="CA3202">
        <v>1</v>
      </c>
      <c r="CB3202" t="b">
        <v>1</v>
      </c>
      <c r="CC3202">
        <v>0</v>
      </c>
      <c r="CD3202" t="b">
        <v>0</v>
      </c>
      <c r="CE3202" t="b">
        <v>1</v>
      </c>
      <c r="CF3202" t="b">
        <v>0</v>
      </c>
      <c r="CG3202">
        <v>2822065</v>
      </c>
      <c r="CH3202" t="s">
        <v>1681</v>
      </c>
      <c r="CI3202" s="10">
        <v>899000</v>
      </c>
      <c r="CJ3202" s="7">
        <v>38663</v>
      </c>
    </row>
    <row r="3203" spans="1:90">
      <c r="A3203">
        <v>28057114</v>
      </c>
      <c r="B3203" s="2" t="str">
        <f>HYPERLINK("http://www.redfin.com/stingray/do/printable-listing?listing-id=1616946","Active")</f>
        <v>Active</v>
      </c>
      <c r="D3203" t="s">
        <v>4401</v>
      </c>
      <c r="E3203" t="s">
        <v>6847</v>
      </c>
      <c r="F3203">
        <v>435900</v>
      </c>
      <c r="G3203">
        <v>1968</v>
      </c>
      <c r="H3203">
        <v>1400</v>
      </c>
      <c r="I3203">
        <v>4600</v>
      </c>
      <c r="J3203">
        <v>4</v>
      </c>
      <c r="K3203">
        <v>2</v>
      </c>
      <c r="M3203" s="2" t="str">
        <f>HYPERLINK("http://maps.live.com/default.aspx?v=2&amp;lvl=15&amp;sp=Point.47.721028_-122.180779_12001 NE 134th St&amp;cp=47.721028~-122.180779","Map")</f>
        <v>Map</v>
      </c>
      <c r="N3203" s="2" t="str">
        <f>HYPERLINK("http://i-0.rfimg.us/photo/1/bigphoto/114/28057114_0.jpg","Photo")</f>
        <v>Photo</v>
      </c>
      <c r="AG3203">
        <v>47.721027999999997</v>
      </c>
      <c r="AH3203">
        <v>-122.180779</v>
      </c>
      <c r="AI3203" t="s">
        <v>1058</v>
      </c>
      <c r="AJ3203">
        <v>98034</v>
      </c>
      <c r="AN3203">
        <v>340100</v>
      </c>
      <c r="BC3203" s="22">
        <v>39542.485196759262</v>
      </c>
      <c r="BI3203" s="22">
        <v>39549.294907407406</v>
      </c>
      <c r="BL3203">
        <v>8718</v>
      </c>
      <c r="BM3203">
        <v>1616946</v>
      </c>
      <c r="BN3203" t="s">
        <v>1798</v>
      </c>
      <c r="BO3203" s="17">
        <f t="shared" ca="1" si="50"/>
        <v>6.8242091435167822</v>
      </c>
      <c r="BP3203" t="b">
        <v>0</v>
      </c>
      <c r="BQ3203">
        <v>1</v>
      </c>
      <c r="BR3203" t="s">
        <v>1686</v>
      </c>
      <c r="BS3203" t="s">
        <v>2855</v>
      </c>
      <c r="BT3203" t="b">
        <v>0</v>
      </c>
      <c r="BU3203" t="s">
        <v>1738</v>
      </c>
      <c r="BV3203" t="s">
        <v>1668</v>
      </c>
      <c r="BW3203">
        <v>12001</v>
      </c>
      <c r="BY3203">
        <v>454965</v>
      </c>
      <c r="BZ3203" t="s">
        <v>1762</v>
      </c>
      <c r="CA3203">
        <v>1</v>
      </c>
      <c r="CB3203" t="b">
        <v>1</v>
      </c>
      <c r="CC3203">
        <v>0</v>
      </c>
      <c r="CD3203" t="b">
        <v>0</v>
      </c>
      <c r="CE3203" t="b">
        <v>1</v>
      </c>
      <c r="CF3203" t="b">
        <v>0</v>
      </c>
      <c r="CG3203">
        <v>2377459</v>
      </c>
      <c r="CH3203" t="s">
        <v>1681</v>
      </c>
      <c r="CI3203" s="10">
        <v>435900</v>
      </c>
      <c r="CJ3203" s="7">
        <v>39233</v>
      </c>
    </row>
    <row r="3204" spans="1:90">
      <c r="A3204">
        <v>28057129</v>
      </c>
      <c r="B3204" s="2" t="str">
        <f>HYPERLINK("http://www.redfin.com/stingray/do/printable-listing?listing-id=1624172","Active")</f>
        <v>Active</v>
      </c>
      <c r="D3204" t="s">
        <v>207</v>
      </c>
      <c r="E3204" t="s">
        <v>6952</v>
      </c>
      <c r="F3204">
        <v>485000</v>
      </c>
      <c r="G3204">
        <v>2003</v>
      </c>
      <c r="H3204">
        <v>1440</v>
      </c>
      <c r="I3204">
        <v>1327</v>
      </c>
      <c r="J3204">
        <v>3</v>
      </c>
      <c r="K3204">
        <v>2.5</v>
      </c>
      <c r="M3204" s="2" t="str">
        <f>HYPERLINK("http://maps.live.com/default.aspx?v=2&amp;lvl=15&amp;sp=Point.47.664363_-122.283895_4751 41st Ave NE&amp;cp=47.664363~-122.283895","Map")</f>
        <v>Map</v>
      </c>
      <c r="N3204" s="2" t="str">
        <f>HYPERLINK("http://i-0.rfimg.us/photo/1/bigphoto/129/28057129_1.jpg","Photo")</f>
        <v>Photo</v>
      </c>
      <c r="AG3204">
        <v>47.664363000000002</v>
      </c>
      <c r="AH3204">
        <v>-122.283895</v>
      </c>
      <c r="AI3204" t="s">
        <v>66</v>
      </c>
      <c r="AJ3204">
        <v>98105</v>
      </c>
      <c r="AN3204">
        <v>368000</v>
      </c>
      <c r="BC3204" s="22">
        <v>39545.695069444446</v>
      </c>
      <c r="BI3204" s="22">
        <v>39549.294907407406</v>
      </c>
      <c r="BL3204">
        <v>9700</v>
      </c>
      <c r="BM3204">
        <v>1624172</v>
      </c>
      <c r="BN3204" t="s">
        <v>1768</v>
      </c>
      <c r="BO3204" s="17">
        <f t="shared" ca="1" si="50"/>
        <v>3.6143364583331277</v>
      </c>
      <c r="BP3204" t="b">
        <v>0</v>
      </c>
      <c r="BQ3204">
        <v>1</v>
      </c>
      <c r="BR3204" t="s">
        <v>1667</v>
      </c>
      <c r="BS3204" t="s">
        <v>3222</v>
      </c>
      <c r="BT3204" t="b">
        <v>0</v>
      </c>
      <c r="BV3204" t="s">
        <v>1668</v>
      </c>
      <c r="BW3204">
        <v>4751</v>
      </c>
      <c r="BX3204" t="s">
        <v>1738</v>
      </c>
      <c r="BY3204">
        <v>2097224</v>
      </c>
      <c r="BZ3204" t="s">
        <v>1756</v>
      </c>
      <c r="CA3204">
        <v>1</v>
      </c>
      <c r="CB3204" t="b">
        <v>1</v>
      </c>
      <c r="CC3204">
        <v>0</v>
      </c>
      <c r="CD3204" t="b">
        <v>0</v>
      </c>
      <c r="CE3204" t="b">
        <v>1</v>
      </c>
      <c r="CF3204" t="b">
        <v>0</v>
      </c>
      <c r="CG3204">
        <v>2976414</v>
      </c>
      <c r="CH3204" t="s">
        <v>1681</v>
      </c>
      <c r="CI3204" s="10">
        <v>485000</v>
      </c>
      <c r="CJ3204" s="7">
        <v>38064</v>
      </c>
    </row>
    <row r="3205" spans="1:90">
      <c r="A3205">
        <v>28057146</v>
      </c>
      <c r="B3205" s="2" t="str">
        <f>HYPERLINK("http://www.redfin.com/stingray/do/printable-listing?listing-id=1612617","Active")</f>
        <v>Active</v>
      </c>
      <c r="D3205" t="s">
        <v>4596</v>
      </c>
      <c r="E3205" t="s">
        <v>6783</v>
      </c>
      <c r="F3205">
        <v>999950</v>
      </c>
      <c r="G3205">
        <v>2008</v>
      </c>
      <c r="H3205">
        <v>3015</v>
      </c>
      <c r="I3205">
        <v>6298</v>
      </c>
      <c r="J3205">
        <v>3</v>
      </c>
      <c r="K3205">
        <v>2.5</v>
      </c>
      <c r="M3205" s="2" t="str">
        <f>HYPERLINK("http://maps.live.com/default.aspx?v=2&amp;lvl=15&amp;sp=Point.47.7062_-122.1611_17416 NE 119th Way&amp;cp=47.7062~-122.1611","Map")</f>
        <v>Map</v>
      </c>
      <c r="N3205" s="2" t="str">
        <f>HYPERLINK("http://i-0.rfimg.us/photo/1/bigphoto/146/28057146_0.jpg","Photo")</f>
        <v>Photo</v>
      </c>
      <c r="AG3205">
        <v>47.706200000000003</v>
      </c>
      <c r="AH3205">
        <v>-122.1611</v>
      </c>
      <c r="AI3205" t="s">
        <v>4363</v>
      </c>
      <c r="AJ3205">
        <v>98052</v>
      </c>
      <c r="BC3205" s="22">
        <v>39541.369444444441</v>
      </c>
      <c r="BI3205" s="22">
        <v>39549.294907407406</v>
      </c>
      <c r="BL3205">
        <v>19999</v>
      </c>
      <c r="BM3205">
        <v>1612617</v>
      </c>
      <c r="BN3205" t="s">
        <v>4593</v>
      </c>
      <c r="BO3205" s="17">
        <f t="shared" ca="1" si="50"/>
        <v>7.9399614583380753</v>
      </c>
      <c r="BP3205" t="b">
        <v>0</v>
      </c>
      <c r="BQ3205">
        <v>1</v>
      </c>
      <c r="BR3205" t="s">
        <v>2463</v>
      </c>
      <c r="BS3205" t="s">
        <v>4573</v>
      </c>
      <c r="BT3205" t="b">
        <v>0</v>
      </c>
      <c r="BU3205" t="s">
        <v>1738</v>
      </c>
      <c r="BV3205" t="s">
        <v>1668</v>
      </c>
      <c r="BW3205">
        <v>17416</v>
      </c>
      <c r="BY3205">
        <v>12437218</v>
      </c>
      <c r="BZ3205" t="s">
        <v>1670</v>
      </c>
      <c r="CA3205">
        <v>1</v>
      </c>
      <c r="CB3205" t="b">
        <v>1</v>
      </c>
      <c r="CC3205">
        <v>0</v>
      </c>
      <c r="CD3205" t="b">
        <v>0</v>
      </c>
      <c r="CE3205" t="b">
        <v>0</v>
      </c>
      <c r="CF3205" t="b">
        <v>0</v>
      </c>
      <c r="CG3205">
        <v>15359655</v>
      </c>
      <c r="CH3205" t="s">
        <v>1681</v>
      </c>
      <c r="CI3205" s="10">
        <v>999950</v>
      </c>
    </row>
    <row r="3206" spans="1:90">
      <c r="A3206">
        <v>28057152</v>
      </c>
      <c r="B3206" s="2" t="str">
        <f>HYPERLINK("http://www.redfin.com/stingray/do/printable-listing?listing-id=1618314","Active")</f>
        <v>Active</v>
      </c>
      <c r="D3206" t="s">
        <v>5191</v>
      </c>
      <c r="E3206" t="s">
        <v>6854</v>
      </c>
      <c r="F3206">
        <v>618888</v>
      </c>
      <c r="G3206">
        <v>1989</v>
      </c>
      <c r="H3206">
        <v>1860</v>
      </c>
      <c r="I3206">
        <v>7567</v>
      </c>
      <c r="J3206">
        <v>3</v>
      </c>
      <c r="K3206">
        <v>2.5</v>
      </c>
      <c r="M3206" s="2" t="str">
        <f>HYPERLINK("http://maps.live.com/default.aspx?v=2&amp;lvl=15&amp;sp=Point.47.567143_-122.166865_4351 130th Pl SE&amp;cp=47.567143~-122.166865","Map")</f>
        <v>Map</v>
      </c>
      <c r="N3206" s="2" t="str">
        <f>HYPERLINK("http://i-0.rfimg.us/photo/1/bigphoto/152/28057152_0.jpg","Photo")</f>
        <v>Photo</v>
      </c>
      <c r="AG3206">
        <v>47.567143000000002</v>
      </c>
      <c r="AH3206">
        <v>-122.166865</v>
      </c>
      <c r="AI3206" t="s">
        <v>369</v>
      </c>
      <c r="AJ3206">
        <v>98006</v>
      </c>
      <c r="AN3206">
        <v>410000</v>
      </c>
      <c r="BC3206" s="22">
        <v>39542.676261574074</v>
      </c>
      <c r="BI3206" s="22">
        <v>39549.294907407406</v>
      </c>
      <c r="BL3206">
        <v>12378</v>
      </c>
      <c r="BM3206">
        <v>1618314</v>
      </c>
      <c r="BN3206" t="s">
        <v>3171</v>
      </c>
      <c r="BO3206" s="17">
        <f t="shared" ca="1" si="50"/>
        <v>6.6331443287053844</v>
      </c>
      <c r="BP3206" t="b">
        <v>0</v>
      </c>
      <c r="BQ3206">
        <v>1</v>
      </c>
      <c r="BR3206" t="s">
        <v>1842</v>
      </c>
      <c r="BS3206" t="s">
        <v>2964</v>
      </c>
      <c r="BT3206" t="b">
        <v>0</v>
      </c>
      <c r="BV3206" t="s">
        <v>1668</v>
      </c>
      <c r="BW3206">
        <v>4351</v>
      </c>
      <c r="BX3206" t="s">
        <v>3856</v>
      </c>
      <c r="BY3206">
        <v>238850</v>
      </c>
      <c r="BZ3206" t="s">
        <v>1696</v>
      </c>
      <c r="CA3206">
        <v>1</v>
      </c>
      <c r="CB3206" t="b">
        <v>1</v>
      </c>
      <c r="CC3206">
        <v>0</v>
      </c>
      <c r="CD3206" t="b">
        <v>0</v>
      </c>
      <c r="CE3206" t="b">
        <v>1</v>
      </c>
      <c r="CF3206" t="b">
        <v>0</v>
      </c>
      <c r="CG3206">
        <v>2614272</v>
      </c>
      <c r="CH3206" t="s">
        <v>1681</v>
      </c>
      <c r="CI3206" s="10">
        <v>618888</v>
      </c>
      <c r="CJ3206" s="7">
        <v>38320</v>
      </c>
    </row>
    <row r="3207" spans="1:90">
      <c r="A3207">
        <v>28057155</v>
      </c>
      <c r="B3207" s="2" t="str">
        <f>HYPERLINK("http://www.redfin.com/stingray/do/printable-listing?listing-id=1611336","Active")</f>
        <v>Active</v>
      </c>
      <c r="D3207" t="s">
        <v>3704</v>
      </c>
      <c r="E3207" t="s">
        <v>6779</v>
      </c>
      <c r="F3207">
        <v>1550000</v>
      </c>
      <c r="G3207">
        <v>1906</v>
      </c>
      <c r="H3207">
        <v>4310</v>
      </c>
      <c r="I3207">
        <v>4312</v>
      </c>
      <c r="J3207">
        <v>5</v>
      </c>
      <c r="K3207">
        <v>2.5</v>
      </c>
      <c r="M3207" s="2" t="str">
        <f>HYPERLINK("http://maps.live.com/default.aspx?v=2&amp;lvl=15&amp;sp=Point.47.632083_-122.311604_1249 E 16th Ave&amp;cp=47.632083~-122.311604","Map")</f>
        <v>Map</v>
      </c>
      <c r="N3207" s="2" t="str">
        <f>HYPERLINK("http://i-0.rfimg.us/photo/1/bigphoto/155/28057155_2.jpg","Photo")</f>
        <v>Photo</v>
      </c>
      <c r="AG3207">
        <v>47.632083000000002</v>
      </c>
      <c r="AH3207">
        <v>-122.311604</v>
      </c>
      <c r="AI3207" t="s">
        <v>66</v>
      </c>
      <c r="AJ3207">
        <v>98112</v>
      </c>
      <c r="AN3207">
        <v>510000</v>
      </c>
      <c r="BC3207" s="22">
        <v>39540.890648148146</v>
      </c>
      <c r="BI3207" s="22">
        <v>39549.294907407406</v>
      </c>
      <c r="BL3207">
        <v>31000</v>
      </c>
      <c r="BM3207">
        <v>1611336</v>
      </c>
      <c r="BN3207" t="s">
        <v>2444</v>
      </c>
      <c r="BO3207" s="17">
        <f t="shared" ca="1" si="50"/>
        <v>8.4187577546326793</v>
      </c>
      <c r="BP3207" t="b">
        <v>0</v>
      </c>
      <c r="BQ3207">
        <v>1</v>
      </c>
      <c r="BR3207" t="s">
        <v>1667</v>
      </c>
      <c r="BS3207" t="s">
        <v>1695</v>
      </c>
      <c r="BT3207" t="b">
        <v>0</v>
      </c>
      <c r="BU3207" t="s">
        <v>2436</v>
      </c>
      <c r="BV3207" t="s">
        <v>1668</v>
      </c>
      <c r="BW3207">
        <v>1249</v>
      </c>
      <c r="BY3207">
        <v>135890</v>
      </c>
      <c r="BZ3207" t="s">
        <v>6780</v>
      </c>
      <c r="CA3207">
        <v>1</v>
      </c>
      <c r="CB3207" t="b">
        <v>1</v>
      </c>
      <c r="CC3207">
        <v>0</v>
      </c>
      <c r="CD3207" t="b">
        <v>0</v>
      </c>
      <c r="CE3207" t="b">
        <v>1</v>
      </c>
      <c r="CF3207" t="b">
        <v>0</v>
      </c>
      <c r="CG3207">
        <v>2479589</v>
      </c>
      <c r="CH3207" t="s">
        <v>1681</v>
      </c>
      <c r="CI3207" s="10">
        <v>1550000</v>
      </c>
      <c r="CJ3207" s="7">
        <v>35626</v>
      </c>
      <c r="CL3207" t="s">
        <v>6778</v>
      </c>
    </row>
    <row r="3208" spans="1:90">
      <c r="A3208">
        <v>28057159</v>
      </c>
      <c r="B3208" s="2" t="str">
        <f>HYPERLINK("http://www.redfin.com/stingray/do/printable-listing?listing-id=1616749","Active")</f>
        <v>Active</v>
      </c>
      <c r="D3208" t="s">
        <v>4611</v>
      </c>
      <c r="E3208" t="s">
        <v>6852</v>
      </c>
      <c r="F3208">
        <v>696000</v>
      </c>
      <c r="G3208">
        <v>1977</v>
      </c>
      <c r="H3208">
        <v>2632</v>
      </c>
      <c r="I3208">
        <v>8360</v>
      </c>
      <c r="J3208">
        <v>5</v>
      </c>
      <c r="K3208">
        <v>2.75</v>
      </c>
      <c r="M3208" s="2" t="str">
        <f>HYPERLINK("http://maps.live.com/default.aspx?v=2&amp;lvl=15&amp;sp=Point.47.662739_-122.138236_6219 152nd Ave NE&amp;cp=47.662739~-122.138236","Map")</f>
        <v>Map</v>
      </c>
      <c r="N3208" s="2" t="str">
        <f>HYPERLINK("http://i-0.rfimg.us/photo/1/bigphoto/159/28057159_0.jpg","Photo")</f>
        <v>Photo</v>
      </c>
      <c r="AG3208">
        <v>47.662739000000002</v>
      </c>
      <c r="AH3208">
        <v>-122.13823600000001</v>
      </c>
      <c r="AI3208" t="s">
        <v>4363</v>
      </c>
      <c r="AJ3208">
        <v>98052</v>
      </c>
      <c r="AN3208">
        <v>255000</v>
      </c>
      <c r="BC3208" s="22">
        <v>39542.454108796293</v>
      </c>
      <c r="BI3208" s="22">
        <v>39549.294907407406</v>
      </c>
      <c r="BL3208">
        <v>13920</v>
      </c>
      <c r="BM3208">
        <v>1616749</v>
      </c>
      <c r="BN3208" t="s">
        <v>3171</v>
      </c>
      <c r="BO3208" s="17">
        <f t="shared" ca="1" si="50"/>
        <v>6.8552971064855228</v>
      </c>
      <c r="BP3208" t="b">
        <v>0</v>
      </c>
      <c r="BQ3208">
        <v>1</v>
      </c>
      <c r="BR3208" t="s">
        <v>1667</v>
      </c>
      <c r="BS3208" t="s">
        <v>4752</v>
      </c>
      <c r="BT3208" t="b">
        <v>0</v>
      </c>
      <c r="BV3208" t="s">
        <v>1668</v>
      </c>
      <c r="BW3208">
        <v>6219</v>
      </c>
      <c r="BX3208" t="s">
        <v>1738</v>
      </c>
      <c r="BY3208">
        <v>517449</v>
      </c>
      <c r="BZ3208" t="s">
        <v>1743</v>
      </c>
      <c r="CA3208">
        <v>1</v>
      </c>
      <c r="CB3208" t="b">
        <v>1</v>
      </c>
      <c r="CC3208">
        <v>0</v>
      </c>
      <c r="CD3208" t="b">
        <v>0</v>
      </c>
      <c r="CE3208" t="b">
        <v>1</v>
      </c>
      <c r="CF3208" t="b">
        <v>0</v>
      </c>
      <c r="CG3208">
        <v>2834249</v>
      </c>
      <c r="CH3208" t="s">
        <v>1681</v>
      </c>
      <c r="CI3208" s="10">
        <v>696000</v>
      </c>
      <c r="CJ3208" s="7">
        <v>36166</v>
      </c>
    </row>
    <row r="3209" spans="1:90">
      <c r="A3209">
        <v>28057257</v>
      </c>
      <c r="B3209" s="2" t="str">
        <f>HYPERLINK("http://www.redfin.com/stingray/do/printable-listing?listing-id=1613549","Active")</f>
        <v>Active</v>
      </c>
      <c r="D3209" t="s">
        <v>78</v>
      </c>
      <c r="E3209" t="s">
        <v>2330</v>
      </c>
      <c r="F3209">
        <v>685000</v>
      </c>
      <c r="G3209">
        <v>1912</v>
      </c>
      <c r="H3209">
        <v>2200</v>
      </c>
      <c r="I3209">
        <v>5000</v>
      </c>
      <c r="J3209">
        <v>4</v>
      </c>
      <c r="K3209">
        <v>3</v>
      </c>
      <c r="M3209" s="2" t="str">
        <f>HYPERLINK("http://maps.live.com/default.aspx?v=2&amp;lvl=15&amp;sp=Point.47.689009_-122.394004_8310 29th Ave NW&amp;cp=47.689009~-122.394004","Map")</f>
        <v>Map</v>
      </c>
      <c r="N3209" s="2" t="str">
        <f>HYPERLINK("http://i-0.rfimg.us/photo/1/bigphoto/257/28057257_0.jpg","Photo")</f>
        <v>Photo</v>
      </c>
      <c r="AG3209">
        <v>47.689008999999999</v>
      </c>
      <c r="AH3209">
        <v>-122.394004</v>
      </c>
      <c r="AI3209" t="s">
        <v>66</v>
      </c>
      <c r="AJ3209">
        <v>98117</v>
      </c>
      <c r="AN3209">
        <v>510000</v>
      </c>
      <c r="BC3209" s="22">
        <v>39541.558912037035</v>
      </c>
      <c r="BI3209" s="7">
        <v>39543</v>
      </c>
      <c r="BL3209">
        <v>13700</v>
      </c>
      <c r="BM3209">
        <v>1613549</v>
      </c>
      <c r="BN3209" t="s">
        <v>2203</v>
      </c>
      <c r="BO3209" s="17">
        <f t="shared" ca="1" si="50"/>
        <v>7.7504938657439197</v>
      </c>
      <c r="BP3209" t="b">
        <v>0</v>
      </c>
      <c r="BQ3209">
        <v>1</v>
      </c>
      <c r="BR3209" t="s">
        <v>1667</v>
      </c>
      <c r="BS3209" t="s">
        <v>1772</v>
      </c>
      <c r="BT3209" t="b">
        <v>0</v>
      </c>
      <c r="BV3209" t="s">
        <v>1668</v>
      </c>
      <c r="BW3209">
        <v>8310</v>
      </c>
      <c r="BX3209" t="s">
        <v>1669</v>
      </c>
      <c r="BY3209">
        <v>165336</v>
      </c>
      <c r="BZ3209" t="s">
        <v>2331</v>
      </c>
      <c r="CA3209">
        <v>1</v>
      </c>
      <c r="CB3209" t="b">
        <v>1</v>
      </c>
      <c r="CC3209">
        <v>0</v>
      </c>
      <c r="CD3209" t="b">
        <v>0</v>
      </c>
      <c r="CE3209" t="b">
        <v>1</v>
      </c>
      <c r="CF3209" t="b">
        <v>0</v>
      </c>
      <c r="CG3209">
        <v>2533859</v>
      </c>
      <c r="CH3209" t="s">
        <v>1681</v>
      </c>
      <c r="CI3209" s="10">
        <v>685000</v>
      </c>
      <c r="CJ3209" s="7">
        <v>37910</v>
      </c>
    </row>
    <row r="3210" spans="1:90">
      <c r="A3210">
        <v>28057269</v>
      </c>
      <c r="B3210" s="2" t="str">
        <f>HYPERLINK("http://www.redfin.com/stingray/do/printable-listing?listing-id=1612413","Active")</f>
        <v>Active</v>
      </c>
      <c r="D3210" t="s">
        <v>99</v>
      </c>
      <c r="E3210" t="s">
        <v>2332</v>
      </c>
      <c r="F3210">
        <v>480000</v>
      </c>
      <c r="G3210">
        <v>1962</v>
      </c>
      <c r="H3210">
        <v>1440</v>
      </c>
      <c r="I3210">
        <v>7725</v>
      </c>
      <c r="J3210">
        <v>2</v>
      </c>
      <c r="K3210">
        <v>1.75</v>
      </c>
      <c r="M3210" s="2" t="str">
        <f>HYPERLINK("http://maps.live.com/default.aspx?v=2&amp;lvl=15&amp;sp=Point.47.692275_-122.369663_1004 NW 87 St&amp;cp=47.692275~-122.369663","Map")</f>
        <v>Map</v>
      </c>
      <c r="N3210" s="2" t="str">
        <f>HYPERLINK("http://i-0.rfimg.us/photo/1/bigphoto/269/28057269_3.jpg","Photo")</f>
        <v>Photo</v>
      </c>
      <c r="AG3210">
        <v>47.692275000000002</v>
      </c>
      <c r="AH3210">
        <v>-122.369663</v>
      </c>
      <c r="AI3210" t="s">
        <v>66</v>
      </c>
      <c r="AJ3210">
        <v>98117</v>
      </c>
      <c r="AN3210">
        <v>397400</v>
      </c>
      <c r="BC3210" s="22">
        <v>39541.348634259259</v>
      </c>
      <c r="BI3210" s="22">
        <v>39549.294907407406</v>
      </c>
      <c r="BL3210">
        <v>9600</v>
      </c>
      <c r="BM3210">
        <v>1612413</v>
      </c>
      <c r="BN3210" t="s">
        <v>1737</v>
      </c>
      <c r="BO3210" s="17">
        <f t="shared" ca="1" si="50"/>
        <v>7.9607716435202747</v>
      </c>
      <c r="BP3210" t="b">
        <v>0</v>
      </c>
      <c r="BQ3210">
        <v>1</v>
      </c>
      <c r="BR3210" t="s">
        <v>1686</v>
      </c>
      <c r="BS3210">
        <v>87</v>
      </c>
      <c r="BT3210" t="b">
        <v>0</v>
      </c>
      <c r="BU3210" t="s">
        <v>1669</v>
      </c>
      <c r="BV3210" t="s">
        <v>1668</v>
      </c>
      <c r="BW3210">
        <v>1004</v>
      </c>
      <c r="BY3210">
        <v>100369</v>
      </c>
      <c r="BZ3210" t="s">
        <v>2333</v>
      </c>
      <c r="CA3210">
        <v>1</v>
      </c>
      <c r="CB3210" t="b">
        <v>1</v>
      </c>
      <c r="CC3210">
        <v>0</v>
      </c>
      <c r="CD3210" t="b">
        <v>0</v>
      </c>
      <c r="CE3210" t="b">
        <v>1</v>
      </c>
      <c r="CF3210" t="b">
        <v>0</v>
      </c>
      <c r="CG3210">
        <v>2751595</v>
      </c>
      <c r="CH3210" t="s">
        <v>1681</v>
      </c>
      <c r="CI3210" s="10">
        <v>480000</v>
      </c>
      <c r="CJ3210" s="7">
        <v>38616</v>
      </c>
      <c r="CL3210" s="19" t="s">
        <v>2325</v>
      </c>
    </row>
    <row r="3211" spans="1:90">
      <c r="A3211">
        <v>28057279</v>
      </c>
      <c r="B3211" s="2" t="str">
        <f>HYPERLINK("http://www.redfin.com/stingray/do/printable-listing?listing-id=1612412","Active")</f>
        <v>Active</v>
      </c>
      <c r="D3211" t="s">
        <v>3249</v>
      </c>
      <c r="E3211" t="s">
        <v>3311</v>
      </c>
      <c r="F3211">
        <v>1159000</v>
      </c>
      <c r="G3211">
        <v>1916</v>
      </c>
      <c r="H3211">
        <v>0</v>
      </c>
      <c r="I3211">
        <v>0</v>
      </c>
      <c r="J3211">
        <v>4</v>
      </c>
      <c r="K3211">
        <v>2.25</v>
      </c>
      <c r="M3211" s="2" t="str">
        <f>HYPERLINK("http://maps.live.com/default.aspx?v=2&amp;lvl=15&amp;sp=Point.47.637574_-122.350527_2100 Nob Hill Ave N&amp;cp=47.637574~-122.350527","Map")</f>
        <v>Map</v>
      </c>
      <c r="N3211" s="2" t="str">
        <f>HYPERLINK("http://i-0.rfimg.us/photo/1/bigphoto/279/28057279_0.jpg","Photo")</f>
        <v>Photo</v>
      </c>
      <c r="AG3211">
        <v>47.637574000000001</v>
      </c>
      <c r="AH3211">
        <v>-122.350527</v>
      </c>
      <c r="AI3211" t="s">
        <v>66</v>
      </c>
      <c r="AJ3211">
        <v>98109</v>
      </c>
      <c r="AN3211">
        <v>725000</v>
      </c>
      <c r="BC3211" s="22">
        <v>39541.348622685182</v>
      </c>
      <c r="BI3211" s="22">
        <v>39549.294907407406</v>
      </c>
      <c r="BL3211">
        <v>23180</v>
      </c>
      <c r="BM3211">
        <v>1612412</v>
      </c>
      <c r="BN3211" t="s">
        <v>1685</v>
      </c>
      <c r="BO3211" s="17">
        <f t="shared" ca="1" si="50"/>
        <v>7.9607832175970543</v>
      </c>
      <c r="BP3211" t="b">
        <v>0</v>
      </c>
      <c r="BQ3211">
        <v>1</v>
      </c>
      <c r="BR3211" t="s">
        <v>1667</v>
      </c>
      <c r="BS3211" t="s">
        <v>3251</v>
      </c>
      <c r="BT3211" t="b">
        <v>0</v>
      </c>
      <c r="BV3211" t="s">
        <v>1668</v>
      </c>
      <c r="BW3211">
        <v>2100</v>
      </c>
      <c r="BX3211" t="s">
        <v>1712</v>
      </c>
      <c r="BY3211">
        <v>135034</v>
      </c>
      <c r="BZ3211" t="s">
        <v>1672</v>
      </c>
      <c r="CA3211">
        <v>1</v>
      </c>
      <c r="CB3211" t="b">
        <v>1</v>
      </c>
      <c r="CC3211">
        <v>0</v>
      </c>
      <c r="CD3211" t="b">
        <v>0</v>
      </c>
      <c r="CE3211" t="b">
        <v>1</v>
      </c>
      <c r="CF3211" t="b">
        <v>0</v>
      </c>
      <c r="CG3211">
        <v>2721551</v>
      </c>
      <c r="CH3211" t="s">
        <v>1681</v>
      </c>
      <c r="CI3211" s="10">
        <v>1159000</v>
      </c>
      <c r="CJ3211" s="7">
        <v>38509</v>
      </c>
    </row>
    <row r="3212" spans="1:90">
      <c r="A3212">
        <v>28057334</v>
      </c>
      <c r="B3212" s="2" t="str">
        <f>HYPERLINK("http://www.redfin.com/stingray/do/printable-listing?listing-id=1613656","Active")</f>
        <v>Active</v>
      </c>
      <c r="D3212" t="s">
        <v>2850</v>
      </c>
      <c r="E3212" t="s">
        <v>6786</v>
      </c>
      <c r="F3212">
        <v>372000</v>
      </c>
      <c r="G3212">
        <v>1962</v>
      </c>
      <c r="H3212">
        <v>0</v>
      </c>
      <c r="I3212">
        <v>9545</v>
      </c>
      <c r="J3212">
        <v>3</v>
      </c>
      <c r="K3212">
        <v>1</v>
      </c>
      <c r="M3212" s="2" t="str">
        <f>HYPERLINK("http://maps.live.com/default.aspx?v=2&amp;lvl=15&amp;sp=Point.47.718028_-122.193174_13100 111 Ave NE&amp;cp=47.718028~-122.193174","Map")</f>
        <v>Map</v>
      </c>
      <c r="N3212" s="2" t="str">
        <f>HYPERLINK("http://i-0.rfimg.us/photo/1/bigphoto/334/28057334_1.jpg","Photo")</f>
        <v>Photo</v>
      </c>
      <c r="AG3212">
        <v>47.718027999999997</v>
      </c>
      <c r="AH3212">
        <v>-122.193174</v>
      </c>
      <c r="AI3212" t="s">
        <v>1058</v>
      </c>
      <c r="AJ3212">
        <v>98034</v>
      </c>
      <c r="AN3212">
        <v>340080</v>
      </c>
      <c r="BC3212" s="22">
        <v>39541.579456018517</v>
      </c>
      <c r="BI3212" s="22">
        <v>39549.294907407406</v>
      </c>
      <c r="BL3212">
        <v>7440</v>
      </c>
      <c r="BM3212">
        <v>1613656</v>
      </c>
      <c r="BN3212" t="s">
        <v>1737</v>
      </c>
      <c r="BO3212" s="17">
        <f t="shared" ca="1" si="50"/>
        <v>7.7299498842621688</v>
      </c>
      <c r="BP3212" t="b">
        <v>0</v>
      </c>
      <c r="BQ3212">
        <v>1</v>
      </c>
      <c r="BR3212" t="s">
        <v>1667</v>
      </c>
      <c r="BS3212">
        <v>111</v>
      </c>
      <c r="BT3212" t="b">
        <v>0</v>
      </c>
      <c r="BV3212" t="s">
        <v>1668</v>
      </c>
      <c r="BW3212">
        <v>13100</v>
      </c>
      <c r="BX3212" t="s">
        <v>1738</v>
      </c>
      <c r="BY3212">
        <v>458393</v>
      </c>
      <c r="BZ3212" t="s">
        <v>1689</v>
      </c>
      <c r="CA3212">
        <v>1</v>
      </c>
      <c r="CB3212" t="b">
        <v>1</v>
      </c>
      <c r="CC3212">
        <v>0</v>
      </c>
      <c r="CD3212" t="b">
        <v>0</v>
      </c>
      <c r="CE3212" t="b">
        <v>1</v>
      </c>
      <c r="CF3212" t="b">
        <v>0</v>
      </c>
      <c r="CG3212">
        <v>2808375</v>
      </c>
      <c r="CH3212" t="s">
        <v>1681</v>
      </c>
      <c r="CI3212" s="10">
        <v>372000</v>
      </c>
      <c r="CJ3212" s="7">
        <v>38849</v>
      </c>
    </row>
    <row r="3213" spans="1:90">
      <c r="A3213">
        <v>28057341</v>
      </c>
      <c r="B3213" s="2" t="str">
        <f>HYPERLINK("http://www.redfin.com/stingray/do/printable-listing?listing-id=1626000","Active")</f>
        <v>Active</v>
      </c>
      <c r="D3213" t="s">
        <v>2745</v>
      </c>
      <c r="E3213" t="s">
        <v>7007</v>
      </c>
      <c r="F3213">
        <v>1095000</v>
      </c>
      <c r="G3213">
        <v>1953</v>
      </c>
      <c r="H3213">
        <v>3950</v>
      </c>
      <c r="I3213">
        <v>8880</v>
      </c>
      <c r="J3213">
        <v>4</v>
      </c>
      <c r="K3213">
        <v>2.75</v>
      </c>
      <c r="M3213" s="2" t="str">
        <f>HYPERLINK("http://maps.live.com/default.aspx?v=2&amp;lvl=15&amp;sp=Point.47.701852_-122.385606_2304 NW 100th St&amp;cp=47.701852~-122.385606","Map")</f>
        <v>Map</v>
      </c>
      <c r="N3213" s="2" t="str">
        <f>HYPERLINK("http://i-0.rfimg.us/photo/1/bigphoto/341/28057341_.jpg","Photo")</f>
        <v>Photo</v>
      </c>
      <c r="AG3213">
        <v>47.701852000000002</v>
      </c>
      <c r="AH3213">
        <v>-122.385606</v>
      </c>
      <c r="AI3213" t="s">
        <v>66</v>
      </c>
      <c r="AJ3213">
        <v>98177</v>
      </c>
      <c r="BC3213" s="22">
        <v>39546.42291666667</v>
      </c>
      <c r="BI3213" s="22">
        <v>39549.294907407406</v>
      </c>
      <c r="BL3213">
        <v>21900</v>
      </c>
      <c r="BM3213">
        <v>1626000</v>
      </c>
      <c r="BN3213" t="s">
        <v>1710</v>
      </c>
      <c r="BO3213" s="17">
        <f t="shared" ca="1" si="50"/>
        <v>2.8864892361089005</v>
      </c>
      <c r="BP3213" t="b">
        <v>0</v>
      </c>
      <c r="BQ3213">
        <v>1</v>
      </c>
      <c r="BR3213" t="s">
        <v>1686</v>
      </c>
      <c r="BS3213" t="s">
        <v>2806</v>
      </c>
      <c r="BT3213" t="b">
        <v>0</v>
      </c>
      <c r="BU3213" t="s">
        <v>1669</v>
      </c>
      <c r="BV3213" t="s">
        <v>1668</v>
      </c>
      <c r="BW3213">
        <v>2304</v>
      </c>
      <c r="BY3213">
        <v>288660</v>
      </c>
      <c r="BZ3213" t="s">
        <v>1704</v>
      </c>
      <c r="CA3213">
        <v>1</v>
      </c>
      <c r="CB3213" t="b">
        <v>1</v>
      </c>
      <c r="CC3213">
        <v>0</v>
      </c>
      <c r="CD3213" t="b">
        <v>0</v>
      </c>
      <c r="CE3213" t="b">
        <v>1</v>
      </c>
      <c r="CF3213" t="b">
        <v>0</v>
      </c>
      <c r="CG3213">
        <v>2350910</v>
      </c>
      <c r="CH3213" t="s">
        <v>1681</v>
      </c>
      <c r="CI3213" s="10">
        <v>1095000</v>
      </c>
    </row>
    <row r="3214" spans="1:90">
      <c r="A3214">
        <v>28057344</v>
      </c>
      <c r="B3214" s="2" t="str">
        <f>HYPERLINK("http://www.redfin.com/stingray/do/printable-listing?listing-id=1613309","Active")</f>
        <v>Active</v>
      </c>
      <c r="D3214" t="s">
        <v>3681</v>
      </c>
      <c r="E3214" t="s">
        <v>6776</v>
      </c>
      <c r="F3214">
        <v>844900</v>
      </c>
      <c r="G3214">
        <v>1927</v>
      </c>
      <c r="H3214">
        <v>2170</v>
      </c>
      <c r="I3214">
        <v>4000</v>
      </c>
      <c r="J3214">
        <v>4</v>
      </c>
      <c r="K3214">
        <v>2.5</v>
      </c>
      <c r="M3214" s="2" t="str">
        <f>HYPERLINK("http://maps.live.com/default.aspx?v=2&amp;lvl=15&amp;sp=Point.47.640517_-122.309929_1616 E McGraw St&amp;cp=47.640517~-122.309929","Map")</f>
        <v>Map</v>
      </c>
      <c r="N3214" s="2" t="str">
        <f>HYPERLINK("http://i-0.rfimg.us/photo/1/bigphoto/344/28057344_1.jpg","Photo")</f>
        <v>Photo</v>
      </c>
      <c r="AG3214">
        <v>47.640517000000003</v>
      </c>
      <c r="AH3214">
        <v>-122.309929</v>
      </c>
      <c r="AI3214" t="s">
        <v>66</v>
      </c>
      <c r="AJ3214">
        <v>98112</v>
      </c>
      <c r="AN3214">
        <v>610000</v>
      </c>
      <c r="BC3214" s="22">
        <v>39541.517002314817</v>
      </c>
      <c r="BI3214" s="22">
        <v>39549.294907407406</v>
      </c>
      <c r="BL3214">
        <v>16898</v>
      </c>
      <c r="BM3214">
        <v>1613309</v>
      </c>
      <c r="BN3214" t="s">
        <v>1812</v>
      </c>
      <c r="BO3214" s="17">
        <f t="shared" ca="1" si="50"/>
        <v>7.7924035879623261</v>
      </c>
      <c r="BP3214" t="b">
        <v>0</v>
      </c>
      <c r="BQ3214">
        <v>1</v>
      </c>
      <c r="BR3214" t="s">
        <v>1686</v>
      </c>
      <c r="BS3214" t="s">
        <v>3593</v>
      </c>
      <c r="BT3214" t="b">
        <v>0</v>
      </c>
      <c r="BU3214" t="s">
        <v>2436</v>
      </c>
      <c r="BV3214" t="s">
        <v>1668</v>
      </c>
      <c r="BW3214">
        <v>1616</v>
      </c>
      <c r="BY3214">
        <v>138184</v>
      </c>
      <c r="BZ3214" t="s">
        <v>6777</v>
      </c>
      <c r="CA3214">
        <v>1</v>
      </c>
      <c r="CB3214" t="b">
        <v>1</v>
      </c>
      <c r="CC3214">
        <v>0</v>
      </c>
      <c r="CD3214" t="b">
        <v>0</v>
      </c>
      <c r="CE3214" t="b">
        <v>1</v>
      </c>
      <c r="CF3214" t="b">
        <v>0</v>
      </c>
      <c r="CG3214">
        <v>2444076</v>
      </c>
      <c r="CH3214" t="s">
        <v>1681</v>
      </c>
      <c r="CI3214" s="10">
        <v>844900</v>
      </c>
      <c r="CJ3214" s="7">
        <v>37743</v>
      </c>
      <c r="CL3214" t="s">
        <v>2325</v>
      </c>
    </row>
    <row r="3215" spans="1:90">
      <c r="A3215">
        <v>28057383</v>
      </c>
      <c r="B3215" s="2" t="str">
        <f>HYPERLINK("http://www.redfin.com/stingray/do/printable-listing?listing-id=1612947","Active")</f>
        <v>Active</v>
      </c>
      <c r="D3215" t="s">
        <v>5926</v>
      </c>
      <c r="E3215" t="s">
        <v>6809</v>
      </c>
      <c r="F3215">
        <v>509950</v>
      </c>
      <c r="G3215">
        <v>1998</v>
      </c>
      <c r="H3215">
        <v>2660</v>
      </c>
      <c r="I3215">
        <v>15944</v>
      </c>
      <c r="J3215">
        <v>3</v>
      </c>
      <c r="K3215">
        <v>2.5</v>
      </c>
      <c r="M3215" s="2" t="str">
        <f>HYPERLINK("http://maps.live.com/default.aspx?v=2&amp;lvl=15&amp;sp=Point.47.516213_-122.199973_2707 Meadow Pl N&amp;cp=47.516213~-122.199973","Map")</f>
        <v>Map</v>
      </c>
      <c r="N3215" s="2" t="str">
        <f>HYPERLINK("http://i-0.rfimg.us/photo/1/bigphoto/383/28057383_1.jpg","Photo")</f>
        <v>Photo</v>
      </c>
      <c r="AG3215">
        <v>47.516213</v>
      </c>
      <c r="AH3215">
        <v>-122.199973</v>
      </c>
      <c r="AI3215" t="s">
        <v>1077</v>
      </c>
      <c r="AJ3215">
        <v>98056</v>
      </c>
      <c r="BC3215" s="22">
        <v>39541.444537037038</v>
      </c>
      <c r="BI3215" s="22">
        <v>39549.294907407406</v>
      </c>
      <c r="BL3215">
        <v>10199</v>
      </c>
      <c r="BM3215">
        <v>1612947</v>
      </c>
      <c r="BN3215" t="s">
        <v>4966</v>
      </c>
      <c r="BO3215" s="17">
        <f t="shared" ca="1" si="50"/>
        <v>7.8648688657413004</v>
      </c>
      <c r="BP3215" t="b">
        <v>0</v>
      </c>
      <c r="BQ3215">
        <v>1</v>
      </c>
      <c r="BR3215" t="s">
        <v>1842</v>
      </c>
      <c r="BS3215" t="s">
        <v>5774</v>
      </c>
      <c r="BT3215" t="b">
        <v>0</v>
      </c>
      <c r="BV3215" t="s">
        <v>1668</v>
      </c>
      <c r="BW3215">
        <v>2707</v>
      </c>
      <c r="BX3215" t="s">
        <v>1712</v>
      </c>
      <c r="BY3215">
        <v>12088245</v>
      </c>
      <c r="BZ3215" t="s">
        <v>2152</v>
      </c>
      <c r="CA3215">
        <v>1</v>
      </c>
      <c r="CB3215" t="b">
        <v>1</v>
      </c>
      <c r="CC3215">
        <v>0</v>
      </c>
      <c r="CD3215" t="b">
        <v>0</v>
      </c>
      <c r="CE3215" t="b">
        <v>1</v>
      </c>
      <c r="CF3215" t="b">
        <v>0</v>
      </c>
      <c r="CG3215">
        <v>15342316</v>
      </c>
      <c r="CH3215" t="s">
        <v>1681</v>
      </c>
      <c r="CI3215" s="10">
        <v>509950</v>
      </c>
    </row>
    <row r="3216" spans="1:90">
      <c r="A3216">
        <v>28057407</v>
      </c>
      <c r="B3216" s="2" t="str">
        <f>HYPERLINK("http://www.redfin.com/stingray/do/printable-listing?listing-id=1612843","Active")</f>
        <v>Active</v>
      </c>
      <c r="D3216" t="s">
        <v>919</v>
      </c>
      <c r="E3216" t="s">
        <v>6769</v>
      </c>
      <c r="F3216">
        <v>625000</v>
      </c>
      <c r="G3216">
        <v>1984</v>
      </c>
      <c r="H3216">
        <v>2330</v>
      </c>
      <c r="I3216">
        <v>7800</v>
      </c>
      <c r="J3216">
        <v>6</v>
      </c>
      <c r="K3216">
        <v>3</v>
      </c>
      <c r="M3216" s="2" t="str">
        <f>HYPERLINK("http://maps.live.com/default.aspx?v=2&amp;lvl=15&amp;sp=Point.47.711021_-122.333789_11318 Meridian Ave N&amp;cp=47.711021~-122.333789","Map")</f>
        <v>Map</v>
      </c>
      <c r="N3216" s="2" t="str">
        <f>HYPERLINK("http://i-0.rfimg.us/photo/1/bigphoto/407/28057407_.jpg","Photo")</f>
        <v>Photo</v>
      </c>
      <c r="AG3216">
        <v>47.711021000000002</v>
      </c>
      <c r="AH3216">
        <v>-122.333789</v>
      </c>
      <c r="AI3216" t="s">
        <v>66</v>
      </c>
      <c r="AJ3216">
        <v>98133</v>
      </c>
      <c r="AN3216">
        <v>167500</v>
      </c>
      <c r="BC3216" s="22">
        <v>39541.423009259262</v>
      </c>
      <c r="BI3216" s="22">
        <v>39549.294907407406</v>
      </c>
      <c r="BL3216">
        <v>12500</v>
      </c>
      <c r="BM3216">
        <v>1612843</v>
      </c>
      <c r="BN3216" t="s">
        <v>2494</v>
      </c>
      <c r="BO3216" s="17">
        <f t="shared" ca="1" si="50"/>
        <v>7.8863966435164912</v>
      </c>
      <c r="BP3216" t="b">
        <v>0</v>
      </c>
      <c r="BQ3216">
        <v>1</v>
      </c>
      <c r="BR3216" t="s">
        <v>1667</v>
      </c>
      <c r="BS3216" t="s">
        <v>2413</v>
      </c>
      <c r="BT3216" t="b">
        <v>0</v>
      </c>
      <c r="BV3216" t="s">
        <v>1668</v>
      </c>
      <c r="BW3216">
        <v>11318</v>
      </c>
      <c r="BX3216" t="s">
        <v>1712</v>
      </c>
      <c r="BY3216">
        <v>103408</v>
      </c>
      <c r="BZ3216" t="s">
        <v>4755</v>
      </c>
      <c r="CA3216">
        <v>1</v>
      </c>
      <c r="CB3216" t="b">
        <v>1</v>
      </c>
      <c r="CC3216">
        <v>0</v>
      </c>
      <c r="CD3216" t="b">
        <v>0</v>
      </c>
      <c r="CE3216" t="b">
        <v>1</v>
      </c>
      <c r="CF3216" t="b">
        <v>0</v>
      </c>
      <c r="CG3216">
        <v>2923317</v>
      </c>
      <c r="CH3216" t="s">
        <v>1681</v>
      </c>
      <c r="CI3216" s="10">
        <v>625000</v>
      </c>
      <c r="CJ3216" s="7">
        <v>34467</v>
      </c>
    </row>
    <row r="3217" spans="1:90">
      <c r="A3217">
        <v>28057439</v>
      </c>
      <c r="B3217" s="2" t="str">
        <f>HYPERLINK("http://www.redfin.com/stingray/do/printable-listing?listing-id=1623786","Active")</f>
        <v>Active</v>
      </c>
      <c r="D3217" t="s">
        <v>5139</v>
      </c>
      <c r="E3217" t="s">
        <v>6983</v>
      </c>
      <c r="F3217">
        <v>924950</v>
      </c>
      <c r="G3217">
        <v>1956</v>
      </c>
      <c r="H3217">
        <v>2920</v>
      </c>
      <c r="I3217">
        <v>9010</v>
      </c>
      <c r="J3217">
        <v>5</v>
      </c>
      <c r="K3217">
        <v>3</v>
      </c>
      <c r="M3217" s="2" t="str">
        <f>HYPERLINK("http://maps.live.com/default.aspx?v=2&amp;lvl=15&amp;sp=Point.47.571075_-122.21435_4205 94th Ave SE&amp;cp=47.571075~-122.21435","Map")</f>
        <v>Map</v>
      </c>
      <c r="N3217" s="2" t="str">
        <f>HYPERLINK("http://i-0.rfimg.us/photo/1/bigphoto/439/28057439_1.jpg","Photo")</f>
        <v>Photo</v>
      </c>
      <c r="AG3217">
        <v>47.571075</v>
      </c>
      <c r="AH3217">
        <v>-122.21435</v>
      </c>
      <c r="AI3217" t="s">
        <v>5139</v>
      </c>
      <c r="AJ3217">
        <v>98040</v>
      </c>
      <c r="AN3217">
        <v>700000</v>
      </c>
      <c r="BC3217" s="22">
        <v>39545.621134259258</v>
      </c>
      <c r="BI3217" s="22">
        <v>39549.294907407406</v>
      </c>
      <c r="BL3217">
        <v>18499</v>
      </c>
      <c r="BM3217">
        <v>1623786</v>
      </c>
      <c r="BN3217" t="s">
        <v>1688</v>
      </c>
      <c r="BO3217" s="17">
        <f t="shared" ca="1" si="50"/>
        <v>3.6882716435211478</v>
      </c>
      <c r="BP3217" t="b">
        <v>0</v>
      </c>
      <c r="BQ3217">
        <v>1</v>
      </c>
      <c r="BR3217" t="s">
        <v>1667</v>
      </c>
      <c r="BS3217" t="s">
        <v>2716</v>
      </c>
      <c r="BT3217" t="b">
        <v>0</v>
      </c>
      <c r="BV3217" t="s">
        <v>1668</v>
      </c>
      <c r="BW3217">
        <v>4205</v>
      </c>
      <c r="BX3217" t="s">
        <v>3856</v>
      </c>
      <c r="BY3217">
        <v>255431</v>
      </c>
      <c r="BZ3217" t="s">
        <v>6984</v>
      </c>
      <c r="CA3217">
        <v>1</v>
      </c>
      <c r="CB3217" t="b">
        <v>1</v>
      </c>
      <c r="CC3217">
        <v>0</v>
      </c>
      <c r="CD3217" t="b">
        <v>0</v>
      </c>
      <c r="CE3217" t="b">
        <v>1</v>
      </c>
      <c r="CF3217" t="b">
        <v>0</v>
      </c>
      <c r="CG3217">
        <v>2504515</v>
      </c>
      <c r="CH3217" t="s">
        <v>1681</v>
      </c>
      <c r="CI3217" s="10">
        <v>924950</v>
      </c>
      <c r="CJ3217" s="7">
        <v>38764</v>
      </c>
    </row>
    <row r="3218" spans="1:90">
      <c r="A3218">
        <v>28057450</v>
      </c>
      <c r="B3218" s="2" t="str">
        <f>HYPERLINK("http://www.redfin.com/stingray/do/printable-listing?listing-id=1614182","Active")</f>
        <v>Active</v>
      </c>
      <c r="D3218" t="s">
        <v>2552</v>
      </c>
      <c r="E3218" t="s">
        <v>6761</v>
      </c>
      <c r="F3218">
        <v>1275000</v>
      </c>
      <c r="G3218">
        <v>1973</v>
      </c>
      <c r="H3218">
        <v>2660</v>
      </c>
      <c r="I3218">
        <v>6737</v>
      </c>
      <c r="J3218">
        <v>4</v>
      </c>
      <c r="K3218">
        <v>2.75</v>
      </c>
      <c r="M3218" s="2" t="str">
        <f>HYPERLINK("http://maps.live.com/default.aspx?v=2&amp;lvl=15&amp;sp=Point.47.666166_-122.403129_3510 W Commodore Way&amp;cp=47.666166~-122.403129","Map")</f>
        <v>Map</v>
      </c>
      <c r="N3218" s="2" t="str">
        <f>HYPERLINK("http://i-0.rfimg.us/photo/1/bigphoto/450/28057450_0.jpg","Photo")</f>
        <v>Photo</v>
      </c>
      <c r="AG3218">
        <v>47.666165999999997</v>
      </c>
      <c r="AH3218">
        <v>-122.40312900000001</v>
      </c>
      <c r="AI3218" t="s">
        <v>66</v>
      </c>
      <c r="AJ3218">
        <v>98199</v>
      </c>
      <c r="BC3218" s="22">
        <v>39541.655636574076</v>
      </c>
      <c r="BI3218" s="22">
        <v>39549.294907407406</v>
      </c>
      <c r="BL3218">
        <v>25500</v>
      </c>
      <c r="BM3218">
        <v>1614182</v>
      </c>
      <c r="BN3218" t="s">
        <v>1674</v>
      </c>
      <c r="BO3218" s="17">
        <f t="shared" ca="1" si="50"/>
        <v>7.6537693287027651</v>
      </c>
      <c r="BP3218" t="b">
        <v>0</v>
      </c>
      <c r="BQ3218">
        <v>1</v>
      </c>
      <c r="BR3218" t="s">
        <v>2463</v>
      </c>
      <c r="BS3218" t="s">
        <v>6762</v>
      </c>
      <c r="BT3218" t="b">
        <v>0</v>
      </c>
      <c r="BU3218" t="s">
        <v>2423</v>
      </c>
      <c r="BV3218" t="s">
        <v>1668</v>
      </c>
      <c r="BW3218">
        <v>3510</v>
      </c>
      <c r="BY3218">
        <v>122983</v>
      </c>
      <c r="BZ3218" t="s">
        <v>1672</v>
      </c>
      <c r="CA3218">
        <v>1</v>
      </c>
      <c r="CB3218" t="b">
        <v>1</v>
      </c>
      <c r="CC3218">
        <v>0</v>
      </c>
      <c r="CD3218" t="b">
        <v>0</v>
      </c>
      <c r="CE3218" t="b">
        <v>1</v>
      </c>
      <c r="CF3218" t="b">
        <v>0</v>
      </c>
      <c r="CG3218">
        <v>2992901</v>
      </c>
      <c r="CH3218" t="s">
        <v>1681</v>
      </c>
      <c r="CI3218" s="10">
        <v>1275000</v>
      </c>
    </row>
    <row r="3219" spans="1:90">
      <c r="A3219">
        <v>28057455</v>
      </c>
      <c r="B3219" s="2" t="str">
        <f>HYPERLINK("http://www.redfin.com/stingray/do/printable-listing?listing-id=1612941","Active")</f>
        <v>Active</v>
      </c>
      <c r="D3219" t="s">
        <v>2552</v>
      </c>
      <c r="E3219" t="s">
        <v>6771</v>
      </c>
      <c r="F3219">
        <v>899000</v>
      </c>
      <c r="G3219">
        <v>1951</v>
      </c>
      <c r="H3219">
        <v>2960</v>
      </c>
      <c r="I3219">
        <v>6000</v>
      </c>
      <c r="J3219">
        <v>3</v>
      </c>
      <c r="K3219">
        <v>2</v>
      </c>
      <c r="M3219" s="2" t="str">
        <f>HYPERLINK("http://maps.live.com/default.aspx?v=2&amp;lvl=15&amp;sp=Point.47.645834_-122.393866_2840 29th Ave W&amp;cp=47.645834~-122.393866","Map")</f>
        <v>Map</v>
      </c>
      <c r="N3219" s="2" t="str">
        <f>HYPERLINK("http://i-0.rfimg.us/photo/1/bigphoto/455/28057455_1.jpg","Photo")</f>
        <v>Photo</v>
      </c>
      <c r="AG3219">
        <v>47.645834000000001</v>
      </c>
      <c r="AH3219">
        <v>-122.393866</v>
      </c>
      <c r="AI3219" t="s">
        <v>66</v>
      </c>
      <c r="AJ3219">
        <v>98199</v>
      </c>
      <c r="AN3219">
        <v>539000</v>
      </c>
      <c r="BC3219" s="22">
        <v>39541.444513888891</v>
      </c>
      <c r="BI3219" s="22">
        <v>39549.294907407406</v>
      </c>
      <c r="BL3219">
        <v>17980</v>
      </c>
      <c r="BM3219">
        <v>1612941</v>
      </c>
      <c r="BN3219" t="s">
        <v>1678</v>
      </c>
      <c r="BO3219" s="17">
        <f t="shared" ca="1" si="50"/>
        <v>7.8648920138875837</v>
      </c>
      <c r="BP3219" t="b">
        <v>0</v>
      </c>
      <c r="BQ3219">
        <v>1</v>
      </c>
      <c r="BR3219" t="s">
        <v>1667</v>
      </c>
      <c r="BS3219" t="s">
        <v>1772</v>
      </c>
      <c r="BT3219" t="b">
        <v>0</v>
      </c>
      <c r="BV3219" t="s">
        <v>1668</v>
      </c>
      <c r="BW3219">
        <v>2840</v>
      </c>
      <c r="BX3219" t="s">
        <v>2423</v>
      </c>
      <c r="BY3219">
        <v>127281</v>
      </c>
      <c r="BZ3219" t="s">
        <v>1704</v>
      </c>
      <c r="CA3219">
        <v>1</v>
      </c>
      <c r="CB3219" t="b">
        <v>1</v>
      </c>
      <c r="CC3219">
        <v>0</v>
      </c>
      <c r="CD3219" t="b">
        <v>0</v>
      </c>
      <c r="CE3219" t="b">
        <v>1</v>
      </c>
      <c r="CF3219" t="b">
        <v>0</v>
      </c>
      <c r="CG3219">
        <v>2525276</v>
      </c>
      <c r="CH3219" t="s">
        <v>1681</v>
      </c>
      <c r="CI3219" s="10">
        <v>899000</v>
      </c>
      <c r="CJ3219" s="7">
        <v>37826</v>
      </c>
    </row>
    <row r="3220" spans="1:90">
      <c r="A3220">
        <v>28057479</v>
      </c>
      <c r="B3220" s="2" t="str">
        <f>HYPERLINK("http://www.redfin.com/stingray/do/printable-listing?listing-id=1620710","Active")</f>
        <v>Active</v>
      </c>
      <c r="D3220" t="s">
        <v>5565</v>
      </c>
      <c r="E3220" t="s">
        <v>6914</v>
      </c>
      <c r="F3220">
        <v>739000</v>
      </c>
      <c r="G3220">
        <v>1966</v>
      </c>
      <c r="H3220">
        <v>3180</v>
      </c>
      <c r="I3220">
        <v>19400</v>
      </c>
      <c r="J3220">
        <v>5</v>
      </c>
      <c r="K3220">
        <v>2.5</v>
      </c>
      <c r="M3220" s="2" t="str">
        <f>HYPERLINK("http://maps.live.com/default.aspx?v=2&amp;lvl=15&amp;sp=Point.47.559345_-122.172235_12610 SE 49th St&amp;cp=47.559345~-122.172235","Map")</f>
        <v>Map</v>
      </c>
      <c r="N3220" s="2" t="str">
        <f>HYPERLINK("http://i-0.rfimg.us/photo/1/bigphoto/479/28057479_0.jpg","Photo")</f>
        <v>Photo</v>
      </c>
      <c r="AG3220">
        <v>47.559345</v>
      </c>
      <c r="AH3220">
        <v>-122.172235</v>
      </c>
      <c r="AI3220" t="s">
        <v>369</v>
      </c>
      <c r="AJ3220">
        <v>98006</v>
      </c>
      <c r="BC3220" s="22">
        <v>39543.653993055559</v>
      </c>
      <c r="BI3220" s="22">
        <v>39549.294907407406</v>
      </c>
      <c r="BL3220">
        <v>14780</v>
      </c>
      <c r="BM3220">
        <v>1620710</v>
      </c>
      <c r="BN3220" t="s">
        <v>1674</v>
      </c>
      <c r="BO3220" s="17">
        <f t="shared" ca="1" si="50"/>
        <v>5.6554128472198499</v>
      </c>
      <c r="BP3220" t="b">
        <v>0</v>
      </c>
      <c r="BQ3220">
        <v>1</v>
      </c>
      <c r="BR3220" t="s">
        <v>1686</v>
      </c>
      <c r="BS3220" t="s">
        <v>2446</v>
      </c>
      <c r="BT3220" t="b">
        <v>0</v>
      </c>
      <c r="BU3220" t="s">
        <v>3856</v>
      </c>
      <c r="BV3220" t="s">
        <v>1668</v>
      </c>
      <c r="BW3220">
        <v>12610</v>
      </c>
      <c r="BY3220">
        <v>412919</v>
      </c>
      <c r="BZ3220" s="21">
        <v>0</v>
      </c>
      <c r="CA3220">
        <v>1</v>
      </c>
      <c r="CB3220" t="b">
        <v>1</v>
      </c>
      <c r="CC3220">
        <v>0</v>
      </c>
      <c r="CD3220" t="b">
        <v>0</v>
      </c>
      <c r="CE3220" t="b">
        <v>1</v>
      </c>
      <c r="CF3220" t="b">
        <v>0</v>
      </c>
      <c r="CG3220">
        <v>2372785</v>
      </c>
      <c r="CH3220" t="s">
        <v>1681</v>
      </c>
      <c r="CI3220" s="10">
        <v>739000</v>
      </c>
      <c r="CL3220" t="s">
        <v>2325</v>
      </c>
    </row>
    <row r="3221" spans="1:90">
      <c r="A3221">
        <v>28057487</v>
      </c>
      <c r="B3221" s="2" t="str">
        <f>HYPERLINK("http://www.redfin.com/stingray/do/printable-listing?listing-id=1613113","Active")</f>
        <v>Active</v>
      </c>
      <c r="D3221" t="s">
        <v>6796</v>
      </c>
      <c r="E3221" t="s">
        <v>6795</v>
      </c>
      <c r="F3221">
        <v>1150000</v>
      </c>
      <c r="G3221">
        <v>1945</v>
      </c>
      <c r="H3221">
        <v>820</v>
      </c>
      <c r="I3221">
        <v>15625</v>
      </c>
      <c r="J3221">
        <v>1</v>
      </c>
      <c r="K3221">
        <v>1</v>
      </c>
      <c r="M3221" s="2" t="str">
        <f>HYPERLINK("http://maps.live.com/default.aspx?v=2&amp;lvl=15&amp;sp=Point.47.585506_-122.197447_2737 107th Ave SE&amp;cp=47.585506~-122.197447","Map")</f>
        <v>Map</v>
      </c>
      <c r="N3221" s="2" t="str">
        <f>HYPERLINK("http://i-0.rfimg.us/photo/1/bigphoto/487/28057487_0.jpg","Photo")</f>
        <v>Photo</v>
      </c>
      <c r="AG3221">
        <v>47.585506000000002</v>
      </c>
      <c r="AH3221">
        <v>-122.197447</v>
      </c>
      <c r="AI3221" t="s">
        <v>6796</v>
      </c>
      <c r="AJ3221">
        <v>98004</v>
      </c>
      <c r="BC3221" s="22">
        <v>39541.475081018521</v>
      </c>
      <c r="BI3221" s="22">
        <v>39549.294907407406</v>
      </c>
      <c r="BL3221">
        <v>23000</v>
      </c>
      <c r="BM3221">
        <v>1613113</v>
      </c>
      <c r="BN3221" t="s">
        <v>1673</v>
      </c>
      <c r="BO3221" s="17">
        <f t="shared" ca="1" si="50"/>
        <v>7.8343248842575122</v>
      </c>
      <c r="BP3221" t="b">
        <v>0</v>
      </c>
      <c r="BQ3221">
        <v>1</v>
      </c>
      <c r="BR3221" t="s">
        <v>1667</v>
      </c>
      <c r="BS3221" t="s">
        <v>2678</v>
      </c>
      <c r="BT3221" t="b">
        <v>0</v>
      </c>
      <c r="BV3221" t="s">
        <v>1668</v>
      </c>
      <c r="BW3221">
        <v>2737</v>
      </c>
      <c r="BX3221" t="s">
        <v>3856</v>
      </c>
      <c r="BY3221">
        <v>253133</v>
      </c>
      <c r="BZ3221" t="s">
        <v>1801</v>
      </c>
      <c r="CA3221">
        <v>1</v>
      </c>
      <c r="CB3221" t="b">
        <v>1</v>
      </c>
      <c r="CC3221">
        <v>0</v>
      </c>
      <c r="CD3221" t="b">
        <v>0</v>
      </c>
      <c r="CE3221" t="b">
        <v>1</v>
      </c>
      <c r="CF3221" t="b">
        <v>0</v>
      </c>
      <c r="CG3221">
        <v>2836816</v>
      </c>
      <c r="CH3221" t="s">
        <v>1681</v>
      </c>
      <c r="CI3221" s="10">
        <v>1150000</v>
      </c>
    </row>
    <row r="3222" spans="1:90">
      <c r="A3222">
        <v>28057488</v>
      </c>
      <c r="B3222" s="2" t="str">
        <f>HYPERLINK("http://www.redfin.com/stingray/do/printable-listing?listing-id=1614339","Active")</f>
        <v>Active</v>
      </c>
      <c r="D3222" s="19" t="s">
        <v>192</v>
      </c>
      <c r="E3222" t="s">
        <v>6770</v>
      </c>
      <c r="F3222">
        <v>774500</v>
      </c>
      <c r="G3222">
        <v>2006</v>
      </c>
      <c r="H3222">
        <v>2435</v>
      </c>
      <c r="I3222">
        <v>6815</v>
      </c>
      <c r="J3222">
        <v>4</v>
      </c>
      <c r="K3222">
        <v>3.5</v>
      </c>
      <c r="M3222" s="2" t="str">
        <f>HYPERLINK("http://maps.live.com/default.aspx?v=2&amp;lvl=15&amp;sp=Point.47.695537_-122.311296_1519 NE 92nd St&amp;cp=47.695537~-122.311296","Map")</f>
        <v>Map</v>
      </c>
      <c r="N3222" s="2" t="str">
        <f>HYPERLINK("http://i-0.rfimg.us/photo/1/bigphoto/488/28057488_0.jpg","Photo")</f>
        <v>Photo</v>
      </c>
      <c r="AG3222">
        <v>47.695537000000002</v>
      </c>
      <c r="AH3222">
        <v>-122.311296</v>
      </c>
      <c r="AI3222" t="s">
        <v>66</v>
      </c>
      <c r="AJ3222">
        <v>98115</v>
      </c>
      <c r="AN3222">
        <v>257000</v>
      </c>
      <c r="BC3222" s="22">
        <v>39541.673715277779</v>
      </c>
      <c r="BI3222" s="22">
        <v>39549.294907407406</v>
      </c>
      <c r="BL3222">
        <v>15490</v>
      </c>
      <c r="BM3222">
        <v>1614339</v>
      </c>
      <c r="BN3222" t="s">
        <v>1718</v>
      </c>
      <c r="BO3222" s="17">
        <f t="shared" ca="1" si="50"/>
        <v>7.6356906250002794</v>
      </c>
      <c r="BP3222" t="b">
        <v>0</v>
      </c>
      <c r="BQ3222">
        <v>1</v>
      </c>
      <c r="BR3222" t="s">
        <v>1686</v>
      </c>
      <c r="BS3222" t="s">
        <v>2726</v>
      </c>
      <c r="BT3222" t="b">
        <v>0</v>
      </c>
      <c r="BU3222" t="s">
        <v>1738</v>
      </c>
      <c r="BV3222" t="s">
        <v>1668</v>
      </c>
      <c r="BW3222">
        <v>1519</v>
      </c>
      <c r="BY3222">
        <v>107841</v>
      </c>
      <c r="BZ3222" t="s">
        <v>1672</v>
      </c>
      <c r="CA3222">
        <v>1</v>
      </c>
      <c r="CB3222" t="b">
        <v>1</v>
      </c>
      <c r="CC3222">
        <v>0</v>
      </c>
      <c r="CD3222" t="b">
        <v>0</v>
      </c>
      <c r="CE3222" t="b">
        <v>1</v>
      </c>
      <c r="CF3222" t="b">
        <v>0</v>
      </c>
      <c r="CG3222">
        <v>2897155</v>
      </c>
      <c r="CH3222" t="s">
        <v>1681</v>
      </c>
      <c r="CI3222" s="10">
        <v>774500</v>
      </c>
      <c r="CJ3222" s="7">
        <v>38254</v>
      </c>
    </row>
    <row r="3223" spans="1:90">
      <c r="A3223">
        <v>28057497</v>
      </c>
      <c r="B3223" s="2" t="str">
        <f>HYPERLINK("http://www.redfin.com/stingray/do/printable-listing?listing-id=1613116","Active")</f>
        <v>Active</v>
      </c>
      <c r="D3223" t="s">
        <v>3929</v>
      </c>
      <c r="E3223" t="s">
        <v>6810</v>
      </c>
      <c r="F3223">
        <v>385000</v>
      </c>
      <c r="G3223">
        <v>1999</v>
      </c>
      <c r="H3223">
        <v>1264</v>
      </c>
      <c r="I3223">
        <v>2076</v>
      </c>
      <c r="J3223">
        <v>2</v>
      </c>
      <c r="K3223">
        <v>2.5</v>
      </c>
      <c r="M3223" s="2" t="str">
        <f>HYPERLINK("http://maps.live.com/default.aspx?v=2&amp;lvl=15&amp;sp=Point.47.490577948964_-122.154928539_4812 NE 5th St&amp;cp=47.490577948964~-122.154928539","Map")</f>
        <v>Map</v>
      </c>
      <c r="N3223" s="2" t="str">
        <f>HYPERLINK("http://i-0.rfimg.us/photo/1/bigphoto/497/28057497_0.jpg","Photo")</f>
        <v>Photo</v>
      </c>
      <c r="AG3223">
        <v>47.490577948964003</v>
      </c>
      <c r="AH3223">
        <v>-122.154928539</v>
      </c>
      <c r="AI3223" t="s">
        <v>1077</v>
      </c>
      <c r="AJ3223">
        <v>98059</v>
      </c>
      <c r="AN3223">
        <v>180010</v>
      </c>
      <c r="BC3223" s="22">
        <v>39541.475127314814</v>
      </c>
      <c r="BI3223" s="22">
        <v>39549.294907407406</v>
      </c>
      <c r="BL3223">
        <v>7700</v>
      </c>
      <c r="BM3223">
        <v>1613116</v>
      </c>
      <c r="BN3223" t="s">
        <v>1823</v>
      </c>
      <c r="BO3223" s="17">
        <f t="shared" ca="1" si="50"/>
        <v>7.8342785879649455</v>
      </c>
      <c r="BP3223" t="b">
        <v>0</v>
      </c>
      <c r="BQ3223">
        <v>1</v>
      </c>
      <c r="BR3223" t="s">
        <v>1686</v>
      </c>
      <c r="BS3223" t="s">
        <v>1832</v>
      </c>
      <c r="BT3223" t="b">
        <v>0</v>
      </c>
      <c r="BU3223" t="s">
        <v>1738</v>
      </c>
      <c r="BV3223" t="s">
        <v>1668</v>
      </c>
      <c r="BW3223">
        <v>4812</v>
      </c>
      <c r="BY3223">
        <v>244747</v>
      </c>
      <c r="BZ3223" t="s">
        <v>1672</v>
      </c>
      <c r="CA3223">
        <v>1</v>
      </c>
      <c r="CB3223" t="b">
        <v>1</v>
      </c>
      <c r="CC3223">
        <v>0</v>
      </c>
      <c r="CD3223" t="b">
        <v>0</v>
      </c>
      <c r="CE3223" t="b">
        <v>1</v>
      </c>
      <c r="CF3223" t="b">
        <v>0</v>
      </c>
      <c r="CG3223">
        <v>2650840</v>
      </c>
      <c r="CH3223" t="s">
        <v>1681</v>
      </c>
      <c r="CI3223" s="10">
        <v>385000</v>
      </c>
      <c r="CJ3223" s="7">
        <v>36458</v>
      </c>
    </row>
    <row r="3224" spans="1:90">
      <c r="A3224">
        <v>28057504</v>
      </c>
      <c r="B3224" s="2" t="str">
        <f>HYPERLINK("http://www.redfin.com/stingray/do/printable-listing?listing-id=1614946","Active")</f>
        <v>Active</v>
      </c>
      <c r="D3224" t="s">
        <v>369</v>
      </c>
      <c r="E3224" t="s">
        <v>6805</v>
      </c>
      <c r="F3224" s="19">
        <v>529950</v>
      </c>
      <c r="G3224">
        <v>1967</v>
      </c>
      <c r="H3224">
        <v>2050</v>
      </c>
      <c r="I3224">
        <v>11735</v>
      </c>
      <c r="J3224">
        <v>3</v>
      </c>
      <c r="K3224">
        <v>3</v>
      </c>
      <c r="M3224" s="2" t="str">
        <f>HYPERLINK("http://maps.live.com/default.aspx?v=2&amp;lvl=15&amp;sp=Point.47.545283_-122.175344_6404 123rd Ave SE&amp;cp=47.545283~-122.175344","Map")</f>
        <v>Map</v>
      </c>
      <c r="N3224" s="2" t="str">
        <f>HYPERLINK("http://i-0.rfimg.us/photo/1/bigphoto/504/28057504_0.jpg","Photo")</f>
        <v>Photo</v>
      </c>
      <c r="AG3224">
        <v>47.545282999999998</v>
      </c>
      <c r="AH3224">
        <v>-122.175344</v>
      </c>
      <c r="AI3224" t="s">
        <v>369</v>
      </c>
      <c r="AJ3224">
        <v>98006</v>
      </c>
      <c r="AN3224">
        <v>491000</v>
      </c>
      <c r="BC3224" s="22">
        <v>39541.860509259262</v>
      </c>
      <c r="BI3224" s="22">
        <v>39549.294907407406</v>
      </c>
      <c r="BL3224">
        <v>10999</v>
      </c>
      <c r="BM3224">
        <v>1614946</v>
      </c>
      <c r="BN3224" t="s">
        <v>1737</v>
      </c>
      <c r="BO3224" s="17">
        <f t="shared" ca="1" si="50"/>
        <v>7.4488966435164912</v>
      </c>
      <c r="BP3224" t="b">
        <v>0</v>
      </c>
      <c r="BQ3224">
        <v>1</v>
      </c>
      <c r="BR3224" t="s">
        <v>1667</v>
      </c>
      <c r="BS3224" t="s">
        <v>2882</v>
      </c>
      <c r="BT3224" t="b">
        <v>0</v>
      </c>
      <c r="BV3224" t="s">
        <v>1668</v>
      </c>
      <c r="BW3224">
        <v>6404</v>
      </c>
      <c r="BX3224" t="s">
        <v>3856</v>
      </c>
      <c r="BY3224">
        <v>417977</v>
      </c>
      <c r="BZ3224" t="s">
        <v>1762</v>
      </c>
      <c r="CA3224">
        <v>1</v>
      </c>
      <c r="CB3224" t="b">
        <v>1</v>
      </c>
      <c r="CC3224">
        <v>0</v>
      </c>
      <c r="CD3224" t="b">
        <v>0</v>
      </c>
      <c r="CE3224" t="b">
        <v>1</v>
      </c>
      <c r="CF3224" t="b">
        <v>0</v>
      </c>
      <c r="CG3224">
        <v>2606931</v>
      </c>
      <c r="CH3224" t="s">
        <v>1681</v>
      </c>
      <c r="CI3224" s="10">
        <v>549950</v>
      </c>
      <c r="CJ3224" s="7">
        <v>39146</v>
      </c>
    </row>
    <row r="3225" spans="1:90">
      <c r="A3225">
        <v>28057534</v>
      </c>
      <c r="B3225" s="2" t="str">
        <f>HYPERLINK("http://www.redfin.com/stingray/do/printable-listing?listing-id=1615925","Active")</f>
        <v>Active</v>
      </c>
      <c r="D3225" t="s">
        <v>207</v>
      </c>
      <c r="E3225" t="s">
        <v>6822</v>
      </c>
      <c r="F3225">
        <v>529000</v>
      </c>
      <c r="G3225">
        <v>2004</v>
      </c>
      <c r="H3225">
        <v>1710</v>
      </c>
      <c r="I3225">
        <v>0</v>
      </c>
      <c r="J3225">
        <v>3</v>
      </c>
      <c r="K3225">
        <v>3.5</v>
      </c>
      <c r="M3225" s="2" t="str">
        <f>HYPERLINK("http://maps.live.com/default.aspx?v=2&amp;lvl=15&amp;sp=Point.47.666277_-122.285329_3906 NE 51 St nB&amp;cp=47.666277~-122.285329","Map")</f>
        <v>Map</v>
      </c>
      <c r="N3225" s="2" t="str">
        <f>HYPERLINK("http://i-0.rfimg.us/photo/1/bigphoto/534/28057534_0.jpg","Photo")</f>
        <v>Photo</v>
      </c>
      <c r="AG3225">
        <v>47.666277000000001</v>
      </c>
      <c r="AH3225">
        <v>-122.285329</v>
      </c>
      <c r="AI3225" t="s">
        <v>66</v>
      </c>
      <c r="AJ3225">
        <v>98105</v>
      </c>
      <c r="AM3225" t="s">
        <v>1699</v>
      </c>
      <c r="BC3225" s="22">
        <v>39542.265277777777</v>
      </c>
      <c r="BI3225" s="22">
        <v>39549.294907407406</v>
      </c>
      <c r="BL3225">
        <v>10580</v>
      </c>
      <c r="BM3225">
        <v>1615925</v>
      </c>
      <c r="BN3225" t="s">
        <v>1710</v>
      </c>
      <c r="BO3225" s="17">
        <f t="shared" ca="1" si="50"/>
        <v>7.0441281250023167</v>
      </c>
      <c r="BP3225" t="b">
        <v>0</v>
      </c>
      <c r="BQ3225">
        <v>1</v>
      </c>
      <c r="BR3225" t="s">
        <v>1686</v>
      </c>
      <c r="BS3225">
        <v>51</v>
      </c>
      <c r="BT3225" t="b">
        <v>0</v>
      </c>
      <c r="BU3225" t="s">
        <v>1738</v>
      </c>
      <c r="BV3225" t="s">
        <v>1668</v>
      </c>
      <c r="BW3225">
        <v>3906</v>
      </c>
      <c r="BY3225">
        <v>12437616</v>
      </c>
      <c r="BZ3225" t="s">
        <v>1672</v>
      </c>
      <c r="CA3225">
        <v>1</v>
      </c>
      <c r="CB3225" t="b">
        <v>1</v>
      </c>
      <c r="CC3225">
        <v>0</v>
      </c>
      <c r="CD3225" t="b">
        <v>0</v>
      </c>
      <c r="CE3225" t="b">
        <v>1</v>
      </c>
      <c r="CF3225" t="b">
        <v>0</v>
      </c>
      <c r="CG3225">
        <v>15641364</v>
      </c>
      <c r="CH3225" t="s">
        <v>1681</v>
      </c>
      <c r="CI3225" s="10">
        <v>529000</v>
      </c>
    </row>
    <row r="3226" spans="1:90">
      <c r="A3226">
        <v>28057553</v>
      </c>
      <c r="B3226" s="2" t="str">
        <f>HYPERLINK("http://www.redfin.com/stingray/do/printable-listing?listing-id=1616280","Active")</f>
        <v>Active</v>
      </c>
      <c r="D3226" t="s">
        <v>100</v>
      </c>
      <c r="E3226" t="s">
        <v>6831</v>
      </c>
      <c r="F3226">
        <v>525000</v>
      </c>
      <c r="G3226">
        <v>2008</v>
      </c>
      <c r="H3226">
        <v>0</v>
      </c>
      <c r="I3226">
        <v>0</v>
      </c>
      <c r="J3226">
        <v>3</v>
      </c>
      <c r="K3226">
        <v>2.5</v>
      </c>
      <c r="M3226" s="2" t="str">
        <f>HYPERLINK("http://maps.live.com/default.aspx?v=2&amp;lvl=15&amp;sp=Point.47.657941_-122.348395_4208 Linden Ave N&amp;cp=47.657941~-122.348395","Map")</f>
        <v>Map</v>
      </c>
      <c r="N3226" s="2" t="str">
        <f>HYPERLINK("http://i-0.rfimg.us/photo/1/bigphoto/553/28057553_2.jpg","Photo")</f>
        <v>Photo</v>
      </c>
      <c r="AG3226">
        <v>47.657941000000001</v>
      </c>
      <c r="AH3226">
        <v>-122.348395</v>
      </c>
      <c r="AI3226" t="s">
        <v>66</v>
      </c>
      <c r="AJ3226">
        <v>98103</v>
      </c>
      <c r="BC3226" s="22">
        <v>39542.370312500003</v>
      </c>
      <c r="BI3226" s="22">
        <v>39549.294907407406</v>
      </c>
      <c r="BL3226">
        <v>10500</v>
      </c>
      <c r="BM3226">
        <v>1616280</v>
      </c>
      <c r="BN3226" t="s">
        <v>1744</v>
      </c>
      <c r="BO3226" s="17">
        <f t="shared" ca="1" si="50"/>
        <v>6.9390934027760522</v>
      </c>
      <c r="BP3226" t="b">
        <v>0</v>
      </c>
      <c r="BQ3226">
        <v>1</v>
      </c>
      <c r="BR3226" t="s">
        <v>1667</v>
      </c>
      <c r="BS3226" t="s">
        <v>2439</v>
      </c>
      <c r="BT3226" t="b">
        <v>0</v>
      </c>
      <c r="BV3226" t="s">
        <v>1668</v>
      </c>
      <c r="BW3226">
        <v>4208</v>
      </c>
      <c r="BX3226" t="s">
        <v>1712</v>
      </c>
      <c r="BY3226">
        <v>12437666</v>
      </c>
      <c r="BZ3226" t="s">
        <v>6832</v>
      </c>
      <c r="CA3226">
        <v>1</v>
      </c>
      <c r="CB3226" t="b">
        <v>1</v>
      </c>
      <c r="CC3226">
        <v>0</v>
      </c>
      <c r="CD3226" t="b">
        <v>0</v>
      </c>
      <c r="CE3226" t="b">
        <v>1</v>
      </c>
      <c r="CF3226" t="b">
        <v>0</v>
      </c>
      <c r="CG3226">
        <v>15641414</v>
      </c>
      <c r="CH3226" t="s">
        <v>1681</v>
      </c>
      <c r="CI3226" s="10">
        <v>525000</v>
      </c>
    </row>
    <row r="3227" spans="1:90">
      <c r="A3227">
        <v>28057559</v>
      </c>
      <c r="B3227" s="2" t="str">
        <f>HYPERLINK("http://www.redfin.com/stingray/do/printable-listing?listing-id=1613236","Active")</f>
        <v>Active</v>
      </c>
      <c r="D3227" t="s">
        <v>3885</v>
      </c>
      <c r="E3227" t="s">
        <v>6803</v>
      </c>
      <c r="F3227">
        <v>359950</v>
      </c>
      <c r="G3227">
        <v>1968</v>
      </c>
      <c r="H3227">
        <v>1330</v>
      </c>
      <c r="I3227">
        <v>9828</v>
      </c>
      <c r="J3227">
        <v>3</v>
      </c>
      <c r="K3227">
        <v>1.75</v>
      </c>
      <c r="M3227" s="2" t="str">
        <f>HYPERLINK("http://maps.live.com/default.aspx?v=2&amp;lvl=15&amp;sp=Point.47.527928_-122.183416_8249 118th Ave SE&amp;cp=47.527928~-122.183416","Map")</f>
        <v>Map</v>
      </c>
      <c r="N3227" s="2" t="str">
        <f>HYPERLINK("http://i-0.rfimg.us/photo/1/bigphoto/559/28057559_1.jpg","Photo")</f>
        <v>Photo</v>
      </c>
      <c r="AG3227">
        <v>47.527928000000003</v>
      </c>
      <c r="AH3227">
        <v>-122.18341599999999</v>
      </c>
      <c r="AI3227" t="s">
        <v>3885</v>
      </c>
      <c r="AJ3227">
        <v>98056</v>
      </c>
      <c r="BC3227" s="22">
        <v>39541.506504629629</v>
      </c>
      <c r="BI3227" s="22">
        <v>39549.294907407406</v>
      </c>
      <c r="BL3227">
        <v>7199</v>
      </c>
      <c r="BM3227">
        <v>1613236</v>
      </c>
      <c r="BN3227" t="s">
        <v>1773</v>
      </c>
      <c r="BO3227" s="17">
        <f t="shared" ca="1" si="50"/>
        <v>7.8029012731494731</v>
      </c>
      <c r="BP3227" t="b">
        <v>0</v>
      </c>
      <c r="BQ3227">
        <v>1</v>
      </c>
      <c r="BR3227" t="s">
        <v>1667</v>
      </c>
      <c r="BS3227" t="s">
        <v>4419</v>
      </c>
      <c r="BT3227" t="b">
        <v>0</v>
      </c>
      <c r="BV3227" t="s">
        <v>1668</v>
      </c>
      <c r="BW3227">
        <v>8249</v>
      </c>
      <c r="BX3227" t="s">
        <v>3856</v>
      </c>
      <c r="BY3227">
        <v>416019</v>
      </c>
      <c r="BZ3227" t="s">
        <v>1704</v>
      </c>
      <c r="CA3227">
        <v>1</v>
      </c>
      <c r="CB3227" t="b">
        <v>1</v>
      </c>
      <c r="CC3227">
        <v>0</v>
      </c>
      <c r="CD3227" t="b">
        <v>0</v>
      </c>
      <c r="CE3227" t="b">
        <v>1</v>
      </c>
      <c r="CF3227" t="b">
        <v>0</v>
      </c>
      <c r="CG3227">
        <v>2776701</v>
      </c>
      <c r="CH3227" t="s">
        <v>1681</v>
      </c>
      <c r="CI3227" s="10">
        <v>359950</v>
      </c>
    </row>
    <row r="3228" spans="1:90">
      <c r="A3228">
        <v>28057583</v>
      </c>
      <c r="B3228" s="2" t="str">
        <f>HYPERLINK("http://www.redfin.com/stingray/do/printable-listing?listing-id=1613398","Active")</f>
        <v>Active</v>
      </c>
      <c r="D3228" t="s">
        <v>60</v>
      </c>
      <c r="E3228" t="s">
        <v>3200</v>
      </c>
      <c r="F3228">
        <v>520000</v>
      </c>
      <c r="G3228">
        <v>1996</v>
      </c>
      <c r="H3228">
        <v>2890</v>
      </c>
      <c r="I3228">
        <v>3000</v>
      </c>
      <c r="J3228">
        <v>4</v>
      </c>
      <c r="K3228">
        <v>3.5</v>
      </c>
      <c r="M3228" s="2" t="str">
        <f>HYPERLINK("http://maps.live.com/default.aspx?v=2&amp;lvl=15&amp;sp=Point.47.672909_-122.322613_6021 6th Ave NE&amp;cp=47.672909~-122.322613","Map")</f>
        <v>Map</v>
      </c>
      <c r="N3228" s="2" t="str">
        <f>HYPERLINK("http://i-0.rfimg.us/photo/1/bigphoto/583/28057583_0.jpg","Photo")</f>
        <v>Photo</v>
      </c>
      <c r="AG3228">
        <v>47.672908999999997</v>
      </c>
      <c r="AH3228">
        <v>-122.322613</v>
      </c>
      <c r="AI3228" t="s">
        <v>66</v>
      </c>
      <c r="AJ3228">
        <v>98115</v>
      </c>
      <c r="AN3228">
        <v>425000</v>
      </c>
      <c r="BC3228" s="22">
        <v>39541.527187500003</v>
      </c>
      <c r="BI3228" s="22">
        <v>39549.294907407406</v>
      </c>
      <c r="BL3228">
        <v>10400</v>
      </c>
      <c r="BM3228">
        <v>1613398</v>
      </c>
      <c r="BN3228" t="s">
        <v>1685</v>
      </c>
      <c r="BO3228" s="17">
        <f t="shared" ca="1" si="50"/>
        <v>7.7822184027754702</v>
      </c>
      <c r="BP3228" t="b">
        <v>0</v>
      </c>
      <c r="BQ3228">
        <v>1</v>
      </c>
      <c r="BR3228" t="s">
        <v>1667</v>
      </c>
      <c r="BS3228" t="s">
        <v>1739</v>
      </c>
      <c r="BT3228" t="b">
        <v>0</v>
      </c>
      <c r="BV3228" t="s">
        <v>1668</v>
      </c>
      <c r="BW3228">
        <v>6021</v>
      </c>
      <c r="BX3228" t="s">
        <v>1738</v>
      </c>
      <c r="BY3228">
        <v>304981</v>
      </c>
      <c r="BZ3228" t="s">
        <v>1713</v>
      </c>
      <c r="CA3228">
        <v>1</v>
      </c>
      <c r="CB3228" t="b">
        <v>1</v>
      </c>
      <c r="CC3228">
        <v>0</v>
      </c>
      <c r="CD3228" t="b">
        <v>0</v>
      </c>
      <c r="CE3228" t="b">
        <v>1</v>
      </c>
      <c r="CF3228" t="b">
        <v>0</v>
      </c>
      <c r="CG3228">
        <v>2905903</v>
      </c>
      <c r="CH3228" t="s">
        <v>1681</v>
      </c>
      <c r="CI3228" s="10">
        <v>520000</v>
      </c>
      <c r="CJ3228" s="7">
        <v>38223</v>
      </c>
    </row>
    <row r="3229" spans="1:90">
      <c r="A3229">
        <v>28057617</v>
      </c>
      <c r="B3229" s="15" t="str">
        <f>HYPERLINK("http://www.redfin.com/stingray/do/printable-listing?listing-id=1613583","Subject To Inspection")</f>
        <v>Subject To Inspection</v>
      </c>
      <c r="D3229" t="s">
        <v>5191</v>
      </c>
      <c r="E3229" t="s">
        <v>6806</v>
      </c>
      <c r="F3229">
        <v>638000</v>
      </c>
      <c r="G3229">
        <v>1984</v>
      </c>
      <c r="H3229">
        <v>2780</v>
      </c>
      <c r="I3229">
        <v>9330</v>
      </c>
      <c r="J3229">
        <v>4</v>
      </c>
      <c r="K3229">
        <v>3.5</v>
      </c>
      <c r="M3229" s="2" t="str">
        <f>HYPERLINK("http://maps.live.com/default.aspx?v=2&amp;lvl=15&amp;sp=Point.47.54793_-122.149017_6123 144th Pl SE&amp;cp=47.54793~-122.149017","Map")</f>
        <v>Map</v>
      </c>
      <c r="N3229" s="2" t="str">
        <f>HYPERLINK("http://i-0.rfimg.us/photo/1/bigphoto/617/28057617_3.jpg","Photo")</f>
        <v>Photo</v>
      </c>
      <c r="AG3229">
        <v>47.547930000000001</v>
      </c>
      <c r="AH3229">
        <v>-122.149017</v>
      </c>
      <c r="AI3229" t="s">
        <v>369</v>
      </c>
      <c r="AJ3229">
        <v>98006</v>
      </c>
      <c r="AN3229">
        <v>282000</v>
      </c>
      <c r="BC3229" s="22">
        <v>39541.569618055553</v>
      </c>
      <c r="BI3229" s="22">
        <v>39549.294907407406</v>
      </c>
      <c r="BL3229">
        <v>12760</v>
      </c>
      <c r="BM3229">
        <v>1613583</v>
      </c>
      <c r="BN3229" t="s">
        <v>1768</v>
      </c>
      <c r="BO3229" s="17">
        <f t="shared" ca="1" si="50"/>
        <v>7.7397878472256707</v>
      </c>
      <c r="BP3229" t="b">
        <v>0</v>
      </c>
      <c r="BQ3229">
        <v>1</v>
      </c>
      <c r="BR3229" t="s">
        <v>1842</v>
      </c>
      <c r="BS3229" t="s">
        <v>4969</v>
      </c>
      <c r="BT3229" t="b">
        <v>0</v>
      </c>
      <c r="BV3229" t="s">
        <v>1668</v>
      </c>
      <c r="BW3229">
        <v>6123</v>
      </c>
      <c r="BX3229" t="s">
        <v>3856</v>
      </c>
      <c r="BY3229">
        <v>237348</v>
      </c>
      <c r="BZ3229" t="s">
        <v>6807</v>
      </c>
      <c r="CA3229">
        <v>1</v>
      </c>
      <c r="CB3229" t="b">
        <v>1</v>
      </c>
      <c r="CC3229">
        <v>0</v>
      </c>
      <c r="CD3229" t="b">
        <v>0</v>
      </c>
      <c r="CE3229" t="b">
        <v>1</v>
      </c>
      <c r="CF3229" t="b">
        <v>0</v>
      </c>
      <c r="CG3229">
        <v>2647728</v>
      </c>
      <c r="CH3229" t="s">
        <v>1681</v>
      </c>
      <c r="CI3229" s="10">
        <v>638000</v>
      </c>
      <c r="CJ3229" s="7">
        <v>34932</v>
      </c>
    </row>
    <row r="3230" spans="1:90">
      <c r="A3230">
        <v>28057623</v>
      </c>
      <c r="B3230" s="2" t="str">
        <f>HYPERLINK("http://www.redfin.com/stingray/do/printable-listing?listing-id=1627496","Active")</f>
        <v>Active</v>
      </c>
      <c r="D3230" t="s">
        <v>3249</v>
      </c>
      <c r="E3230" t="s">
        <v>7017</v>
      </c>
      <c r="F3230">
        <v>924900</v>
      </c>
      <c r="G3230">
        <v>1952</v>
      </c>
      <c r="H3230">
        <v>3070</v>
      </c>
      <c r="I3230">
        <v>4450</v>
      </c>
      <c r="J3230">
        <v>5</v>
      </c>
      <c r="K3230">
        <v>2.75</v>
      </c>
      <c r="M3230" s="2" t="str">
        <f>HYPERLINK("http://maps.live.com/default.aspx?v=2&amp;lvl=15&amp;sp=Point.47.651721_-122.368566_3444 9 Ave W&amp;cp=47.651721~-122.368566","Map")</f>
        <v>Map</v>
      </c>
      <c r="N3230" s="2" t="str">
        <f>HYPERLINK("http://i-0.rfimg.us/photo/1/bigphoto/623/28057623_1.jpg","Photo")</f>
        <v>Photo</v>
      </c>
      <c r="AG3230">
        <v>47.651721000000002</v>
      </c>
      <c r="AH3230">
        <v>-122.368566</v>
      </c>
      <c r="AI3230" t="s">
        <v>66</v>
      </c>
      <c r="AJ3230">
        <v>98119</v>
      </c>
      <c r="AN3230">
        <v>233000</v>
      </c>
      <c r="BC3230" s="22">
        <v>39546.684224537035</v>
      </c>
      <c r="BI3230" s="22">
        <v>39549.294907407406</v>
      </c>
      <c r="BL3230">
        <v>18498</v>
      </c>
      <c r="BM3230">
        <v>1627496</v>
      </c>
      <c r="BN3230" t="s">
        <v>1725</v>
      </c>
      <c r="BO3230" s="17">
        <f t="shared" ca="1" si="50"/>
        <v>2.6251813657436287</v>
      </c>
      <c r="BP3230" t="b">
        <v>0</v>
      </c>
      <c r="BQ3230">
        <v>1</v>
      </c>
      <c r="BR3230" t="s">
        <v>1667</v>
      </c>
      <c r="BS3230">
        <v>9</v>
      </c>
      <c r="BT3230" t="b">
        <v>0</v>
      </c>
      <c r="BV3230" t="s">
        <v>1668</v>
      </c>
      <c r="BW3230">
        <v>3444</v>
      </c>
      <c r="BX3230" t="s">
        <v>2423</v>
      </c>
      <c r="BY3230">
        <v>131032</v>
      </c>
      <c r="BZ3230" t="s">
        <v>1820</v>
      </c>
      <c r="CA3230">
        <v>1</v>
      </c>
      <c r="CB3230" t="b">
        <v>1</v>
      </c>
      <c r="CC3230">
        <v>0</v>
      </c>
      <c r="CD3230" t="b">
        <v>0</v>
      </c>
      <c r="CE3230" t="b">
        <v>1</v>
      </c>
      <c r="CF3230" t="b">
        <v>0</v>
      </c>
      <c r="CG3230">
        <v>2733126</v>
      </c>
      <c r="CH3230" t="s">
        <v>1681</v>
      </c>
      <c r="CI3230" s="10">
        <v>924900</v>
      </c>
      <c r="CJ3230" s="7">
        <v>33939</v>
      </c>
      <c r="CL3230" t="s">
        <v>7060</v>
      </c>
    </row>
    <row r="3231" spans="1:90">
      <c r="A3231">
        <v>28057671</v>
      </c>
      <c r="B3231" s="2" t="str">
        <f>HYPERLINK("http://www.redfin.com/stingray/do/printable-listing?listing-id=1613755","Active")</f>
        <v>Active</v>
      </c>
      <c r="D3231" t="s">
        <v>2850</v>
      </c>
      <c r="E3231" t="s">
        <v>6785</v>
      </c>
      <c r="F3231">
        <v>475000</v>
      </c>
      <c r="G3231">
        <v>1989</v>
      </c>
      <c r="H3231">
        <v>1680</v>
      </c>
      <c r="I3231">
        <v>7187</v>
      </c>
      <c r="J3231">
        <v>3</v>
      </c>
      <c r="K3231">
        <v>2.5</v>
      </c>
      <c r="M3231" s="2" t="str">
        <f>HYPERLINK("http://maps.live.com/default.aspx?v=2&amp;lvl=15&amp;sp=Point.47.716864_-122.213934_9431 NE 130 Pl&amp;cp=47.716864~-122.213934","Map")</f>
        <v>Map</v>
      </c>
      <c r="N3231" s="2" t="str">
        <f>HYPERLINK("http://i-0.rfimg.us/photo/1/bigphoto/671/28057671_0.jpg","Photo")</f>
        <v>Photo</v>
      </c>
      <c r="AG3231">
        <v>47.716864000000001</v>
      </c>
      <c r="AH3231">
        <v>-122.21393399999999</v>
      </c>
      <c r="AI3231" t="s">
        <v>1058</v>
      </c>
      <c r="AJ3231">
        <v>98034</v>
      </c>
      <c r="AN3231">
        <v>335000</v>
      </c>
      <c r="BC3231" s="22">
        <v>39541.593391203707</v>
      </c>
      <c r="BI3231" s="22">
        <v>39549.294907407406</v>
      </c>
      <c r="BL3231">
        <v>9500</v>
      </c>
      <c r="BM3231">
        <v>1613755</v>
      </c>
      <c r="BN3231" t="s">
        <v>1776</v>
      </c>
      <c r="BO3231" s="17">
        <f t="shared" ca="1" si="50"/>
        <v>7.7160146990718204</v>
      </c>
      <c r="BP3231" t="b">
        <v>0</v>
      </c>
      <c r="BQ3231">
        <v>1</v>
      </c>
      <c r="BR3231" t="s">
        <v>1842</v>
      </c>
      <c r="BS3231">
        <v>130</v>
      </c>
      <c r="BT3231" t="b">
        <v>0</v>
      </c>
      <c r="BU3231" t="s">
        <v>1738</v>
      </c>
      <c r="BV3231" t="s">
        <v>1668</v>
      </c>
      <c r="BW3231">
        <v>9431</v>
      </c>
      <c r="BY3231">
        <v>278217</v>
      </c>
      <c r="BZ3231" s="21">
        <v>0</v>
      </c>
      <c r="CA3231">
        <v>1</v>
      </c>
      <c r="CB3231" t="b">
        <v>1</v>
      </c>
      <c r="CC3231">
        <v>0</v>
      </c>
      <c r="CD3231" t="b">
        <v>0</v>
      </c>
      <c r="CE3231" t="b">
        <v>1</v>
      </c>
      <c r="CF3231" t="b">
        <v>0</v>
      </c>
      <c r="CG3231">
        <v>2518010</v>
      </c>
      <c r="CH3231" t="s">
        <v>1681</v>
      </c>
      <c r="CI3231" s="10">
        <v>475000</v>
      </c>
      <c r="CJ3231" s="7">
        <v>38065</v>
      </c>
    </row>
    <row r="3232" spans="1:90">
      <c r="A3232">
        <v>28057700</v>
      </c>
      <c r="B3232" s="2" t="str">
        <f>HYPERLINK("http://www.redfin.com/stingray/do/printable-listing?listing-id=1613757","Active")</f>
        <v>Active</v>
      </c>
      <c r="D3232" t="s">
        <v>3249</v>
      </c>
      <c r="E3232" t="s">
        <v>6774</v>
      </c>
      <c r="F3232">
        <v>375000</v>
      </c>
      <c r="G3232">
        <v>2004</v>
      </c>
      <c r="H3232">
        <v>890</v>
      </c>
      <c r="I3232">
        <v>1185</v>
      </c>
      <c r="J3232">
        <v>2</v>
      </c>
      <c r="K3232">
        <v>1.5</v>
      </c>
      <c r="M3232" s="2" t="str">
        <f>HYPERLINK("http://maps.live.com/default.aspx?v=2&amp;lvl=15&amp;sp=Point.47.650851_-122.368275_808 W argand St&amp;cp=47.650851~-122.368275","Map")</f>
        <v>Map</v>
      </c>
      <c r="N3232" s="2" t="str">
        <f>HYPERLINK("http://i-0.rfimg.us/photo/1/bigphoto/700/28057700_0.jpg","Photo")</f>
        <v>Photo</v>
      </c>
      <c r="AG3232">
        <v>47.650851000000003</v>
      </c>
      <c r="AH3232">
        <v>-122.368275</v>
      </c>
      <c r="AI3232" t="s">
        <v>66</v>
      </c>
      <c r="AJ3232">
        <v>98119</v>
      </c>
      <c r="BC3232" s="22">
        <v>39541.593402777777</v>
      </c>
      <c r="BI3232" s="22">
        <v>39549.294907407406</v>
      </c>
      <c r="BL3232">
        <v>7500</v>
      </c>
      <c r="BM3232">
        <v>1613757</v>
      </c>
      <c r="BN3232" t="s">
        <v>1690</v>
      </c>
      <c r="BO3232" s="17">
        <f t="shared" ca="1" si="50"/>
        <v>7.7160031250023167</v>
      </c>
      <c r="BP3232" t="b">
        <v>0</v>
      </c>
      <c r="BQ3232">
        <v>1</v>
      </c>
      <c r="BR3232" t="s">
        <v>1686</v>
      </c>
      <c r="BS3232" t="s">
        <v>6775</v>
      </c>
      <c r="BT3232" t="b">
        <v>0</v>
      </c>
      <c r="BU3232" t="s">
        <v>2423</v>
      </c>
      <c r="BV3232" t="s">
        <v>1668</v>
      </c>
      <c r="BW3232">
        <v>808</v>
      </c>
      <c r="BY3232">
        <v>12437363</v>
      </c>
      <c r="BZ3232" t="s">
        <v>1745</v>
      </c>
      <c r="CA3232">
        <v>1</v>
      </c>
      <c r="CB3232" t="b">
        <v>1</v>
      </c>
      <c r="CC3232">
        <v>0</v>
      </c>
      <c r="CD3232" t="b">
        <v>0</v>
      </c>
      <c r="CE3232" t="b">
        <v>1</v>
      </c>
      <c r="CF3232" t="b">
        <v>0</v>
      </c>
      <c r="CG3232">
        <v>15641111</v>
      </c>
      <c r="CH3232" t="s">
        <v>1681</v>
      </c>
      <c r="CI3232" s="10">
        <v>375000</v>
      </c>
    </row>
    <row r="3233" spans="1:90">
      <c r="A3233">
        <v>28057709</v>
      </c>
      <c r="B3233" s="2" t="str">
        <f>HYPERLINK("http://www.redfin.com/stingray/do/printable-listing?listing-id=1613751","Active")</f>
        <v>Active</v>
      </c>
      <c r="D3233" t="s">
        <v>369</v>
      </c>
      <c r="E3233" t="s">
        <v>5842</v>
      </c>
      <c r="F3233">
        <v>1149000</v>
      </c>
      <c r="G3233">
        <v>1957</v>
      </c>
      <c r="H3233">
        <v>3236</v>
      </c>
      <c r="I3233">
        <v>21361</v>
      </c>
      <c r="J3233">
        <v>4</v>
      </c>
      <c r="K3233">
        <v>3</v>
      </c>
      <c r="M3233" s="2" t="str">
        <f>HYPERLINK("http://maps.live.com/default.aspx?v=2&amp;lvl=15&amp;sp=Point.47.557421_-122.141047_14845 SE 50th St&amp;cp=47.557421~-122.141047","Map")</f>
        <v>Map</v>
      </c>
      <c r="N3233" s="2" t="str">
        <f>HYPERLINK("http://i-0.rfimg.us/photo/1/bigphoto/709/28057709_0.jpg","Photo")</f>
        <v>Photo</v>
      </c>
      <c r="AG3233">
        <v>47.557420999999998</v>
      </c>
      <c r="AH3233">
        <v>-122.141047</v>
      </c>
      <c r="AI3233" t="s">
        <v>369</v>
      </c>
      <c r="AJ3233">
        <v>98006</v>
      </c>
      <c r="AN3233">
        <v>210880</v>
      </c>
      <c r="BC3233" s="22">
        <v>39541.593310185184</v>
      </c>
      <c r="BI3233" s="22">
        <v>39549.294907407406</v>
      </c>
      <c r="BL3233">
        <v>22980</v>
      </c>
      <c r="BM3233">
        <v>1613751</v>
      </c>
      <c r="BN3233" t="s">
        <v>1768</v>
      </c>
      <c r="BO3233" s="17">
        <f t="shared" ca="1" si="50"/>
        <v>7.716095717594726</v>
      </c>
      <c r="BP3233" t="b">
        <v>0</v>
      </c>
      <c r="BQ3233">
        <v>1</v>
      </c>
      <c r="BR3233" t="s">
        <v>1686</v>
      </c>
      <c r="BS3233" t="s">
        <v>2638</v>
      </c>
      <c r="BT3233" t="b">
        <v>0</v>
      </c>
      <c r="BU3233" t="s">
        <v>3856</v>
      </c>
      <c r="BV3233" t="s">
        <v>1668</v>
      </c>
      <c r="BW3233">
        <v>14845</v>
      </c>
      <c r="BY3233">
        <v>237926</v>
      </c>
      <c r="BZ3233" t="s">
        <v>1670</v>
      </c>
      <c r="CA3233">
        <v>1</v>
      </c>
      <c r="CB3233" t="b">
        <v>1</v>
      </c>
      <c r="CC3233">
        <v>0</v>
      </c>
      <c r="CD3233" t="b">
        <v>0</v>
      </c>
      <c r="CE3233" t="b">
        <v>1</v>
      </c>
      <c r="CF3233" t="b">
        <v>0</v>
      </c>
      <c r="CG3233">
        <v>2395493</v>
      </c>
      <c r="CH3233" t="s">
        <v>1681</v>
      </c>
      <c r="CI3233" s="10">
        <v>1149000</v>
      </c>
      <c r="CJ3233" s="7">
        <v>31950</v>
      </c>
    </row>
    <row r="3234" spans="1:90">
      <c r="A3234">
        <v>28057714</v>
      </c>
      <c r="B3234" s="2" t="str">
        <f>HYPERLINK("http://www.redfin.com/stingray/do/printable-listing?listing-id=1618305","Active")</f>
        <v>Active</v>
      </c>
      <c r="D3234" t="s">
        <v>5878</v>
      </c>
      <c r="E3234" t="s">
        <v>5877</v>
      </c>
      <c r="F3234">
        <v>844950</v>
      </c>
      <c r="G3234">
        <v>1977</v>
      </c>
      <c r="H3234">
        <v>3330</v>
      </c>
      <c r="I3234">
        <v>13800</v>
      </c>
      <c r="J3234">
        <v>4</v>
      </c>
      <c r="K3234">
        <v>3</v>
      </c>
      <c r="M3234" s="2" t="str">
        <f>HYPERLINK("http://maps.live.com/default.aspx?v=2&amp;lvl=15&amp;sp=Point.47.55885_-122.131525_4902 156th Ave SE&amp;cp=47.55885~-122.131525","Map")</f>
        <v>Map</v>
      </c>
      <c r="N3234" s="2" t="str">
        <f>HYPERLINK("http://i-0.rfimg.us/photo/1/bigphoto/714/28057714_.jpg","Photo")</f>
        <v>Photo</v>
      </c>
      <c r="AG3234">
        <v>47.55885</v>
      </c>
      <c r="AH3234">
        <v>-122.131525</v>
      </c>
      <c r="AI3234" t="s">
        <v>369</v>
      </c>
      <c r="AJ3234">
        <v>98006</v>
      </c>
      <c r="AN3234">
        <v>540500</v>
      </c>
      <c r="BC3234" s="22">
        <v>39542.676099537035</v>
      </c>
      <c r="BI3234" s="22">
        <v>39549.294907407406</v>
      </c>
      <c r="BL3234">
        <v>16899</v>
      </c>
      <c r="BM3234">
        <v>1618305</v>
      </c>
      <c r="BN3234" t="s">
        <v>1735</v>
      </c>
      <c r="BO3234" s="17">
        <f t="shared" ca="1" si="50"/>
        <v>6.6333063657439197</v>
      </c>
      <c r="BP3234" t="b">
        <v>0</v>
      </c>
      <c r="BQ3234">
        <v>1</v>
      </c>
      <c r="BR3234" t="s">
        <v>1667</v>
      </c>
      <c r="BS3234" t="s">
        <v>5332</v>
      </c>
      <c r="BT3234" t="b">
        <v>0</v>
      </c>
      <c r="BV3234" t="s">
        <v>1668</v>
      </c>
      <c r="BW3234">
        <v>4902</v>
      </c>
      <c r="BX3234" t="s">
        <v>3856</v>
      </c>
      <c r="BY3234">
        <v>235480</v>
      </c>
      <c r="BZ3234" t="s">
        <v>1672</v>
      </c>
      <c r="CA3234">
        <v>1</v>
      </c>
      <c r="CB3234" t="b">
        <v>1</v>
      </c>
      <c r="CC3234">
        <v>0</v>
      </c>
      <c r="CD3234" t="b">
        <v>0</v>
      </c>
      <c r="CE3234" t="b">
        <v>1</v>
      </c>
      <c r="CF3234" t="b">
        <v>0</v>
      </c>
      <c r="CG3234">
        <v>2816772</v>
      </c>
      <c r="CH3234" t="s">
        <v>1681</v>
      </c>
      <c r="CI3234" s="10">
        <v>844950</v>
      </c>
      <c r="CJ3234" s="7">
        <v>37428</v>
      </c>
    </row>
    <row r="3235" spans="1:90">
      <c r="A3235">
        <v>28057721</v>
      </c>
      <c r="B3235" s="2" t="str">
        <f>HYPERLINK("http://www.redfin.com/stingray/do/printable-listing?listing-id=1618291","Active")</f>
        <v>Active</v>
      </c>
      <c r="D3235" t="s">
        <v>2552</v>
      </c>
      <c r="E3235" t="s">
        <v>6834</v>
      </c>
      <c r="F3235">
        <v>475000</v>
      </c>
      <c r="G3235">
        <v>1908</v>
      </c>
      <c r="H3235">
        <v>1700</v>
      </c>
      <c r="I3235">
        <v>6000</v>
      </c>
      <c r="J3235">
        <v>3</v>
      </c>
      <c r="K3235">
        <v>1</v>
      </c>
      <c r="M3235" s="2" t="str">
        <f>HYPERLINK("http://maps.live.com/default.aspx?v=2&amp;lvl=15&amp;sp=Point.47.656045_-122.40045_4002 34th Ave W&amp;cp=47.656045~-122.40045","Map")</f>
        <v>Map</v>
      </c>
      <c r="N3235" s="2" t="str">
        <f>HYPERLINK("http://i-0.rfimg.us/photo/1/bigphoto/721/28057721_1.jpg","Photo")</f>
        <v>Photo</v>
      </c>
      <c r="AG3235">
        <v>47.656044999999999</v>
      </c>
      <c r="AH3235">
        <v>-122.40045000000001</v>
      </c>
      <c r="AI3235" t="s">
        <v>66</v>
      </c>
      <c r="AJ3235">
        <v>98199</v>
      </c>
      <c r="AN3235">
        <v>172500</v>
      </c>
      <c r="BC3235" s="22">
        <v>39542.675937499997</v>
      </c>
      <c r="BI3235" s="22">
        <v>39549.294907407406</v>
      </c>
      <c r="BL3235">
        <v>9500</v>
      </c>
      <c r="BM3235">
        <v>1618291</v>
      </c>
      <c r="BN3235" t="s">
        <v>1749</v>
      </c>
      <c r="BO3235" s="17">
        <f t="shared" ca="1" si="50"/>
        <v>6.6334684027824551</v>
      </c>
      <c r="BP3235" t="b">
        <v>0</v>
      </c>
      <c r="BQ3235">
        <v>1</v>
      </c>
      <c r="BR3235" t="s">
        <v>1667</v>
      </c>
      <c r="BS3235" t="s">
        <v>2912</v>
      </c>
      <c r="BT3235" t="b">
        <v>0</v>
      </c>
      <c r="BV3235" t="s">
        <v>1668</v>
      </c>
      <c r="BW3235">
        <v>4002</v>
      </c>
      <c r="BX3235" t="s">
        <v>2423</v>
      </c>
      <c r="BY3235">
        <v>127060</v>
      </c>
      <c r="BZ3235" t="s">
        <v>2841</v>
      </c>
      <c r="CA3235">
        <v>1</v>
      </c>
      <c r="CB3235" t="b">
        <v>1</v>
      </c>
      <c r="CC3235">
        <v>0</v>
      </c>
      <c r="CD3235" t="b">
        <v>0</v>
      </c>
      <c r="CE3235" t="b">
        <v>1</v>
      </c>
      <c r="CF3235" t="b">
        <v>0</v>
      </c>
      <c r="CG3235">
        <v>2591001</v>
      </c>
      <c r="CH3235" t="s">
        <v>1681</v>
      </c>
      <c r="CI3235" s="10">
        <v>475000</v>
      </c>
      <c r="CJ3235" s="7">
        <v>34955</v>
      </c>
    </row>
    <row r="3236" spans="1:90">
      <c r="A3236">
        <v>28057747</v>
      </c>
      <c r="B3236" s="2" t="str">
        <f>HYPERLINK("http://www.redfin.com/stingray/do/printable-listing?listing-id=1616466","Active")</f>
        <v>Active</v>
      </c>
      <c r="D3236" t="s">
        <v>5204</v>
      </c>
      <c r="E3236" t="s">
        <v>6856</v>
      </c>
      <c r="F3236">
        <v>615000</v>
      </c>
      <c r="G3236">
        <v>1965</v>
      </c>
      <c r="H3236">
        <v>2040</v>
      </c>
      <c r="I3236">
        <v>11730</v>
      </c>
      <c r="J3236">
        <v>5</v>
      </c>
      <c r="K3236">
        <v>2.5</v>
      </c>
      <c r="M3236" s="2" t="str">
        <f>HYPERLINK("http://maps.live.com/default.aspx?v=2&amp;lvl=15&amp;sp=Point.47.600649_-122.146389_1039 145th Pl SE&amp;cp=47.600649~-122.146389","Map")</f>
        <v>Map</v>
      </c>
      <c r="N3236" s="2" t="str">
        <f>HYPERLINK("http://i-0.rfimg.us/photo/1/bigphoto/747/28057747_1.jpg","Photo")</f>
        <v>Photo</v>
      </c>
      <c r="AG3236">
        <v>47.600648999999997</v>
      </c>
      <c r="AH3236">
        <v>-122.146389</v>
      </c>
      <c r="AI3236" t="s">
        <v>369</v>
      </c>
      <c r="AJ3236">
        <v>98007</v>
      </c>
      <c r="AN3236">
        <v>173000</v>
      </c>
      <c r="BC3236" s="22">
        <v>39542.401423611111</v>
      </c>
      <c r="BI3236" s="22">
        <v>39549.294907407406</v>
      </c>
      <c r="BL3236">
        <v>12300</v>
      </c>
      <c r="BM3236">
        <v>1616466</v>
      </c>
      <c r="BN3236" t="s">
        <v>1688</v>
      </c>
      <c r="BO3236" s="17">
        <f t="shared" ca="1" si="50"/>
        <v>6.9079822916683042</v>
      </c>
      <c r="BP3236" t="b">
        <v>0</v>
      </c>
      <c r="BQ3236">
        <v>1</v>
      </c>
      <c r="BR3236" t="s">
        <v>1842</v>
      </c>
      <c r="BS3236" t="s">
        <v>4646</v>
      </c>
      <c r="BT3236" t="b">
        <v>0</v>
      </c>
      <c r="BV3236" t="s">
        <v>1668</v>
      </c>
      <c r="BW3236">
        <v>1039</v>
      </c>
      <c r="BX3236" t="s">
        <v>3856</v>
      </c>
      <c r="BY3236">
        <v>426044</v>
      </c>
      <c r="BZ3236" t="s">
        <v>1704</v>
      </c>
      <c r="CA3236">
        <v>1</v>
      </c>
      <c r="CB3236" t="b">
        <v>1</v>
      </c>
      <c r="CC3236">
        <v>0</v>
      </c>
      <c r="CD3236" t="b">
        <v>0</v>
      </c>
      <c r="CE3236" t="b">
        <v>1</v>
      </c>
      <c r="CF3236" t="b">
        <v>0</v>
      </c>
      <c r="CG3236">
        <v>2927045</v>
      </c>
      <c r="CH3236" t="s">
        <v>1681</v>
      </c>
      <c r="CI3236" s="10">
        <v>615000</v>
      </c>
      <c r="CJ3236" s="7">
        <v>33380</v>
      </c>
    </row>
    <row r="3237" spans="1:90">
      <c r="A3237">
        <v>28057779</v>
      </c>
      <c r="B3237" s="2" t="str">
        <f>HYPERLINK("http://www.redfin.com/stingray/do/printable-listing?listing-id=1627939","Active")</f>
        <v>Active</v>
      </c>
      <c r="D3237" t="s">
        <v>3249</v>
      </c>
      <c r="E3237" t="s">
        <v>7027</v>
      </c>
      <c r="F3237">
        <v>729000</v>
      </c>
      <c r="G3237">
        <v>1997</v>
      </c>
      <c r="H3237">
        <v>2324</v>
      </c>
      <c r="I3237">
        <v>1762</v>
      </c>
      <c r="J3237">
        <v>2</v>
      </c>
      <c r="K3237">
        <v>2.5</v>
      </c>
      <c r="M3237" s="2" t="str">
        <f>HYPERLINK("http://maps.live.com/default.aspx?v=2&amp;lvl=15&amp;sp=Point.47.62831_-122.347857_1007 5th Ave N&amp;cp=47.62831~-122.347857","Map")</f>
        <v>Map</v>
      </c>
      <c r="N3237" s="2" t="str">
        <f>HYPERLINK("http://i-0.rfimg.us/photo/1/bigphoto/779/28057779_0.jpg","Photo")</f>
        <v>Photo</v>
      </c>
      <c r="AG3237">
        <v>47.628309999999999</v>
      </c>
      <c r="AH3237">
        <v>-122.347857</v>
      </c>
      <c r="AI3237" t="s">
        <v>66</v>
      </c>
      <c r="AJ3237">
        <v>98109</v>
      </c>
      <c r="AN3237">
        <v>420000</v>
      </c>
      <c r="BC3237" s="22">
        <v>39546.861319444448</v>
      </c>
      <c r="BI3237" s="22">
        <v>39549.294907407406</v>
      </c>
      <c r="BL3237">
        <v>14580</v>
      </c>
      <c r="BM3237">
        <v>1627939</v>
      </c>
      <c r="BN3237" t="s">
        <v>3328</v>
      </c>
      <c r="BO3237" s="17">
        <f t="shared" ca="1" si="50"/>
        <v>2.4480864583310904</v>
      </c>
      <c r="BP3237" t="b">
        <v>0</v>
      </c>
      <c r="BQ3237">
        <v>1</v>
      </c>
      <c r="BR3237" t="s">
        <v>1667</v>
      </c>
      <c r="BS3237" t="s">
        <v>1832</v>
      </c>
      <c r="BT3237" t="b">
        <v>0</v>
      </c>
      <c r="BV3237" t="s">
        <v>1668</v>
      </c>
      <c r="BW3237">
        <v>1007</v>
      </c>
      <c r="BX3237" t="s">
        <v>1712</v>
      </c>
      <c r="BY3237">
        <v>132094</v>
      </c>
      <c r="BZ3237" t="s">
        <v>1672</v>
      </c>
      <c r="CA3237">
        <v>1</v>
      </c>
      <c r="CB3237" t="b">
        <v>1</v>
      </c>
      <c r="CC3237">
        <v>0</v>
      </c>
      <c r="CD3237" t="b">
        <v>0</v>
      </c>
      <c r="CE3237" t="b">
        <v>1</v>
      </c>
      <c r="CF3237" t="b">
        <v>0</v>
      </c>
      <c r="CG3237">
        <v>2356769</v>
      </c>
      <c r="CH3237" t="s">
        <v>1681</v>
      </c>
      <c r="CI3237" s="10">
        <v>729000</v>
      </c>
      <c r="CJ3237" s="7">
        <v>35965</v>
      </c>
    </row>
    <row r="3238" spans="1:90">
      <c r="A3238">
        <v>28057803</v>
      </c>
      <c r="B3238" s="2" t="str">
        <f>HYPERLINK("http://www.redfin.com/stingray/do/printable-listing?listing-id=1615943","Active")</f>
        <v>Active</v>
      </c>
      <c r="D3238" t="s">
        <v>5140</v>
      </c>
      <c r="E3238" t="s">
        <v>6861</v>
      </c>
      <c r="F3238">
        <v>829000</v>
      </c>
      <c r="G3238">
        <v>1964</v>
      </c>
      <c r="H3238">
        <v>2340</v>
      </c>
      <c r="I3238">
        <v>8480</v>
      </c>
      <c r="J3238">
        <v>3</v>
      </c>
      <c r="K3238">
        <v>3</v>
      </c>
      <c r="M3238" s="2" t="str">
        <f>HYPERLINK("http://maps.live.com/default.aspx?v=2&amp;lvl=15&amp;sp=Point.47.576519_-122.233905_3731 79th Ave SE&amp;cp=47.576519~-122.233905","Map")</f>
        <v>Map</v>
      </c>
      <c r="N3238" s="2" t="str">
        <f>HYPERLINK("http://i-0.rfimg.us/photo/1/bigphoto/803/28057803_1.jpg","Photo")</f>
        <v>Photo</v>
      </c>
      <c r="AG3238">
        <v>47.576518999999998</v>
      </c>
      <c r="AH3238">
        <v>-122.23390499999999</v>
      </c>
      <c r="AI3238" t="s">
        <v>5139</v>
      </c>
      <c r="AJ3238">
        <v>98040</v>
      </c>
      <c r="AN3238">
        <v>614000</v>
      </c>
      <c r="BC3238" s="22">
        <v>39542.286574074074</v>
      </c>
      <c r="BI3238" s="22">
        <v>39549.294907407406</v>
      </c>
      <c r="BL3238">
        <v>16580</v>
      </c>
      <c r="BM3238">
        <v>1615943</v>
      </c>
      <c r="BN3238" t="s">
        <v>6860</v>
      </c>
      <c r="BO3238" s="17">
        <f t="shared" ca="1" si="50"/>
        <v>7.0228318287045113</v>
      </c>
      <c r="BP3238" t="b">
        <v>0</v>
      </c>
      <c r="BQ3238">
        <v>1</v>
      </c>
      <c r="BR3238" t="s">
        <v>1667</v>
      </c>
      <c r="BS3238" t="s">
        <v>3206</v>
      </c>
      <c r="BT3238" t="b">
        <v>0</v>
      </c>
      <c r="BV3238" t="s">
        <v>1668</v>
      </c>
      <c r="BW3238">
        <v>3731</v>
      </c>
      <c r="BX3238" t="s">
        <v>3856</v>
      </c>
      <c r="BY3238">
        <v>254497</v>
      </c>
      <c r="BZ3238" t="s">
        <v>2429</v>
      </c>
      <c r="CA3238">
        <v>1</v>
      </c>
      <c r="CB3238" t="b">
        <v>1</v>
      </c>
      <c r="CC3238">
        <v>0</v>
      </c>
      <c r="CD3238" t="b">
        <v>0</v>
      </c>
      <c r="CE3238" t="b">
        <v>1</v>
      </c>
      <c r="CF3238" t="b">
        <v>0</v>
      </c>
      <c r="CG3238">
        <v>2672487</v>
      </c>
      <c r="CH3238" t="s">
        <v>1681</v>
      </c>
      <c r="CI3238" s="10">
        <v>829000</v>
      </c>
      <c r="CJ3238" s="7">
        <v>38765</v>
      </c>
    </row>
    <row r="3239" spans="1:90">
      <c r="A3239">
        <v>28057831</v>
      </c>
      <c r="B3239" s="2" t="str">
        <f>HYPERLINK("http://www.redfin.com/stingray/do/printable-listing?listing-id=1616733","Active")</f>
        <v>Active</v>
      </c>
      <c r="D3239" t="s">
        <v>188</v>
      </c>
      <c r="E3239" t="s">
        <v>6819</v>
      </c>
      <c r="F3239">
        <v>325000</v>
      </c>
      <c r="G3239">
        <v>1940</v>
      </c>
      <c r="H3239">
        <v>660</v>
      </c>
      <c r="I3239">
        <v>6060</v>
      </c>
      <c r="J3239">
        <v>2</v>
      </c>
      <c r="K3239">
        <v>1</v>
      </c>
      <c r="M3239" s="2" t="str">
        <f>HYPERLINK("http://maps.live.com/default.aspx?v=2&amp;lvl=15&amp;sp=Point.47.716062_-122.29189_12017 35th Ave NE&amp;cp=47.716062~-122.29189","Map")</f>
        <v>Map</v>
      </c>
      <c r="N3239" s="2" t="str">
        <f>HYPERLINK("http://i-0.rfimg.us/photo/1/bigphoto/831/28057831_0.jpg","Photo")</f>
        <v>Photo</v>
      </c>
      <c r="AG3239">
        <v>47.716062000000001</v>
      </c>
      <c r="AH3239">
        <v>-122.29189</v>
      </c>
      <c r="AI3239" t="s">
        <v>66</v>
      </c>
      <c r="AJ3239">
        <v>98125</v>
      </c>
      <c r="AN3239">
        <v>179950</v>
      </c>
      <c r="BC3239" s="22">
        <v>39542.453587962962</v>
      </c>
      <c r="BI3239" s="22">
        <v>39549.294907407406</v>
      </c>
      <c r="BL3239">
        <v>6500</v>
      </c>
      <c r="BM3239">
        <v>1616733</v>
      </c>
      <c r="BN3239" t="s">
        <v>1702</v>
      </c>
      <c r="BO3239" s="17">
        <f t="shared" ca="1" si="50"/>
        <v>6.8558179398169159</v>
      </c>
      <c r="BP3239" t="b">
        <v>0</v>
      </c>
      <c r="BQ3239">
        <v>1</v>
      </c>
      <c r="BR3239" t="s">
        <v>1667</v>
      </c>
      <c r="BS3239" t="s">
        <v>2920</v>
      </c>
      <c r="BT3239" t="b">
        <v>0</v>
      </c>
      <c r="BV3239" t="s">
        <v>1668</v>
      </c>
      <c r="BW3239">
        <v>12017</v>
      </c>
      <c r="BX3239" t="s">
        <v>1738</v>
      </c>
      <c r="BY3239">
        <v>111670</v>
      </c>
      <c r="BZ3239" t="s">
        <v>1745</v>
      </c>
      <c r="CA3239">
        <v>1</v>
      </c>
      <c r="CB3239" t="b">
        <v>1</v>
      </c>
      <c r="CC3239">
        <v>0</v>
      </c>
      <c r="CD3239" t="b">
        <v>0</v>
      </c>
      <c r="CE3239" t="b">
        <v>1</v>
      </c>
      <c r="CF3239" t="b">
        <v>0</v>
      </c>
      <c r="CG3239">
        <v>2493746</v>
      </c>
      <c r="CH3239" t="s">
        <v>1681</v>
      </c>
      <c r="CI3239" s="10">
        <v>325000</v>
      </c>
      <c r="CJ3239" s="7">
        <v>37007</v>
      </c>
    </row>
    <row r="3240" spans="1:90">
      <c r="A3240">
        <v>28057857</v>
      </c>
      <c r="B3240" s="2" t="str">
        <f>HYPERLINK("http://www.redfin.com/stingray/do/printable-listing?listing-id=1616143","Active")</f>
        <v>Active</v>
      </c>
      <c r="D3240" t="s">
        <v>2552</v>
      </c>
      <c r="E3240" t="s">
        <v>6829</v>
      </c>
      <c r="F3240">
        <v>774888</v>
      </c>
      <c r="G3240">
        <v>1931</v>
      </c>
      <c r="H3240">
        <v>2850</v>
      </c>
      <c r="I3240">
        <v>6000</v>
      </c>
      <c r="J3240">
        <v>4</v>
      </c>
      <c r="K3240">
        <v>3</v>
      </c>
      <c r="M3240" s="2" t="str">
        <f>HYPERLINK("http://maps.live.com/default.aspx?v=2&amp;lvl=15&amp;sp=Point.47.649583_-122.401914_3228 35th Ave W&amp;cp=47.649583~-122.401914","Map")</f>
        <v>Map</v>
      </c>
      <c r="N3240" s="2" t="str">
        <f>HYPERLINK("http://i-0.rfimg.us/photo/1/bigphoto/857/28057857_0.jpg","Photo")</f>
        <v>Photo</v>
      </c>
      <c r="AG3240">
        <v>47.649583</v>
      </c>
      <c r="AH3240">
        <v>-122.401914</v>
      </c>
      <c r="AI3240" t="s">
        <v>66</v>
      </c>
      <c r="AJ3240">
        <v>98199</v>
      </c>
      <c r="AN3240">
        <v>600000</v>
      </c>
      <c r="BC3240" s="22">
        <v>39542.348634259259</v>
      </c>
      <c r="BI3240" s="22">
        <v>39549.294907407406</v>
      </c>
      <c r="BL3240">
        <v>15498</v>
      </c>
      <c r="BM3240">
        <v>1616143</v>
      </c>
      <c r="BN3240" t="s">
        <v>1710</v>
      </c>
      <c r="BO3240" s="17">
        <f t="shared" ca="1" si="50"/>
        <v>6.9607716435202747</v>
      </c>
      <c r="BP3240" t="b">
        <v>0</v>
      </c>
      <c r="BQ3240">
        <v>1</v>
      </c>
      <c r="BR3240" t="s">
        <v>1667</v>
      </c>
      <c r="BS3240" t="s">
        <v>2920</v>
      </c>
      <c r="BT3240" t="b">
        <v>0</v>
      </c>
      <c r="BV3240" t="s">
        <v>1668</v>
      </c>
      <c r="BW3240">
        <v>3228</v>
      </c>
      <c r="BX3240" t="s">
        <v>2423</v>
      </c>
      <c r="BY3240">
        <v>127127</v>
      </c>
      <c r="BZ3240" t="s">
        <v>1672</v>
      </c>
      <c r="CA3240">
        <v>1</v>
      </c>
      <c r="CB3240" t="b">
        <v>1</v>
      </c>
      <c r="CC3240">
        <v>0</v>
      </c>
      <c r="CD3240" t="b">
        <v>0</v>
      </c>
      <c r="CE3240" t="b">
        <v>1</v>
      </c>
      <c r="CF3240" t="b">
        <v>0</v>
      </c>
      <c r="CG3240">
        <v>2404957</v>
      </c>
      <c r="CH3240" t="s">
        <v>1681</v>
      </c>
      <c r="CI3240" s="10">
        <v>774888</v>
      </c>
      <c r="CJ3240" s="7">
        <v>38467</v>
      </c>
    </row>
    <row r="3241" spans="1:90">
      <c r="A3241">
        <v>28057881</v>
      </c>
      <c r="B3241" s="2" t="str">
        <f>HYPERLINK("http://www.redfin.com/stingray/do/printable-listing?listing-id=1616275","Active")</f>
        <v>Active</v>
      </c>
      <c r="D3241" t="s">
        <v>194</v>
      </c>
      <c r="E3241" t="s">
        <v>6823</v>
      </c>
      <c r="F3241">
        <v>595000</v>
      </c>
      <c r="G3241">
        <v>1947</v>
      </c>
      <c r="H3241">
        <v>2090</v>
      </c>
      <c r="I3241">
        <v>5664</v>
      </c>
      <c r="J3241">
        <v>3</v>
      </c>
      <c r="K3241">
        <v>2</v>
      </c>
      <c r="M3241" s="2" t="str">
        <f>HYPERLINK("http://maps.live.com/default.aspx?v=2&amp;lvl=15&amp;sp=Point.47.689545_-122.284631_8239 41st Ave NE&amp;cp=47.689545~-122.284631","Map")</f>
        <v>Map</v>
      </c>
      <c r="N3241" s="2" t="str">
        <f>HYPERLINK("http://i-0.rfimg.us/photo/1/bigphoto/881/28057881_1.jpg","Photo")</f>
        <v>Photo</v>
      </c>
      <c r="AG3241">
        <v>47.689545000000003</v>
      </c>
      <c r="AH3241">
        <v>-122.284631</v>
      </c>
      <c r="AI3241" t="s">
        <v>66</v>
      </c>
      <c r="AJ3241">
        <v>98115</v>
      </c>
      <c r="AN3241">
        <v>468000</v>
      </c>
      <c r="BC3241" s="22">
        <v>39542.370150462964</v>
      </c>
      <c r="BI3241" s="22">
        <v>39549.294907407406</v>
      </c>
      <c r="BL3241">
        <v>11900</v>
      </c>
      <c r="BM3241">
        <v>1616275</v>
      </c>
      <c r="BN3241" t="s">
        <v>1710</v>
      </c>
      <c r="BO3241" s="17">
        <f t="shared" ca="1" si="50"/>
        <v>6.9392554398145876</v>
      </c>
      <c r="BP3241" t="b">
        <v>0</v>
      </c>
      <c r="BQ3241">
        <v>1</v>
      </c>
      <c r="BR3241" t="s">
        <v>1667</v>
      </c>
      <c r="BS3241" t="s">
        <v>3222</v>
      </c>
      <c r="BT3241" t="b">
        <v>0</v>
      </c>
      <c r="BV3241" t="s">
        <v>1668</v>
      </c>
      <c r="BW3241">
        <v>8239</v>
      </c>
      <c r="BX3241" t="s">
        <v>1738</v>
      </c>
      <c r="BY3241">
        <v>318683</v>
      </c>
      <c r="BZ3241" t="s">
        <v>3065</v>
      </c>
      <c r="CA3241">
        <v>1</v>
      </c>
      <c r="CB3241" t="b">
        <v>1</v>
      </c>
      <c r="CC3241">
        <v>0</v>
      </c>
      <c r="CD3241" t="b">
        <v>0</v>
      </c>
      <c r="CE3241" t="b">
        <v>1</v>
      </c>
      <c r="CF3241" t="b">
        <v>0</v>
      </c>
      <c r="CG3241">
        <v>2899770</v>
      </c>
      <c r="CH3241" t="s">
        <v>1681</v>
      </c>
      <c r="CI3241" s="10">
        <v>595000</v>
      </c>
      <c r="CJ3241" s="7">
        <v>38092</v>
      </c>
    </row>
    <row r="3242" spans="1:90">
      <c r="A3242">
        <v>28057893</v>
      </c>
      <c r="B3242" s="2" t="str">
        <f>HYPERLINK("http://www.redfin.com/stingray/do/printable-listing?listing-id=1619538","Active")</f>
        <v>Active</v>
      </c>
      <c r="D3242" t="s">
        <v>63</v>
      </c>
      <c r="E3242" t="s">
        <v>2337</v>
      </c>
      <c r="F3242">
        <v>609000</v>
      </c>
      <c r="G3242">
        <v>1909</v>
      </c>
      <c r="H3242">
        <v>2400</v>
      </c>
      <c r="I3242">
        <v>5700</v>
      </c>
      <c r="J3242">
        <v>4</v>
      </c>
      <c r="K3242">
        <v>2.75</v>
      </c>
      <c r="M3242" s="2" t="str">
        <f>HYPERLINK("http://maps.live.com/default.aspx?v=2&amp;lvl=15&amp;sp=Point.47.682737_-122.365762_656 NW 74 St&amp;cp=47.682737~-122.365762","Map")</f>
        <v>Map</v>
      </c>
      <c r="N3242" s="2" t="str">
        <f>HYPERLINK("http://i-0.rfimg.us/photo/1/bigphoto/893/28057893_2.jpg","Photo")</f>
        <v>Photo</v>
      </c>
      <c r="AG3242">
        <v>47.682737000000003</v>
      </c>
      <c r="AH3242">
        <v>-122.365762</v>
      </c>
      <c r="AI3242" t="s">
        <v>66</v>
      </c>
      <c r="AJ3242">
        <v>98117</v>
      </c>
      <c r="AN3242">
        <v>451000</v>
      </c>
      <c r="BC3242" s="22">
        <v>39543.056875000002</v>
      </c>
      <c r="BI3242" s="22">
        <v>39549.294907407406</v>
      </c>
      <c r="BL3242">
        <v>12180</v>
      </c>
      <c r="BM3242">
        <v>1619538</v>
      </c>
      <c r="BN3242" t="s">
        <v>1917</v>
      </c>
      <c r="BO3242" s="17">
        <f t="shared" ca="1" si="50"/>
        <v>6.2525309027769254</v>
      </c>
      <c r="BP3242" t="b">
        <v>0</v>
      </c>
      <c r="BQ3242">
        <v>1</v>
      </c>
      <c r="BR3242" t="s">
        <v>1686</v>
      </c>
      <c r="BS3242">
        <v>74</v>
      </c>
      <c r="BT3242" t="b">
        <v>0</v>
      </c>
      <c r="BU3242" t="s">
        <v>1669</v>
      </c>
      <c r="BV3242" t="s">
        <v>1668</v>
      </c>
      <c r="BW3242">
        <v>656</v>
      </c>
      <c r="BY3242">
        <v>495760</v>
      </c>
      <c r="BZ3242" t="s">
        <v>6882</v>
      </c>
      <c r="CA3242">
        <v>1</v>
      </c>
      <c r="CB3242" t="b">
        <v>1</v>
      </c>
      <c r="CC3242">
        <v>0</v>
      </c>
      <c r="CD3242" t="b">
        <v>0</v>
      </c>
      <c r="CE3242" t="b">
        <v>1</v>
      </c>
      <c r="CF3242" t="b">
        <v>0</v>
      </c>
      <c r="CG3242">
        <v>2427261</v>
      </c>
      <c r="CH3242" t="s">
        <v>1681</v>
      </c>
      <c r="CI3242" s="10">
        <v>609000</v>
      </c>
      <c r="CJ3242" s="7">
        <v>38260</v>
      </c>
      <c r="CK3242" t="s">
        <v>6881</v>
      </c>
    </row>
    <row r="3243" spans="1:90">
      <c r="A3243">
        <v>28057894</v>
      </c>
      <c r="B3243" s="2" t="str">
        <f>HYPERLINK("http://www.redfin.com/stingray/do/printable-listing?listing-id=1629351","Active")</f>
        <v>Active</v>
      </c>
      <c r="D3243" t="s">
        <v>99</v>
      </c>
      <c r="E3243" t="s">
        <v>7049</v>
      </c>
      <c r="F3243">
        <v>450000</v>
      </c>
      <c r="G3243">
        <v>2003</v>
      </c>
      <c r="H3243">
        <v>1850</v>
      </c>
      <c r="I3243">
        <v>236966400</v>
      </c>
      <c r="J3243">
        <v>3</v>
      </c>
      <c r="K3243">
        <v>3</v>
      </c>
      <c r="M3243" s="2" t="str">
        <f>HYPERLINK("http://maps.live.com/default.aspx?v=2&amp;lvl=15&amp;sp=Point.47.694719_-122.373706_9014 14th Ave NW&amp;cp=47.694719~-122.373706","Map")</f>
        <v>Map</v>
      </c>
      <c r="N3243" s="2" t="str">
        <f>HYPERLINK("http://i-0.rfimg.us/photo/1/bigphoto/894/28057894_0.jpg","Photo")</f>
        <v>Photo</v>
      </c>
      <c r="AG3243">
        <v>47.694718999999999</v>
      </c>
      <c r="AH3243">
        <v>-122.373706</v>
      </c>
      <c r="AI3243" t="s">
        <v>66</v>
      </c>
      <c r="AJ3243">
        <v>98117</v>
      </c>
      <c r="AN3243">
        <v>160000</v>
      </c>
      <c r="BC3243" s="22">
        <v>39547.42291666667</v>
      </c>
      <c r="BI3243" s="22">
        <v>39549.294907407406</v>
      </c>
      <c r="BL3243">
        <v>9000</v>
      </c>
      <c r="BM3243">
        <v>1629351</v>
      </c>
      <c r="BN3243" t="s">
        <v>1773</v>
      </c>
      <c r="BO3243" s="17">
        <f t="shared" ca="1" si="50"/>
        <v>1.8864892361089005</v>
      </c>
      <c r="BP3243" t="b">
        <v>0</v>
      </c>
      <c r="BQ3243">
        <v>1</v>
      </c>
      <c r="BR3243" t="s">
        <v>1667</v>
      </c>
      <c r="BS3243" t="s">
        <v>1900</v>
      </c>
      <c r="BT3243" t="b">
        <v>0</v>
      </c>
      <c r="BV3243" t="s">
        <v>1668</v>
      </c>
      <c r="BW3243">
        <v>9014</v>
      </c>
      <c r="BX3243" t="s">
        <v>1669</v>
      </c>
      <c r="BY3243">
        <v>101295</v>
      </c>
      <c r="BZ3243" t="s">
        <v>1747</v>
      </c>
      <c r="CA3243">
        <v>1</v>
      </c>
      <c r="CB3243" t="b">
        <v>1</v>
      </c>
      <c r="CC3243">
        <v>0</v>
      </c>
      <c r="CD3243" t="b">
        <v>0</v>
      </c>
      <c r="CE3243" t="b">
        <v>1</v>
      </c>
      <c r="CF3243" t="b">
        <v>0</v>
      </c>
      <c r="CG3243">
        <v>2596216</v>
      </c>
      <c r="CH3243" t="s">
        <v>1681</v>
      </c>
      <c r="CI3243" s="10">
        <v>450000</v>
      </c>
      <c r="CJ3243" s="7">
        <v>37775</v>
      </c>
    </row>
    <row r="3244" spans="1:90">
      <c r="A3244">
        <v>28057899</v>
      </c>
      <c r="B3244" s="2" t="str">
        <f>HYPERLINK("http://www.redfin.com/stingray/do/printable-listing?listing-id=1614944","Active")</f>
        <v>Active</v>
      </c>
      <c r="D3244" t="s">
        <v>3885</v>
      </c>
      <c r="E3244" t="s">
        <v>6804</v>
      </c>
      <c r="F3244">
        <v>745000</v>
      </c>
      <c r="G3244">
        <v>1992</v>
      </c>
      <c r="H3244">
        <v>2910</v>
      </c>
      <c r="I3244">
        <v>12937</v>
      </c>
      <c r="J3244">
        <v>4</v>
      </c>
      <c r="K3244">
        <v>2.75</v>
      </c>
      <c r="M3244" s="2" t="str">
        <f>HYPERLINK("http://maps.live.com/default.aspx?v=2&amp;lvl=15&amp;sp=Point.47.533591_-122.192051_7711 111 Pl SE&amp;cp=47.533591~-122.192051","Map")</f>
        <v>Map</v>
      </c>
      <c r="N3244" s="2" t="str">
        <f>HYPERLINK("http://i-0.rfimg.us/photo/1/bigphoto/899/28057899_.jpg","Photo")</f>
        <v>Photo</v>
      </c>
      <c r="AG3244">
        <v>47.533591000000001</v>
      </c>
      <c r="AH3244">
        <v>-122.19205100000001</v>
      </c>
      <c r="AI3244" t="s">
        <v>3885</v>
      </c>
      <c r="AJ3244">
        <v>98056</v>
      </c>
      <c r="AN3244">
        <v>758950</v>
      </c>
      <c r="BC3244" s="22">
        <v>39541.860497685186</v>
      </c>
      <c r="BI3244" s="22">
        <v>39549.294907407406</v>
      </c>
      <c r="BL3244">
        <v>14900</v>
      </c>
      <c r="BM3244">
        <v>1614944</v>
      </c>
      <c r="BN3244" t="s">
        <v>1790</v>
      </c>
      <c r="BO3244" s="17">
        <f t="shared" ca="1" si="50"/>
        <v>7.4489082175932708</v>
      </c>
      <c r="BP3244" t="b">
        <v>0</v>
      </c>
      <c r="BQ3244">
        <v>1</v>
      </c>
      <c r="BR3244" t="s">
        <v>1842</v>
      </c>
      <c r="BS3244">
        <v>111</v>
      </c>
      <c r="BT3244" t="b">
        <v>0</v>
      </c>
      <c r="BV3244" t="s">
        <v>1668</v>
      </c>
      <c r="BW3244">
        <v>7711</v>
      </c>
      <c r="BX3244" t="s">
        <v>3856</v>
      </c>
      <c r="BY3244">
        <v>415383</v>
      </c>
      <c r="BZ3244" t="s">
        <v>2871</v>
      </c>
      <c r="CA3244">
        <v>1</v>
      </c>
      <c r="CB3244" t="b">
        <v>1</v>
      </c>
      <c r="CC3244">
        <v>0</v>
      </c>
      <c r="CD3244" t="b">
        <v>0</v>
      </c>
      <c r="CE3244" t="b">
        <v>1</v>
      </c>
      <c r="CF3244" t="b">
        <v>0</v>
      </c>
      <c r="CG3244">
        <v>2561148</v>
      </c>
      <c r="CH3244" t="s">
        <v>1681</v>
      </c>
      <c r="CI3244" s="10">
        <v>745000</v>
      </c>
      <c r="CJ3244" s="7">
        <v>39240</v>
      </c>
    </row>
    <row r="3245" spans="1:90">
      <c r="A3245">
        <v>28057908</v>
      </c>
      <c r="B3245" s="2" t="str">
        <f>HYPERLINK("http://www.redfin.com/stingray/do/printable-listing?listing-id=1629374","Active")</f>
        <v>Active</v>
      </c>
      <c r="D3245" t="s">
        <v>60</v>
      </c>
      <c r="E3245" t="s">
        <v>7057</v>
      </c>
      <c r="F3245">
        <v>439000</v>
      </c>
      <c r="G3245">
        <v>1940</v>
      </c>
      <c r="H3245">
        <v>0</v>
      </c>
      <c r="I3245">
        <v>0</v>
      </c>
      <c r="J3245">
        <v>3</v>
      </c>
      <c r="K3245">
        <v>1.5</v>
      </c>
      <c r="M3245" s="2" t="str">
        <f>HYPERLINK("http://maps.live.com/default.aspx?v=2&amp;lvl=15&amp;sp=Point.47.676225_-122.323046_551 NE Ravenna Blvd&amp;cp=47.676225~-122.323046","Map")</f>
        <v>Map</v>
      </c>
      <c r="N3245" s="2" t="str">
        <f>HYPERLINK("http://i-0.rfimg.us/photo/1/bigphoto/908/28057908_0.jpg","Photo")</f>
        <v>Photo</v>
      </c>
      <c r="AG3245">
        <v>47.676225000000002</v>
      </c>
      <c r="AH3245">
        <v>-122.32304600000001</v>
      </c>
      <c r="AI3245" t="s">
        <v>66</v>
      </c>
      <c r="AJ3245">
        <v>98115</v>
      </c>
      <c r="AN3245">
        <v>414950</v>
      </c>
      <c r="BC3245" s="22">
        <v>39547.433125000003</v>
      </c>
      <c r="BI3245" s="22">
        <v>39549.294907407406</v>
      </c>
      <c r="BL3245">
        <v>8780</v>
      </c>
      <c r="BM3245">
        <v>1629374</v>
      </c>
      <c r="BN3245" t="s">
        <v>1773</v>
      </c>
      <c r="BO3245" s="17">
        <f t="shared" ca="1" si="50"/>
        <v>1.8762809027757612</v>
      </c>
      <c r="BP3245" t="b">
        <v>0</v>
      </c>
      <c r="BQ3245">
        <v>1</v>
      </c>
      <c r="BR3245" t="s">
        <v>3141</v>
      </c>
      <c r="BS3245" t="s">
        <v>218</v>
      </c>
      <c r="BT3245" t="b">
        <v>0</v>
      </c>
      <c r="BU3245" t="s">
        <v>1738</v>
      </c>
      <c r="BV3245" t="s">
        <v>1668</v>
      </c>
      <c r="BW3245">
        <v>551</v>
      </c>
      <c r="BY3245">
        <v>307049</v>
      </c>
      <c r="BZ3245" s="21">
        <v>0</v>
      </c>
      <c r="CA3245">
        <v>1</v>
      </c>
      <c r="CB3245" t="b">
        <v>1</v>
      </c>
      <c r="CC3245">
        <v>0</v>
      </c>
      <c r="CD3245" t="b">
        <v>0</v>
      </c>
      <c r="CE3245" t="b">
        <v>1</v>
      </c>
      <c r="CF3245" t="b">
        <v>0</v>
      </c>
      <c r="CG3245">
        <v>2565239</v>
      </c>
      <c r="CH3245" t="s">
        <v>1681</v>
      </c>
      <c r="CI3245" s="10">
        <v>439000</v>
      </c>
      <c r="CJ3245" s="7">
        <v>38651</v>
      </c>
    </row>
    <row r="3246" spans="1:90">
      <c r="A3246">
        <v>28057942</v>
      </c>
      <c r="B3246" s="2" t="str">
        <f>HYPERLINK("http://www.redfin.com/stingray/do/printable-listing?listing-id=1614566","Active")</f>
        <v>Active</v>
      </c>
      <c r="D3246" t="s">
        <v>100</v>
      </c>
      <c r="E3246" t="s">
        <v>6773</v>
      </c>
      <c r="F3246">
        <v>540000</v>
      </c>
      <c r="G3246">
        <v>1911</v>
      </c>
      <c r="H3246">
        <v>1700</v>
      </c>
      <c r="I3246">
        <v>4312</v>
      </c>
      <c r="J3246">
        <v>2</v>
      </c>
      <c r="K3246">
        <v>1</v>
      </c>
      <c r="M3246" s="2" t="str">
        <f>HYPERLINK("http://maps.live.com/default.aspx?v=2&amp;lvl=15&amp;sp=Point.47.654946_-122.352243_3960 Dayton Ave N&amp;cp=47.654946~-122.352243","Map")</f>
        <v>Map</v>
      </c>
      <c r="N3246" s="2" t="str">
        <f>HYPERLINK("http://i-0.rfimg.us/photo/1/bigphoto/942/28057942_0.jpg","Photo")</f>
        <v>Photo</v>
      </c>
      <c r="AG3246">
        <v>47.654946000000002</v>
      </c>
      <c r="AH3246">
        <v>-122.352243</v>
      </c>
      <c r="AI3246" t="s">
        <v>66</v>
      </c>
      <c r="AJ3246">
        <v>98103</v>
      </c>
      <c r="AN3246">
        <v>367000</v>
      </c>
      <c r="BC3246" s="22">
        <v>39541.745162037034</v>
      </c>
      <c r="BI3246" s="22">
        <v>39549.294907407406</v>
      </c>
      <c r="BL3246">
        <v>10800</v>
      </c>
      <c r="BM3246">
        <v>1614566</v>
      </c>
      <c r="BN3246" t="s">
        <v>6772</v>
      </c>
      <c r="BO3246" s="17">
        <f t="shared" ca="1" si="50"/>
        <v>7.5642438657450839</v>
      </c>
      <c r="BP3246" t="b">
        <v>0</v>
      </c>
      <c r="BQ3246">
        <v>1</v>
      </c>
      <c r="BR3246" t="s">
        <v>1667</v>
      </c>
      <c r="BS3246" t="s">
        <v>2640</v>
      </c>
      <c r="BT3246" t="b">
        <v>0</v>
      </c>
      <c r="BV3246" t="s">
        <v>1668</v>
      </c>
      <c r="BW3246">
        <v>3960</v>
      </c>
      <c r="BX3246" t="s">
        <v>1712</v>
      </c>
      <c r="BY3246">
        <v>302642</v>
      </c>
      <c r="BZ3246" t="s">
        <v>1747</v>
      </c>
      <c r="CA3246">
        <v>1</v>
      </c>
      <c r="CB3246" t="b">
        <v>1</v>
      </c>
      <c r="CC3246">
        <v>0</v>
      </c>
      <c r="CD3246" t="b">
        <v>0</v>
      </c>
      <c r="CE3246" t="b">
        <v>1</v>
      </c>
      <c r="CF3246" t="b">
        <v>0</v>
      </c>
      <c r="CG3246">
        <v>2932412</v>
      </c>
      <c r="CH3246" t="s">
        <v>1681</v>
      </c>
      <c r="CI3246" s="10">
        <v>540000</v>
      </c>
      <c r="CJ3246" s="7">
        <v>38309</v>
      </c>
    </row>
    <row r="3247" spans="1:90">
      <c r="A3247">
        <v>28057958</v>
      </c>
      <c r="B3247" s="15" t="str">
        <f>HYPERLINK("http://www.redfin.com/stingray/do/printable-listing?listing-id=1616577","Subject To Inspection")</f>
        <v>Subject To Inspection</v>
      </c>
      <c r="D3247" t="s">
        <v>3249</v>
      </c>
      <c r="E3247" t="s">
        <v>6827</v>
      </c>
      <c r="F3247">
        <v>860000</v>
      </c>
      <c r="G3247">
        <v>1924</v>
      </c>
      <c r="H3247">
        <v>2660</v>
      </c>
      <c r="I3247">
        <v>3819</v>
      </c>
      <c r="J3247">
        <v>3</v>
      </c>
      <c r="K3247">
        <v>2</v>
      </c>
      <c r="M3247" s="2" t="str">
        <f>HYPERLINK("http://maps.live.com/default.aspx?v=2&amp;lvl=15&amp;sp=Point.47.638082_-122.348057_453 Boston St&amp;cp=47.638082~-122.348057","Map")</f>
        <v>Map</v>
      </c>
      <c r="N3247" s="2" t="str">
        <f>HYPERLINK("http://i-0.rfimg.us/photo/1/bigphoto/958/28057958_1.jpg","Photo")</f>
        <v>Photo</v>
      </c>
      <c r="AG3247">
        <v>47.638081999999997</v>
      </c>
      <c r="AH3247">
        <v>-122.348057</v>
      </c>
      <c r="AI3247" t="s">
        <v>66</v>
      </c>
      <c r="AJ3247">
        <v>98109</v>
      </c>
      <c r="AN3247">
        <v>696000</v>
      </c>
      <c r="BC3247" s="22">
        <v>39542.42291666667</v>
      </c>
      <c r="BI3247" s="22">
        <v>39549.294907407406</v>
      </c>
      <c r="BL3247">
        <v>17200</v>
      </c>
      <c r="BM3247">
        <v>1616577</v>
      </c>
      <c r="BN3247" t="s">
        <v>1678</v>
      </c>
      <c r="BO3247" s="17">
        <f t="shared" ca="1" si="50"/>
        <v>6.8864892361089005</v>
      </c>
      <c r="BP3247" t="b">
        <v>0</v>
      </c>
      <c r="BQ3247">
        <v>1</v>
      </c>
      <c r="BR3247" t="s">
        <v>1686</v>
      </c>
      <c r="BS3247" t="s">
        <v>3321</v>
      </c>
      <c r="BT3247" t="b">
        <v>0</v>
      </c>
      <c r="BV3247" t="s">
        <v>1668</v>
      </c>
      <c r="BW3247">
        <v>453</v>
      </c>
      <c r="BY3247">
        <v>134950</v>
      </c>
      <c r="BZ3247" t="s">
        <v>1709</v>
      </c>
      <c r="CA3247">
        <v>1</v>
      </c>
      <c r="CB3247" t="b">
        <v>1</v>
      </c>
      <c r="CC3247">
        <v>0</v>
      </c>
      <c r="CD3247" t="b">
        <v>0</v>
      </c>
      <c r="CE3247" t="b">
        <v>1</v>
      </c>
      <c r="CF3247" t="b">
        <v>0</v>
      </c>
      <c r="CG3247">
        <v>2869174</v>
      </c>
      <c r="CH3247" t="s">
        <v>1681</v>
      </c>
      <c r="CI3247" s="10">
        <v>860000</v>
      </c>
      <c r="CJ3247" s="7">
        <v>38652</v>
      </c>
    </row>
    <row r="3248" spans="1:90">
      <c r="A3248">
        <v>28057982</v>
      </c>
      <c r="B3248" s="2" t="str">
        <f>HYPERLINK("http://www.redfin.com/stingray/do/printable-listing?listing-id=1614923","Active")</f>
        <v>Active</v>
      </c>
      <c r="D3248" t="s">
        <v>4542</v>
      </c>
      <c r="E3248" t="s">
        <v>4700</v>
      </c>
      <c r="F3248">
        <v>1234000</v>
      </c>
      <c r="G3248">
        <v>2007</v>
      </c>
      <c r="H3248">
        <v>3585</v>
      </c>
      <c r="I3248">
        <v>5934</v>
      </c>
      <c r="J3248">
        <v>3</v>
      </c>
      <c r="K3248">
        <v>4</v>
      </c>
      <c r="M3248" s="2" t="str">
        <f>HYPERLINK("http://maps.live.com/default.aspx?v=2&amp;lvl=15&amp;sp=Point.47.685721_-122.198052_1224 5TH Pl&amp;cp=47.685721~-122.198052","Map")</f>
        <v>Map</v>
      </c>
      <c r="N3248" s="2" t="str">
        <f>HYPERLINK("http://i-0.rfimg.us/photo/1/bigphoto/982/28057982_0.jpg","Photo")</f>
        <v>Photo</v>
      </c>
      <c r="AG3248">
        <v>47.685721000000001</v>
      </c>
      <c r="AH3248">
        <v>-122.198052</v>
      </c>
      <c r="AI3248" t="s">
        <v>1058</v>
      </c>
      <c r="AJ3248">
        <v>98033</v>
      </c>
      <c r="AN3248">
        <v>470000</v>
      </c>
      <c r="BC3248" s="22">
        <v>39541.852233796293</v>
      </c>
      <c r="BI3248" s="22">
        <v>39549.294907407406</v>
      </c>
      <c r="BL3248">
        <v>24680</v>
      </c>
      <c r="BM3248">
        <v>1614923</v>
      </c>
      <c r="BN3248" t="s">
        <v>3028</v>
      </c>
      <c r="BO3248" s="17">
        <f t="shared" ca="1" si="50"/>
        <v>7.4571721064858139</v>
      </c>
      <c r="BP3248" t="b">
        <v>0</v>
      </c>
      <c r="BQ3248">
        <v>1</v>
      </c>
      <c r="BR3248" t="s">
        <v>1842</v>
      </c>
      <c r="BS3248" t="s">
        <v>4701</v>
      </c>
      <c r="BT3248" t="b">
        <v>0</v>
      </c>
      <c r="BV3248" t="s">
        <v>1668</v>
      </c>
      <c r="BW3248">
        <v>1224</v>
      </c>
      <c r="BY3248">
        <v>462159</v>
      </c>
      <c r="BZ3248" t="s">
        <v>1745</v>
      </c>
      <c r="CA3248">
        <v>1</v>
      </c>
      <c r="CB3248" t="b">
        <v>1</v>
      </c>
      <c r="CC3248">
        <v>0</v>
      </c>
      <c r="CD3248" t="b">
        <v>0</v>
      </c>
      <c r="CE3248" t="b">
        <v>1</v>
      </c>
      <c r="CF3248" t="b">
        <v>0</v>
      </c>
      <c r="CG3248">
        <v>2872846</v>
      </c>
      <c r="CH3248" t="s">
        <v>1681</v>
      </c>
      <c r="CI3248" s="10">
        <v>1234000</v>
      </c>
      <c r="CJ3248" s="7">
        <v>38792</v>
      </c>
      <c r="CL3248" s="19" t="s">
        <v>6906</v>
      </c>
    </row>
    <row r="3249" spans="1:90">
      <c r="A3249">
        <v>28058002</v>
      </c>
      <c r="B3249" s="2" t="str">
        <f>HYPERLINK("http://www.redfin.com/stingray/do/printable-listing?listing-id=1620262","Active")</f>
        <v>Active</v>
      </c>
      <c r="D3249" t="s">
        <v>109</v>
      </c>
      <c r="E3249" t="s">
        <v>3315</v>
      </c>
      <c r="F3249">
        <v>499000</v>
      </c>
      <c r="G3249">
        <v>1901</v>
      </c>
      <c r="H3249">
        <v>0</v>
      </c>
      <c r="I3249">
        <v>0</v>
      </c>
      <c r="J3249">
        <v>2</v>
      </c>
      <c r="K3249">
        <v>1.75</v>
      </c>
      <c r="M3249" s="2" t="str">
        <f>HYPERLINK("http://maps.live.com/default.aspx?v=2&amp;lvl=15&amp;sp=Point.47.650042_-122.339556_3527 Carr Pl N&amp;cp=47.650042~-122.339556","Map")</f>
        <v>Map</v>
      </c>
      <c r="N3249" s="2" t="str">
        <f>HYPERLINK("http://i-0.rfimg.us/photo/1/bigphoto/002/28058002_0.jpg","Photo")</f>
        <v>Photo</v>
      </c>
      <c r="AG3249">
        <v>47.650041999999999</v>
      </c>
      <c r="AH3249">
        <v>-122.339556</v>
      </c>
      <c r="AI3249" t="s">
        <v>66</v>
      </c>
      <c r="AJ3249">
        <v>98103</v>
      </c>
      <c r="AN3249">
        <v>369900</v>
      </c>
      <c r="BC3249" s="22">
        <v>39543.452638888892</v>
      </c>
      <c r="BI3249" s="22">
        <v>39549.294907407406</v>
      </c>
      <c r="BL3249">
        <v>9980</v>
      </c>
      <c r="BM3249">
        <v>1620262</v>
      </c>
      <c r="BN3249" t="s">
        <v>1685</v>
      </c>
      <c r="BO3249" s="17">
        <f t="shared" ca="1" si="50"/>
        <v>5.8567670138872927</v>
      </c>
      <c r="BP3249" t="b">
        <v>0</v>
      </c>
      <c r="BQ3249">
        <v>1</v>
      </c>
      <c r="BR3249" t="s">
        <v>1842</v>
      </c>
      <c r="BS3249" t="s">
        <v>3316</v>
      </c>
      <c r="BT3249" t="b">
        <v>0</v>
      </c>
      <c r="BV3249" t="s">
        <v>1668</v>
      </c>
      <c r="BW3249">
        <v>3527</v>
      </c>
      <c r="BX3249" t="s">
        <v>1712</v>
      </c>
      <c r="BY3249">
        <v>119018</v>
      </c>
      <c r="BZ3249" t="s">
        <v>1672</v>
      </c>
      <c r="CA3249">
        <v>1</v>
      </c>
      <c r="CB3249" t="b">
        <v>1</v>
      </c>
      <c r="CC3249">
        <v>0</v>
      </c>
      <c r="CD3249" t="b">
        <v>0</v>
      </c>
      <c r="CE3249" t="b">
        <v>1</v>
      </c>
      <c r="CF3249" t="b">
        <v>0</v>
      </c>
      <c r="CG3249">
        <v>2642551</v>
      </c>
      <c r="CH3249" t="s">
        <v>1681</v>
      </c>
      <c r="CI3249" s="10">
        <v>499000</v>
      </c>
      <c r="CJ3249" s="7">
        <v>37760</v>
      </c>
    </row>
    <row r="3250" spans="1:90">
      <c r="A3250">
        <v>28058003</v>
      </c>
      <c r="B3250" s="2" t="str">
        <f>HYPERLINK("http://www.redfin.com/stingray/do/printable-listing?listing-id=1623553","Active")</f>
        <v>Active</v>
      </c>
      <c r="D3250" t="s">
        <v>3249</v>
      </c>
      <c r="E3250" t="s">
        <v>6960</v>
      </c>
      <c r="F3250">
        <v>550000</v>
      </c>
      <c r="G3250">
        <v>1927</v>
      </c>
      <c r="H3250">
        <v>1410</v>
      </c>
      <c r="I3250">
        <v>4080</v>
      </c>
      <c r="J3250">
        <v>2</v>
      </c>
      <c r="K3250">
        <v>1</v>
      </c>
      <c r="M3250" s="2" t="str">
        <f>HYPERLINK("http://maps.live.com/default.aspx?v=2&amp;lvl=15&amp;sp=Point.47.644533_-122.370891_1014 W Newell St&amp;cp=47.644533~-122.370891","Map")</f>
        <v>Map</v>
      </c>
      <c r="N3250" s="2" t="str">
        <f>HYPERLINK("http://i-0.rfimg.us/photo/1/bigphoto/003/28058003_2.jpg","Photo")</f>
        <v>Photo</v>
      </c>
      <c r="AG3250">
        <v>47.644533000000003</v>
      </c>
      <c r="AH3250">
        <v>-122.370891</v>
      </c>
      <c r="AI3250" t="s">
        <v>66</v>
      </c>
      <c r="AJ3250">
        <v>98119</v>
      </c>
      <c r="AN3250">
        <v>455000</v>
      </c>
      <c r="BC3250" s="22">
        <v>39545.579224537039</v>
      </c>
      <c r="BI3250" s="22">
        <v>39549.294907407406</v>
      </c>
      <c r="BL3250">
        <v>11000</v>
      </c>
      <c r="BM3250">
        <v>1623553</v>
      </c>
      <c r="BN3250" t="s">
        <v>1674</v>
      </c>
      <c r="BO3250" s="17">
        <f t="shared" ca="1" si="50"/>
        <v>3.7301813657395542</v>
      </c>
      <c r="BP3250" t="b">
        <v>0</v>
      </c>
      <c r="BQ3250">
        <v>1</v>
      </c>
      <c r="BR3250" t="s">
        <v>1686</v>
      </c>
      <c r="BS3250" t="s">
        <v>3576</v>
      </c>
      <c r="BT3250" t="b">
        <v>0</v>
      </c>
      <c r="BU3250" t="s">
        <v>2423</v>
      </c>
      <c r="BV3250" t="s">
        <v>1668</v>
      </c>
      <c r="BW3250">
        <v>1014</v>
      </c>
      <c r="BY3250">
        <v>130417</v>
      </c>
      <c r="BZ3250" t="s">
        <v>6961</v>
      </c>
      <c r="CA3250">
        <v>1</v>
      </c>
      <c r="CB3250" t="b">
        <v>1</v>
      </c>
      <c r="CC3250">
        <v>0</v>
      </c>
      <c r="CD3250" t="b">
        <v>0</v>
      </c>
      <c r="CE3250" t="b">
        <v>1</v>
      </c>
      <c r="CF3250" t="b">
        <v>0</v>
      </c>
      <c r="CG3250">
        <v>2463510</v>
      </c>
      <c r="CH3250" t="s">
        <v>1681</v>
      </c>
      <c r="CI3250" s="10">
        <v>550000</v>
      </c>
      <c r="CJ3250" s="7">
        <v>38275</v>
      </c>
    </row>
    <row r="3251" spans="1:90">
      <c r="A3251">
        <v>28058021</v>
      </c>
      <c r="B3251" s="2" t="str">
        <f>HYPERLINK("http://www.redfin.com/stingray/do/printable-listing?listing-id=1615058","Active")</f>
        <v>Active</v>
      </c>
      <c r="D3251" t="s">
        <v>3885</v>
      </c>
      <c r="E3251" t="s">
        <v>6870</v>
      </c>
      <c r="F3251">
        <v>629000</v>
      </c>
      <c r="G3251">
        <v>2004</v>
      </c>
      <c r="H3251">
        <v>3060</v>
      </c>
      <c r="I3251">
        <v>8995</v>
      </c>
      <c r="J3251">
        <v>4</v>
      </c>
      <c r="K3251">
        <v>2.5</v>
      </c>
      <c r="M3251" s="2" t="str">
        <f>HYPERLINK("http://maps.live.com/default.aspx?v=2&amp;lvl=15&amp;sp=Point.47.525337_-122.190185_11302 SE 86th PL&amp;cp=47.525337~-122.190185","Map")</f>
        <v>Map</v>
      </c>
      <c r="N3251" s="2" t="str">
        <f>HYPERLINK("http://i-0.rfimg.us/photo/1/bigphoto/021/28058021_1.jpg","Photo")</f>
        <v>Photo</v>
      </c>
      <c r="AG3251">
        <v>47.525337</v>
      </c>
      <c r="AH3251">
        <v>-122.190185</v>
      </c>
      <c r="AI3251" t="s">
        <v>3885</v>
      </c>
      <c r="AJ3251">
        <v>98056</v>
      </c>
      <c r="AN3251">
        <v>195000</v>
      </c>
      <c r="BC3251" s="22">
        <v>39541.953449074077</v>
      </c>
      <c r="BI3251" s="22">
        <v>39549.294907407406</v>
      </c>
      <c r="BL3251">
        <v>12580</v>
      </c>
      <c r="BM3251">
        <v>1615058</v>
      </c>
      <c r="BN3251" t="s">
        <v>6869</v>
      </c>
      <c r="BO3251" s="17">
        <f t="shared" ca="1" si="50"/>
        <v>7.3559568287018919</v>
      </c>
      <c r="BP3251" t="b">
        <v>0</v>
      </c>
      <c r="BQ3251">
        <v>1</v>
      </c>
      <c r="BR3251" t="s">
        <v>4457</v>
      </c>
      <c r="BS3251" t="s">
        <v>2866</v>
      </c>
      <c r="BT3251" t="b">
        <v>0</v>
      </c>
      <c r="BU3251" t="s">
        <v>3856</v>
      </c>
      <c r="BV3251" t="s">
        <v>1668</v>
      </c>
      <c r="BW3251">
        <v>11302</v>
      </c>
      <c r="BY3251">
        <v>2062312</v>
      </c>
      <c r="BZ3251" t="s">
        <v>1689</v>
      </c>
      <c r="CA3251">
        <v>1</v>
      </c>
      <c r="CB3251" t="b">
        <v>1</v>
      </c>
      <c r="CC3251">
        <v>0</v>
      </c>
      <c r="CD3251" t="b">
        <v>0</v>
      </c>
      <c r="CE3251" t="b">
        <v>1</v>
      </c>
      <c r="CF3251" t="b">
        <v>0</v>
      </c>
      <c r="CG3251">
        <v>2400627</v>
      </c>
      <c r="CH3251" t="s">
        <v>1681</v>
      </c>
      <c r="CI3251" s="10">
        <v>629000</v>
      </c>
      <c r="CJ3251" s="7">
        <v>38212</v>
      </c>
    </row>
    <row r="3252" spans="1:90">
      <c r="A3252">
        <v>28058044</v>
      </c>
      <c r="B3252" s="2" t="str">
        <f>HYPERLINK("http://www.redfin.com/stingray/do/printable-listing?listing-id=1620746","Active")</f>
        <v>Active</v>
      </c>
      <c r="D3252" t="s">
        <v>60</v>
      </c>
      <c r="E3252" t="s">
        <v>6889</v>
      </c>
      <c r="F3252">
        <v>699950</v>
      </c>
      <c r="G3252">
        <v>1926</v>
      </c>
      <c r="H3252">
        <v>2730</v>
      </c>
      <c r="I3252">
        <v>6120</v>
      </c>
      <c r="J3252">
        <v>4</v>
      </c>
      <c r="K3252">
        <v>2</v>
      </c>
      <c r="M3252" s="2" t="str">
        <f>HYPERLINK("http://maps.live.com/default.aspx?v=2&amp;lvl=15&amp;sp=Point.47.689614_-122.348203_737 N 84th St&amp;cp=47.689614~-122.348203","Map")</f>
        <v>Map</v>
      </c>
      <c r="N3252" s="2" t="str">
        <f>HYPERLINK("http://i-0.rfimg.us/photo/1/bigphoto/044/28058044_.jpg","Photo")</f>
        <v>Photo</v>
      </c>
      <c r="AG3252">
        <v>47.689613999999999</v>
      </c>
      <c r="AH3252">
        <v>-122.348203</v>
      </c>
      <c r="AI3252" t="s">
        <v>66</v>
      </c>
      <c r="AJ3252">
        <v>98103</v>
      </c>
      <c r="AN3252">
        <v>455000</v>
      </c>
      <c r="BC3252" s="22">
        <v>39543.662164351852</v>
      </c>
      <c r="BI3252" s="22">
        <v>39549.294907407406</v>
      </c>
      <c r="BL3252">
        <v>13999</v>
      </c>
      <c r="BM3252">
        <v>1620746</v>
      </c>
      <c r="BN3252" t="s">
        <v>2202</v>
      </c>
      <c r="BO3252" s="17">
        <f t="shared" ca="1" si="50"/>
        <v>5.6472415509269922</v>
      </c>
      <c r="BP3252" t="b">
        <v>0</v>
      </c>
      <c r="BQ3252">
        <v>1</v>
      </c>
      <c r="BR3252" t="s">
        <v>1686</v>
      </c>
      <c r="BS3252" t="s">
        <v>1826</v>
      </c>
      <c r="BT3252" t="b">
        <v>0</v>
      </c>
      <c r="BU3252" t="s">
        <v>1712</v>
      </c>
      <c r="BV3252" t="s">
        <v>1668</v>
      </c>
      <c r="BW3252">
        <v>737</v>
      </c>
      <c r="BY3252">
        <v>300771</v>
      </c>
      <c r="BZ3252" t="s">
        <v>1813</v>
      </c>
      <c r="CA3252">
        <v>1</v>
      </c>
      <c r="CB3252" t="b">
        <v>1</v>
      </c>
      <c r="CC3252">
        <v>0</v>
      </c>
      <c r="CD3252" t="b">
        <v>0</v>
      </c>
      <c r="CE3252" t="b">
        <v>1</v>
      </c>
      <c r="CF3252" t="b">
        <v>0</v>
      </c>
      <c r="CG3252">
        <v>2431410</v>
      </c>
      <c r="CH3252" t="s">
        <v>1681</v>
      </c>
      <c r="CI3252" s="10">
        <v>699950</v>
      </c>
      <c r="CJ3252" s="7">
        <v>39407</v>
      </c>
      <c r="CL3252" s="19" t="s">
        <v>6945</v>
      </c>
    </row>
    <row r="3253" spans="1:90">
      <c r="A3253">
        <v>28058060</v>
      </c>
      <c r="B3253" s="2" t="str">
        <f>HYPERLINK("http://www.redfin.com/stingray/do/printable-listing?listing-id=1616470","Active")</f>
        <v>Active</v>
      </c>
      <c r="D3253" t="s">
        <v>101</v>
      </c>
      <c r="E3253" t="s">
        <v>2334</v>
      </c>
      <c r="F3253">
        <v>554500</v>
      </c>
      <c r="G3253">
        <v>1924</v>
      </c>
      <c r="H3253">
        <v>0</v>
      </c>
      <c r="I3253">
        <v>7590</v>
      </c>
      <c r="J3253">
        <v>2</v>
      </c>
      <c r="K3253">
        <v>1.5</v>
      </c>
      <c r="M3253" s="2" t="str">
        <f>HYPERLINK("http://maps.live.com/default.aspx?v=2&amp;lvl=15&amp;sp=Point.47.693095_-122.397256_8723 31st Ave NW&amp;cp=47.693095~-122.397256","Map")</f>
        <v>Map</v>
      </c>
      <c r="N3253" s="2" t="str">
        <f>HYPERLINK("http://i-0.rfimg.us/photo/1/bigphoto/060/28058060_0.jpg","Photo")</f>
        <v>Photo</v>
      </c>
      <c r="AG3253">
        <v>47.693095</v>
      </c>
      <c r="AH3253">
        <v>-122.397256</v>
      </c>
      <c r="AI3253" t="s">
        <v>66</v>
      </c>
      <c r="AJ3253">
        <v>98117</v>
      </c>
      <c r="AN3253">
        <v>305000</v>
      </c>
      <c r="BC3253" s="22">
        <v>39542.401562500003</v>
      </c>
      <c r="BI3253" s="22">
        <v>39549.294907407406</v>
      </c>
      <c r="BL3253">
        <v>11090</v>
      </c>
      <c r="BM3253">
        <v>1616470</v>
      </c>
      <c r="BN3253" t="s">
        <v>1710</v>
      </c>
      <c r="BO3253" s="17">
        <f t="shared" ca="1" si="50"/>
        <v>6.9078434027760522</v>
      </c>
      <c r="BP3253" t="b">
        <v>0</v>
      </c>
      <c r="BQ3253">
        <v>1</v>
      </c>
      <c r="BR3253" t="s">
        <v>1667</v>
      </c>
      <c r="BS3253" t="s">
        <v>1732</v>
      </c>
      <c r="BT3253" t="b">
        <v>0</v>
      </c>
      <c r="BV3253" t="s">
        <v>1668</v>
      </c>
      <c r="BW3253">
        <v>8723</v>
      </c>
      <c r="BX3253" t="s">
        <v>1669</v>
      </c>
      <c r="BY3253">
        <v>166022</v>
      </c>
      <c r="BZ3253" t="s">
        <v>1676</v>
      </c>
      <c r="CA3253">
        <v>1</v>
      </c>
      <c r="CB3253" t="b">
        <v>1</v>
      </c>
      <c r="CC3253">
        <v>0</v>
      </c>
      <c r="CD3253" t="b">
        <v>0</v>
      </c>
      <c r="CE3253" t="b">
        <v>1</v>
      </c>
      <c r="CF3253" t="b">
        <v>0</v>
      </c>
      <c r="CG3253">
        <v>2366698</v>
      </c>
      <c r="CH3253" t="s">
        <v>1681</v>
      </c>
      <c r="CI3253" s="10">
        <v>554500</v>
      </c>
      <c r="CJ3253" s="7">
        <v>37729</v>
      </c>
    </row>
    <row r="3254" spans="1:90">
      <c r="A3254">
        <v>28058069</v>
      </c>
      <c r="B3254" s="2" t="str">
        <f>HYPERLINK("http://www.redfin.com/stingray/do/printable-listing?listing-id=1616147","Active")</f>
        <v>Active</v>
      </c>
      <c r="D3254" t="s">
        <v>3066</v>
      </c>
      <c r="E3254" t="s">
        <v>4903</v>
      </c>
      <c r="F3254">
        <v>949800</v>
      </c>
      <c r="G3254">
        <v>2007</v>
      </c>
      <c r="H3254">
        <v>3267</v>
      </c>
      <c r="I3254">
        <v>7998</v>
      </c>
      <c r="J3254">
        <v>4</v>
      </c>
      <c r="K3254">
        <v>3.25</v>
      </c>
      <c r="M3254" s="2" t="str">
        <f>HYPERLINK("http://maps.live.com/default.aspx?v=2&amp;lvl=15&amp;sp=Point.47.6701_-122.1639_12311 NE 73rd Pl&amp;cp=47.6701~-122.1639","Map")</f>
        <v>Map</v>
      </c>
      <c r="N3254" s="2" t="str">
        <f>HYPERLINK("http://i-0.rfimg.us/photo/1/bigphoto/069/28058069_0.jpg","Photo")</f>
        <v>Photo</v>
      </c>
      <c r="AG3254">
        <v>47.670099999999998</v>
      </c>
      <c r="AH3254">
        <v>-122.1639</v>
      </c>
      <c r="AI3254" t="s">
        <v>1058</v>
      </c>
      <c r="AJ3254">
        <v>98033</v>
      </c>
      <c r="BC3254" s="22">
        <v>39542.348668981482</v>
      </c>
      <c r="BI3254" s="22">
        <v>39549.294907407406</v>
      </c>
      <c r="BL3254">
        <v>18996</v>
      </c>
      <c r="BM3254">
        <v>1616147</v>
      </c>
      <c r="BN3254" t="s">
        <v>3329</v>
      </c>
      <c r="BO3254" s="17">
        <f t="shared" ca="1" si="50"/>
        <v>6.9607369212972117</v>
      </c>
      <c r="BP3254" t="b">
        <v>0</v>
      </c>
      <c r="BQ3254">
        <v>1</v>
      </c>
      <c r="BR3254" t="s">
        <v>1842</v>
      </c>
      <c r="BS3254" t="s">
        <v>1828</v>
      </c>
      <c r="BT3254" t="b">
        <v>0</v>
      </c>
      <c r="BU3254" t="s">
        <v>1738</v>
      </c>
      <c r="BV3254" t="s">
        <v>1668</v>
      </c>
      <c r="BW3254">
        <v>12311</v>
      </c>
      <c r="BY3254">
        <v>11903115</v>
      </c>
      <c r="BZ3254" t="s">
        <v>1745</v>
      </c>
      <c r="CA3254">
        <v>1</v>
      </c>
      <c r="CB3254" t="b">
        <v>1</v>
      </c>
      <c r="CC3254">
        <v>0</v>
      </c>
      <c r="CD3254" t="b">
        <v>0</v>
      </c>
      <c r="CE3254" t="b">
        <v>1</v>
      </c>
      <c r="CF3254" t="b">
        <v>0</v>
      </c>
      <c r="CG3254">
        <v>15157340</v>
      </c>
      <c r="CH3254" t="s">
        <v>1681</v>
      </c>
      <c r="CI3254" s="10">
        <v>949800</v>
      </c>
    </row>
    <row r="3255" spans="1:90">
      <c r="A3255">
        <v>28058078</v>
      </c>
      <c r="B3255" s="2" t="str">
        <f>HYPERLINK("http://www.redfin.com/stingray/do/printable-listing?listing-id=1624246","Active")</f>
        <v>Active</v>
      </c>
      <c r="D3255" t="s">
        <v>3249</v>
      </c>
      <c r="E3255" t="s">
        <v>6965</v>
      </c>
      <c r="F3255" s="19">
        <v>618000</v>
      </c>
      <c r="G3255">
        <v>2005</v>
      </c>
      <c r="H3255">
        <v>1790</v>
      </c>
      <c r="I3255">
        <v>1570</v>
      </c>
      <c r="J3255">
        <v>3</v>
      </c>
      <c r="K3255">
        <v>2.5</v>
      </c>
      <c r="M3255" s="2" t="str">
        <f>HYPERLINK("http://maps.live.com/default.aspx?v=2&amp;lvl=15&amp;sp=Point.47.637371_-122.374795_2026 14th Ave W&amp;cp=47.637371~-122.374795","Map")</f>
        <v>Map</v>
      </c>
      <c r="N3255" s="2" t="str">
        <f>HYPERLINK("http://i-0.rfimg.us/photo/1/bigphoto/078/28058078_0.jpg","Photo")</f>
        <v>Photo</v>
      </c>
      <c r="AG3255">
        <v>47.637371000000002</v>
      </c>
      <c r="AH3255">
        <v>-122.37479500000001</v>
      </c>
      <c r="AI3255" t="s">
        <v>66</v>
      </c>
      <c r="AJ3255">
        <v>98119</v>
      </c>
      <c r="AN3255">
        <v>520000</v>
      </c>
      <c r="BC3255" s="22">
        <v>39545.725636574076</v>
      </c>
      <c r="BI3255" s="22">
        <v>39549.294907407406</v>
      </c>
      <c r="BL3255">
        <v>9300</v>
      </c>
      <c r="BM3255">
        <v>1624246</v>
      </c>
      <c r="BN3255" t="s">
        <v>1773</v>
      </c>
      <c r="BO3255" s="17">
        <f t="shared" ca="1" si="50"/>
        <v>3.5837693287030561</v>
      </c>
      <c r="BP3255" t="b">
        <v>0</v>
      </c>
      <c r="BQ3255">
        <v>1</v>
      </c>
      <c r="BR3255" t="s">
        <v>1667</v>
      </c>
      <c r="BS3255" t="s">
        <v>1900</v>
      </c>
      <c r="BT3255" t="b">
        <v>0</v>
      </c>
      <c r="BV3255" t="s">
        <v>1668</v>
      </c>
      <c r="BW3255">
        <v>2026</v>
      </c>
      <c r="BX3255" t="s">
        <v>2423</v>
      </c>
      <c r="BY3255">
        <v>2070308</v>
      </c>
      <c r="BZ3255" s="21">
        <v>0</v>
      </c>
      <c r="CA3255">
        <v>1</v>
      </c>
      <c r="CB3255" t="b">
        <v>1</v>
      </c>
      <c r="CC3255">
        <v>0</v>
      </c>
      <c r="CD3255" t="b">
        <v>0</v>
      </c>
      <c r="CE3255" t="b">
        <v>1</v>
      </c>
      <c r="CF3255" t="b">
        <v>0</v>
      </c>
      <c r="CG3255">
        <v>2532618</v>
      </c>
      <c r="CH3255" t="s">
        <v>1681</v>
      </c>
      <c r="CI3255" s="10">
        <v>465000</v>
      </c>
      <c r="CJ3255" s="7">
        <v>38289</v>
      </c>
    </row>
    <row r="3256" spans="1:90">
      <c r="A3256">
        <v>28058134</v>
      </c>
      <c r="B3256" s="2" t="str">
        <f>HYPERLINK("http://www.redfin.com/stingray/do/printable-listing?listing-id=1616383","Active")</f>
        <v>Active</v>
      </c>
      <c r="D3256" t="s">
        <v>5341</v>
      </c>
      <c r="E3256" t="s">
        <v>6862</v>
      </c>
      <c r="F3256">
        <v>1149000</v>
      </c>
      <c r="G3256">
        <v>1973</v>
      </c>
      <c r="H3256">
        <v>2120</v>
      </c>
      <c r="I3256">
        <v>14100</v>
      </c>
      <c r="J3256">
        <v>4</v>
      </c>
      <c r="K3256">
        <v>2.5</v>
      </c>
      <c r="M3256" s="2" t="str">
        <f>HYPERLINK("http://maps.live.com/default.aspx?v=2&amp;lvl=15&amp;sp=Point.47.570169_-122.184327_25 Vashon Key&amp;cp=47.570169~-122.184327","Map")</f>
        <v>Map</v>
      </c>
      <c r="N3256" s="2" t="str">
        <f>HYPERLINK("http://i-0.rfimg.us/photo/1/bigphoto/134/28058134_0.jpg","Photo")</f>
        <v>Photo</v>
      </c>
      <c r="AG3256">
        <v>47.570169</v>
      </c>
      <c r="AH3256">
        <v>-122.184327</v>
      </c>
      <c r="AI3256" t="s">
        <v>369</v>
      </c>
      <c r="AJ3256">
        <v>98006</v>
      </c>
      <c r="AN3256">
        <v>870000</v>
      </c>
      <c r="BC3256" s="22">
        <v>39542.391111111108</v>
      </c>
      <c r="BI3256" s="22">
        <v>39549.294907407406</v>
      </c>
      <c r="BL3256">
        <v>22980</v>
      </c>
      <c r="BM3256">
        <v>1616383</v>
      </c>
      <c r="BN3256" t="s">
        <v>1737</v>
      </c>
      <c r="BO3256" s="17">
        <f t="shared" ca="1" si="50"/>
        <v>6.9182947916706325</v>
      </c>
      <c r="BP3256" t="b">
        <v>0</v>
      </c>
      <c r="BQ3256">
        <v>1</v>
      </c>
      <c r="BR3256" t="s">
        <v>5338</v>
      </c>
      <c r="BS3256" t="s">
        <v>6088</v>
      </c>
      <c r="BT3256" t="b">
        <v>0</v>
      </c>
      <c r="BV3256" t="s">
        <v>1668</v>
      </c>
      <c r="BW3256">
        <v>25</v>
      </c>
      <c r="BY3256">
        <v>409414</v>
      </c>
      <c r="BZ3256" t="s">
        <v>1672</v>
      </c>
      <c r="CA3256">
        <v>1</v>
      </c>
      <c r="CB3256" t="b">
        <v>1</v>
      </c>
      <c r="CC3256">
        <v>0</v>
      </c>
      <c r="CD3256" t="b">
        <v>0</v>
      </c>
      <c r="CE3256" t="b">
        <v>1</v>
      </c>
      <c r="CF3256" t="b">
        <v>0</v>
      </c>
      <c r="CG3256">
        <v>2947782</v>
      </c>
      <c r="CH3256" t="s">
        <v>1681</v>
      </c>
      <c r="CI3256" s="10">
        <v>1149000</v>
      </c>
      <c r="CJ3256" s="7">
        <v>38799</v>
      </c>
    </row>
    <row r="3257" spans="1:90">
      <c r="A3257">
        <v>28058140</v>
      </c>
      <c r="B3257" s="2" t="str">
        <f>HYPERLINK("http://www.redfin.com/stingray/do/printable-listing?listing-id=1620714","Active")</f>
        <v>Active</v>
      </c>
      <c r="D3257" t="s">
        <v>2552</v>
      </c>
      <c r="E3257" t="s">
        <v>6893</v>
      </c>
      <c r="F3257">
        <v>875000</v>
      </c>
      <c r="G3257">
        <v>1925</v>
      </c>
      <c r="H3257">
        <v>2590</v>
      </c>
      <c r="I3257">
        <v>5160</v>
      </c>
      <c r="J3257">
        <v>4</v>
      </c>
      <c r="K3257">
        <v>2.75</v>
      </c>
      <c r="M3257" s="2" t="str">
        <f>HYPERLINK("http://maps.live.com/default.aspx?v=2&amp;lvl=15&amp;sp=Point.47.650872_-122.410653_3424 42nd St W&amp;cp=47.650872~-122.410653","Map")</f>
        <v>Map</v>
      </c>
      <c r="N3257" s="2" t="str">
        <f>HYPERLINK("http://i-0.rfimg.us/photo/1/bigphoto/140/28058140_0.jpg","Photo")</f>
        <v>Photo</v>
      </c>
      <c r="AG3257">
        <v>47.650872</v>
      </c>
      <c r="AH3257">
        <v>-122.410653</v>
      </c>
      <c r="AI3257" t="s">
        <v>66</v>
      </c>
      <c r="AJ3257">
        <v>98199</v>
      </c>
      <c r="AN3257">
        <v>665000</v>
      </c>
      <c r="BC3257" s="22">
        <v>39543.654016203705</v>
      </c>
      <c r="BI3257" s="22">
        <v>39549.294907407406</v>
      </c>
      <c r="BL3257">
        <v>17500</v>
      </c>
      <c r="BM3257">
        <v>1620714</v>
      </c>
      <c r="BN3257" t="s">
        <v>1678</v>
      </c>
      <c r="BO3257" s="17">
        <f t="shared" ca="1" si="50"/>
        <v>5.6553896990735666</v>
      </c>
      <c r="BP3257" t="b">
        <v>0</v>
      </c>
      <c r="BQ3257">
        <v>1</v>
      </c>
      <c r="BR3257" t="s">
        <v>1686</v>
      </c>
      <c r="BS3257" t="s">
        <v>3371</v>
      </c>
      <c r="BT3257" t="b">
        <v>0</v>
      </c>
      <c r="BV3257" t="s">
        <v>1668</v>
      </c>
      <c r="BW3257">
        <v>3424</v>
      </c>
      <c r="BX3257" t="s">
        <v>2423</v>
      </c>
      <c r="BY3257">
        <v>128360</v>
      </c>
      <c r="BZ3257" t="s">
        <v>1672</v>
      </c>
      <c r="CA3257">
        <v>1</v>
      </c>
      <c r="CB3257" t="b">
        <v>1</v>
      </c>
      <c r="CC3257">
        <v>0</v>
      </c>
      <c r="CD3257" t="b">
        <v>0</v>
      </c>
      <c r="CE3257" t="b">
        <v>1</v>
      </c>
      <c r="CF3257" t="b">
        <v>0</v>
      </c>
      <c r="CG3257">
        <v>2392874</v>
      </c>
      <c r="CH3257" t="s">
        <v>1681</v>
      </c>
      <c r="CI3257" s="10">
        <v>875000</v>
      </c>
      <c r="CJ3257" s="7">
        <v>37726</v>
      </c>
    </row>
    <row r="3258" spans="1:90">
      <c r="A3258">
        <v>28058146</v>
      </c>
      <c r="B3258" s="2" t="str">
        <f>HYPERLINK("http://www.redfin.com/stingray/do/printable-listing?listing-id=1616385","Active")</f>
        <v>Active</v>
      </c>
      <c r="D3258" s="19" t="s">
        <v>3685</v>
      </c>
      <c r="E3258" t="s">
        <v>6836</v>
      </c>
      <c r="F3258">
        <v>739000</v>
      </c>
      <c r="G3258">
        <v>1926</v>
      </c>
      <c r="H3258">
        <v>1400</v>
      </c>
      <c r="I3258">
        <v>2680</v>
      </c>
      <c r="J3258">
        <v>2</v>
      </c>
      <c r="K3258">
        <v>1</v>
      </c>
      <c r="M3258" s="2" t="str">
        <f>HYPERLINK("http://maps.live.com/default.aspx?v=2&amp;lvl=15&amp;sp=Point.47.637105_-122.27937_2002 41st Ave E&amp;cp=47.637105~-122.27937","Map")</f>
        <v>Map</v>
      </c>
      <c r="N3258" s="2" t="str">
        <f>HYPERLINK("http://i-0.rfimg.us/photo/1/bigphoto/146/28058146_0.jpg","Photo")</f>
        <v>Photo</v>
      </c>
      <c r="AG3258">
        <v>47.637104999999998</v>
      </c>
      <c r="AH3258">
        <v>-122.27937</v>
      </c>
      <c r="AI3258" t="s">
        <v>66</v>
      </c>
      <c r="AJ3258">
        <v>98112</v>
      </c>
      <c r="BC3258" s="22">
        <v>39542.391145833331</v>
      </c>
      <c r="BI3258" s="22">
        <v>39549.294907407406</v>
      </c>
      <c r="BL3258">
        <v>14780</v>
      </c>
      <c r="BM3258">
        <v>1616385</v>
      </c>
      <c r="BN3258" t="s">
        <v>1814</v>
      </c>
      <c r="BO3258" s="17">
        <f t="shared" ca="1" si="50"/>
        <v>6.9182600694475695</v>
      </c>
      <c r="BP3258" t="b">
        <v>0</v>
      </c>
      <c r="BQ3258">
        <v>1</v>
      </c>
      <c r="BR3258" t="s">
        <v>1667</v>
      </c>
      <c r="BS3258" t="s">
        <v>3222</v>
      </c>
      <c r="BT3258" t="b">
        <v>0</v>
      </c>
      <c r="BV3258" t="s">
        <v>1668</v>
      </c>
      <c r="BW3258">
        <v>2002</v>
      </c>
      <c r="BX3258" t="s">
        <v>2436</v>
      </c>
      <c r="BY3258">
        <v>139562</v>
      </c>
      <c r="BZ3258" t="s">
        <v>1747</v>
      </c>
      <c r="CA3258">
        <v>1</v>
      </c>
      <c r="CB3258" t="b">
        <v>1</v>
      </c>
      <c r="CC3258">
        <v>0</v>
      </c>
      <c r="CD3258" t="b">
        <v>0</v>
      </c>
      <c r="CE3258" t="b">
        <v>1</v>
      </c>
      <c r="CF3258" t="b">
        <v>0</v>
      </c>
      <c r="CG3258">
        <v>2536656</v>
      </c>
      <c r="CH3258" t="s">
        <v>1681</v>
      </c>
      <c r="CI3258" s="10">
        <v>739000</v>
      </c>
    </row>
    <row r="3259" spans="1:90">
      <c r="A3259">
        <v>28058174</v>
      </c>
      <c r="B3259" s="2" t="str">
        <f>HYPERLINK("http://www.redfin.com/stingray/do/printable-listing?listing-id=1616384","Active")</f>
        <v>Active</v>
      </c>
      <c r="D3259" t="s">
        <v>60</v>
      </c>
      <c r="E3259" t="s">
        <v>6816</v>
      </c>
      <c r="F3259">
        <v>325000</v>
      </c>
      <c r="G3259">
        <v>2004</v>
      </c>
      <c r="H3259">
        <v>1050</v>
      </c>
      <c r="I3259">
        <v>0</v>
      </c>
      <c r="J3259">
        <v>2</v>
      </c>
      <c r="K3259">
        <v>1</v>
      </c>
      <c r="M3259" s="2" t="str">
        <f>HYPERLINK("http://maps.live.com/default.aspx?v=2&amp;lvl=15&amp;sp=Point.47.69665_-122.347514_9307 Linden Ave N&amp;cp=47.69665~-122.347514","Map")</f>
        <v>Map</v>
      </c>
      <c r="N3259" s="2" t="str">
        <f>HYPERLINK("http://i-0.rfimg.us/photo/1/bigphoto/174/28058174_1.jpg","Photo")</f>
        <v>Photo</v>
      </c>
      <c r="AG3259">
        <v>47.696649999999998</v>
      </c>
      <c r="AH3259">
        <v>-122.347514</v>
      </c>
      <c r="AI3259" t="s">
        <v>66</v>
      </c>
      <c r="AJ3259">
        <v>98103</v>
      </c>
      <c r="BC3259" s="22">
        <v>39542.391122685185</v>
      </c>
      <c r="BI3259" s="22">
        <v>39549.294907407406</v>
      </c>
      <c r="BL3259">
        <v>6500</v>
      </c>
      <c r="BM3259">
        <v>1616384</v>
      </c>
      <c r="BN3259" t="s">
        <v>1688</v>
      </c>
      <c r="BO3259" s="17">
        <f t="shared" ca="1" si="50"/>
        <v>6.9182832175938529</v>
      </c>
      <c r="BP3259" t="b">
        <v>0</v>
      </c>
      <c r="BQ3259">
        <v>1</v>
      </c>
      <c r="BR3259" t="s">
        <v>1667</v>
      </c>
      <c r="BS3259" t="s">
        <v>2439</v>
      </c>
      <c r="BT3259" t="b">
        <v>0</v>
      </c>
      <c r="BV3259" t="s">
        <v>1668</v>
      </c>
      <c r="BW3259">
        <v>9307</v>
      </c>
      <c r="BX3259" t="s">
        <v>1712</v>
      </c>
      <c r="BY3259">
        <v>12437676</v>
      </c>
      <c r="BZ3259" t="s">
        <v>6817</v>
      </c>
      <c r="CA3259">
        <v>1</v>
      </c>
      <c r="CB3259" t="b">
        <v>1</v>
      </c>
      <c r="CC3259">
        <v>0</v>
      </c>
      <c r="CD3259" t="b">
        <v>0</v>
      </c>
      <c r="CE3259" t="b">
        <v>1</v>
      </c>
      <c r="CF3259" t="b">
        <v>0</v>
      </c>
      <c r="CG3259">
        <v>15641424</v>
      </c>
      <c r="CH3259" t="s">
        <v>1681</v>
      </c>
      <c r="CI3259" s="10">
        <v>325000</v>
      </c>
    </row>
    <row r="3260" spans="1:90">
      <c r="A3260">
        <v>28058181</v>
      </c>
      <c r="B3260" s="2" t="str">
        <f>HYPERLINK("http://www.redfin.com/stingray/do/printable-listing?listing-id=1617115","Active")</f>
        <v>Active</v>
      </c>
      <c r="D3260" t="s">
        <v>5578</v>
      </c>
      <c r="E3260" t="s">
        <v>6873</v>
      </c>
      <c r="F3260">
        <v>885000</v>
      </c>
      <c r="G3260">
        <v>2000</v>
      </c>
      <c r="H3260">
        <v>3540</v>
      </c>
      <c r="I3260">
        <v>7768</v>
      </c>
      <c r="J3260">
        <v>4</v>
      </c>
      <c r="K3260">
        <v>3.5</v>
      </c>
      <c r="M3260" s="2" t="str">
        <f>HYPERLINK("http://maps.live.com/default.aspx?v=2&amp;lvl=15&amp;sp=Point.47.552202_-122.095263_5576 NW Lac Leman Dr&amp;cp=47.552202~-122.095263","Map")</f>
        <v>Map</v>
      </c>
      <c r="N3260" s="2" t="str">
        <f>HYPERLINK("http://i-0.rfimg.us/photo/1/bigphoto/181/28058181_1.jpg","Photo")</f>
        <v>Photo</v>
      </c>
      <c r="AG3260">
        <v>47.552202000000001</v>
      </c>
      <c r="AH3260">
        <v>-122.095263</v>
      </c>
      <c r="AI3260" t="s">
        <v>5280</v>
      </c>
      <c r="AJ3260">
        <v>98027</v>
      </c>
      <c r="AN3260">
        <v>612500</v>
      </c>
      <c r="BC3260" s="22">
        <v>39542.517500000002</v>
      </c>
      <c r="BI3260" s="22">
        <v>39549.294907407406</v>
      </c>
      <c r="BL3260">
        <v>17700</v>
      </c>
      <c r="BM3260">
        <v>1617115</v>
      </c>
      <c r="BN3260" t="s">
        <v>1768</v>
      </c>
      <c r="BO3260" s="17">
        <f t="shared" ca="1" si="50"/>
        <v>6.7919059027772164</v>
      </c>
      <c r="BP3260" t="b">
        <v>0</v>
      </c>
      <c r="BQ3260">
        <v>1</v>
      </c>
      <c r="BR3260" t="s">
        <v>1816</v>
      </c>
      <c r="BS3260" t="s">
        <v>6874</v>
      </c>
      <c r="BT3260" t="b">
        <v>0</v>
      </c>
      <c r="BU3260" t="s">
        <v>1669</v>
      </c>
      <c r="BV3260" t="s">
        <v>1668</v>
      </c>
      <c r="BW3260">
        <v>5576</v>
      </c>
      <c r="BY3260">
        <v>418218</v>
      </c>
      <c r="BZ3260" t="s">
        <v>1704</v>
      </c>
      <c r="CA3260">
        <v>1</v>
      </c>
      <c r="CB3260" t="b">
        <v>1</v>
      </c>
      <c r="CC3260">
        <v>0</v>
      </c>
      <c r="CD3260" t="b">
        <v>0</v>
      </c>
      <c r="CE3260" t="b">
        <v>1</v>
      </c>
      <c r="CF3260" t="b">
        <v>0</v>
      </c>
      <c r="CG3260">
        <v>431524</v>
      </c>
      <c r="CH3260" t="s">
        <v>1681</v>
      </c>
      <c r="CI3260" s="10">
        <v>885000</v>
      </c>
      <c r="CJ3260" s="7">
        <v>37498</v>
      </c>
    </row>
    <row r="3261" spans="1:90">
      <c r="A3261">
        <v>28058192</v>
      </c>
      <c r="B3261" s="2" t="str">
        <f>HYPERLINK("http://www.redfin.com/stingray/do/printable-listing?listing-id=1616579","Active")</f>
        <v>Active</v>
      </c>
      <c r="D3261" t="s">
        <v>1077</v>
      </c>
      <c r="E3261" t="s">
        <v>6877</v>
      </c>
      <c r="F3261">
        <v>429000</v>
      </c>
      <c r="G3261">
        <v>1999</v>
      </c>
      <c r="H3261">
        <v>1960</v>
      </c>
      <c r="I3261">
        <v>3953</v>
      </c>
      <c r="J3261">
        <v>3</v>
      </c>
      <c r="K3261">
        <v>2.5</v>
      </c>
      <c r="M3261" s="2" t="str">
        <f>HYPERLINK("http://maps.live.com/default.aspx?v=2&amp;lvl=15&amp;sp=Point.47.490463_-122.158735_4507 N 5th St&amp;cp=47.490463~-122.158735","Map")</f>
        <v>Map</v>
      </c>
      <c r="N3261" s="2" t="str">
        <f>HYPERLINK("http://i-0.rfimg.us/photo/1/bigphoto/192/28058192_1.jpg","Photo")</f>
        <v>Photo</v>
      </c>
      <c r="AG3261">
        <v>47.490462999999998</v>
      </c>
      <c r="AH3261">
        <v>-122.15873499999999</v>
      </c>
      <c r="AI3261" t="s">
        <v>1077</v>
      </c>
      <c r="AJ3261">
        <v>98059</v>
      </c>
      <c r="AN3261">
        <v>335000</v>
      </c>
      <c r="BC3261" s="22">
        <v>39542.422939814816</v>
      </c>
      <c r="BI3261" s="22">
        <v>39549.294907407406</v>
      </c>
      <c r="BL3261">
        <v>8580</v>
      </c>
      <c r="BM3261">
        <v>1616579</v>
      </c>
      <c r="BN3261" t="s">
        <v>1673</v>
      </c>
      <c r="BO3261" s="17">
        <f t="shared" ca="1" si="50"/>
        <v>6.8864660879626172</v>
      </c>
      <c r="BP3261" t="b">
        <v>0</v>
      </c>
      <c r="BQ3261">
        <v>1</v>
      </c>
      <c r="BR3261" t="s">
        <v>1686</v>
      </c>
      <c r="BS3261" t="s">
        <v>1832</v>
      </c>
      <c r="BT3261" t="b">
        <v>0</v>
      </c>
      <c r="BU3261" t="s">
        <v>1712</v>
      </c>
      <c r="BV3261" t="s">
        <v>1668</v>
      </c>
      <c r="BW3261">
        <v>4507</v>
      </c>
      <c r="BY3261">
        <v>244365</v>
      </c>
      <c r="BZ3261" t="s">
        <v>2205</v>
      </c>
      <c r="CA3261">
        <v>1</v>
      </c>
      <c r="CB3261" t="b">
        <v>1</v>
      </c>
      <c r="CC3261">
        <v>0</v>
      </c>
      <c r="CD3261" t="b">
        <v>0</v>
      </c>
      <c r="CE3261" t="b">
        <v>1</v>
      </c>
      <c r="CF3261" t="b">
        <v>0</v>
      </c>
      <c r="CG3261">
        <v>2806757</v>
      </c>
      <c r="CH3261" t="s">
        <v>1681</v>
      </c>
      <c r="CI3261" s="10">
        <v>429000</v>
      </c>
      <c r="CJ3261" s="7">
        <v>38442</v>
      </c>
    </row>
    <row r="3262" spans="1:90">
      <c r="A3262">
        <v>28058209</v>
      </c>
      <c r="B3262" s="2" t="str">
        <f>HYPERLINK("http://www.redfin.com/stingray/do/printable-listing?listing-id=1616580","Subject To Inspection")</f>
        <v>Subject To Inspection</v>
      </c>
      <c r="D3262" t="s">
        <v>218</v>
      </c>
      <c r="E3262" t="s">
        <v>6826</v>
      </c>
      <c r="F3262">
        <v>695950</v>
      </c>
      <c r="G3262">
        <v>1918</v>
      </c>
      <c r="H3262">
        <v>3090</v>
      </c>
      <c r="I3262">
        <v>4120</v>
      </c>
      <c r="J3262">
        <v>5</v>
      </c>
      <c r="K3262">
        <v>1</v>
      </c>
      <c r="M3262" s="2" t="str">
        <f>HYPERLINK("http://maps.live.com/default.aspx?v=2&amp;lvl=15&amp;sp=Point.47.674517_-122.311393_1511 NE 63rd St&amp;cp=47.674517~-122.311393","Map")</f>
        <v>Map</v>
      </c>
      <c r="N3262" s="2" t="str">
        <f>HYPERLINK("http://i-0.rfimg.us/photo/1/bigphoto/209/28058209_0.jpg","Photo")</f>
        <v>Photo</v>
      </c>
      <c r="AG3262">
        <v>47.674517000000002</v>
      </c>
      <c r="AH3262">
        <v>-122.311393</v>
      </c>
      <c r="AI3262" t="s">
        <v>66</v>
      </c>
      <c r="AJ3262">
        <v>98115</v>
      </c>
      <c r="BC3262" s="22">
        <v>39542.422986111109</v>
      </c>
      <c r="BI3262" s="22">
        <v>39549.294907407406</v>
      </c>
      <c r="BL3262">
        <v>13919</v>
      </c>
      <c r="BM3262">
        <v>1616580</v>
      </c>
      <c r="BN3262" t="s">
        <v>5831</v>
      </c>
      <c r="BO3262" s="17">
        <f t="shared" ca="1" si="50"/>
        <v>6.8864197916700505</v>
      </c>
      <c r="BP3262" t="b">
        <v>0</v>
      </c>
      <c r="BQ3262">
        <v>2</v>
      </c>
      <c r="BR3262" t="s">
        <v>1686</v>
      </c>
      <c r="BS3262" t="s">
        <v>2529</v>
      </c>
      <c r="BT3262" t="b">
        <v>0</v>
      </c>
      <c r="BU3262" t="s">
        <v>1738</v>
      </c>
      <c r="BV3262" t="s">
        <v>1668</v>
      </c>
      <c r="BW3262">
        <v>1511</v>
      </c>
      <c r="BY3262">
        <v>308714</v>
      </c>
      <c r="BZ3262" t="s">
        <v>1745</v>
      </c>
      <c r="CA3262">
        <v>1</v>
      </c>
      <c r="CB3262" t="b">
        <v>1</v>
      </c>
      <c r="CC3262">
        <v>0</v>
      </c>
      <c r="CD3262" t="b">
        <v>0</v>
      </c>
      <c r="CE3262" t="b">
        <v>1</v>
      </c>
      <c r="CF3262" t="b">
        <v>0</v>
      </c>
      <c r="CG3262">
        <v>2638393</v>
      </c>
      <c r="CH3262" t="s">
        <v>1681</v>
      </c>
      <c r="CI3262" s="10">
        <v>695950</v>
      </c>
    </row>
    <row r="3263" spans="1:90">
      <c r="A3263">
        <v>28058211</v>
      </c>
      <c r="B3263" s="15" t="str">
        <f>HYPERLINK("http://www.redfin.com/stingray/do/printable-listing?listing-id=1616581","Subject To Inspection")</f>
        <v>Subject To Inspection</v>
      </c>
      <c r="D3263" t="s">
        <v>188</v>
      </c>
      <c r="E3263" t="s">
        <v>6820</v>
      </c>
      <c r="F3263">
        <v>739000</v>
      </c>
      <c r="G3263">
        <v>2006</v>
      </c>
      <c r="H3263">
        <v>3150</v>
      </c>
      <c r="I3263">
        <v>7931</v>
      </c>
      <c r="J3263">
        <v>5</v>
      </c>
      <c r="K3263">
        <v>3.25</v>
      </c>
      <c r="M3263" s="2" t="str">
        <f>HYPERLINK("http://maps.live.com/default.aspx?v=2&amp;lvl=15&amp;sp=Point.47.711514_-122.295899_11332 30th Ave NE&amp;cp=47.711514~-122.295899","Map")</f>
        <v>Map</v>
      </c>
      <c r="N3263" s="2" t="str">
        <f>HYPERLINK("http://i-0.rfimg.us/photo/1/bigphoto/211/28058211_1.jpg","Photo")</f>
        <v>Photo</v>
      </c>
      <c r="AG3263">
        <v>47.711514000000001</v>
      </c>
      <c r="AH3263">
        <v>-122.29589900000001</v>
      </c>
      <c r="AI3263" t="s">
        <v>66</v>
      </c>
      <c r="AJ3263">
        <v>98125</v>
      </c>
      <c r="AN3263">
        <v>678000</v>
      </c>
      <c r="BC3263" s="22">
        <v>39542.422986111109</v>
      </c>
      <c r="BI3263" s="22">
        <v>39549.294907407406</v>
      </c>
      <c r="BL3263">
        <v>14780</v>
      </c>
      <c r="BM3263">
        <v>1616581</v>
      </c>
      <c r="BN3263" t="s">
        <v>1710</v>
      </c>
      <c r="BO3263" s="17">
        <f t="shared" ca="1" si="50"/>
        <v>6.8864197916700505</v>
      </c>
      <c r="BP3263" t="b">
        <v>0</v>
      </c>
      <c r="BQ3263">
        <v>1</v>
      </c>
      <c r="BR3263" t="s">
        <v>1667</v>
      </c>
      <c r="BS3263" t="s">
        <v>1818</v>
      </c>
      <c r="BT3263" t="b">
        <v>0</v>
      </c>
      <c r="BV3263" t="s">
        <v>1668</v>
      </c>
      <c r="BW3263">
        <v>11332</v>
      </c>
      <c r="BX3263" t="s">
        <v>1738</v>
      </c>
      <c r="BY3263">
        <v>2074480</v>
      </c>
      <c r="BZ3263" t="s">
        <v>1709</v>
      </c>
      <c r="CA3263">
        <v>1</v>
      </c>
      <c r="CB3263" t="b">
        <v>1</v>
      </c>
      <c r="CC3263">
        <v>0</v>
      </c>
      <c r="CD3263" t="b">
        <v>0</v>
      </c>
      <c r="CE3263" t="b">
        <v>1</v>
      </c>
      <c r="CF3263" t="b">
        <v>0</v>
      </c>
      <c r="CG3263">
        <v>2607410</v>
      </c>
      <c r="CH3263" t="s">
        <v>1681</v>
      </c>
      <c r="CI3263" s="10">
        <v>739000</v>
      </c>
      <c r="CJ3263" s="7">
        <v>39043</v>
      </c>
    </row>
    <row r="3264" spans="1:90">
      <c r="A3264">
        <v>28058215</v>
      </c>
      <c r="B3264" s="2" t="str">
        <f>HYPERLINK("http://www.redfin.com/stingray/do/printable-listing?listing-id=1617989","Active")</f>
        <v>Active</v>
      </c>
      <c r="D3264" t="s">
        <v>369</v>
      </c>
      <c r="E3264" t="s">
        <v>6866</v>
      </c>
      <c r="F3264">
        <v>619000</v>
      </c>
      <c r="G3264">
        <v>1976</v>
      </c>
      <c r="H3264">
        <v>2150</v>
      </c>
      <c r="I3264">
        <v>9826</v>
      </c>
      <c r="J3264">
        <v>4</v>
      </c>
      <c r="K3264">
        <v>2.5</v>
      </c>
      <c r="M3264" s="2" t="str">
        <f>HYPERLINK("http://maps.live.com/default.aspx?v=2&amp;lvl=15&amp;sp=Point.47.558108_-122.165125_4927 131st Pl SE&amp;cp=47.558108~-122.165125","Map")</f>
        <v>Map</v>
      </c>
      <c r="N3264" s="2" t="str">
        <f>HYPERLINK("http://i-0.rfimg.us/photo/1/bigphoto/215/28058215_0.jpg","Photo")</f>
        <v>Photo</v>
      </c>
      <c r="AG3264">
        <v>47.558107999999997</v>
      </c>
      <c r="AH3264">
        <v>-122.165125</v>
      </c>
      <c r="AI3264" t="s">
        <v>369</v>
      </c>
      <c r="AJ3264">
        <v>98006</v>
      </c>
      <c r="AN3264">
        <v>108000</v>
      </c>
      <c r="BC3264" s="22">
        <v>39542.622928240744</v>
      </c>
      <c r="BI3264" s="22">
        <v>39549.294907407406</v>
      </c>
      <c r="BL3264">
        <v>12380</v>
      </c>
      <c r="BM3264">
        <v>1617989</v>
      </c>
      <c r="BN3264" t="s">
        <v>1671</v>
      </c>
      <c r="BO3264" s="17">
        <f t="shared" ca="1" si="50"/>
        <v>6.6864776620350312</v>
      </c>
      <c r="BP3264" t="b">
        <v>0</v>
      </c>
      <c r="BQ3264">
        <v>1</v>
      </c>
      <c r="BR3264" t="s">
        <v>1842</v>
      </c>
      <c r="BS3264" t="s">
        <v>4521</v>
      </c>
      <c r="BT3264" t="b">
        <v>0</v>
      </c>
      <c r="BV3264" t="s">
        <v>1668</v>
      </c>
      <c r="BW3264">
        <v>4927</v>
      </c>
      <c r="BX3264" t="s">
        <v>3856</v>
      </c>
      <c r="BY3264">
        <v>236734</v>
      </c>
      <c r="BZ3264" t="s">
        <v>1713</v>
      </c>
      <c r="CA3264">
        <v>1</v>
      </c>
      <c r="CB3264" t="b">
        <v>1</v>
      </c>
      <c r="CC3264">
        <v>0</v>
      </c>
      <c r="CD3264" t="b">
        <v>0</v>
      </c>
      <c r="CE3264" t="b">
        <v>1</v>
      </c>
      <c r="CF3264" t="b">
        <v>0</v>
      </c>
      <c r="CG3264">
        <v>2394724</v>
      </c>
      <c r="CH3264" t="s">
        <v>1681</v>
      </c>
      <c r="CI3264" s="10">
        <v>619000</v>
      </c>
      <c r="CJ3264" s="7">
        <v>31939</v>
      </c>
      <c r="CL3264" s="19" t="s">
        <v>7044</v>
      </c>
    </row>
    <row r="3265" spans="1:90">
      <c r="A3265">
        <v>28058230</v>
      </c>
      <c r="B3265" s="2" t="str">
        <f>HYPERLINK("http://www.redfin.com/stingray/do/printable-listing?listing-id=1616578","Active")</f>
        <v>Active</v>
      </c>
      <c r="D3265" t="s">
        <v>3966</v>
      </c>
      <c r="E3265" t="s">
        <v>4287</v>
      </c>
      <c r="F3265">
        <v>849900</v>
      </c>
      <c r="G3265">
        <v>1933</v>
      </c>
      <c r="H3265">
        <v>3180</v>
      </c>
      <c r="I3265">
        <v>0</v>
      </c>
      <c r="J3265">
        <v>5</v>
      </c>
      <c r="K3265">
        <v>3</v>
      </c>
      <c r="M3265" s="2" t="str">
        <f>HYPERLINK("http://maps.live.com/default.aspx?v=2&amp;lvl=15&amp;sp=Point.47.618097_-122.288467_3409 E Denny Way&amp;cp=47.618097~-122.288467","Map")</f>
        <v>Map</v>
      </c>
      <c r="N3265" s="2" t="str">
        <f>HYPERLINK("http://i-0.rfimg.us/photo/1/bigphoto/230/28058230_1.jpg","Photo")</f>
        <v>Photo</v>
      </c>
      <c r="AG3265">
        <v>47.618096999999999</v>
      </c>
      <c r="AH3265">
        <v>-122.288467</v>
      </c>
      <c r="AI3265" t="s">
        <v>66</v>
      </c>
      <c r="AJ3265">
        <v>98122</v>
      </c>
      <c r="AN3265">
        <v>585000</v>
      </c>
      <c r="BC3265" s="22">
        <v>39542.42291666667</v>
      </c>
      <c r="BI3265" s="22">
        <v>39549.294907407406</v>
      </c>
      <c r="BL3265">
        <v>16998</v>
      </c>
      <c r="BM3265">
        <v>1616578</v>
      </c>
      <c r="BN3265" t="s">
        <v>1678</v>
      </c>
      <c r="BO3265" s="17">
        <f t="shared" ca="1" si="50"/>
        <v>6.8864892361089005</v>
      </c>
      <c r="BP3265" t="b">
        <v>0</v>
      </c>
      <c r="BQ3265">
        <v>1</v>
      </c>
      <c r="BR3265" t="s">
        <v>2463</v>
      </c>
      <c r="BS3265" t="s">
        <v>4085</v>
      </c>
      <c r="BT3265" t="b">
        <v>0</v>
      </c>
      <c r="BU3265" t="s">
        <v>2436</v>
      </c>
      <c r="BV3265" t="s">
        <v>1668</v>
      </c>
      <c r="BW3265">
        <v>3409</v>
      </c>
      <c r="BY3265">
        <v>141088</v>
      </c>
      <c r="BZ3265" t="s">
        <v>3350</v>
      </c>
      <c r="CA3265">
        <v>1</v>
      </c>
      <c r="CB3265" t="b">
        <v>1</v>
      </c>
      <c r="CC3265">
        <v>0</v>
      </c>
      <c r="CD3265" t="b">
        <v>0</v>
      </c>
      <c r="CE3265" t="b">
        <v>1</v>
      </c>
      <c r="CF3265" t="b">
        <v>0</v>
      </c>
      <c r="CG3265">
        <v>2448220</v>
      </c>
      <c r="CH3265" t="s">
        <v>1681</v>
      </c>
      <c r="CI3265" s="10">
        <v>849900</v>
      </c>
      <c r="CJ3265" s="7">
        <v>39003</v>
      </c>
    </row>
    <row r="3266" spans="1:90">
      <c r="A3266">
        <v>28058258</v>
      </c>
      <c r="B3266" s="2" t="str">
        <f>HYPERLINK("http://www.redfin.com/stingray/do/printable-listing?listing-id=1616750","Active")</f>
        <v>Active</v>
      </c>
      <c r="D3266" t="s">
        <v>63</v>
      </c>
      <c r="E3266" t="s">
        <v>1922</v>
      </c>
      <c r="F3266">
        <v>840000</v>
      </c>
      <c r="G3266">
        <v>1968</v>
      </c>
      <c r="H3266">
        <v>1120</v>
      </c>
      <c r="I3266">
        <v>0</v>
      </c>
      <c r="J3266">
        <v>2</v>
      </c>
      <c r="K3266">
        <v>1.75</v>
      </c>
      <c r="M3266" s="2" t="str">
        <f>HYPERLINK("http://maps.live.com/default.aspx?v=2&amp;lvl=15&amp;sp=Point.47.675835_-122.406575_6533 Seaview Ave NW n412A&amp;cp=47.675835~-122.406575","Map")</f>
        <v>Map</v>
      </c>
      <c r="N3266" s="2" t="str">
        <f>HYPERLINK("http://i-0.rfimg.us/photo/1/bigphoto/258/28058258_2.jpg","Photo")</f>
        <v>Photo</v>
      </c>
      <c r="AG3266">
        <v>47.675834999999999</v>
      </c>
      <c r="AH3266">
        <v>-122.406575</v>
      </c>
      <c r="AI3266" t="s">
        <v>66</v>
      </c>
      <c r="AJ3266">
        <v>98117</v>
      </c>
      <c r="AM3266" t="s">
        <v>1923</v>
      </c>
      <c r="AN3266">
        <v>619000</v>
      </c>
      <c r="BC3266" s="22">
        <v>39542.454305555555</v>
      </c>
      <c r="BI3266" s="22">
        <v>39549.294907407406</v>
      </c>
      <c r="BL3266">
        <v>16800</v>
      </c>
      <c r="BM3266">
        <v>1616750</v>
      </c>
      <c r="BN3266" t="s">
        <v>1749</v>
      </c>
      <c r="BO3266" s="17">
        <f t="shared" ref="BO3266:BO3329" ca="1" si="51">NOW()-BC3266</f>
        <v>6.8551003472239245</v>
      </c>
      <c r="BP3266" t="b">
        <v>0</v>
      </c>
      <c r="BQ3266">
        <v>1</v>
      </c>
      <c r="BR3266" t="s">
        <v>1667</v>
      </c>
      <c r="BS3266" t="s">
        <v>1727</v>
      </c>
      <c r="BT3266" t="b">
        <v>0</v>
      </c>
      <c r="BV3266" t="s">
        <v>1668</v>
      </c>
      <c r="BW3266">
        <v>6533</v>
      </c>
      <c r="BX3266" t="s">
        <v>1669</v>
      </c>
      <c r="BY3266">
        <v>57516</v>
      </c>
      <c r="BZ3266" t="s">
        <v>1730</v>
      </c>
      <c r="CA3266">
        <v>1</v>
      </c>
      <c r="CB3266" t="b">
        <v>1</v>
      </c>
      <c r="CC3266">
        <v>0</v>
      </c>
      <c r="CD3266" t="b">
        <v>0</v>
      </c>
      <c r="CE3266" t="b">
        <v>1</v>
      </c>
      <c r="CF3266" t="b">
        <v>0</v>
      </c>
      <c r="CG3266">
        <v>2580535</v>
      </c>
      <c r="CH3266" t="s">
        <v>1666</v>
      </c>
      <c r="CI3266" s="10">
        <v>840000</v>
      </c>
      <c r="CJ3266" s="7">
        <v>39232</v>
      </c>
    </row>
    <row r="3267" spans="1:90">
      <c r="A3267">
        <v>28058298</v>
      </c>
      <c r="B3267" s="2" t="str">
        <f>HYPERLINK("http://www.redfin.com/stingray/do/printable-listing?listing-id=1617120","Active")</f>
        <v>Active</v>
      </c>
      <c r="D3267" t="s">
        <v>184</v>
      </c>
      <c r="E3267" t="s">
        <v>2915</v>
      </c>
      <c r="F3267">
        <v>294950</v>
      </c>
      <c r="G3267">
        <v>2007</v>
      </c>
      <c r="H3267">
        <v>835</v>
      </c>
      <c r="I3267">
        <v>0</v>
      </c>
      <c r="J3267">
        <v>2</v>
      </c>
      <c r="K3267">
        <v>1</v>
      </c>
      <c r="M3267" s="2" t="str">
        <f>HYPERLINK("http://maps.live.com/default.aspx?v=2&amp;lvl=15&amp;sp=Point.47.719224_-122.317145_1017 NE 125th St&amp;cp=47.719224~-122.317145","Map")</f>
        <v>Map</v>
      </c>
      <c r="N3267" s="2" t="str">
        <f>HYPERLINK("http://i-0.rfimg.us/photo/1/bigphoto/298/28058298_1.jpg","Photo")</f>
        <v>Photo</v>
      </c>
      <c r="AG3267">
        <v>47.719223999999997</v>
      </c>
      <c r="AH3267">
        <v>-122.317145</v>
      </c>
      <c r="AI3267" t="s">
        <v>66</v>
      </c>
      <c r="AJ3267">
        <v>98125</v>
      </c>
      <c r="AN3267">
        <v>600000</v>
      </c>
      <c r="BC3267" s="22">
        <v>39542.517511574071</v>
      </c>
      <c r="BI3267" s="22">
        <v>39549.294907407406</v>
      </c>
      <c r="BL3267">
        <v>5849</v>
      </c>
      <c r="BM3267">
        <v>1617120</v>
      </c>
      <c r="BN3267" t="s">
        <v>1678</v>
      </c>
      <c r="BO3267" s="17">
        <f t="shared" ca="1" si="51"/>
        <v>6.7918943287077127</v>
      </c>
      <c r="BP3267" t="b">
        <v>0</v>
      </c>
      <c r="BQ3267">
        <v>1</v>
      </c>
      <c r="BR3267" t="s">
        <v>1686</v>
      </c>
      <c r="BS3267" t="s">
        <v>2677</v>
      </c>
      <c r="BT3267" t="b">
        <v>0</v>
      </c>
      <c r="BU3267" t="s">
        <v>1738</v>
      </c>
      <c r="BV3267" t="s">
        <v>1668</v>
      </c>
      <c r="BW3267">
        <v>1017</v>
      </c>
      <c r="BY3267">
        <v>106092</v>
      </c>
      <c r="BZ3267" t="s">
        <v>2152</v>
      </c>
      <c r="CA3267">
        <v>1</v>
      </c>
      <c r="CB3267" t="b">
        <v>1</v>
      </c>
      <c r="CC3267">
        <v>0</v>
      </c>
      <c r="CD3267" t="b">
        <v>0</v>
      </c>
      <c r="CE3267" t="b">
        <v>1</v>
      </c>
      <c r="CF3267" t="b">
        <v>0</v>
      </c>
      <c r="CG3267">
        <v>2737702</v>
      </c>
      <c r="CH3267" t="s">
        <v>1681</v>
      </c>
      <c r="CI3267" s="10">
        <v>294950</v>
      </c>
      <c r="CJ3267" s="7">
        <v>38642</v>
      </c>
    </row>
    <row r="3268" spans="1:90">
      <c r="A3268">
        <v>28058349</v>
      </c>
      <c r="B3268" s="2" t="str">
        <f>HYPERLINK("http://www.redfin.com/stingray/do/printable-listing?listing-id=1617497","Active")</f>
        <v>Active</v>
      </c>
      <c r="D3268" t="s">
        <v>5565</v>
      </c>
      <c r="E3268" t="s">
        <v>6871</v>
      </c>
      <c r="F3268">
        <v>525000</v>
      </c>
      <c r="G3268">
        <v>1988</v>
      </c>
      <c r="H3268">
        <v>1780</v>
      </c>
      <c r="I3268">
        <v>3600</v>
      </c>
      <c r="J3268">
        <v>3</v>
      </c>
      <c r="K3268">
        <v>2.25</v>
      </c>
      <c r="M3268" s="2" t="str">
        <f>HYPERLINK("http://maps.live.com/default.aspx?v=2&amp;lvl=15&amp;sp=Point.47.548511_-122.185789_6122 115th Pl SE&amp;cp=47.548511~-122.185789","Map")</f>
        <v>Map</v>
      </c>
      <c r="N3268" s="2" t="str">
        <f>HYPERLINK("http://i-0.rfimg.us/photo/1/bigphoto/349/28058349_0.jpg","Photo")</f>
        <v>Photo</v>
      </c>
      <c r="AG3268">
        <v>47.548510999999998</v>
      </c>
      <c r="AH3268">
        <v>-122.185789</v>
      </c>
      <c r="AI3268" t="s">
        <v>369</v>
      </c>
      <c r="AJ3268">
        <v>98006</v>
      </c>
      <c r="AN3268">
        <v>155000</v>
      </c>
      <c r="BC3268" s="22">
        <v>39542.528124999997</v>
      </c>
      <c r="BI3268" s="22">
        <v>39549.294907407406</v>
      </c>
      <c r="BL3268">
        <v>10500</v>
      </c>
      <c r="BM3268">
        <v>1617497</v>
      </c>
      <c r="BN3268" t="s">
        <v>1688</v>
      </c>
      <c r="BO3268" s="17">
        <f t="shared" ca="1" si="51"/>
        <v>6.781280902781873</v>
      </c>
      <c r="BP3268" t="b">
        <v>0</v>
      </c>
      <c r="BQ3268">
        <v>1</v>
      </c>
      <c r="BR3268" t="s">
        <v>1842</v>
      </c>
      <c r="BS3268" t="s">
        <v>4439</v>
      </c>
      <c r="BT3268" t="b">
        <v>0</v>
      </c>
      <c r="BV3268" t="s">
        <v>1668</v>
      </c>
      <c r="BW3268">
        <v>6122</v>
      </c>
      <c r="BX3268" t="s">
        <v>3856</v>
      </c>
      <c r="BY3268">
        <v>417878</v>
      </c>
      <c r="BZ3268" t="s">
        <v>1672</v>
      </c>
      <c r="CA3268">
        <v>1</v>
      </c>
      <c r="CB3268" t="b">
        <v>1</v>
      </c>
      <c r="CC3268">
        <v>0</v>
      </c>
      <c r="CD3268" t="b">
        <v>0</v>
      </c>
      <c r="CE3268" t="b">
        <v>1</v>
      </c>
      <c r="CF3268" t="b">
        <v>0</v>
      </c>
      <c r="CG3268">
        <v>2966186</v>
      </c>
      <c r="CH3268" t="s">
        <v>1681</v>
      </c>
      <c r="CI3268" s="10">
        <v>525000</v>
      </c>
      <c r="CJ3268" s="7">
        <v>34187</v>
      </c>
    </row>
    <row r="3269" spans="1:90">
      <c r="A3269">
        <v>28058358</v>
      </c>
      <c r="B3269" s="2" t="str">
        <f>HYPERLINK("http://www.redfin.com/stingray/do/printable-listing?listing-id=1617049","Active")</f>
        <v>Active</v>
      </c>
      <c r="D3269" t="s">
        <v>5926</v>
      </c>
      <c r="E3269" t="s">
        <v>6875</v>
      </c>
      <c r="F3269">
        <v>829000</v>
      </c>
      <c r="G3269">
        <v>2008</v>
      </c>
      <c r="H3269">
        <v>3000</v>
      </c>
      <c r="I3269">
        <v>0</v>
      </c>
      <c r="J3269">
        <v>3</v>
      </c>
      <c r="K3269">
        <v>2.5</v>
      </c>
      <c r="M3269" s="2" t="str">
        <f>HYPERLINK("http://maps.live.com/default.aspx?v=2&amp;lvl=15&amp;sp=adr.1240 N 42nd Pl (Unable to map),98056","Map")</f>
        <v>Map</v>
      </c>
      <c r="N3269" s="2" t="str">
        <f>HYPERLINK("http://i-0.rfimg.us/photo/1/bigphoto/358/28058358_.jpg","Photo")</f>
        <v>Photo</v>
      </c>
      <c r="AI3269" t="s">
        <v>1077</v>
      </c>
      <c r="AJ3269">
        <v>98056</v>
      </c>
      <c r="BC3269" s="22">
        <v>39542.506990740738</v>
      </c>
      <c r="BI3269" s="22">
        <v>39549.294907407406</v>
      </c>
      <c r="BL3269">
        <v>16580</v>
      </c>
      <c r="BM3269">
        <v>1617049</v>
      </c>
      <c r="BN3269" t="s">
        <v>3878</v>
      </c>
      <c r="BO3269" s="17">
        <f t="shared" ca="1" si="51"/>
        <v>6.802415162041143</v>
      </c>
      <c r="BP3269" t="b">
        <v>0</v>
      </c>
      <c r="BQ3269">
        <v>1</v>
      </c>
      <c r="BR3269" t="s">
        <v>1842</v>
      </c>
      <c r="BS3269" t="s">
        <v>3371</v>
      </c>
      <c r="BT3269" t="b">
        <v>0</v>
      </c>
      <c r="BU3269" t="s">
        <v>1712</v>
      </c>
      <c r="BV3269" t="s">
        <v>1668</v>
      </c>
      <c r="BW3269">
        <v>1240</v>
      </c>
      <c r="BY3269">
        <v>0</v>
      </c>
      <c r="CA3269">
        <v>1</v>
      </c>
      <c r="CB3269" t="b">
        <v>1</v>
      </c>
      <c r="CC3269">
        <v>0</v>
      </c>
      <c r="CD3269" t="b">
        <v>0</v>
      </c>
      <c r="CE3269" t="b">
        <v>1</v>
      </c>
      <c r="CF3269" t="b">
        <v>0</v>
      </c>
      <c r="CG3269" t="s">
        <v>1870</v>
      </c>
      <c r="CH3269" t="s">
        <v>1681</v>
      </c>
      <c r="CI3269" s="10">
        <v>829000</v>
      </c>
    </row>
    <row r="3270" spans="1:90">
      <c r="A3270">
        <v>28058378</v>
      </c>
      <c r="B3270" s="2" t="str">
        <f>HYPERLINK("http://www.redfin.com/stingray/do/printable-listing?listing-id=1617152","Active")</f>
        <v>Active</v>
      </c>
      <c r="D3270" t="s">
        <v>1058</v>
      </c>
      <c r="E3270" t="s">
        <v>6845</v>
      </c>
      <c r="F3270">
        <v>969500</v>
      </c>
      <c r="G3270">
        <v>2004</v>
      </c>
      <c r="H3270">
        <v>4230</v>
      </c>
      <c r="I3270">
        <v>8675</v>
      </c>
      <c r="J3270">
        <v>5</v>
      </c>
      <c r="K3270">
        <v>3.5</v>
      </c>
      <c r="M3270" s="2" t="str">
        <f>HYPERLINK("http://maps.live.com/default.aspx?v=2&amp;lvl=15&amp;sp=Point.47.705671_-122.199695_11712 106th Ave NE&amp;cp=47.705671~-122.199695","Map")</f>
        <v>Map</v>
      </c>
      <c r="N3270" s="2" t="str">
        <f>HYPERLINK("http://i-0.rfimg.us/photo/1/bigphoto/378/28058378_2.jpg","Photo")</f>
        <v>Photo</v>
      </c>
      <c r="AG3270">
        <v>47.705671000000002</v>
      </c>
      <c r="AH3270">
        <v>-122.19969500000001</v>
      </c>
      <c r="AI3270" t="s">
        <v>1058</v>
      </c>
      <c r="AJ3270">
        <v>98034</v>
      </c>
      <c r="AN3270">
        <v>699950</v>
      </c>
      <c r="BC3270" s="22">
        <v>39542.517581018517</v>
      </c>
      <c r="BI3270" s="22">
        <v>39549.294907407406</v>
      </c>
      <c r="BL3270">
        <v>19390</v>
      </c>
      <c r="BM3270">
        <v>1617152</v>
      </c>
      <c r="BN3270" t="s">
        <v>4725</v>
      </c>
      <c r="BO3270" s="17">
        <f t="shared" ca="1" si="51"/>
        <v>6.7918248842615867</v>
      </c>
      <c r="BP3270" t="b">
        <v>0</v>
      </c>
      <c r="BQ3270">
        <v>1</v>
      </c>
      <c r="BR3270" t="s">
        <v>1667</v>
      </c>
      <c r="BS3270" t="s">
        <v>2936</v>
      </c>
      <c r="BT3270" t="b">
        <v>0</v>
      </c>
      <c r="BV3270" t="s">
        <v>1668</v>
      </c>
      <c r="BW3270">
        <v>11712</v>
      </c>
      <c r="BX3270" t="s">
        <v>1738</v>
      </c>
      <c r="BY3270">
        <v>458793</v>
      </c>
      <c r="BZ3270" t="s">
        <v>6846</v>
      </c>
      <c r="CA3270">
        <v>1</v>
      </c>
      <c r="CB3270" t="b">
        <v>1</v>
      </c>
      <c r="CC3270">
        <v>0</v>
      </c>
      <c r="CD3270" t="b">
        <v>0</v>
      </c>
      <c r="CE3270" t="b">
        <v>1</v>
      </c>
      <c r="CF3270" t="b">
        <v>0</v>
      </c>
      <c r="CG3270">
        <v>2612572</v>
      </c>
      <c r="CH3270" t="s">
        <v>1681</v>
      </c>
      <c r="CI3270" s="10">
        <v>969500</v>
      </c>
      <c r="CJ3270" s="7">
        <v>38153</v>
      </c>
    </row>
    <row r="3271" spans="1:90">
      <c r="A3271">
        <v>28058403</v>
      </c>
      <c r="B3271" s="2" t="str">
        <f>HYPERLINK("http://www.redfin.com/stingray/do/printable-listing?listing-id=1617986","Active")</f>
        <v>Active</v>
      </c>
      <c r="D3271" t="s">
        <v>4611</v>
      </c>
      <c r="E3271" t="s">
        <v>6857</v>
      </c>
      <c r="F3271">
        <v>515000</v>
      </c>
      <c r="G3271">
        <v>1966</v>
      </c>
      <c r="H3271">
        <v>1920</v>
      </c>
      <c r="I3271">
        <v>5400</v>
      </c>
      <c r="J3271">
        <v>3</v>
      </c>
      <c r="K3271">
        <v>2.5</v>
      </c>
      <c r="M3271" s="2" t="str">
        <f>HYPERLINK("http://maps.live.com/default.aspx?v=2&amp;lvl=15&amp;sp=Point.47.627622_-122.124116_1927 162nd Ave NE&amp;cp=47.627622~-122.124116","Map")</f>
        <v>Map</v>
      </c>
      <c r="N3271" s="2" t="str">
        <f>HYPERLINK("http://i-0.rfimg.us/photo/1/bigphoto/403/28058403_0.jpg","Photo")</f>
        <v>Photo</v>
      </c>
      <c r="AG3271">
        <v>47.627622000000002</v>
      </c>
      <c r="AH3271">
        <v>-122.124116</v>
      </c>
      <c r="AI3271" t="s">
        <v>369</v>
      </c>
      <c r="AJ3271">
        <v>98008</v>
      </c>
      <c r="AN3271">
        <v>165500</v>
      </c>
      <c r="BC3271" s="22">
        <v>39542.622870370367</v>
      </c>
      <c r="BI3271" s="22">
        <v>39549.294907407406</v>
      </c>
      <c r="BL3271">
        <v>10300</v>
      </c>
      <c r="BM3271">
        <v>1617986</v>
      </c>
      <c r="BN3271" t="s">
        <v>1674</v>
      </c>
      <c r="BO3271" s="17">
        <f t="shared" ca="1" si="51"/>
        <v>6.6865355324116535</v>
      </c>
      <c r="BP3271" t="b">
        <v>0</v>
      </c>
      <c r="BQ3271">
        <v>1</v>
      </c>
      <c r="BR3271" t="s">
        <v>1667</v>
      </c>
      <c r="BS3271" t="s">
        <v>5663</v>
      </c>
      <c r="BT3271" t="b">
        <v>0</v>
      </c>
      <c r="BV3271" t="s">
        <v>1668</v>
      </c>
      <c r="BW3271">
        <v>1927</v>
      </c>
      <c r="BX3271" t="s">
        <v>1738</v>
      </c>
      <c r="BY3271">
        <v>433158</v>
      </c>
      <c r="BZ3271" t="s">
        <v>1762</v>
      </c>
      <c r="CA3271">
        <v>1</v>
      </c>
      <c r="CB3271" t="b">
        <v>1</v>
      </c>
      <c r="CC3271">
        <v>0</v>
      </c>
      <c r="CD3271" t="b">
        <v>0</v>
      </c>
      <c r="CE3271" t="b">
        <v>1</v>
      </c>
      <c r="CF3271" t="b">
        <v>0</v>
      </c>
      <c r="CG3271">
        <v>2722247</v>
      </c>
      <c r="CH3271" t="s">
        <v>1681</v>
      </c>
      <c r="CI3271" s="10">
        <v>515000</v>
      </c>
      <c r="CJ3271" s="7">
        <v>33753</v>
      </c>
    </row>
    <row r="3272" spans="1:90">
      <c r="A3272">
        <v>28058410</v>
      </c>
      <c r="B3272" s="2" t="str">
        <f>HYPERLINK("http://www.redfin.com/stingray/do/printable-listing?listing-id=1617626","Active")</f>
        <v>Active</v>
      </c>
      <c r="D3272" t="s">
        <v>4359</v>
      </c>
      <c r="E3272" t="s">
        <v>6850</v>
      </c>
      <c r="F3272">
        <v>549850</v>
      </c>
      <c r="G3272">
        <v>1976</v>
      </c>
      <c r="H3272">
        <v>1840</v>
      </c>
      <c r="I3272">
        <v>6600</v>
      </c>
      <c r="J3272">
        <v>4</v>
      </c>
      <c r="K3272">
        <v>2.5</v>
      </c>
      <c r="M3272" s="2" t="str">
        <f>HYPERLINK("http://maps.live.com/default.aspx?v=2&amp;lvl=15&amp;sp=Point.47.699201_-122.171501_11011 127th Pl NE&amp;cp=47.699201~-122.171501","Map")</f>
        <v>Map</v>
      </c>
      <c r="N3272" s="2" t="str">
        <f>HYPERLINK("http://i-0.rfimg.us/photo/1/bigphoto/410/28058410_1.jpg","Photo")</f>
        <v>Photo</v>
      </c>
      <c r="AG3272">
        <v>47.699201000000002</v>
      </c>
      <c r="AH3272">
        <v>-122.17150100000001</v>
      </c>
      <c r="AI3272" t="s">
        <v>1058</v>
      </c>
      <c r="AJ3272">
        <v>98033</v>
      </c>
      <c r="AN3272">
        <v>299850</v>
      </c>
      <c r="BC3272" s="22">
        <v>39542.55809027778</v>
      </c>
      <c r="BI3272" s="22">
        <v>39549.294907407406</v>
      </c>
      <c r="BL3272">
        <v>10997</v>
      </c>
      <c r="BM3272">
        <v>1617626</v>
      </c>
      <c r="BN3272" t="s">
        <v>1768</v>
      </c>
      <c r="BO3272" s="17">
        <f t="shared" ca="1" si="51"/>
        <v>6.7513156249988242</v>
      </c>
      <c r="BP3272" t="b">
        <v>0</v>
      </c>
      <c r="BQ3272">
        <v>1</v>
      </c>
      <c r="BR3272" t="s">
        <v>1842</v>
      </c>
      <c r="BS3272" t="s">
        <v>2698</v>
      </c>
      <c r="BT3272" t="b">
        <v>0</v>
      </c>
      <c r="BV3272" t="s">
        <v>1668</v>
      </c>
      <c r="BW3272">
        <v>11011</v>
      </c>
      <c r="BX3272" t="s">
        <v>1738</v>
      </c>
      <c r="BY3272">
        <v>511474</v>
      </c>
      <c r="BZ3272" t="s">
        <v>1756</v>
      </c>
      <c r="CA3272">
        <v>1</v>
      </c>
      <c r="CB3272" t="b">
        <v>1</v>
      </c>
      <c r="CC3272">
        <v>0</v>
      </c>
      <c r="CD3272" t="b">
        <v>0</v>
      </c>
      <c r="CE3272" t="b">
        <v>1</v>
      </c>
      <c r="CF3272" t="b">
        <v>0</v>
      </c>
      <c r="CG3272">
        <v>2906272</v>
      </c>
      <c r="CH3272" t="s">
        <v>1681</v>
      </c>
      <c r="CI3272" s="10">
        <v>549850</v>
      </c>
      <c r="CJ3272" s="7">
        <v>37722</v>
      </c>
    </row>
    <row r="3273" spans="1:90">
      <c r="A3273">
        <v>28058451</v>
      </c>
      <c r="B3273" s="2" t="str">
        <f>HYPERLINK("http://www.redfin.com/stingray/do/printable-listing?listing-id=1617612","Active")</f>
        <v>Active</v>
      </c>
      <c r="D3273" t="s">
        <v>2552</v>
      </c>
      <c r="E3273" t="s">
        <v>3455</v>
      </c>
      <c r="F3273">
        <v>549000</v>
      </c>
      <c r="G3273">
        <v>1910</v>
      </c>
      <c r="H3273">
        <v>1460</v>
      </c>
      <c r="I3273">
        <v>7200</v>
      </c>
      <c r="J3273">
        <v>3</v>
      </c>
      <c r="K3273">
        <v>1</v>
      </c>
      <c r="M3273" s="2" t="str">
        <f>HYPERLINK("http://maps.live.com/default.aspx?v=2&amp;lvl=15&amp;sp=Point.47.649022_-122.40267_3209 35th Ave W&amp;cp=47.649022~-122.40267","Map")</f>
        <v>Map</v>
      </c>
      <c r="N3273" s="2" t="str">
        <f>HYPERLINK("http://i-0.rfimg.us/photo/1/bigphoto/451/28058451_0.jpg","Photo")</f>
        <v>Photo</v>
      </c>
      <c r="AG3273">
        <v>47.649022000000002</v>
      </c>
      <c r="AH3273">
        <v>-122.40267</v>
      </c>
      <c r="AI3273" t="s">
        <v>66</v>
      </c>
      <c r="AJ3273">
        <v>98199</v>
      </c>
      <c r="AN3273">
        <v>53000</v>
      </c>
      <c r="BC3273" s="22">
        <v>39542.557893518519</v>
      </c>
      <c r="BI3273" s="22">
        <v>39549.294907407406</v>
      </c>
      <c r="BL3273">
        <v>10980</v>
      </c>
      <c r="BM3273">
        <v>1617612</v>
      </c>
      <c r="BN3273" t="s">
        <v>2749</v>
      </c>
      <c r="BO3273" s="17">
        <f t="shared" ca="1" si="51"/>
        <v>6.7515123842604226</v>
      </c>
      <c r="BP3273" t="b">
        <v>0</v>
      </c>
      <c r="BQ3273">
        <v>1</v>
      </c>
      <c r="BR3273" t="s">
        <v>1667</v>
      </c>
      <c r="BS3273" t="s">
        <v>2920</v>
      </c>
      <c r="BT3273" t="b">
        <v>0</v>
      </c>
      <c r="BV3273" t="s">
        <v>1668</v>
      </c>
      <c r="BW3273">
        <v>3209</v>
      </c>
      <c r="BX3273" t="s">
        <v>2423</v>
      </c>
      <c r="BY3273">
        <v>127514</v>
      </c>
      <c r="BZ3273" t="s">
        <v>1696</v>
      </c>
      <c r="CA3273">
        <v>1</v>
      </c>
      <c r="CB3273" t="b">
        <v>1</v>
      </c>
      <c r="CC3273">
        <v>0</v>
      </c>
      <c r="CD3273" t="b">
        <v>0</v>
      </c>
      <c r="CE3273" t="b">
        <v>1</v>
      </c>
      <c r="CF3273" t="b">
        <v>0</v>
      </c>
      <c r="CG3273">
        <v>2486703</v>
      </c>
      <c r="CH3273" t="s">
        <v>1681</v>
      </c>
      <c r="CI3273" s="10">
        <v>549000</v>
      </c>
      <c r="CJ3273" s="7">
        <v>30372</v>
      </c>
    </row>
    <row r="3274" spans="1:90">
      <c r="A3274">
        <v>28058496</v>
      </c>
      <c r="B3274" s="2" t="str">
        <f>HYPERLINK("http://www.redfin.com/stingray/do/printable-listing?listing-id=1622190","Active")</f>
        <v>Active</v>
      </c>
      <c r="D3274" t="s">
        <v>4113</v>
      </c>
      <c r="E3274" t="s">
        <v>6971</v>
      </c>
      <c r="F3274">
        <v>585000</v>
      </c>
      <c r="G3274">
        <v>1919</v>
      </c>
      <c r="H3274">
        <v>1020</v>
      </c>
      <c r="I3274">
        <v>4000</v>
      </c>
      <c r="J3274">
        <v>2</v>
      </c>
      <c r="K3274">
        <v>1</v>
      </c>
      <c r="M3274" s="2" t="str">
        <f>HYPERLINK("http://maps.live.com/default.aspx?v=2&amp;lvl=15&amp;sp=Point.47.627866_-122.291632_1010 31st Ave E&amp;cp=47.627866~-122.291632","Map")</f>
        <v>Map</v>
      </c>
      <c r="N3274" s="2" t="str">
        <f>HYPERLINK("http://i-0.rfimg.us/photo/1/bigphoto/496/28058496_1.jpg","Photo")</f>
        <v>Photo</v>
      </c>
      <c r="AG3274">
        <v>47.627865999999997</v>
      </c>
      <c r="AH3274">
        <v>-122.29163200000001</v>
      </c>
      <c r="AI3274" t="s">
        <v>66</v>
      </c>
      <c r="AJ3274">
        <v>98112</v>
      </c>
      <c r="AN3274">
        <v>187900</v>
      </c>
      <c r="BC3274" s="22">
        <v>39545.046388888892</v>
      </c>
      <c r="BI3274" s="22">
        <v>39549.294907407406</v>
      </c>
      <c r="BL3274">
        <v>11700</v>
      </c>
      <c r="BM3274">
        <v>1622190</v>
      </c>
      <c r="BN3274" t="s">
        <v>3742</v>
      </c>
      <c r="BO3274" s="17">
        <f t="shared" ca="1" si="51"/>
        <v>4.2630170138872927</v>
      </c>
      <c r="BP3274" t="b">
        <v>0</v>
      </c>
      <c r="BQ3274">
        <v>1</v>
      </c>
      <c r="BR3274" t="s">
        <v>1667</v>
      </c>
      <c r="BS3274" t="s">
        <v>1732</v>
      </c>
      <c r="BT3274" t="b">
        <v>0</v>
      </c>
      <c r="BV3274" t="s">
        <v>1668</v>
      </c>
      <c r="BW3274">
        <v>1010</v>
      </c>
      <c r="BX3274" t="s">
        <v>2436</v>
      </c>
      <c r="BY3274">
        <v>140076</v>
      </c>
      <c r="BZ3274" t="s">
        <v>6972</v>
      </c>
      <c r="CA3274">
        <v>1</v>
      </c>
      <c r="CB3274" t="b">
        <v>1</v>
      </c>
      <c r="CC3274">
        <v>0</v>
      </c>
      <c r="CD3274" t="b">
        <v>0</v>
      </c>
      <c r="CE3274" t="b">
        <v>1</v>
      </c>
      <c r="CF3274" t="b">
        <v>0</v>
      </c>
      <c r="CG3274">
        <v>2947619</v>
      </c>
      <c r="CH3274" t="s">
        <v>1681</v>
      </c>
      <c r="CI3274" s="10">
        <v>585000</v>
      </c>
      <c r="CJ3274" s="7">
        <v>35531</v>
      </c>
      <c r="CL3274" t="s">
        <v>6682</v>
      </c>
    </row>
    <row r="3275" spans="1:90">
      <c r="A3275">
        <v>28058510</v>
      </c>
      <c r="B3275" s="2" t="str">
        <f>HYPERLINK("http://www.redfin.com/stingray/do/printable-listing?listing-id=1617833","Active")</f>
        <v>Active</v>
      </c>
      <c r="D3275" t="s">
        <v>1023</v>
      </c>
      <c r="E3275" t="s">
        <v>2335</v>
      </c>
      <c r="F3275">
        <v>1695000</v>
      </c>
      <c r="G3275">
        <v>2005</v>
      </c>
      <c r="H3275">
        <v>4860</v>
      </c>
      <c r="I3275">
        <v>7110</v>
      </c>
      <c r="J3275">
        <v>6</v>
      </c>
      <c r="K3275">
        <v>4</v>
      </c>
      <c r="M3275" s="2" t="str">
        <f>HYPERLINK("http://maps.live.com/default.aspx?v=2&amp;lvl=15&amp;sp=Point.47.677803_-122.404803_6701 37th Ave NW&amp;cp=47.677803~-122.404803","Map")</f>
        <v>Map</v>
      </c>
      <c r="N3275" s="2" t="str">
        <f>HYPERLINK("http://i-0.rfimg.us/photo/1/bigphoto/510/28058510_0.jpg","Photo")</f>
        <v>Photo</v>
      </c>
      <c r="AG3275">
        <v>47.677802999999997</v>
      </c>
      <c r="AH3275">
        <v>-122.404803</v>
      </c>
      <c r="AI3275" t="s">
        <v>66</v>
      </c>
      <c r="AJ3275">
        <v>98117</v>
      </c>
      <c r="AN3275">
        <v>250000</v>
      </c>
      <c r="BC3275" s="22">
        <v>39542.590312499997</v>
      </c>
      <c r="BI3275" s="22">
        <v>39549.294907407406</v>
      </c>
      <c r="BL3275">
        <v>33900</v>
      </c>
      <c r="BM3275">
        <v>1617833</v>
      </c>
      <c r="BN3275" t="s">
        <v>1718</v>
      </c>
      <c r="BO3275" s="17">
        <f t="shared" ca="1" si="51"/>
        <v>6.719093402782164</v>
      </c>
      <c r="BP3275" t="b">
        <v>0</v>
      </c>
      <c r="BQ3275">
        <v>1</v>
      </c>
      <c r="BR3275" t="s">
        <v>1667</v>
      </c>
      <c r="BS3275" t="s">
        <v>2192</v>
      </c>
      <c r="BT3275" t="b">
        <v>0</v>
      </c>
      <c r="BV3275" t="s">
        <v>1668</v>
      </c>
      <c r="BW3275">
        <v>6701</v>
      </c>
      <c r="BX3275" t="s">
        <v>1669</v>
      </c>
      <c r="BY3275">
        <v>2096944</v>
      </c>
      <c r="BZ3275" t="s">
        <v>1713</v>
      </c>
      <c r="CA3275">
        <v>1</v>
      </c>
      <c r="CB3275" t="b">
        <v>1</v>
      </c>
      <c r="CC3275">
        <v>0</v>
      </c>
      <c r="CD3275" t="b">
        <v>0</v>
      </c>
      <c r="CE3275" t="b">
        <v>1</v>
      </c>
      <c r="CF3275" t="b">
        <v>0</v>
      </c>
      <c r="CG3275">
        <v>2970385</v>
      </c>
      <c r="CH3275" t="s">
        <v>1681</v>
      </c>
      <c r="CI3275" s="10">
        <v>1695000</v>
      </c>
      <c r="CJ3275" s="7">
        <v>38104</v>
      </c>
    </row>
    <row r="3276" spans="1:90">
      <c r="A3276">
        <v>28058519</v>
      </c>
      <c r="B3276" s="2" t="str">
        <f>HYPERLINK("http://www.redfin.com/stingray/do/printable-listing?listing-id=1617832","Contingent")</f>
        <v>Contingent</v>
      </c>
      <c r="D3276" t="s">
        <v>5545</v>
      </c>
      <c r="E3276" t="s">
        <v>6864</v>
      </c>
      <c r="F3276">
        <v>787500</v>
      </c>
      <c r="G3276">
        <v>2007</v>
      </c>
      <c r="H3276">
        <v>3641</v>
      </c>
      <c r="I3276">
        <v>6431</v>
      </c>
      <c r="J3276">
        <v>5</v>
      </c>
      <c r="K3276">
        <v>3.75</v>
      </c>
      <c r="M3276" s="2" t="str">
        <f>HYPERLINK("http://maps.live.com/default.aspx?v=2&amp;lvl=15&amp;sp=adr.1301 247th Pl SE (Unable to map),98075","Map")</f>
        <v>Map</v>
      </c>
      <c r="N3276" s="2" t="str">
        <f>HYPERLINK("http://i-0.rfimg.us/photo/1/bigphoto/519/28058519_0.jpg","Photo")</f>
        <v>Photo</v>
      </c>
      <c r="AI3276" t="s">
        <v>5273</v>
      </c>
      <c r="AJ3276">
        <v>98075</v>
      </c>
      <c r="BC3276" s="22">
        <v>39542.590243055558</v>
      </c>
      <c r="BI3276" s="22">
        <v>39549.294907407406</v>
      </c>
      <c r="BL3276">
        <v>15750</v>
      </c>
      <c r="BM3276">
        <v>1617832</v>
      </c>
      <c r="BN3276" t="s">
        <v>1768</v>
      </c>
      <c r="BO3276" s="17">
        <f t="shared" ca="1" si="51"/>
        <v>6.7191628472210141</v>
      </c>
      <c r="BP3276" t="b">
        <v>0</v>
      </c>
      <c r="BQ3276">
        <v>2</v>
      </c>
      <c r="BR3276" t="s">
        <v>1842</v>
      </c>
      <c r="BS3276" t="s">
        <v>5543</v>
      </c>
      <c r="BT3276" t="b">
        <v>0</v>
      </c>
      <c r="BV3276" t="s">
        <v>1668</v>
      </c>
      <c r="BW3276">
        <v>1301</v>
      </c>
      <c r="BX3276" t="s">
        <v>3856</v>
      </c>
      <c r="BY3276">
        <v>0</v>
      </c>
      <c r="BZ3276" s="21">
        <v>0</v>
      </c>
      <c r="CA3276">
        <v>1</v>
      </c>
      <c r="CB3276" t="b">
        <v>1</v>
      </c>
      <c r="CC3276">
        <v>0</v>
      </c>
      <c r="CD3276" t="b">
        <v>0</v>
      </c>
      <c r="CE3276" t="b">
        <v>1</v>
      </c>
      <c r="CF3276" t="b">
        <v>0</v>
      </c>
      <c r="CG3276" t="s">
        <v>1870</v>
      </c>
      <c r="CH3276" t="s">
        <v>1681</v>
      </c>
      <c r="CI3276" s="10">
        <v>787500</v>
      </c>
    </row>
    <row r="3277" spans="1:90">
      <c r="A3277">
        <v>28058526</v>
      </c>
      <c r="B3277" s="2" t="str">
        <f>HYPERLINK("http://www.redfin.com/stingray/do/printable-listing?listing-id=1618028","Active")</f>
        <v>Active</v>
      </c>
      <c r="D3277" t="s">
        <v>3961</v>
      </c>
      <c r="E3277" t="s">
        <v>6839</v>
      </c>
      <c r="F3277">
        <v>374999</v>
      </c>
      <c r="G3277">
        <v>2008</v>
      </c>
      <c r="H3277">
        <v>1700</v>
      </c>
      <c r="I3277">
        <v>0</v>
      </c>
      <c r="J3277">
        <v>3</v>
      </c>
      <c r="K3277">
        <v>2.5</v>
      </c>
      <c r="M3277" s="2" t="str">
        <f>HYPERLINK("http://maps.live.com/default.aspx?v=2&amp;lvl=15&amp;sp=adr.315 27th Ave S (Unable to map),98112","Map")</f>
        <v>Map</v>
      </c>
      <c r="N3277" s="2" t="str">
        <f>HYPERLINK("http://i-0.rfimg.us/photo/1/bigphoto/526/28058526_0.jpg","Photo")</f>
        <v>Photo</v>
      </c>
      <c r="AI3277" t="s">
        <v>66</v>
      </c>
      <c r="AJ3277">
        <v>98112</v>
      </c>
      <c r="BC3277" s="22">
        <v>39542.633125</v>
      </c>
      <c r="BI3277" s="22">
        <v>39549.294907407406</v>
      </c>
      <c r="BL3277">
        <v>7500</v>
      </c>
      <c r="BM3277">
        <v>1618028</v>
      </c>
      <c r="BN3277" t="s">
        <v>1746</v>
      </c>
      <c r="BO3277" s="17">
        <f t="shared" ca="1" si="51"/>
        <v>6.6762809027786716</v>
      </c>
      <c r="BP3277" t="b">
        <v>0</v>
      </c>
      <c r="BQ3277">
        <v>1</v>
      </c>
      <c r="BR3277" t="s">
        <v>1667</v>
      </c>
      <c r="BS3277" t="s">
        <v>1751</v>
      </c>
      <c r="BT3277" t="b">
        <v>0</v>
      </c>
      <c r="BV3277" t="s">
        <v>1668</v>
      </c>
      <c r="BW3277">
        <v>315</v>
      </c>
      <c r="BX3277" t="s">
        <v>1881</v>
      </c>
      <c r="BY3277">
        <v>0</v>
      </c>
      <c r="BZ3277" t="s">
        <v>1672</v>
      </c>
      <c r="CA3277">
        <v>1</v>
      </c>
      <c r="CB3277" t="b">
        <v>1</v>
      </c>
      <c r="CC3277">
        <v>0</v>
      </c>
      <c r="CD3277" t="b">
        <v>0</v>
      </c>
      <c r="CE3277" t="b">
        <v>1</v>
      </c>
      <c r="CF3277" t="b">
        <v>0</v>
      </c>
      <c r="CG3277" t="s">
        <v>1870</v>
      </c>
      <c r="CH3277" t="s">
        <v>1681</v>
      </c>
      <c r="CI3277" s="10">
        <v>374999</v>
      </c>
    </row>
    <row r="3278" spans="1:90">
      <c r="A3278">
        <v>28058546</v>
      </c>
      <c r="B3278" s="2" t="str">
        <f>HYPERLINK("http://www.redfin.com/stingray/do/printable-listing?listing-id=1617905","Contingent")</f>
        <v>Contingent</v>
      </c>
      <c r="D3278" t="s">
        <v>5545</v>
      </c>
      <c r="E3278" t="s">
        <v>6863</v>
      </c>
      <c r="F3278">
        <v>790000</v>
      </c>
      <c r="G3278">
        <v>2007</v>
      </c>
      <c r="H3278">
        <v>3523</v>
      </c>
      <c r="I3278">
        <v>5687</v>
      </c>
      <c r="J3278">
        <v>4</v>
      </c>
      <c r="K3278">
        <v>2.5</v>
      </c>
      <c r="M3278" s="2" t="str">
        <f>HYPERLINK("http://maps.live.com/default.aspx?v=2&amp;lvl=15&amp;sp=adr.1321 247th Pl SE (Unable to map),98075","Map")</f>
        <v>Map</v>
      </c>
      <c r="N3278" s="2" t="str">
        <f>HYPERLINK("http://i-0.rfimg.us/photo/1/bigphoto/546/28058546_0.jpg","Photo")</f>
        <v>Photo</v>
      </c>
      <c r="AI3278" t="s">
        <v>5273</v>
      </c>
      <c r="AJ3278">
        <v>98075</v>
      </c>
      <c r="BC3278" s="22">
        <v>39542.602384259262</v>
      </c>
      <c r="BI3278" s="22">
        <v>39549.294907407406</v>
      </c>
      <c r="BL3278">
        <v>15800</v>
      </c>
      <c r="BM3278">
        <v>1617905</v>
      </c>
      <c r="BN3278" t="s">
        <v>1768</v>
      </c>
      <c r="BO3278" s="17">
        <f t="shared" ca="1" si="51"/>
        <v>6.7070216435167822</v>
      </c>
      <c r="BP3278" t="b">
        <v>0</v>
      </c>
      <c r="BQ3278">
        <v>2</v>
      </c>
      <c r="BR3278" t="s">
        <v>1842</v>
      </c>
      <c r="BS3278" t="s">
        <v>5543</v>
      </c>
      <c r="BT3278" t="b">
        <v>0</v>
      </c>
      <c r="BV3278" t="s">
        <v>1668</v>
      </c>
      <c r="BW3278">
        <v>1321</v>
      </c>
      <c r="BX3278" t="s">
        <v>3856</v>
      </c>
      <c r="BY3278">
        <v>0</v>
      </c>
      <c r="BZ3278" t="s">
        <v>1741</v>
      </c>
      <c r="CA3278">
        <v>1</v>
      </c>
      <c r="CB3278" t="b">
        <v>1</v>
      </c>
      <c r="CC3278">
        <v>0</v>
      </c>
      <c r="CD3278" t="b">
        <v>0</v>
      </c>
      <c r="CE3278" t="b">
        <v>1</v>
      </c>
      <c r="CF3278" t="b">
        <v>0</v>
      </c>
      <c r="CG3278" t="s">
        <v>1870</v>
      </c>
      <c r="CH3278" t="s">
        <v>1681</v>
      </c>
      <c r="CI3278" s="10">
        <v>790000</v>
      </c>
    </row>
    <row r="3279" spans="1:90">
      <c r="A3279">
        <v>28058551</v>
      </c>
      <c r="B3279" s="2" t="str">
        <f>HYPERLINK("http://www.redfin.com/stingray/do/printable-listing?listing-id=1617948","Active")</f>
        <v>Active</v>
      </c>
      <c r="D3279" t="s">
        <v>100</v>
      </c>
      <c r="E3279" t="s">
        <v>6833</v>
      </c>
      <c r="F3279">
        <v>675000</v>
      </c>
      <c r="G3279">
        <v>1954</v>
      </c>
      <c r="H3279">
        <v>2860</v>
      </c>
      <c r="I3279">
        <v>4400</v>
      </c>
      <c r="J3279">
        <v>4</v>
      </c>
      <c r="K3279">
        <v>3.25</v>
      </c>
      <c r="M3279" s="2" t="str">
        <f>HYPERLINK("http://maps.live.com/default.aspx?v=2&amp;lvl=15&amp;sp=Point.47.659746_-122.360441_4324 3rd Ave NW&amp;cp=47.659746~-122.360441","Map")</f>
        <v>Map</v>
      </c>
      <c r="N3279" s="2" t="str">
        <f>HYPERLINK("http://i-0.rfimg.us/photo/1/bigphoto/551/28058551_0.jpg","Photo")</f>
        <v>Photo</v>
      </c>
      <c r="AG3279">
        <v>47.659745999999998</v>
      </c>
      <c r="AH3279">
        <v>-122.36044099999999</v>
      </c>
      <c r="AI3279" t="s">
        <v>66</v>
      </c>
      <c r="AJ3279">
        <v>98107</v>
      </c>
      <c r="AN3279">
        <v>290000</v>
      </c>
      <c r="BC3279" s="22">
        <v>39542.612210648149</v>
      </c>
      <c r="BI3279" s="22">
        <v>39549.294907407406</v>
      </c>
      <c r="BL3279">
        <v>13500</v>
      </c>
      <c r="BM3279">
        <v>1617948</v>
      </c>
      <c r="BN3279" t="s">
        <v>1690</v>
      </c>
      <c r="BO3279" s="17">
        <f t="shared" ca="1" si="51"/>
        <v>6.6971952546300599</v>
      </c>
      <c r="BP3279" t="b">
        <v>0</v>
      </c>
      <c r="BQ3279">
        <v>1</v>
      </c>
      <c r="BR3279" t="s">
        <v>1667</v>
      </c>
      <c r="BS3279" t="s">
        <v>1796</v>
      </c>
      <c r="BT3279" t="b">
        <v>0</v>
      </c>
      <c r="BV3279" t="s">
        <v>1668</v>
      </c>
      <c r="BW3279">
        <v>4324</v>
      </c>
      <c r="BX3279" t="s">
        <v>1669</v>
      </c>
      <c r="BY3279">
        <v>301903</v>
      </c>
      <c r="BZ3279" t="s">
        <v>1672</v>
      </c>
      <c r="CA3279">
        <v>1</v>
      </c>
      <c r="CB3279" t="b">
        <v>1</v>
      </c>
      <c r="CC3279">
        <v>0</v>
      </c>
      <c r="CD3279" t="b">
        <v>0</v>
      </c>
      <c r="CE3279" t="b">
        <v>1</v>
      </c>
      <c r="CF3279" t="b">
        <v>0</v>
      </c>
      <c r="CG3279">
        <v>2483214</v>
      </c>
      <c r="CH3279" t="s">
        <v>1681</v>
      </c>
      <c r="CI3279" s="10">
        <v>675000</v>
      </c>
      <c r="CJ3279" s="7">
        <v>37827</v>
      </c>
    </row>
    <row r="3280" spans="1:90">
      <c r="A3280">
        <v>28058554</v>
      </c>
      <c r="B3280" s="2" t="str">
        <f>HYPERLINK("http://www.redfin.com/stingray/do/printable-listing?listing-id=1618383","Active")</f>
        <v>Active</v>
      </c>
      <c r="D3280" t="s">
        <v>3249</v>
      </c>
      <c r="E3280" t="s">
        <v>6835</v>
      </c>
      <c r="F3280">
        <v>1450000</v>
      </c>
      <c r="G3280">
        <v>1913</v>
      </c>
      <c r="H3280">
        <v>3800</v>
      </c>
      <c r="I3280">
        <v>3420</v>
      </c>
      <c r="J3280">
        <v>5</v>
      </c>
      <c r="K3280">
        <v>4</v>
      </c>
      <c r="M3280" s="2" t="str">
        <f>HYPERLINK("http://maps.live.com/default.aspx?v=2&amp;lvl=15&amp;sp=Point.47.637403_-122.360548_218 W Crockett&amp;cp=47.637403~-122.360548","Map")</f>
        <v>Map</v>
      </c>
      <c r="N3280" s="2" t="str">
        <f>HYPERLINK("http://i-0.rfimg.us/photo/1/bigphoto/554/28058554_1.jpg","Photo")</f>
        <v>Photo</v>
      </c>
      <c r="AG3280">
        <v>47.637402999999999</v>
      </c>
      <c r="AH3280">
        <v>-122.36054799999999</v>
      </c>
      <c r="AI3280" t="s">
        <v>66</v>
      </c>
      <c r="AJ3280">
        <v>98119</v>
      </c>
      <c r="AN3280">
        <v>255000</v>
      </c>
      <c r="BC3280" s="22">
        <v>39542.683796296296</v>
      </c>
      <c r="BI3280" s="22">
        <v>39549.294907407406</v>
      </c>
      <c r="BL3280">
        <v>29000</v>
      </c>
      <c r="BM3280">
        <v>1618383</v>
      </c>
      <c r="BN3280" t="s">
        <v>1678</v>
      </c>
      <c r="BO3280" s="17">
        <f t="shared" ca="1" si="51"/>
        <v>6.6256096064826124</v>
      </c>
      <c r="BP3280" t="b">
        <v>0</v>
      </c>
      <c r="BQ3280">
        <v>1</v>
      </c>
      <c r="BS3280" t="s">
        <v>3390</v>
      </c>
      <c r="BT3280" t="b">
        <v>0</v>
      </c>
      <c r="BU3280" t="s">
        <v>2423</v>
      </c>
      <c r="BV3280" t="s">
        <v>1668</v>
      </c>
      <c r="BW3280">
        <v>218</v>
      </c>
      <c r="BY3280">
        <v>132859</v>
      </c>
      <c r="BZ3280" t="s">
        <v>3977</v>
      </c>
      <c r="CA3280">
        <v>1</v>
      </c>
      <c r="CB3280" t="b">
        <v>1</v>
      </c>
      <c r="CC3280">
        <v>0</v>
      </c>
      <c r="CD3280" t="b">
        <v>0</v>
      </c>
      <c r="CE3280" t="b">
        <v>1</v>
      </c>
      <c r="CF3280" t="b">
        <v>0</v>
      </c>
      <c r="CG3280">
        <v>2720385</v>
      </c>
      <c r="CH3280" t="s">
        <v>1681</v>
      </c>
      <c r="CI3280" s="10">
        <v>1450000</v>
      </c>
      <c r="CJ3280" s="7">
        <v>37575</v>
      </c>
    </row>
    <row r="3281" spans="1:90">
      <c r="A3281">
        <v>28058566</v>
      </c>
      <c r="B3281" s="15" t="str">
        <f>HYPERLINK("http://www.redfin.com/stingray/do/printable-listing?listing-id=1617946","Subject To Inspection")</f>
        <v>Subject To Inspection</v>
      </c>
      <c r="D3281" t="s">
        <v>5565</v>
      </c>
      <c r="E3281" t="s">
        <v>6872</v>
      </c>
      <c r="F3281">
        <v>630000</v>
      </c>
      <c r="G3281">
        <v>1964</v>
      </c>
      <c r="H3281">
        <v>3190</v>
      </c>
      <c r="I3281">
        <v>11761</v>
      </c>
      <c r="J3281">
        <v>5</v>
      </c>
      <c r="K3281">
        <v>2.75</v>
      </c>
      <c r="M3281" s="2" t="str">
        <f>HYPERLINK("http://maps.live.com/default.aspx?v=2&amp;lvl=15&amp;sp=Point.47.550006_-122.190898_11163 SE 59th St&amp;cp=47.550006~-122.190898","Map")</f>
        <v>Map</v>
      </c>
      <c r="N3281" s="2" t="str">
        <f>HYPERLINK("http://i-0.rfimg.us/photo/1/bigphoto/566/28058566_0.jpg","Photo")</f>
        <v>Photo</v>
      </c>
      <c r="AG3281">
        <v>47.550006000000003</v>
      </c>
      <c r="AH3281">
        <v>-122.190898</v>
      </c>
      <c r="AI3281" t="s">
        <v>369</v>
      </c>
      <c r="AJ3281">
        <v>98006</v>
      </c>
      <c r="BC3281" s="22">
        <v>39542.612129629626</v>
      </c>
      <c r="BI3281" s="22">
        <v>39549.294907407406</v>
      </c>
      <c r="BL3281">
        <v>12600</v>
      </c>
      <c r="BM3281">
        <v>1617946</v>
      </c>
      <c r="BN3281" t="s">
        <v>1674</v>
      </c>
      <c r="BO3281" s="17">
        <f t="shared" ca="1" si="51"/>
        <v>6.6972762731529656</v>
      </c>
      <c r="BP3281" t="b">
        <v>0</v>
      </c>
      <c r="BQ3281">
        <v>1</v>
      </c>
      <c r="BR3281" t="s">
        <v>1686</v>
      </c>
      <c r="BS3281" t="s">
        <v>2492</v>
      </c>
      <c r="BT3281" t="b">
        <v>0</v>
      </c>
      <c r="BU3281" t="s">
        <v>3856</v>
      </c>
      <c r="BV3281" t="s">
        <v>1668</v>
      </c>
      <c r="BW3281">
        <v>11163</v>
      </c>
      <c r="BY3281">
        <v>414505</v>
      </c>
      <c r="BZ3281" t="s">
        <v>1745</v>
      </c>
      <c r="CA3281">
        <v>1</v>
      </c>
      <c r="CB3281" t="b">
        <v>1</v>
      </c>
      <c r="CC3281">
        <v>0</v>
      </c>
      <c r="CD3281" t="b">
        <v>0</v>
      </c>
      <c r="CE3281" t="b">
        <v>1</v>
      </c>
      <c r="CF3281" t="b">
        <v>0</v>
      </c>
      <c r="CG3281">
        <v>2919934</v>
      </c>
      <c r="CH3281" t="s">
        <v>1681</v>
      </c>
      <c r="CI3281" s="10">
        <v>630000</v>
      </c>
    </row>
    <row r="3282" spans="1:90">
      <c r="A3282">
        <v>28058591</v>
      </c>
      <c r="B3282" s="2" t="str">
        <f>HYPERLINK("http://www.redfin.com/stingray/do/printable-listing?listing-id=1618029","Active")</f>
        <v>Active</v>
      </c>
      <c r="D3282" t="s">
        <v>3961</v>
      </c>
      <c r="E3282" t="s">
        <v>6838</v>
      </c>
      <c r="F3282">
        <v>389999</v>
      </c>
      <c r="G3282">
        <v>2008</v>
      </c>
      <c r="H3282">
        <v>1800</v>
      </c>
      <c r="I3282">
        <v>0</v>
      </c>
      <c r="J3282">
        <v>3</v>
      </c>
      <c r="K3282">
        <v>2.5</v>
      </c>
      <c r="M3282" s="2" t="str">
        <f>HYPERLINK("http://maps.live.com/default.aspx?v=2&amp;lvl=15&amp;sp=adr.313 27th Ave S (Unable to map),98112","Map")</f>
        <v>Map</v>
      </c>
      <c r="N3282" s="2" t="str">
        <f>HYPERLINK("http://i-0.rfimg.us/photo/1/bigphoto/591/28058591_0.jpg","Photo")</f>
        <v>Photo</v>
      </c>
      <c r="AI3282" t="s">
        <v>66</v>
      </c>
      <c r="AJ3282">
        <v>98112</v>
      </c>
      <c r="BC3282" s="22">
        <v>39542.633125</v>
      </c>
      <c r="BI3282" s="22">
        <v>39549.294907407406</v>
      </c>
      <c r="BL3282">
        <v>7800</v>
      </c>
      <c r="BM3282">
        <v>1618029</v>
      </c>
      <c r="BN3282" t="s">
        <v>1746</v>
      </c>
      <c r="BO3282" s="17">
        <f t="shared" ca="1" si="51"/>
        <v>6.6762809027786716</v>
      </c>
      <c r="BP3282" t="b">
        <v>0</v>
      </c>
      <c r="BQ3282">
        <v>1</v>
      </c>
      <c r="BR3282" t="s">
        <v>1667</v>
      </c>
      <c r="BS3282" t="s">
        <v>1751</v>
      </c>
      <c r="BT3282" t="b">
        <v>0</v>
      </c>
      <c r="BV3282" t="s">
        <v>1668</v>
      </c>
      <c r="BW3282">
        <v>313</v>
      </c>
      <c r="BX3282" t="s">
        <v>1881</v>
      </c>
      <c r="BY3282">
        <v>0</v>
      </c>
      <c r="BZ3282" t="s">
        <v>1672</v>
      </c>
      <c r="CA3282">
        <v>1</v>
      </c>
      <c r="CB3282" t="b">
        <v>1</v>
      </c>
      <c r="CC3282">
        <v>0</v>
      </c>
      <c r="CD3282" t="b">
        <v>0</v>
      </c>
      <c r="CE3282" t="b">
        <v>1</v>
      </c>
      <c r="CF3282" t="b">
        <v>0</v>
      </c>
      <c r="CG3282" t="s">
        <v>1870</v>
      </c>
      <c r="CH3282" t="s">
        <v>1681</v>
      </c>
      <c r="CI3282" s="10">
        <v>389999</v>
      </c>
    </row>
    <row r="3283" spans="1:90">
      <c r="A3283">
        <v>28058615</v>
      </c>
      <c r="B3283" s="2" t="str">
        <f>HYPERLINK("http://www.redfin.com/stingray/do/printable-listing?listing-id=1618307","Active")</f>
        <v>Active</v>
      </c>
      <c r="D3283" t="s">
        <v>3966</v>
      </c>
      <c r="E3283" t="s">
        <v>6841</v>
      </c>
      <c r="F3283">
        <v>449000</v>
      </c>
      <c r="G3283">
        <v>1956</v>
      </c>
      <c r="H3283">
        <v>0</v>
      </c>
      <c r="I3283">
        <v>6600</v>
      </c>
      <c r="J3283">
        <v>3</v>
      </c>
      <c r="K3283">
        <v>1.5</v>
      </c>
      <c r="M3283" s="2" t="str">
        <f>HYPERLINK("http://maps.live.com/default.aspx?v=2&amp;lvl=15&amp;sp=Point.47.617132_-122.294466_1720 29th Ave&amp;cp=47.617132~-122.294466","Map")</f>
        <v>Map</v>
      </c>
      <c r="N3283" s="2" t="str">
        <f>HYPERLINK("http://i-0.rfimg.us/photo/1/bigphoto/615/28058615_.jpg","Photo")</f>
        <v>Photo</v>
      </c>
      <c r="AG3283">
        <v>47.617131999999998</v>
      </c>
      <c r="AH3283">
        <v>-122.294466</v>
      </c>
      <c r="AI3283" t="s">
        <v>66</v>
      </c>
      <c r="AJ3283">
        <v>98122</v>
      </c>
      <c r="AN3283">
        <v>284225</v>
      </c>
      <c r="BC3283" s="22">
        <v>39542.676111111112</v>
      </c>
      <c r="BI3283" s="22">
        <v>39549.294907407406</v>
      </c>
      <c r="BL3283">
        <v>8980</v>
      </c>
      <c r="BM3283">
        <v>1618307</v>
      </c>
      <c r="BN3283" t="s">
        <v>1768</v>
      </c>
      <c r="BO3283" s="17">
        <f t="shared" ca="1" si="51"/>
        <v>6.6332947916671401</v>
      </c>
      <c r="BP3283" t="b">
        <v>0</v>
      </c>
      <c r="BQ3283">
        <v>1</v>
      </c>
      <c r="BR3283" t="s">
        <v>1667</v>
      </c>
      <c r="BS3283" t="s">
        <v>1772</v>
      </c>
      <c r="BT3283" t="b">
        <v>0</v>
      </c>
      <c r="BV3283" t="s">
        <v>1668</v>
      </c>
      <c r="BW3283">
        <v>1720</v>
      </c>
      <c r="BY3283">
        <v>147323</v>
      </c>
      <c r="BZ3283" t="s">
        <v>1741</v>
      </c>
      <c r="CA3283">
        <v>1</v>
      </c>
      <c r="CB3283" t="b">
        <v>1</v>
      </c>
      <c r="CC3283">
        <v>0</v>
      </c>
      <c r="CD3283" t="b">
        <v>0</v>
      </c>
      <c r="CE3283" t="b">
        <v>1</v>
      </c>
      <c r="CF3283" t="b">
        <v>0</v>
      </c>
      <c r="CG3283">
        <v>2824790</v>
      </c>
      <c r="CH3283" t="s">
        <v>1681</v>
      </c>
      <c r="CI3283" s="10">
        <v>449000</v>
      </c>
      <c r="CJ3283" s="7">
        <v>38764</v>
      </c>
    </row>
    <row r="3284" spans="1:90">
      <c r="A3284">
        <v>28058639</v>
      </c>
      <c r="B3284" s="2" t="str">
        <f>HYPERLINK("http://www.redfin.com/stingray/do/printable-listing?listing-id=1618304","Active")</f>
        <v>Active</v>
      </c>
      <c r="D3284" t="s">
        <v>1058</v>
      </c>
      <c r="E3284" t="s">
        <v>6848</v>
      </c>
      <c r="F3284">
        <v>565000</v>
      </c>
      <c r="G3284">
        <v>1974</v>
      </c>
      <c r="H3284">
        <v>2300</v>
      </c>
      <c r="I3284">
        <v>10000</v>
      </c>
      <c r="J3284">
        <v>4</v>
      </c>
      <c r="K3284">
        <v>2</v>
      </c>
      <c r="M3284" s="2" t="str">
        <f>HYPERLINK("http://maps.live.com/default.aspx?v=2&amp;lvl=15&amp;sp=Point.47.715773_-122.189346_11332 NE 129th St&amp;cp=47.715773~-122.189346","Map")</f>
        <v>Map</v>
      </c>
      <c r="N3284" s="2" t="str">
        <f>HYPERLINK("http://i-0.rfimg.us/photo/1/bigphoto/639/28058639_0.jpg","Photo")</f>
        <v>Photo</v>
      </c>
      <c r="AG3284">
        <v>47.715772999999999</v>
      </c>
      <c r="AH3284">
        <v>-122.189346</v>
      </c>
      <c r="AI3284" t="s">
        <v>1058</v>
      </c>
      <c r="AJ3284">
        <v>98034</v>
      </c>
      <c r="AN3284">
        <v>157500</v>
      </c>
      <c r="BC3284" s="22">
        <v>39542.676087962966</v>
      </c>
      <c r="BI3284" s="22">
        <v>39549.294907407406</v>
      </c>
      <c r="BL3284">
        <v>11300</v>
      </c>
      <c r="BM3284">
        <v>1618304</v>
      </c>
      <c r="BN3284" t="s">
        <v>2203</v>
      </c>
      <c r="BO3284" s="17">
        <f t="shared" ca="1" si="51"/>
        <v>6.6333179398134234</v>
      </c>
      <c r="BP3284" t="b">
        <v>0</v>
      </c>
      <c r="BQ3284">
        <v>1</v>
      </c>
      <c r="BR3284" t="s">
        <v>1686</v>
      </c>
      <c r="BS3284" t="s">
        <v>2980</v>
      </c>
      <c r="BT3284" t="b">
        <v>0</v>
      </c>
      <c r="BU3284" t="s">
        <v>1738</v>
      </c>
      <c r="BV3284" t="s">
        <v>1668</v>
      </c>
      <c r="BW3284">
        <v>11332</v>
      </c>
      <c r="BY3284">
        <v>458685</v>
      </c>
      <c r="BZ3284" t="s">
        <v>1672</v>
      </c>
      <c r="CA3284">
        <v>1</v>
      </c>
      <c r="CB3284" t="b">
        <v>1</v>
      </c>
      <c r="CC3284">
        <v>0</v>
      </c>
      <c r="CD3284" t="b">
        <v>0</v>
      </c>
      <c r="CE3284" t="b">
        <v>1</v>
      </c>
      <c r="CF3284" t="b">
        <v>0</v>
      </c>
      <c r="CG3284">
        <v>2736480</v>
      </c>
      <c r="CH3284" t="s">
        <v>1681</v>
      </c>
      <c r="CI3284" s="10">
        <v>565000</v>
      </c>
      <c r="CJ3284" s="7">
        <v>34400</v>
      </c>
    </row>
    <row r="3285" spans="1:90">
      <c r="A3285">
        <v>28058655</v>
      </c>
      <c r="B3285" s="2" t="str">
        <f>HYPERLINK("http://www.redfin.com/stingray/do/printable-listing?listing-id=1624174","Active")</f>
        <v>Active</v>
      </c>
      <c r="D3285" t="s">
        <v>3071</v>
      </c>
      <c r="E3285" t="s">
        <v>6976</v>
      </c>
      <c r="F3285">
        <v>625000</v>
      </c>
      <c r="G3285">
        <v>1995</v>
      </c>
      <c r="H3285">
        <v>2010</v>
      </c>
      <c r="I3285">
        <v>0</v>
      </c>
      <c r="J3285">
        <v>4</v>
      </c>
      <c r="K3285">
        <v>2.5</v>
      </c>
      <c r="M3285" s="2" t="str">
        <f>HYPERLINK("http://maps.live.com/default.aspx?v=2&amp;lvl=15&amp;sp=Point.47.718213_-122.230458_8303 NE 132nd St&amp;cp=47.718213~-122.230458","Map")</f>
        <v>Map</v>
      </c>
      <c r="N3285" s="2" t="str">
        <f>HYPERLINK("http://i-0.rfimg.us/photo/1/bigphoto/655/28058655_1.jpg","Photo")</f>
        <v>Photo</v>
      </c>
      <c r="AG3285">
        <v>47.718212999999999</v>
      </c>
      <c r="AH3285">
        <v>-122.230458</v>
      </c>
      <c r="AI3285" t="s">
        <v>1058</v>
      </c>
      <c r="AJ3285">
        <v>98034</v>
      </c>
      <c r="AN3285">
        <v>328000</v>
      </c>
      <c r="BC3285" s="22">
        <v>39545.695081018515</v>
      </c>
      <c r="BI3285" s="22">
        <v>39549.294907407406</v>
      </c>
      <c r="BL3285">
        <v>12500</v>
      </c>
      <c r="BM3285">
        <v>1624174</v>
      </c>
      <c r="BN3285" t="s">
        <v>1674</v>
      </c>
      <c r="BO3285" s="17">
        <f t="shared" ca="1" si="51"/>
        <v>3.614324884263624</v>
      </c>
      <c r="BP3285" t="b">
        <v>0</v>
      </c>
      <c r="BQ3285">
        <v>1</v>
      </c>
      <c r="BR3285" t="s">
        <v>1686</v>
      </c>
      <c r="BS3285" t="s">
        <v>4362</v>
      </c>
      <c r="BT3285" t="b">
        <v>0</v>
      </c>
      <c r="BU3285" t="s">
        <v>1738</v>
      </c>
      <c r="BV3285" t="s">
        <v>1668</v>
      </c>
      <c r="BW3285">
        <v>8303</v>
      </c>
      <c r="BY3285">
        <v>275417</v>
      </c>
      <c r="BZ3285" t="s">
        <v>2366</v>
      </c>
      <c r="CA3285">
        <v>1</v>
      </c>
      <c r="CB3285" t="b">
        <v>1</v>
      </c>
      <c r="CC3285">
        <v>0</v>
      </c>
      <c r="CD3285" t="b">
        <v>0</v>
      </c>
      <c r="CE3285" t="b">
        <v>1</v>
      </c>
      <c r="CF3285" t="b">
        <v>0</v>
      </c>
      <c r="CG3285">
        <v>2731598</v>
      </c>
      <c r="CH3285" t="s">
        <v>1681</v>
      </c>
      <c r="CI3285" s="10">
        <v>625000</v>
      </c>
      <c r="CJ3285" s="7">
        <v>37106</v>
      </c>
    </row>
    <row r="3286" spans="1:90">
      <c r="A3286">
        <v>28058656</v>
      </c>
      <c r="B3286" s="2" t="str">
        <f>HYPERLINK("http://www.redfin.com/stingray/do/printable-listing?listing-id=1618306","Active")</f>
        <v>Active</v>
      </c>
      <c r="D3286" t="s">
        <v>218</v>
      </c>
      <c r="E3286" t="s">
        <v>6825</v>
      </c>
      <c r="F3286">
        <v>509000</v>
      </c>
      <c r="G3286">
        <v>1921</v>
      </c>
      <c r="H3286">
        <v>970</v>
      </c>
      <c r="I3286">
        <v>3800</v>
      </c>
      <c r="J3286">
        <v>3</v>
      </c>
      <c r="K3286">
        <v>1</v>
      </c>
      <c r="M3286" s="2" t="str">
        <f>HYPERLINK("http://maps.live.com/default.aspx?v=2&amp;lvl=15&amp;sp=Point.47.683868_-122.313945_7526 Brooklyn Ave NE&amp;cp=47.683868~-122.313945","Map")</f>
        <v>Map</v>
      </c>
      <c r="N3286" s="2" t="str">
        <f>HYPERLINK("http://i-0.rfimg.us/photo/1/bigphoto/656/28058656_0.jpg","Photo")</f>
        <v>Photo</v>
      </c>
      <c r="AG3286">
        <v>47.683867999999997</v>
      </c>
      <c r="AH3286">
        <v>-122.313945</v>
      </c>
      <c r="AI3286" t="s">
        <v>66</v>
      </c>
      <c r="AJ3286">
        <v>98115</v>
      </c>
      <c r="AN3286">
        <v>411000</v>
      </c>
      <c r="BC3286" s="22">
        <v>39542.676099537035</v>
      </c>
      <c r="BI3286" s="22">
        <v>39549.294907407406</v>
      </c>
      <c r="BL3286">
        <v>10180</v>
      </c>
      <c r="BM3286">
        <v>1618306</v>
      </c>
      <c r="BN3286" t="s">
        <v>1735</v>
      </c>
      <c r="BO3286" s="17">
        <f t="shared" ca="1" si="51"/>
        <v>6.6333063657439197</v>
      </c>
      <c r="BP3286" t="b">
        <v>0</v>
      </c>
      <c r="BQ3286">
        <v>1</v>
      </c>
      <c r="BR3286" t="s">
        <v>1667</v>
      </c>
      <c r="BS3286" t="s">
        <v>3106</v>
      </c>
      <c r="BT3286" t="b">
        <v>0</v>
      </c>
      <c r="BV3286" t="s">
        <v>1668</v>
      </c>
      <c r="BW3286">
        <v>7526</v>
      </c>
      <c r="BX3286" t="s">
        <v>1738</v>
      </c>
      <c r="BY3286">
        <v>310152</v>
      </c>
      <c r="BZ3286" s="21">
        <v>0</v>
      </c>
      <c r="CA3286">
        <v>1</v>
      </c>
      <c r="CB3286" t="b">
        <v>1</v>
      </c>
      <c r="CC3286">
        <v>0</v>
      </c>
      <c r="CD3286" t="b">
        <v>0</v>
      </c>
      <c r="CE3286" t="b">
        <v>1</v>
      </c>
      <c r="CF3286" t="b">
        <v>0</v>
      </c>
      <c r="CG3286">
        <v>2788830</v>
      </c>
      <c r="CH3286" t="s">
        <v>1681</v>
      </c>
      <c r="CI3286" s="10">
        <v>509000</v>
      </c>
      <c r="CJ3286" s="7">
        <v>38687</v>
      </c>
    </row>
    <row r="3287" spans="1:90">
      <c r="A3287">
        <v>28058745</v>
      </c>
      <c r="B3287" s="2" t="str">
        <f>HYPERLINK("http://www.redfin.com/stingray/do/printable-listing?listing-id=1627574","Active")</f>
        <v>Active</v>
      </c>
      <c r="D3287" t="s">
        <v>70</v>
      </c>
      <c r="E3287" t="s">
        <v>7003</v>
      </c>
      <c r="F3287">
        <v>5250000</v>
      </c>
      <c r="G3287">
        <v>1996</v>
      </c>
      <c r="H3287">
        <v>10088</v>
      </c>
      <c r="I3287">
        <v>204296</v>
      </c>
      <c r="J3287">
        <v>6</v>
      </c>
      <c r="K3287">
        <v>6.75</v>
      </c>
      <c r="M3287" s="2" t="str">
        <f>HYPERLINK("http://maps.live.com/default.aspx?v=2&amp;lvl=15&amp;sp=Point.47.716405_-122.371802_12033 12th Ave NW&amp;cp=47.716405~-122.371802","Map")</f>
        <v>Map</v>
      </c>
      <c r="N3287" s="2" t="str">
        <f>HYPERLINK("http://i-0.rfimg.us/photo/1/bigphoto/745/28058745_0.jpg","Photo")</f>
        <v>Photo</v>
      </c>
      <c r="AG3287">
        <v>47.716405000000002</v>
      </c>
      <c r="AH3287">
        <v>-122.371802</v>
      </c>
      <c r="AI3287" t="s">
        <v>66</v>
      </c>
      <c r="AJ3287">
        <v>98177</v>
      </c>
      <c r="BC3287" s="22">
        <v>39546.715243055558</v>
      </c>
      <c r="BI3287" s="22">
        <v>39549.294907407406</v>
      </c>
      <c r="BL3287">
        <v>105000</v>
      </c>
      <c r="BM3287">
        <v>1627574</v>
      </c>
      <c r="BN3287" t="s">
        <v>1710</v>
      </c>
      <c r="BO3287" s="17">
        <f t="shared" ca="1" si="51"/>
        <v>2.5941628472210141</v>
      </c>
      <c r="BP3287" t="b">
        <v>0</v>
      </c>
      <c r="BQ3287">
        <v>1</v>
      </c>
      <c r="BR3287" t="s">
        <v>1667</v>
      </c>
      <c r="BS3287" t="s">
        <v>1803</v>
      </c>
      <c r="BT3287" t="b">
        <v>0</v>
      </c>
      <c r="BV3287" t="s">
        <v>1668</v>
      </c>
      <c r="BW3287">
        <v>12033</v>
      </c>
      <c r="BX3287" t="s">
        <v>1669</v>
      </c>
      <c r="BY3287">
        <v>12441827</v>
      </c>
      <c r="BZ3287" t="s">
        <v>1747</v>
      </c>
      <c r="CA3287">
        <v>1</v>
      </c>
      <c r="CB3287" t="b">
        <v>1</v>
      </c>
      <c r="CC3287">
        <v>0</v>
      </c>
      <c r="CD3287" t="b">
        <v>0</v>
      </c>
      <c r="CE3287" t="b">
        <v>1</v>
      </c>
      <c r="CF3287" t="b">
        <v>0</v>
      </c>
      <c r="CG3287">
        <v>15645575</v>
      </c>
      <c r="CH3287" t="s">
        <v>1681</v>
      </c>
      <c r="CI3287" s="10">
        <v>5250000</v>
      </c>
    </row>
    <row r="3288" spans="1:90">
      <c r="A3288">
        <v>28058753</v>
      </c>
      <c r="B3288" s="2" t="str">
        <f>HYPERLINK("http://www.redfin.com/stingray/do/printable-listing?listing-id=1618495","Active")</f>
        <v>Active</v>
      </c>
      <c r="D3288" t="s">
        <v>2850</v>
      </c>
      <c r="E3288" t="s">
        <v>4393</v>
      </c>
      <c r="F3288">
        <v>539950</v>
      </c>
      <c r="G3288">
        <v>1972</v>
      </c>
      <c r="H3288">
        <v>2250</v>
      </c>
      <c r="I3288">
        <v>10000</v>
      </c>
      <c r="J3288">
        <v>4</v>
      </c>
      <c r="K3288">
        <v>2.5</v>
      </c>
      <c r="M3288" s="2" t="str">
        <f>HYPERLINK("http://maps.live.com/default.aspx?v=2&amp;lvl=15&amp;sp=Point.47.702043_-122.204532_10162 NE 113th Pl&amp;cp=47.702043~-122.204532","Map")</f>
        <v>Map</v>
      </c>
      <c r="N3288" s="2" t="str">
        <f>HYPERLINK("http://i-0.rfimg.us/photo/1/bigphoto/753/28058753_0.jpg","Photo")</f>
        <v>Photo</v>
      </c>
      <c r="AG3288">
        <v>47.702043000000003</v>
      </c>
      <c r="AH3288">
        <v>-122.204532</v>
      </c>
      <c r="AI3288" t="s">
        <v>1058</v>
      </c>
      <c r="AJ3288">
        <v>98033</v>
      </c>
      <c r="AN3288">
        <v>337000</v>
      </c>
      <c r="BC3288" s="22">
        <v>39542.715127314812</v>
      </c>
      <c r="BI3288" s="22">
        <v>39549.294907407406</v>
      </c>
      <c r="BL3288">
        <v>10799</v>
      </c>
      <c r="BM3288">
        <v>1618495</v>
      </c>
      <c r="BN3288" t="s">
        <v>4392</v>
      </c>
      <c r="BO3288" s="17">
        <f t="shared" ca="1" si="51"/>
        <v>6.5942785879669827</v>
      </c>
      <c r="BP3288" t="b">
        <v>0</v>
      </c>
      <c r="BQ3288">
        <v>1</v>
      </c>
      <c r="BR3288" t="s">
        <v>1842</v>
      </c>
      <c r="BS3288" t="s">
        <v>4394</v>
      </c>
      <c r="BT3288" t="b">
        <v>0</v>
      </c>
      <c r="BU3288" t="s">
        <v>1738</v>
      </c>
      <c r="BV3288" t="s">
        <v>1668</v>
      </c>
      <c r="BW3288">
        <v>10162</v>
      </c>
      <c r="BY3288">
        <v>463161</v>
      </c>
      <c r="BZ3288" t="s">
        <v>1713</v>
      </c>
      <c r="CA3288">
        <v>1</v>
      </c>
      <c r="CB3288" t="b">
        <v>1</v>
      </c>
      <c r="CC3288">
        <v>0</v>
      </c>
      <c r="CD3288" t="b">
        <v>1</v>
      </c>
      <c r="CE3288" t="b">
        <v>1</v>
      </c>
      <c r="CF3288" t="b">
        <v>0</v>
      </c>
      <c r="CG3288">
        <v>2477642</v>
      </c>
      <c r="CH3288" t="s">
        <v>1681</v>
      </c>
      <c r="CI3288" s="10">
        <v>539950</v>
      </c>
      <c r="CJ3288" s="7">
        <v>38261</v>
      </c>
    </row>
    <row r="3289" spans="1:90">
      <c r="A3289">
        <v>28058769</v>
      </c>
      <c r="B3289" s="2" t="str">
        <f>HYPERLINK("http://www.redfin.com/stingray/do/printable-listing?listing-id=1618558","Active")</f>
        <v>Active</v>
      </c>
      <c r="D3289" t="s">
        <v>5926</v>
      </c>
      <c r="E3289" t="s">
        <v>6876</v>
      </c>
      <c r="F3289">
        <v>829000</v>
      </c>
      <c r="G3289">
        <v>2008</v>
      </c>
      <c r="H3289">
        <v>3000</v>
      </c>
      <c r="I3289">
        <v>0</v>
      </c>
      <c r="J3289">
        <v>3</v>
      </c>
      <c r="K3289">
        <v>2.5</v>
      </c>
      <c r="M3289" s="2" t="str">
        <f>HYPERLINK("http://maps.live.com/default.aspx?v=2&amp;lvl=15&amp;sp=adr.1234 N 42nd Pl (Unable to map),98056","Map")</f>
        <v>Map</v>
      </c>
      <c r="N3289" s="2" t="str">
        <f>HYPERLINK("http://i-0.rfimg.us/photo/1/bigphoto/769/28058769_.jpg","Photo")</f>
        <v>Photo</v>
      </c>
      <c r="AI3289" t="s">
        <v>1077</v>
      </c>
      <c r="AJ3289">
        <v>98056</v>
      </c>
      <c r="BC3289" s="22">
        <v>39542.745729166665</v>
      </c>
      <c r="BI3289" s="22">
        <v>39549.294907407406</v>
      </c>
      <c r="BL3289">
        <v>16580</v>
      </c>
      <c r="BM3289">
        <v>1618558</v>
      </c>
      <c r="BN3289" t="s">
        <v>3878</v>
      </c>
      <c r="BO3289" s="17">
        <f t="shared" ca="1" si="51"/>
        <v>6.5636767361138482</v>
      </c>
      <c r="BP3289" t="b">
        <v>0</v>
      </c>
      <c r="BQ3289">
        <v>1</v>
      </c>
      <c r="BR3289" t="s">
        <v>1842</v>
      </c>
      <c r="BS3289" t="s">
        <v>3371</v>
      </c>
      <c r="BT3289" t="b">
        <v>0</v>
      </c>
      <c r="BU3289" t="s">
        <v>1712</v>
      </c>
      <c r="BV3289" t="s">
        <v>1668</v>
      </c>
      <c r="BW3289">
        <v>1234</v>
      </c>
      <c r="BY3289">
        <v>0</v>
      </c>
      <c r="CA3289">
        <v>1</v>
      </c>
      <c r="CB3289" t="b">
        <v>1</v>
      </c>
      <c r="CC3289">
        <v>0</v>
      </c>
      <c r="CD3289" t="b">
        <v>0</v>
      </c>
      <c r="CE3289" t="b">
        <v>1</v>
      </c>
      <c r="CF3289" t="b">
        <v>0</v>
      </c>
      <c r="CG3289" t="s">
        <v>1870</v>
      </c>
      <c r="CH3289" t="s">
        <v>1681</v>
      </c>
      <c r="CI3289" s="10">
        <v>829000</v>
      </c>
    </row>
    <row r="3290" spans="1:90">
      <c r="A3290">
        <v>28058791</v>
      </c>
      <c r="B3290" s="2" t="str">
        <f>HYPERLINK("http://www.redfin.com/stingray/do/printable-listing?listing-id=1620267","Active")</f>
        <v>Active</v>
      </c>
      <c r="D3290" t="s">
        <v>4777</v>
      </c>
      <c r="E3290" t="s">
        <v>6900</v>
      </c>
      <c r="F3290">
        <v>1075000</v>
      </c>
      <c r="G3290">
        <v>2005</v>
      </c>
      <c r="H3290">
        <v>2760</v>
      </c>
      <c r="I3290">
        <v>4493</v>
      </c>
      <c r="J3290">
        <v>3</v>
      </c>
      <c r="K3290">
        <v>2.5</v>
      </c>
      <c r="M3290" s="2" t="str">
        <f>HYPERLINK("http://maps.live.com/default.aspx?v=2&amp;lvl=15&amp;sp=Point.47.671638_-122.200626_509 4th St S&amp;cp=47.671638~-122.200626","Map")</f>
        <v>Map</v>
      </c>
      <c r="N3290" s="2" t="str">
        <f>HYPERLINK("http://i-0.rfimg.us/photo/1/bigphoto/791/28058791_2.jpg","Photo")</f>
        <v>Photo</v>
      </c>
      <c r="AG3290">
        <v>47.671638000000002</v>
      </c>
      <c r="AH3290">
        <v>-122.200626</v>
      </c>
      <c r="AI3290" t="s">
        <v>1058</v>
      </c>
      <c r="AJ3290">
        <v>98033</v>
      </c>
      <c r="AN3290">
        <v>859950</v>
      </c>
      <c r="BC3290" s="22">
        <v>39543.452847222223</v>
      </c>
      <c r="BI3290" s="22">
        <v>39549.294907407406</v>
      </c>
      <c r="BL3290">
        <v>21500</v>
      </c>
      <c r="BM3290">
        <v>1620267</v>
      </c>
      <c r="BN3290" t="s">
        <v>1688</v>
      </c>
      <c r="BO3290" s="17">
        <f t="shared" ca="1" si="51"/>
        <v>5.8565586805561907</v>
      </c>
      <c r="BP3290" t="b">
        <v>0</v>
      </c>
      <c r="BQ3290">
        <v>1</v>
      </c>
      <c r="BR3290" t="s">
        <v>1686</v>
      </c>
      <c r="BS3290" t="s">
        <v>1724</v>
      </c>
      <c r="BT3290" t="b">
        <v>0</v>
      </c>
      <c r="BV3290" t="s">
        <v>1668</v>
      </c>
      <c r="BW3290">
        <v>509</v>
      </c>
      <c r="BX3290" t="s">
        <v>1881</v>
      </c>
      <c r="BY3290">
        <v>2089624</v>
      </c>
      <c r="BZ3290" t="s">
        <v>3881</v>
      </c>
      <c r="CA3290">
        <v>1</v>
      </c>
      <c r="CB3290" t="b">
        <v>1</v>
      </c>
      <c r="CC3290">
        <v>0</v>
      </c>
      <c r="CD3290" t="b">
        <v>0</v>
      </c>
      <c r="CE3290" t="b">
        <v>1</v>
      </c>
      <c r="CF3290" t="b">
        <v>0</v>
      </c>
      <c r="CG3290">
        <v>2882641</v>
      </c>
      <c r="CH3290" t="s">
        <v>1681</v>
      </c>
      <c r="CI3290" s="10">
        <v>1075000</v>
      </c>
      <c r="CJ3290" s="7">
        <v>38471</v>
      </c>
    </row>
    <row r="3291" spans="1:90">
      <c r="A3291">
        <v>28058801</v>
      </c>
      <c r="B3291" s="2" t="str">
        <f>HYPERLINK("http://www.redfin.com/stingray/do/printable-listing?listing-id=1618681","Active")</f>
        <v>Active</v>
      </c>
      <c r="D3291" t="s">
        <v>4777</v>
      </c>
      <c r="E3291" t="s">
        <v>4803</v>
      </c>
      <c r="F3291">
        <v>777777</v>
      </c>
      <c r="G3291">
        <v>1983</v>
      </c>
      <c r="H3291">
        <v>2258</v>
      </c>
      <c r="I3291">
        <v>8625</v>
      </c>
      <c r="J3291">
        <v>3</v>
      </c>
      <c r="K3291">
        <v>1.75</v>
      </c>
      <c r="M3291" s="2" t="str">
        <f>HYPERLINK("http://maps.live.com/default.aspx?v=2&amp;lvl=15&amp;sp=Point.47.670471_-122.193991_619 8th St S&amp;cp=47.670471~-122.193991","Map")</f>
        <v>Map</v>
      </c>
      <c r="N3291" s="2" t="str">
        <f>HYPERLINK("http://i-0.rfimg.us/photo/1/bigphoto/801/28058801_0.jpg","Photo")</f>
        <v>Photo</v>
      </c>
      <c r="AG3291">
        <v>47.670470999999999</v>
      </c>
      <c r="AH3291">
        <v>-122.193991</v>
      </c>
      <c r="AI3291" t="s">
        <v>1058</v>
      </c>
      <c r="AJ3291">
        <v>98033</v>
      </c>
      <c r="AN3291">
        <v>495000</v>
      </c>
      <c r="BC3291" s="22">
        <v>39542.797511574077</v>
      </c>
      <c r="BI3291" s="22">
        <v>39549.294907407406</v>
      </c>
      <c r="BL3291">
        <v>15556</v>
      </c>
      <c r="BM3291">
        <v>1618681</v>
      </c>
      <c r="BN3291" t="s">
        <v>1725</v>
      </c>
      <c r="BO3291" s="17">
        <f t="shared" ca="1" si="51"/>
        <v>6.5118943287016009</v>
      </c>
      <c r="BP3291" t="b">
        <v>0</v>
      </c>
      <c r="BQ3291">
        <v>1</v>
      </c>
      <c r="BR3291" t="s">
        <v>1686</v>
      </c>
      <c r="BS3291" t="s">
        <v>1723</v>
      </c>
      <c r="BT3291" t="b">
        <v>0</v>
      </c>
      <c r="BV3291" t="s">
        <v>1668</v>
      </c>
      <c r="BW3291">
        <v>619</v>
      </c>
      <c r="BX3291" t="s">
        <v>1881</v>
      </c>
      <c r="BY3291">
        <v>464258</v>
      </c>
      <c r="BZ3291" t="s">
        <v>1745</v>
      </c>
      <c r="CA3291">
        <v>1</v>
      </c>
      <c r="CB3291" t="b">
        <v>1</v>
      </c>
      <c r="CC3291">
        <v>0</v>
      </c>
      <c r="CD3291" t="b">
        <v>0</v>
      </c>
      <c r="CE3291" t="b">
        <v>1</v>
      </c>
      <c r="CF3291" t="b">
        <v>0</v>
      </c>
      <c r="CG3291">
        <v>2564531</v>
      </c>
      <c r="CH3291" t="s">
        <v>1681</v>
      </c>
      <c r="CI3291" s="10">
        <v>777777</v>
      </c>
      <c r="CJ3291" s="7">
        <v>38204</v>
      </c>
    </row>
    <row r="3292" spans="1:90">
      <c r="A3292">
        <v>28058807</v>
      </c>
      <c r="B3292" s="2" t="str">
        <f>HYPERLINK("http://www.redfin.com/stingray/do/printable-listing?listing-id=1623304","Active")</f>
        <v>Active</v>
      </c>
      <c r="D3292" t="s">
        <v>194</v>
      </c>
      <c r="E3292" t="s">
        <v>6949</v>
      </c>
      <c r="F3292">
        <v>449950</v>
      </c>
      <c r="G3292">
        <v>1939</v>
      </c>
      <c r="H3292">
        <v>2100</v>
      </c>
      <c r="I3292">
        <v>7190</v>
      </c>
      <c r="J3292">
        <v>4</v>
      </c>
      <c r="K3292">
        <v>1.75</v>
      </c>
      <c r="M3292" s="2" t="str">
        <f>HYPERLINK("http://maps.live.com/default.aspx?v=2&amp;lvl=15&amp;sp=Point.47.697232_-122.296228_2761 NE 95th St&amp;cp=47.697232~-122.296228","Map")</f>
        <v>Map</v>
      </c>
      <c r="N3292" s="2" t="str">
        <f>HYPERLINK("http://i-0.rfimg.us/photo/1/bigphoto/807/28058807_4.jpg","Photo")</f>
        <v>Photo</v>
      </c>
      <c r="AG3292">
        <v>47.697232</v>
      </c>
      <c r="AH3292">
        <v>-122.296228</v>
      </c>
      <c r="AI3292" t="s">
        <v>66</v>
      </c>
      <c r="AJ3292">
        <v>98115</v>
      </c>
      <c r="BC3292" s="22">
        <v>39545.528506944444</v>
      </c>
      <c r="BI3292" s="22">
        <v>39549.294907407406</v>
      </c>
      <c r="BL3292">
        <v>8999</v>
      </c>
      <c r="BM3292">
        <v>1623304</v>
      </c>
      <c r="BN3292" t="s">
        <v>3272</v>
      </c>
      <c r="BO3292" s="17">
        <f t="shared" ca="1" si="51"/>
        <v>3.780898958335456</v>
      </c>
      <c r="BP3292" t="b">
        <v>0</v>
      </c>
      <c r="BQ3292">
        <v>1</v>
      </c>
      <c r="BR3292" t="s">
        <v>1686</v>
      </c>
      <c r="BS3292" t="s">
        <v>2722</v>
      </c>
      <c r="BT3292" t="b">
        <v>0</v>
      </c>
      <c r="BU3292" t="s">
        <v>1738</v>
      </c>
      <c r="BV3292" t="s">
        <v>1668</v>
      </c>
      <c r="BW3292">
        <v>2761</v>
      </c>
      <c r="BY3292">
        <v>317185</v>
      </c>
      <c r="BZ3292" t="s">
        <v>2679</v>
      </c>
      <c r="CA3292">
        <v>1</v>
      </c>
      <c r="CB3292" t="b">
        <v>1</v>
      </c>
      <c r="CC3292">
        <v>0</v>
      </c>
      <c r="CD3292" t="b">
        <v>0</v>
      </c>
      <c r="CE3292" t="b">
        <v>1</v>
      </c>
      <c r="CF3292" t="b">
        <v>0</v>
      </c>
      <c r="CG3292">
        <v>2711723</v>
      </c>
      <c r="CH3292" t="s">
        <v>1681</v>
      </c>
      <c r="CI3292" s="10">
        <v>449950</v>
      </c>
      <c r="CL3292" t="s">
        <v>6966</v>
      </c>
    </row>
    <row r="3293" spans="1:90">
      <c r="A3293">
        <v>28058812</v>
      </c>
      <c r="B3293" s="2" t="str">
        <f>HYPERLINK("http://www.redfin.com/stingray/do/printable-listing?listing-id=1618743","Active")</f>
        <v>Active</v>
      </c>
      <c r="D3293" t="s">
        <v>3704</v>
      </c>
      <c r="E3293" t="s">
        <v>6842</v>
      </c>
      <c r="F3293">
        <v>573290</v>
      </c>
      <c r="G3293">
        <v>2008</v>
      </c>
      <c r="H3293">
        <v>1078</v>
      </c>
      <c r="I3293">
        <v>0</v>
      </c>
      <c r="J3293">
        <v>1</v>
      </c>
      <c r="K3293">
        <v>1.5</v>
      </c>
      <c r="M3293" s="2" t="str">
        <f>HYPERLINK("http://maps.live.com/default.aspx?v=2&amp;lvl=15&amp;sp=Point.47.617943_-122.317995_1822 11th Ave nA&amp;cp=47.617943~-122.317995","Map")</f>
        <v>Map</v>
      </c>
      <c r="N3293" s="2" t="str">
        <f>HYPERLINK("http://i-0.rfimg.us/photo/1/bigphoto/812/28058812_2.jpg","Photo")</f>
        <v>Photo</v>
      </c>
      <c r="AG3293">
        <v>47.617942999999997</v>
      </c>
      <c r="AH3293">
        <v>-122.317995</v>
      </c>
      <c r="AI3293" t="s">
        <v>66</v>
      </c>
      <c r="AJ3293">
        <v>98122</v>
      </c>
      <c r="AM3293" t="s">
        <v>1722</v>
      </c>
      <c r="BC3293" s="22">
        <v>39542.839791666665</v>
      </c>
      <c r="BI3293" s="22">
        <v>39549.294907407406</v>
      </c>
      <c r="BL3293">
        <v>11466</v>
      </c>
      <c r="BM3293">
        <v>1618743</v>
      </c>
      <c r="BN3293" t="s">
        <v>4138</v>
      </c>
      <c r="BO3293" s="17">
        <f t="shared" ca="1" si="51"/>
        <v>6.4696142361135571</v>
      </c>
      <c r="BP3293" t="b">
        <v>0</v>
      </c>
      <c r="BQ3293">
        <v>1</v>
      </c>
      <c r="BR3293" t="s">
        <v>1667</v>
      </c>
      <c r="BS3293" t="s">
        <v>1792</v>
      </c>
      <c r="BT3293" t="b">
        <v>0</v>
      </c>
      <c r="BV3293" t="s">
        <v>1668</v>
      </c>
      <c r="BW3293">
        <v>1822</v>
      </c>
      <c r="BY3293">
        <v>12437946</v>
      </c>
      <c r="BZ3293" t="s">
        <v>6896</v>
      </c>
      <c r="CA3293">
        <v>1</v>
      </c>
      <c r="CB3293" t="b">
        <v>1</v>
      </c>
      <c r="CC3293">
        <v>0</v>
      </c>
      <c r="CD3293" t="b">
        <v>0</v>
      </c>
      <c r="CE3293" t="b">
        <v>1</v>
      </c>
      <c r="CF3293" t="b">
        <v>0</v>
      </c>
      <c r="CG3293">
        <v>15561722</v>
      </c>
      <c r="CH3293" t="s">
        <v>1681</v>
      </c>
      <c r="CI3293" s="10">
        <v>573290</v>
      </c>
    </row>
    <row r="3294" spans="1:90">
      <c r="A3294">
        <v>28058815</v>
      </c>
      <c r="B3294" s="2" t="str">
        <f>HYPERLINK("http://www.redfin.com/stingray/do/printable-listing?listing-id=1618742","Active")</f>
        <v>Active</v>
      </c>
      <c r="D3294" t="s">
        <v>3704</v>
      </c>
      <c r="E3294" t="s">
        <v>6843</v>
      </c>
      <c r="F3294">
        <v>750000</v>
      </c>
      <c r="G3294">
        <v>2008</v>
      </c>
      <c r="H3294">
        <v>1401</v>
      </c>
      <c r="I3294">
        <v>0</v>
      </c>
      <c r="J3294">
        <v>2</v>
      </c>
      <c r="K3294">
        <v>2.5</v>
      </c>
      <c r="M3294" s="2" t="str">
        <f>HYPERLINK("http://maps.live.com/default.aspx?v=2&amp;lvl=15&amp;sp=Point.47.617943_-122.317995_1822 11th Ave nB&amp;cp=47.617943~-122.317995","Map")</f>
        <v>Map</v>
      </c>
      <c r="N3294" s="2" t="str">
        <f>HYPERLINK("http://i-0.rfimg.us/photo/1/bigphoto/815/28058815_1.jpg","Photo")</f>
        <v>Photo</v>
      </c>
      <c r="AG3294">
        <v>47.617942999999997</v>
      </c>
      <c r="AH3294">
        <v>-122.317995</v>
      </c>
      <c r="AI3294" t="s">
        <v>66</v>
      </c>
      <c r="AJ3294">
        <v>98122</v>
      </c>
      <c r="AM3294" t="s">
        <v>1699</v>
      </c>
      <c r="BC3294" s="22">
        <v>39542.839791666665</v>
      </c>
      <c r="BI3294" s="22">
        <v>39549.294907407406</v>
      </c>
      <c r="BL3294">
        <v>15000</v>
      </c>
      <c r="BM3294">
        <v>1618742</v>
      </c>
      <c r="BN3294" t="s">
        <v>4138</v>
      </c>
      <c r="BO3294" s="17">
        <f t="shared" ca="1" si="51"/>
        <v>6.4696142361135571</v>
      </c>
      <c r="BP3294" t="b">
        <v>0</v>
      </c>
      <c r="BQ3294">
        <v>1</v>
      </c>
      <c r="BR3294" t="s">
        <v>1667</v>
      </c>
      <c r="BS3294" t="s">
        <v>1792</v>
      </c>
      <c r="BT3294" t="b">
        <v>0</v>
      </c>
      <c r="BV3294" t="s">
        <v>1668</v>
      </c>
      <c r="BW3294">
        <v>1822</v>
      </c>
      <c r="BY3294">
        <v>12357974</v>
      </c>
      <c r="BZ3294" t="s">
        <v>4755</v>
      </c>
      <c r="CA3294">
        <v>1</v>
      </c>
      <c r="CB3294" t="b">
        <v>1</v>
      </c>
      <c r="CC3294">
        <v>0</v>
      </c>
      <c r="CD3294" t="b">
        <v>0</v>
      </c>
      <c r="CE3294" t="b">
        <v>1</v>
      </c>
      <c r="CF3294" t="b">
        <v>0</v>
      </c>
      <c r="CG3294">
        <v>15641694</v>
      </c>
      <c r="CH3294" t="s">
        <v>1681</v>
      </c>
      <c r="CI3294" s="10">
        <v>750000</v>
      </c>
    </row>
    <row r="3295" spans="1:90">
      <c r="A3295">
        <v>28058817</v>
      </c>
      <c r="B3295" s="2" t="str">
        <f>HYPERLINK("http://www.redfin.com/stingray/do/printable-listing?listing-id=1618741","Active")</f>
        <v>Active</v>
      </c>
      <c r="D3295" t="s">
        <v>3704</v>
      </c>
      <c r="E3295" t="s">
        <v>6844</v>
      </c>
      <c r="F3295">
        <v>790100</v>
      </c>
      <c r="G3295">
        <v>2008</v>
      </c>
      <c r="H3295">
        <v>1506</v>
      </c>
      <c r="I3295">
        <v>0</v>
      </c>
      <c r="J3295">
        <v>2</v>
      </c>
      <c r="K3295">
        <v>2.5</v>
      </c>
      <c r="M3295" s="2" t="str">
        <f>HYPERLINK("http://maps.live.com/default.aspx?v=2&amp;lvl=15&amp;sp=Point.47.617905_-122.317995_1818 11th Ave nC&amp;cp=47.617905~-122.317995","Map")</f>
        <v>Map</v>
      </c>
      <c r="N3295" s="2" t="str">
        <f>HYPERLINK("http://i-0.rfimg.us/photo/1/bigphoto/817/28058817_0.jpg","Photo")</f>
        <v>Photo</v>
      </c>
      <c r="AG3295">
        <v>47.617905</v>
      </c>
      <c r="AH3295">
        <v>-122.317995</v>
      </c>
      <c r="AI3295" t="s">
        <v>66</v>
      </c>
      <c r="AJ3295">
        <v>98122</v>
      </c>
      <c r="AM3295" t="s">
        <v>2341</v>
      </c>
      <c r="BC3295" s="22">
        <v>39542.839791666665</v>
      </c>
      <c r="BI3295" s="22">
        <v>39549.294907407406</v>
      </c>
      <c r="BL3295">
        <v>15802</v>
      </c>
      <c r="BM3295">
        <v>1618741</v>
      </c>
      <c r="BN3295" t="s">
        <v>4138</v>
      </c>
      <c r="BO3295" s="17">
        <f t="shared" ca="1" si="51"/>
        <v>6.4696142361135571</v>
      </c>
      <c r="BP3295" t="b">
        <v>0</v>
      </c>
      <c r="BQ3295">
        <v>1</v>
      </c>
      <c r="BR3295" t="s">
        <v>1667</v>
      </c>
      <c r="BS3295" t="s">
        <v>1792</v>
      </c>
      <c r="BT3295" t="b">
        <v>0</v>
      </c>
      <c r="BV3295" t="s">
        <v>1668</v>
      </c>
      <c r="BW3295">
        <v>1818</v>
      </c>
      <c r="BY3295">
        <v>12437945</v>
      </c>
      <c r="BZ3295" t="s">
        <v>1762</v>
      </c>
      <c r="CA3295">
        <v>1</v>
      </c>
      <c r="CB3295" t="b">
        <v>1</v>
      </c>
      <c r="CC3295">
        <v>0</v>
      </c>
      <c r="CD3295" t="b">
        <v>0</v>
      </c>
      <c r="CE3295" t="b">
        <v>1</v>
      </c>
      <c r="CF3295" t="b">
        <v>0</v>
      </c>
      <c r="CG3295">
        <v>15641693</v>
      </c>
      <c r="CH3295" t="s">
        <v>1681</v>
      </c>
      <c r="CI3295" s="10">
        <v>790100</v>
      </c>
    </row>
    <row r="3296" spans="1:90">
      <c r="A3296">
        <v>28058837</v>
      </c>
      <c r="B3296" s="2" t="str">
        <f>HYPERLINK("http://www.redfin.com/stingray/do/printable-listing?listing-id=1618943","Active")</f>
        <v>Active</v>
      </c>
      <c r="D3296" t="s">
        <v>60</v>
      </c>
      <c r="E3296" t="s">
        <v>6887</v>
      </c>
      <c r="F3296">
        <v>699000</v>
      </c>
      <c r="G3296">
        <v>1905</v>
      </c>
      <c r="H3296">
        <v>1939</v>
      </c>
      <c r="I3296">
        <v>4080</v>
      </c>
      <c r="J3296">
        <v>3</v>
      </c>
      <c r="K3296">
        <v>1.75</v>
      </c>
      <c r="M3296" s="2" t="str">
        <f>HYPERLINK("http://maps.live.com/default.aspx?v=2&amp;lvl=15&amp;sp=Point.47.67498_-122.331389_2149 N 64th St&amp;cp=47.67498~-122.331389","Map")</f>
        <v>Map</v>
      </c>
      <c r="N3296" s="2" t="str">
        <f>HYPERLINK("http://i-0.rfimg.us/photo/1/bigphoto/837/28058837_0.jpg","Photo")</f>
        <v>Photo</v>
      </c>
      <c r="AG3296">
        <v>47.674979999999998</v>
      </c>
      <c r="AH3296">
        <v>-122.331389</v>
      </c>
      <c r="AI3296" t="s">
        <v>66</v>
      </c>
      <c r="AJ3296">
        <v>98103</v>
      </c>
      <c r="AN3296">
        <v>140000</v>
      </c>
      <c r="BC3296" s="22">
        <v>39542.922152777777</v>
      </c>
      <c r="BI3296" s="22">
        <v>39549.294907407406</v>
      </c>
      <c r="BL3296">
        <v>13980</v>
      </c>
      <c r="BM3296">
        <v>1618943</v>
      </c>
      <c r="BN3296" t="s">
        <v>1674</v>
      </c>
      <c r="BO3296" s="17">
        <f t="shared" ca="1" si="51"/>
        <v>6.3872531250017346</v>
      </c>
      <c r="BP3296" t="b">
        <v>0</v>
      </c>
      <c r="BQ3296">
        <v>1</v>
      </c>
      <c r="BR3296" t="s">
        <v>1686</v>
      </c>
      <c r="BS3296" t="s">
        <v>2405</v>
      </c>
      <c r="BT3296" t="b">
        <v>0</v>
      </c>
      <c r="BU3296" t="s">
        <v>1712</v>
      </c>
      <c r="BV3296" t="s">
        <v>1668</v>
      </c>
      <c r="BW3296">
        <v>2149</v>
      </c>
      <c r="BY3296">
        <v>305086</v>
      </c>
      <c r="BZ3296" t="s">
        <v>1747</v>
      </c>
      <c r="CA3296">
        <v>1</v>
      </c>
      <c r="CB3296" t="b">
        <v>1</v>
      </c>
      <c r="CC3296">
        <v>0</v>
      </c>
      <c r="CD3296" t="b">
        <v>0</v>
      </c>
      <c r="CE3296" t="b">
        <v>1</v>
      </c>
      <c r="CF3296" t="b">
        <v>0</v>
      </c>
      <c r="CG3296">
        <v>2354460</v>
      </c>
      <c r="CH3296" t="s">
        <v>1681</v>
      </c>
      <c r="CI3296" s="10">
        <v>699000</v>
      </c>
      <c r="CJ3296" s="7">
        <v>34309</v>
      </c>
    </row>
    <row r="3297" spans="1:90">
      <c r="A3297">
        <v>28058838</v>
      </c>
      <c r="B3297" s="2" t="str">
        <f>HYPERLINK("http://www.redfin.com/stingray/do/printable-listing?listing-id=1630822","Active")</f>
        <v>Active</v>
      </c>
      <c r="D3297" t="s">
        <v>192</v>
      </c>
      <c r="E3297" t="s">
        <v>7055</v>
      </c>
      <c r="F3297">
        <v>989000</v>
      </c>
      <c r="G3297">
        <v>2008</v>
      </c>
      <c r="H3297">
        <v>3869</v>
      </c>
      <c r="I3297">
        <v>2550</v>
      </c>
      <c r="J3297">
        <v>4</v>
      </c>
      <c r="K3297">
        <v>4</v>
      </c>
      <c r="M3297" s="2" t="str">
        <f>HYPERLINK("http://maps.live.com/default.aspx?v=2&amp;lvl=15&amp;sp=Point.47.690089_-122.320095_8410 8th Ave NE&amp;cp=47.690089~-122.320095","Map")</f>
        <v>Map</v>
      </c>
      <c r="N3297" s="2" t="str">
        <f>HYPERLINK("http://i-0.rfimg.us/photo/1/bigphoto/838/28058838_0.jpg","Photo")</f>
        <v>Photo</v>
      </c>
      <c r="AG3297">
        <v>47.690089</v>
      </c>
      <c r="AH3297">
        <v>-122.32009499999999</v>
      </c>
      <c r="AI3297" t="s">
        <v>66</v>
      </c>
      <c r="AJ3297">
        <v>98115</v>
      </c>
      <c r="AN3297">
        <v>357000</v>
      </c>
      <c r="BC3297" s="22">
        <v>39547.724606481483</v>
      </c>
      <c r="BI3297" s="22">
        <v>39549.294907407406</v>
      </c>
      <c r="BL3297">
        <v>19780</v>
      </c>
      <c r="BM3297">
        <v>1630822</v>
      </c>
      <c r="BN3297" t="s">
        <v>1680</v>
      </c>
      <c r="BO3297" s="17">
        <f t="shared" ca="1" si="51"/>
        <v>1.5847994212963386</v>
      </c>
      <c r="BP3297" t="b">
        <v>0</v>
      </c>
      <c r="BQ3297">
        <v>1</v>
      </c>
      <c r="BR3297" t="s">
        <v>1667</v>
      </c>
      <c r="BS3297" t="s">
        <v>1723</v>
      </c>
      <c r="BT3297" t="b">
        <v>0</v>
      </c>
      <c r="BV3297" t="s">
        <v>1668</v>
      </c>
      <c r="BW3297">
        <v>8410</v>
      </c>
      <c r="BX3297" t="s">
        <v>1738</v>
      </c>
      <c r="BY3297">
        <v>108499</v>
      </c>
      <c r="BZ3297" t="s">
        <v>1813</v>
      </c>
      <c r="CA3297">
        <v>1</v>
      </c>
      <c r="CB3297" t="b">
        <v>1</v>
      </c>
      <c r="CC3297">
        <v>0</v>
      </c>
      <c r="CD3297" t="b">
        <v>0</v>
      </c>
      <c r="CE3297" t="b">
        <v>1</v>
      </c>
      <c r="CF3297" t="b">
        <v>0</v>
      </c>
      <c r="CG3297">
        <v>2700695</v>
      </c>
      <c r="CH3297" t="s">
        <v>1681</v>
      </c>
      <c r="CI3297" s="10">
        <v>989000</v>
      </c>
      <c r="CJ3297" s="7">
        <v>39282</v>
      </c>
    </row>
    <row r="3298" spans="1:90">
      <c r="A3298">
        <v>28058840</v>
      </c>
      <c r="B3298" s="2" t="str">
        <f>HYPERLINK("http://www.redfin.com/stingray/do/printable-listing?listing-id=1621051","Active")</f>
        <v>Active</v>
      </c>
      <c r="D3298" t="s">
        <v>5121</v>
      </c>
      <c r="E3298" t="s">
        <v>6921</v>
      </c>
      <c r="F3298">
        <v>1085000</v>
      </c>
      <c r="G3298">
        <v>1973</v>
      </c>
      <c r="H3298">
        <v>3150</v>
      </c>
      <c r="I3298">
        <v>9200</v>
      </c>
      <c r="J3298">
        <v>4</v>
      </c>
      <c r="K3298">
        <v>2.5</v>
      </c>
      <c r="M3298" s="2" t="str">
        <f>HYPERLINK("http://maps.live.com/default.aspx?v=2&amp;lvl=15&amp;sp=Point.47.582996_-122.198729_3102 106th Ave SE&amp;cp=47.582996~-122.198729","Map")</f>
        <v>Map</v>
      </c>
      <c r="N3298" s="2" t="str">
        <f>HYPERLINK("http://i-0.rfimg.us/photo/1/bigphoto/840/28058840_1.jpg","Photo")</f>
        <v>Photo</v>
      </c>
      <c r="AG3298">
        <v>47.582996000000001</v>
      </c>
      <c r="AH3298">
        <v>-122.198729</v>
      </c>
      <c r="AI3298" t="s">
        <v>369</v>
      </c>
      <c r="AJ3298">
        <v>98004</v>
      </c>
      <c r="AN3298">
        <v>480000</v>
      </c>
      <c r="BC3298" s="22">
        <v>39543.922175925924</v>
      </c>
      <c r="BI3298" s="22">
        <v>39549.294907407406</v>
      </c>
      <c r="BL3298">
        <v>21700</v>
      </c>
      <c r="BM3298">
        <v>1621051</v>
      </c>
      <c r="BN3298" t="s">
        <v>3329</v>
      </c>
      <c r="BO3298" s="17">
        <f t="shared" ca="1" si="51"/>
        <v>5.3872299768554512</v>
      </c>
      <c r="BP3298" t="b">
        <v>0</v>
      </c>
      <c r="BQ3298">
        <v>1</v>
      </c>
      <c r="BR3298" t="s">
        <v>1667</v>
      </c>
      <c r="BS3298" t="s">
        <v>2936</v>
      </c>
      <c r="BT3298" t="b">
        <v>0</v>
      </c>
      <c r="BV3298" t="s">
        <v>1668</v>
      </c>
      <c r="BW3298">
        <v>3102</v>
      </c>
      <c r="BX3298" t="s">
        <v>3856</v>
      </c>
      <c r="BY3298">
        <v>510541</v>
      </c>
      <c r="BZ3298" t="s">
        <v>1892</v>
      </c>
      <c r="CA3298">
        <v>1</v>
      </c>
      <c r="CB3298" t="b">
        <v>1</v>
      </c>
      <c r="CC3298">
        <v>0</v>
      </c>
      <c r="CD3298" t="b">
        <v>0</v>
      </c>
      <c r="CE3298" t="b">
        <v>1</v>
      </c>
      <c r="CF3298" t="b">
        <v>0</v>
      </c>
      <c r="CG3298">
        <v>2547086</v>
      </c>
      <c r="CH3298" t="s">
        <v>1681</v>
      </c>
      <c r="CI3298" s="10">
        <v>1085000</v>
      </c>
      <c r="CJ3298" s="7">
        <v>36479</v>
      </c>
      <c r="CL3298" t="s">
        <v>6920</v>
      </c>
    </row>
    <row r="3299" spans="1:90">
      <c r="A3299">
        <v>28058845</v>
      </c>
      <c r="B3299" s="2" t="str">
        <f>HYPERLINK("http://www.redfin.com/stingray/do/printable-listing?listing-id=1620554","Active")</f>
        <v>Active</v>
      </c>
      <c r="D3299" t="s">
        <v>3079</v>
      </c>
      <c r="E3299" t="s">
        <v>6905</v>
      </c>
      <c r="F3299">
        <v>799900</v>
      </c>
      <c r="G3299">
        <v>1947</v>
      </c>
      <c r="H3299">
        <v>1130</v>
      </c>
      <c r="I3299">
        <v>7200</v>
      </c>
      <c r="J3299">
        <v>2</v>
      </c>
      <c r="K3299">
        <v>1.5</v>
      </c>
      <c r="M3299" s="2" t="str">
        <f>HYPERLINK("http://maps.live.com/default.aspx?v=2&amp;lvl=15&amp;sp=Point.47.685646_-122.210753_413 13th Ave W&amp;cp=47.685646~-122.210753","Map")</f>
        <v>Map</v>
      </c>
      <c r="N3299" s="2" t="str">
        <f>HYPERLINK("http://i-0.rfimg.us/photo/1/bigphoto/845/28058845_0.jpg","Photo")</f>
        <v>Photo</v>
      </c>
      <c r="AG3299">
        <v>47.685645999999998</v>
      </c>
      <c r="AH3299">
        <v>-122.210753</v>
      </c>
      <c r="AI3299" t="s">
        <v>1058</v>
      </c>
      <c r="AJ3299">
        <v>98033</v>
      </c>
      <c r="AN3299">
        <v>505000</v>
      </c>
      <c r="BC3299" s="22">
        <v>39543.589502314811</v>
      </c>
      <c r="BI3299" s="22">
        <v>39549.294907407406</v>
      </c>
      <c r="BL3299">
        <v>15998</v>
      </c>
      <c r="BM3299">
        <v>1620554</v>
      </c>
      <c r="BN3299" t="s">
        <v>1737</v>
      </c>
      <c r="BO3299" s="17">
        <f t="shared" ca="1" si="51"/>
        <v>5.7199035879675648</v>
      </c>
      <c r="BP3299" t="b">
        <v>0</v>
      </c>
      <c r="BQ3299">
        <v>1</v>
      </c>
      <c r="BR3299" t="s">
        <v>1667</v>
      </c>
      <c r="BS3299" t="s">
        <v>1809</v>
      </c>
      <c r="BT3299" t="b">
        <v>0</v>
      </c>
      <c r="BV3299" t="s">
        <v>1668</v>
      </c>
      <c r="BW3299">
        <v>413</v>
      </c>
      <c r="BX3299" t="s">
        <v>2423</v>
      </c>
      <c r="BY3299">
        <v>461311</v>
      </c>
      <c r="BZ3299" t="s">
        <v>1741</v>
      </c>
      <c r="CA3299">
        <v>1</v>
      </c>
      <c r="CB3299" t="b">
        <v>1</v>
      </c>
      <c r="CC3299">
        <v>0</v>
      </c>
      <c r="CD3299" t="b">
        <v>0</v>
      </c>
      <c r="CE3299" t="b">
        <v>1</v>
      </c>
      <c r="CF3299" t="b">
        <v>0</v>
      </c>
      <c r="CG3299">
        <v>2611108</v>
      </c>
      <c r="CH3299" t="s">
        <v>1681</v>
      </c>
      <c r="CI3299" s="10">
        <v>799900</v>
      </c>
      <c r="CJ3299" s="7">
        <v>38107</v>
      </c>
    </row>
    <row r="3300" spans="1:90">
      <c r="A3300">
        <v>28058851</v>
      </c>
      <c r="B3300" s="2" t="str">
        <f>HYPERLINK("http://www.redfin.com/stingray/do/printable-listing?listing-id=1619532","Active")</f>
        <v>Active</v>
      </c>
      <c r="D3300" t="s">
        <v>4611</v>
      </c>
      <c r="E3300" t="s">
        <v>6908</v>
      </c>
      <c r="F3300">
        <v>1060000</v>
      </c>
      <c r="G3300">
        <v>1999</v>
      </c>
      <c r="H3300">
        <v>3000</v>
      </c>
      <c r="I3300">
        <v>9949</v>
      </c>
      <c r="J3300">
        <v>4</v>
      </c>
      <c r="K3300">
        <v>2.5</v>
      </c>
      <c r="M3300" s="2" t="str">
        <f>HYPERLINK("http://maps.live.com/default.aspx?v=2&amp;lvl=15&amp;sp=Point.47.659528_-122.146839_14540 NE 57th St&amp;cp=47.659528~-122.146839","Map")</f>
        <v>Map</v>
      </c>
      <c r="N3300" s="2" t="str">
        <f>HYPERLINK("http://i-0.rfimg.us/photo/1/bigphoto/851/28058851_0.jpg","Photo")</f>
        <v>Photo</v>
      </c>
      <c r="AG3300">
        <v>47.659528000000002</v>
      </c>
      <c r="AH3300">
        <v>-122.146839</v>
      </c>
      <c r="AI3300" t="s">
        <v>369</v>
      </c>
      <c r="AJ3300">
        <v>98007</v>
      </c>
      <c r="AN3300">
        <v>515545</v>
      </c>
      <c r="BC3300" s="22">
        <v>39543.056793981479</v>
      </c>
      <c r="BI3300" s="22">
        <v>39549.294907407406</v>
      </c>
      <c r="BL3300">
        <v>21200</v>
      </c>
      <c r="BM3300">
        <v>1619532</v>
      </c>
      <c r="BN3300" t="s">
        <v>6907</v>
      </c>
      <c r="BO3300" s="17">
        <f t="shared" ca="1" si="51"/>
        <v>6.252611921299831</v>
      </c>
      <c r="BP3300" t="b">
        <v>0</v>
      </c>
      <c r="BQ3300">
        <v>1</v>
      </c>
      <c r="BR3300" t="s">
        <v>1686</v>
      </c>
      <c r="BS3300" t="s">
        <v>1687</v>
      </c>
      <c r="BT3300" t="b">
        <v>0</v>
      </c>
      <c r="BU3300" t="s">
        <v>1738</v>
      </c>
      <c r="BV3300" t="s">
        <v>1668</v>
      </c>
      <c r="BW3300">
        <v>14540</v>
      </c>
      <c r="BY3300">
        <v>431246</v>
      </c>
      <c r="BZ3300" t="s">
        <v>1747</v>
      </c>
      <c r="CA3300">
        <v>1</v>
      </c>
      <c r="CB3300" t="b">
        <v>1</v>
      </c>
      <c r="CC3300">
        <v>0</v>
      </c>
      <c r="CD3300" t="b">
        <v>0</v>
      </c>
      <c r="CE3300" t="b">
        <v>1</v>
      </c>
      <c r="CF3300" t="b">
        <v>0</v>
      </c>
      <c r="CG3300">
        <v>2561803</v>
      </c>
      <c r="CH3300" t="s">
        <v>1681</v>
      </c>
      <c r="CI3300" s="10">
        <v>1060000</v>
      </c>
      <c r="CJ3300" s="7">
        <v>36343</v>
      </c>
    </row>
    <row r="3301" spans="1:90">
      <c r="A3301">
        <v>28058910</v>
      </c>
      <c r="B3301" s="2" t="str">
        <f>HYPERLINK("http://www.redfin.com/stingray/do/printable-listing?listing-id=1620209","Active")</f>
        <v>Active</v>
      </c>
      <c r="D3301" t="s">
        <v>369</v>
      </c>
      <c r="E3301" t="s">
        <v>6910</v>
      </c>
      <c r="F3301">
        <v>525000</v>
      </c>
      <c r="G3301">
        <v>1958</v>
      </c>
      <c r="H3301">
        <v>2310</v>
      </c>
      <c r="I3301">
        <v>12000</v>
      </c>
      <c r="J3301">
        <v>4</v>
      </c>
      <c r="K3301">
        <v>2</v>
      </c>
      <c r="M3301" s="2" t="str">
        <f>HYPERLINK("http://maps.live.com/default.aspx?v=2&amp;lvl=15&amp;sp=Point.47.570262_-122.174987_4212 123rd Ave SE&amp;cp=47.570262~-122.174987","Map")</f>
        <v>Map</v>
      </c>
      <c r="N3301" s="2" t="str">
        <f>HYPERLINK("http://i-0.rfimg.us/photo/1/bigphoto/910/28058910_0.jpg","Photo")</f>
        <v>Photo</v>
      </c>
      <c r="AG3301">
        <v>47.570262</v>
      </c>
      <c r="AH3301">
        <v>-122.174987</v>
      </c>
      <c r="AI3301" t="s">
        <v>369</v>
      </c>
      <c r="AJ3301">
        <v>98006</v>
      </c>
      <c r="AN3301">
        <v>178000</v>
      </c>
      <c r="BC3301" s="22">
        <v>39543.433182870373</v>
      </c>
      <c r="BI3301" s="22">
        <v>39549.294907407406</v>
      </c>
      <c r="BL3301">
        <v>10500</v>
      </c>
      <c r="BM3301">
        <v>1620209</v>
      </c>
      <c r="BN3301" t="s">
        <v>1812</v>
      </c>
      <c r="BO3301" s="17">
        <f t="shared" ca="1" si="51"/>
        <v>5.8762230324064149</v>
      </c>
      <c r="BP3301" t="b">
        <v>0</v>
      </c>
      <c r="BQ3301">
        <v>1</v>
      </c>
      <c r="BR3301" t="s">
        <v>1667</v>
      </c>
      <c r="BS3301" t="s">
        <v>2882</v>
      </c>
      <c r="BT3301" t="b">
        <v>0</v>
      </c>
      <c r="BV3301" t="s">
        <v>1668</v>
      </c>
      <c r="BW3301">
        <v>4212</v>
      </c>
      <c r="BX3301" t="s">
        <v>3856</v>
      </c>
      <c r="BY3301">
        <v>233621</v>
      </c>
      <c r="BZ3301" s="21">
        <v>0</v>
      </c>
      <c r="CA3301">
        <v>1</v>
      </c>
      <c r="CB3301" t="b">
        <v>1</v>
      </c>
      <c r="CC3301">
        <v>0</v>
      </c>
      <c r="CD3301" t="b">
        <v>0</v>
      </c>
      <c r="CE3301" t="b">
        <v>1</v>
      </c>
      <c r="CF3301" t="b">
        <v>0</v>
      </c>
      <c r="CG3301">
        <v>2808967</v>
      </c>
      <c r="CH3301" t="s">
        <v>1681</v>
      </c>
      <c r="CI3301" s="10">
        <v>525000</v>
      </c>
      <c r="CJ3301" s="7">
        <v>34453</v>
      </c>
    </row>
    <row r="3302" spans="1:90">
      <c r="A3302">
        <v>28058917</v>
      </c>
      <c r="B3302" s="2" t="str">
        <f>HYPERLINK("http://www.redfin.com/stingray/do/printable-listing?listing-id=1621979","Active")</f>
        <v>Active</v>
      </c>
      <c r="D3302" t="s">
        <v>2552</v>
      </c>
      <c r="E3302" t="s">
        <v>6928</v>
      </c>
      <c r="F3302">
        <v>849000</v>
      </c>
      <c r="G3302">
        <v>1948</v>
      </c>
      <c r="H3302">
        <v>2780</v>
      </c>
      <c r="I3302">
        <v>6000</v>
      </c>
      <c r="J3302">
        <v>3</v>
      </c>
      <c r="K3302">
        <v>2.5</v>
      </c>
      <c r="M3302" s="2" t="str">
        <f>HYPERLINK("http://maps.live.com/default.aspx?v=2&amp;lvl=15&amp;sp=Point.47.644172_-122.406122_2637 38th Ave W&amp;cp=47.644172~-122.406122","Map")</f>
        <v>Map</v>
      </c>
      <c r="N3302" s="2" t="str">
        <f>HYPERLINK("http://i-0.rfimg.us/photo/1/bigphoto/917/28058917_2.jpg","Photo")</f>
        <v>Photo</v>
      </c>
      <c r="AG3302">
        <v>47.644171999999998</v>
      </c>
      <c r="AH3302">
        <v>-122.406122</v>
      </c>
      <c r="AI3302" t="s">
        <v>66</v>
      </c>
      <c r="AJ3302">
        <v>98199</v>
      </c>
      <c r="AN3302">
        <v>390000</v>
      </c>
      <c r="BC3302" s="22">
        <v>39544.848460648151</v>
      </c>
      <c r="BI3302" s="22">
        <v>39549.294907407406</v>
      </c>
      <c r="BL3302">
        <v>16980</v>
      </c>
      <c r="BM3302">
        <v>1621979</v>
      </c>
      <c r="BN3302" t="s">
        <v>1810</v>
      </c>
      <c r="BO3302" s="17">
        <f t="shared" ca="1" si="51"/>
        <v>4.4609452546283137</v>
      </c>
      <c r="BP3302" t="b">
        <v>0</v>
      </c>
      <c r="BQ3302">
        <v>1</v>
      </c>
      <c r="BR3302" t="s">
        <v>1667</v>
      </c>
      <c r="BS3302" t="s">
        <v>3126</v>
      </c>
      <c r="BT3302" t="b">
        <v>0</v>
      </c>
      <c r="BV3302" t="s">
        <v>1668</v>
      </c>
      <c r="BW3302">
        <v>2637</v>
      </c>
      <c r="BX3302" t="s">
        <v>2423</v>
      </c>
      <c r="BY3302">
        <v>126773</v>
      </c>
      <c r="BZ3302" t="s">
        <v>1730</v>
      </c>
      <c r="CA3302">
        <v>1</v>
      </c>
      <c r="CB3302" t="b">
        <v>1</v>
      </c>
      <c r="CC3302">
        <v>0</v>
      </c>
      <c r="CD3302" t="b">
        <v>0</v>
      </c>
      <c r="CE3302" t="b">
        <v>1</v>
      </c>
      <c r="CF3302" t="b">
        <v>0</v>
      </c>
      <c r="CG3302">
        <v>2592512</v>
      </c>
      <c r="CH3302" t="s">
        <v>1681</v>
      </c>
      <c r="CI3302" s="10">
        <v>849000</v>
      </c>
      <c r="CJ3302" s="7">
        <v>35825</v>
      </c>
    </row>
    <row r="3303" spans="1:90">
      <c r="A3303">
        <v>28058946</v>
      </c>
      <c r="B3303" s="2" t="str">
        <f>HYPERLINK("http://www.redfin.com/stingray/do/printable-listing?listing-id=1620324","Active")</f>
        <v>Active</v>
      </c>
      <c r="D3303" t="s">
        <v>192</v>
      </c>
      <c r="E3303" t="s">
        <v>6891</v>
      </c>
      <c r="F3303">
        <v>449950</v>
      </c>
      <c r="G3303">
        <v>1954</v>
      </c>
      <c r="H3303">
        <v>1620</v>
      </c>
      <c r="I3303">
        <v>0</v>
      </c>
      <c r="J3303">
        <v>3</v>
      </c>
      <c r="K3303">
        <v>1.5</v>
      </c>
      <c r="M3303" s="2" t="str">
        <f>HYPERLINK("http://maps.live.com/default.aspx?v=2&amp;lvl=15&amp;sp=Point.47.697904_-122.316411_1026 NE 95th&amp;cp=47.697904~-122.316411","Map")</f>
        <v>Map</v>
      </c>
      <c r="N3303" s="2" t="str">
        <f>HYPERLINK("http://i-0.rfimg.us/photo/1/bigphoto/946/28058946_.jpg","Photo")</f>
        <v>Photo</v>
      </c>
      <c r="AG3303">
        <v>47.697904000000001</v>
      </c>
      <c r="AH3303">
        <v>-122.316411</v>
      </c>
      <c r="AI3303" t="s">
        <v>66</v>
      </c>
      <c r="AJ3303">
        <v>98115</v>
      </c>
      <c r="AN3303">
        <v>64000</v>
      </c>
      <c r="BC3303" s="22">
        <v>39543.484965277778</v>
      </c>
      <c r="BI3303" s="22">
        <v>39549.294907407406</v>
      </c>
      <c r="BL3303">
        <v>8999</v>
      </c>
      <c r="BM3303">
        <v>1620324</v>
      </c>
      <c r="BN3303" t="s">
        <v>1715</v>
      </c>
      <c r="BO3303" s="17">
        <f t="shared" ca="1" si="51"/>
        <v>5.8244406250014435</v>
      </c>
      <c r="BP3303" t="b">
        <v>0</v>
      </c>
      <c r="BQ3303">
        <v>1</v>
      </c>
      <c r="BS3303" t="s">
        <v>2722</v>
      </c>
      <c r="BT3303" t="b">
        <v>0</v>
      </c>
      <c r="BU3303" t="s">
        <v>1738</v>
      </c>
      <c r="BV3303" t="s">
        <v>1668</v>
      </c>
      <c r="BW3303">
        <v>1026</v>
      </c>
      <c r="BY3303">
        <v>110099</v>
      </c>
      <c r="BZ3303" t="s">
        <v>1670</v>
      </c>
      <c r="CA3303">
        <v>1</v>
      </c>
      <c r="CB3303" t="b">
        <v>1</v>
      </c>
      <c r="CC3303">
        <v>0</v>
      </c>
      <c r="CD3303" t="b">
        <v>0</v>
      </c>
      <c r="CE3303" t="b">
        <v>1</v>
      </c>
      <c r="CF3303" t="b">
        <v>0</v>
      </c>
      <c r="CG3303">
        <v>2816787</v>
      </c>
      <c r="CH3303" t="s">
        <v>1681</v>
      </c>
      <c r="CI3303" s="10">
        <v>449950</v>
      </c>
      <c r="CJ3303" s="7">
        <v>31776</v>
      </c>
    </row>
    <row r="3304" spans="1:90">
      <c r="A3304">
        <v>28058972</v>
      </c>
      <c r="B3304" s="2" t="str">
        <f>HYPERLINK("http://www.redfin.com/stingray/do/printable-listing?listing-id=1620442","Active")</f>
        <v>Active</v>
      </c>
      <c r="D3304" t="s">
        <v>3959</v>
      </c>
      <c r="E3304" t="s">
        <v>6894</v>
      </c>
      <c r="F3304">
        <v>449950</v>
      </c>
      <c r="G3304">
        <v>1903</v>
      </c>
      <c r="H3304">
        <v>0</v>
      </c>
      <c r="I3304">
        <v>0</v>
      </c>
      <c r="J3304">
        <v>3</v>
      </c>
      <c r="K3304">
        <v>1</v>
      </c>
      <c r="M3304" s="2" t="str">
        <f>HYPERLINK("http://maps.live.com/default.aspx?v=2&amp;lvl=15&amp;sp=Point.47.603345_-122.318909_1005 E Spruce St&amp;cp=47.603345~-122.318909","Map")</f>
        <v>Map</v>
      </c>
      <c r="N3304" s="2" t="str">
        <f>HYPERLINK("http://i-0.rfimg.us/photo/1/bigphoto/972/28058972_0.jpg","Photo")</f>
        <v>Photo</v>
      </c>
      <c r="AG3304">
        <v>47.603344999999997</v>
      </c>
      <c r="AH3304">
        <v>-122.318909</v>
      </c>
      <c r="AI3304" t="s">
        <v>66</v>
      </c>
      <c r="AJ3304">
        <v>98122</v>
      </c>
      <c r="AN3304">
        <v>20000</v>
      </c>
      <c r="BC3304" s="22">
        <v>39543.527013888888</v>
      </c>
      <c r="BI3304" s="22">
        <v>39549.294907407406</v>
      </c>
      <c r="BL3304">
        <v>8999</v>
      </c>
      <c r="BM3304">
        <v>1620442</v>
      </c>
      <c r="BN3304" t="s">
        <v>2733</v>
      </c>
      <c r="BO3304" s="17">
        <f t="shared" ca="1" si="51"/>
        <v>5.7823920138907852</v>
      </c>
      <c r="BP3304" t="b">
        <v>0</v>
      </c>
      <c r="BQ3304">
        <v>1</v>
      </c>
      <c r="BR3304" t="s">
        <v>1686</v>
      </c>
      <c r="BS3304" t="s">
        <v>6635</v>
      </c>
      <c r="BT3304" t="b">
        <v>0</v>
      </c>
      <c r="BU3304" t="s">
        <v>2436</v>
      </c>
      <c r="BV3304" t="s">
        <v>1668</v>
      </c>
      <c r="BW3304">
        <v>1005</v>
      </c>
      <c r="BY3304">
        <v>144791</v>
      </c>
      <c r="BZ3304" t="s">
        <v>1676</v>
      </c>
      <c r="CA3304">
        <v>1</v>
      </c>
      <c r="CB3304" t="b">
        <v>1</v>
      </c>
      <c r="CC3304">
        <v>0</v>
      </c>
      <c r="CD3304" t="b">
        <v>0</v>
      </c>
      <c r="CE3304" t="b">
        <v>1</v>
      </c>
      <c r="CF3304" t="b">
        <v>0</v>
      </c>
      <c r="CG3304">
        <v>2979828</v>
      </c>
      <c r="CH3304" t="s">
        <v>1681</v>
      </c>
      <c r="CI3304" s="10">
        <v>449950</v>
      </c>
      <c r="CJ3304" s="7">
        <v>36574</v>
      </c>
    </row>
    <row r="3305" spans="1:90">
      <c r="A3305">
        <v>28058979</v>
      </c>
      <c r="B3305" s="2" t="str">
        <f>HYPERLINK("http://www.redfin.com/stingray/do/printable-listing?listing-id=1620440","Active")</f>
        <v>Active</v>
      </c>
      <c r="D3305" t="s">
        <v>3061</v>
      </c>
      <c r="E3305" t="s">
        <v>4409</v>
      </c>
      <c r="F3305">
        <v>499950</v>
      </c>
      <c r="G3305">
        <v>1974</v>
      </c>
      <c r="H3305">
        <v>2250</v>
      </c>
      <c r="I3305">
        <v>11326</v>
      </c>
      <c r="J3305">
        <v>4</v>
      </c>
      <c r="K3305">
        <v>2.5</v>
      </c>
      <c r="M3305" s="2" t="str">
        <f>HYPERLINK("http://maps.live.com/default.aspx?v=2&amp;lvl=15&amp;sp=Point.47.721837_-122.166803_12930 NE 136th St&amp;cp=47.721837~-122.166803","Map")</f>
        <v>Map</v>
      </c>
      <c r="N3305" s="2" t="str">
        <f>HYPERLINK("http://i-0.rfimg.us/photo/1/bigphoto/979/28058979_1.jpg","Photo")</f>
        <v>Photo</v>
      </c>
      <c r="AG3305">
        <v>47.721837000000001</v>
      </c>
      <c r="AH3305">
        <v>-122.166803</v>
      </c>
      <c r="AI3305" t="s">
        <v>1058</v>
      </c>
      <c r="AJ3305">
        <v>98034</v>
      </c>
      <c r="AN3305">
        <v>450000</v>
      </c>
      <c r="BC3305" s="22">
        <v>39543.527013888888</v>
      </c>
      <c r="BI3305" s="22">
        <v>39549.294907407406</v>
      </c>
      <c r="BL3305">
        <v>9999</v>
      </c>
      <c r="BM3305">
        <v>1620440</v>
      </c>
      <c r="BN3305" t="s">
        <v>1768</v>
      </c>
      <c r="BO3305" s="17">
        <f t="shared" ca="1" si="51"/>
        <v>5.7823920138907852</v>
      </c>
      <c r="BP3305" t="b">
        <v>0</v>
      </c>
      <c r="BQ3305">
        <v>1</v>
      </c>
      <c r="BR3305" t="s">
        <v>1686</v>
      </c>
      <c r="BS3305" t="s">
        <v>4403</v>
      </c>
      <c r="BT3305" t="b">
        <v>0</v>
      </c>
      <c r="BU3305" t="s">
        <v>1738</v>
      </c>
      <c r="BV3305" t="s">
        <v>1668</v>
      </c>
      <c r="BW3305">
        <v>12930</v>
      </c>
      <c r="BY3305">
        <v>456292</v>
      </c>
      <c r="BZ3305" t="s">
        <v>1709</v>
      </c>
      <c r="CA3305">
        <v>1</v>
      </c>
      <c r="CB3305" t="b">
        <v>1</v>
      </c>
      <c r="CC3305">
        <v>0</v>
      </c>
      <c r="CD3305" t="b">
        <v>0</v>
      </c>
      <c r="CE3305" t="b">
        <v>1</v>
      </c>
      <c r="CF3305" t="b">
        <v>0</v>
      </c>
      <c r="CG3305">
        <v>2699815</v>
      </c>
      <c r="CH3305" t="s">
        <v>1681</v>
      </c>
      <c r="CI3305" s="10">
        <v>499950</v>
      </c>
      <c r="CJ3305" s="7">
        <v>38803</v>
      </c>
    </row>
    <row r="3306" spans="1:90">
      <c r="A3306">
        <v>28058988</v>
      </c>
      <c r="B3306" s="2" t="str">
        <f>HYPERLINK("http://www.redfin.com/stingray/do/printable-listing?listing-id=1622818","Active")</f>
        <v>Active</v>
      </c>
      <c r="D3306" t="s">
        <v>3079</v>
      </c>
      <c r="E3306" t="s">
        <v>6980</v>
      </c>
      <c r="F3306">
        <v>1150000</v>
      </c>
      <c r="G3306">
        <v>1950</v>
      </c>
      <c r="H3306">
        <v>0</v>
      </c>
      <c r="I3306">
        <v>14557</v>
      </c>
      <c r="J3306">
        <v>2</v>
      </c>
      <c r="K3306">
        <v>2</v>
      </c>
      <c r="M3306" s="2" t="str">
        <f>HYPERLINK("http://maps.live.com/default.aspx?v=2&amp;lvl=15&amp;sp=Point.47.691795_-122.215374_818 16th Ave W&amp;cp=47.691795~-122.215374","Map")</f>
        <v>Map</v>
      </c>
      <c r="N3306" s="2" t="str">
        <f>HYPERLINK("http://i-0.rfimg.us/photo/1/bigphoto/988/28058988_2.jpg","Photo")</f>
        <v>Photo</v>
      </c>
      <c r="AG3306">
        <v>47.691794999999999</v>
      </c>
      <c r="AH3306">
        <v>-122.215374</v>
      </c>
      <c r="AI3306" t="s">
        <v>1058</v>
      </c>
      <c r="AJ3306">
        <v>98033</v>
      </c>
      <c r="AN3306">
        <v>775000</v>
      </c>
      <c r="BC3306" s="22">
        <v>39545.434027777781</v>
      </c>
      <c r="BI3306" s="22">
        <v>39549.294907407406</v>
      </c>
      <c r="BL3306">
        <v>23000</v>
      </c>
      <c r="BM3306">
        <v>1622818</v>
      </c>
      <c r="BN3306" t="s">
        <v>1768</v>
      </c>
      <c r="BO3306" s="17">
        <f t="shared" ca="1" si="51"/>
        <v>3.8753781249979511</v>
      </c>
      <c r="BP3306" t="b">
        <v>0</v>
      </c>
      <c r="BQ3306">
        <v>1</v>
      </c>
      <c r="BR3306" t="s">
        <v>1667</v>
      </c>
      <c r="BS3306" t="s">
        <v>1695</v>
      </c>
      <c r="BT3306" t="b">
        <v>0</v>
      </c>
      <c r="BV3306" t="s">
        <v>1668</v>
      </c>
      <c r="BW3306">
        <v>818</v>
      </c>
      <c r="BX3306" t="s">
        <v>2423</v>
      </c>
      <c r="BY3306">
        <v>462305</v>
      </c>
      <c r="BZ3306" t="s">
        <v>6981</v>
      </c>
      <c r="CA3306">
        <v>1</v>
      </c>
      <c r="CB3306" t="b">
        <v>1</v>
      </c>
      <c r="CC3306">
        <v>0</v>
      </c>
      <c r="CD3306" t="b">
        <v>0</v>
      </c>
      <c r="CE3306" t="b">
        <v>1</v>
      </c>
      <c r="CF3306" t="b">
        <v>0</v>
      </c>
      <c r="CG3306">
        <v>2831449</v>
      </c>
      <c r="CH3306" t="s">
        <v>1681</v>
      </c>
      <c r="CI3306" s="10">
        <v>1150000</v>
      </c>
      <c r="CJ3306" s="7">
        <v>38728</v>
      </c>
    </row>
    <row r="3307" spans="1:90">
      <c r="A3307">
        <v>28059002</v>
      </c>
      <c r="B3307" s="2" t="str">
        <f>HYPERLINK("http://www.redfin.com/stingray/do/printable-listing?listing-id=1620483","Active")</f>
        <v>Active</v>
      </c>
      <c r="D3307" t="s">
        <v>1058</v>
      </c>
      <c r="E3307" t="s">
        <v>4535</v>
      </c>
      <c r="F3307">
        <v>669888</v>
      </c>
      <c r="G3307">
        <v>1985</v>
      </c>
      <c r="H3307">
        <v>3000</v>
      </c>
      <c r="I3307">
        <v>0</v>
      </c>
      <c r="J3307">
        <v>4</v>
      </c>
      <c r="K3307">
        <v>2.5</v>
      </c>
      <c r="M3307" s="2" t="str">
        <f>HYPERLINK("http://maps.live.com/default.aspx?v=2&amp;lvl=15&amp;sp=Point.47.697737_-122.199195_10910 106th Ave NE&amp;cp=47.697737~-122.199195","Map")</f>
        <v>Map</v>
      </c>
      <c r="N3307" s="2" t="str">
        <f>HYPERLINK("http://i-0.rfimg.us/photo/1/bigphoto/002/28059002_0.jpg","Photo")</f>
        <v>Photo</v>
      </c>
      <c r="AG3307">
        <v>47.697736999999996</v>
      </c>
      <c r="AH3307">
        <v>-122.199195</v>
      </c>
      <c r="AI3307" t="s">
        <v>1058</v>
      </c>
      <c r="AJ3307">
        <v>98033</v>
      </c>
      <c r="AN3307">
        <v>27500</v>
      </c>
      <c r="BC3307" s="22">
        <v>39543.547349537039</v>
      </c>
      <c r="BI3307" s="22">
        <v>39549.294907407406</v>
      </c>
      <c r="BL3307">
        <v>13398</v>
      </c>
      <c r="BM3307">
        <v>1620483</v>
      </c>
      <c r="BN3307" t="s">
        <v>1768</v>
      </c>
      <c r="BO3307" s="17">
        <f t="shared" ca="1" si="51"/>
        <v>5.7620563657401362</v>
      </c>
      <c r="BP3307" t="b">
        <v>0</v>
      </c>
      <c r="BQ3307">
        <v>1</v>
      </c>
      <c r="BR3307" t="s">
        <v>1667</v>
      </c>
      <c r="BS3307" t="s">
        <v>2936</v>
      </c>
      <c r="BT3307" t="b">
        <v>0</v>
      </c>
      <c r="BV3307" t="s">
        <v>1668</v>
      </c>
      <c r="BW3307">
        <v>10910</v>
      </c>
      <c r="BX3307" t="s">
        <v>1738</v>
      </c>
      <c r="BY3307">
        <v>462386</v>
      </c>
      <c r="BZ3307" t="s">
        <v>1745</v>
      </c>
      <c r="CA3307">
        <v>1</v>
      </c>
      <c r="CB3307" t="b">
        <v>1</v>
      </c>
      <c r="CC3307">
        <v>0</v>
      </c>
      <c r="CD3307" t="b">
        <v>0</v>
      </c>
      <c r="CE3307" t="b">
        <v>1</v>
      </c>
      <c r="CF3307" t="b">
        <v>0</v>
      </c>
      <c r="CG3307">
        <v>2676989</v>
      </c>
      <c r="CH3307" t="s">
        <v>1681</v>
      </c>
      <c r="CI3307" s="10">
        <v>669888</v>
      </c>
      <c r="CJ3307" s="7">
        <v>30767</v>
      </c>
    </row>
    <row r="3308" spans="1:90">
      <c r="A3308">
        <v>28059035</v>
      </c>
      <c r="B3308" s="2" t="str">
        <f>HYPERLINK("http://www.redfin.com/stingray/do/printable-listing?listing-id=1621544","Active")</f>
        <v>Active</v>
      </c>
      <c r="D3308" t="s">
        <v>60</v>
      </c>
      <c r="E3308" t="s">
        <v>6925</v>
      </c>
      <c r="F3308">
        <v>975000</v>
      </c>
      <c r="G3308">
        <v>1931</v>
      </c>
      <c r="H3308">
        <v>2470</v>
      </c>
      <c r="I3308">
        <v>6000</v>
      </c>
      <c r="J3308">
        <v>4</v>
      </c>
      <c r="K3308">
        <v>2.5</v>
      </c>
      <c r="M3308" s="2" t="str">
        <f>HYPERLINK("http://maps.live.com/default.aspx?v=2&amp;lvl=15&amp;sp=Point.47.671348_-122.327971_103 NE 59 St&amp;cp=47.671348~-122.327971","Map")</f>
        <v>Map</v>
      </c>
      <c r="N3308" s="2" t="str">
        <f>HYPERLINK("http://i-0.rfimg.us/photo/1/bigphoto/035/28059035_.jpg","Photo")</f>
        <v>Photo</v>
      </c>
      <c r="AG3308">
        <v>47.671348000000002</v>
      </c>
      <c r="AH3308">
        <v>-122.32797100000001</v>
      </c>
      <c r="AI3308" t="s">
        <v>66</v>
      </c>
      <c r="AJ3308">
        <v>98105</v>
      </c>
      <c r="AN3308">
        <v>750000</v>
      </c>
      <c r="BC3308" s="22">
        <v>39544.452800925923</v>
      </c>
      <c r="BI3308" s="22">
        <v>39549.294907407406</v>
      </c>
      <c r="BL3308">
        <v>19500</v>
      </c>
      <c r="BM3308">
        <v>1621544</v>
      </c>
      <c r="BN3308" t="s">
        <v>1710</v>
      </c>
      <c r="BO3308" s="17">
        <f t="shared" ca="1" si="51"/>
        <v>4.8566049768560333</v>
      </c>
      <c r="BP3308" t="b">
        <v>0</v>
      </c>
      <c r="BQ3308">
        <v>1</v>
      </c>
      <c r="BR3308" t="s">
        <v>1686</v>
      </c>
      <c r="BS3308">
        <v>59</v>
      </c>
      <c r="BT3308" t="b">
        <v>0</v>
      </c>
      <c r="BU3308" t="s">
        <v>1738</v>
      </c>
      <c r="BV3308" t="s">
        <v>1668</v>
      </c>
      <c r="BW3308">
        <v>103</v>
      </c>
      <c r="BY3308">
        <v>304305</v>
      </c>
      <c r="BZ3308" t="s">
        <v>1672</v>
      </c>
      <c r="CA3308">
        <v>1</v>
      </c>
      <c r="CB3308" t="b">
        <v>1</v>
      </c>
      <c r="CC3308">
        <v>0</v>
      </c>
      <c r="CD3308" t="b">
        <v>0</v>
      </c>
      <c r="CE3308" t="b">
        <v>1</v>
      </c>
      <c r="CF3308" t="b">
        <v>0</v>
      </c>
      <c r="CG3308">
        <v>2885822</v>
      </c>
      <c r="CH3308" t="s">
        <v>1681</v>
      </c>
      <c r="CI3308" s="10">
        <v>975000</v>
      </c>
      <c r="CJ3308" s="7">
        <v>38307</v>
      </c>
    </row>
    <row r="3309" spans="1:90">
      <c r="A3309">
        <v>28059041</v>
      </c>
      <c r="B3309" s="2" t="str">
        <f>HYPERLINK("http://www.redfin.com/stingray/do/printable-listing?listing-id=1620571","Active")</f>
        <v>Active</v>
      </c>
      <c r="D3309" t="s">
        <v>63</v>
      </c>
      <c r="E3309" t="s">
        <v>6884</v>
      </c>
      <c r="F3309">
        <v>429000</v>
      </c>
      <c r="G3309">
        <v>2008</v>
      </c>
      <c r="H3309">
        <v>0</v>
      </c>
      <c r="I3309">
        <v>0</v>
      </c>
      <c r="J3309">
        <v>2</v>
      </c>
      <c r="K3309">
        <v>2.5</v>
      </c>
      <c r="M3309" s="2" t="str">
        <f>HYPERLINK("http://maps.live.com/default.aspx?v=2&amp;lvl=15&amp;sp=adr.2615 NW 59 Ave nA (Unable to map),98107","Map")</f>
        <v>Map</v>
      </c>
      <c r="N3309" s="2" t="str">
        <f>HYPERLINK("http://i-0.rfimg.us/photo/1/bigphoto/041/28059041_0.jpg","Photo")</f>
        <v>Photo</v>
      </c>
      <c r="AI3309" t="s">
        <v>66</v>
      </c>
      <c r="AJ3309">
        <v>98107</v>
      </c>
      <c r="AM3309" t="s">
        <v>1722</v>
      </c>
      <c r="BC3309" s="22">
        <v>39543.600138888891</v>
      </c>
      <c r="BI3309" s="22">
        <v>39549.294907407406</v>
      </c>
      <c r="BL3309">
        <v>8580</v>
      </c>
      <c r="BM3309">
        <v>1620571</v>
      </c>
      <c r="BN3309" t="s">
        <v>1697</v>
      </c>
      <c r="BO3309" s="17">
        <f t="shared" ca="1" si="51"/>
        <v>5.7092670138881658</v>
      </c>
      <c r="BP3309" t="b">
        <v>0</v>
      </c>
      <c r="BQ3309">
        <v>1</v>
      </c>
      <c r="BR3309" t="s">
        <v>1667</v>
      </c>
      <c r="BS3309">
        <v>59</v>
      </c>
      <c r="BT3309" t="b">
        <v>0</v>
      </c>
      <c r="BU3309" t="s">
        <v>1669</v>
      </c>
      <c r="BV3309" t="s">
        <v>1668</v>
      </c>
      <c r="BW3309">
        <v>2615</v>
      </c>
      <c r="BY3309">
        <v>0</v>
      </c>
      <c r="BZ3309" s="21">
        <v>0</v>
      </c>
      <c r="CA3309">
        <v>1</v>
      </c>
      <c r="CB3309" t="b">
        <v>1</v>
      </c>
      <c r="CC3309">
        <v>0</v>
      </c>
      <c r="CD3309" t="b">
        <v>0</v>
      </c>
      <c r="CE3309" t="b">
        <v>1</v>
      </c>
      <c r="CF3309" t="b">
        <v>0</v>
      </c>
      <c r="CG3309" t="s">
        <v>1870</v>
      </c>
      <c r="CH3309" t="s">
        <v>1681</v>
      </c>
      <c r="CI3309" s="10">
        <v>429000</v>
      </c>
    </row>
    <row r="3310" spans="1:90">
      <c r="A3310">
        <v>28059042</v>
      </c>
      <c r="B3310" s="2" t="str">
        <f>HYPERLINK("http://www.redfin.com/stingray/do/printable-listing?listing-id=1620585","Active")</f>
        <v>Active</v>
      </c>
      <c r="D3310" t="s">
        <v>63</v>
      </c>
      <c r="E3310" t="s">
        <v>6885</v>
      </c>
      <c r="F3310">
        <v>449000</v>
      </c>
      <c r="G3310">
        <v>2008</v>
      </c>
      <c r="H3310">
        <v>0</v>
      </c>
      <c r="I3310">
        <v>0</v>
      </c>
      <c r="J3310">
        <v>3</v>
      </c>
      <c r="K3310">
        <v>2.5</v>
      </c>
      <c r="M3310" s="2" t="str">
        <f>HYPERLINK("http://maps.live.com/default.aspx?v=2&amp;lvl=15&amp;sp=adr.2615 NW 59 Ave nB (Unable to map),98107","Map")</f>
        <v>Map</v>
      </c>
      <c r="N3310" s="2" t="str">
        <f>HYPERLINK("http://i-0.rfimg.us/photo/1/bigphoto/042/28059042_0.jpg","Photo")</f>
        <v>Photo</v>
      </c>
      <c r="AI3310" t="s">
        <v>66</v>
      </c>
      <c r="AJ3310">
        <v>98107</v>
      </c>
      <c r="AM3310" t="s">
        <v>1699</v>
      </c>
      <c r="BC3310" s="22">
        <v>39543.609803240739</v>
      </c>
      <c r="BI3310" s="22">
        <v>39549.294907407406</v>
      </c>
      <c r="BL3310">
        <v>8980</v>
      </c>
      <c r="BM3310">
        <v>1620585</v>
      </c>
      <c r="BN3310" t="s">
        <v>1697</v>
      </c>
      <c r="BO3310" s="17">
        <f t="shared" ca="1" si="51"/>
        <v>5.6996026620399789</v>
      </c>
      <c r="BP3310" t="b">
        <v>0</v>
      </c>
      <c r="BQ3310">
        <v>1</v>
      </c>
      <c r="BR3310" t="s">
        <v>1667</v>
      </c>
      <c r="BS3310">
        <v>59</v>
      </c>
      <c r="BT3310" t="b">
        <v>0</v>
      </c>
      <c r="BU3310" t="s">
        <v>1669</v>
      </c>
      <c r="BV3310" t="s">
        <v>1668</v>
      </c>
      <c r="BW3310">
        <v>2615</v>
      </c>
      <c r="BY3310">
        <v>0</v>
      </c>
      <c r="BZ3310" s="21">
        <v>0</v>
      </c>
      <c r="CA3310">
        <v>1</v>
      </c>
      <c r="CB3310" t="b">
        <v>1</v>
      </c>
      <c r="CC3310">
        <v>0</v>
      </c>
      <c r="CD3310" t="b">
        <v>0</v>
      </c>
      <c r="CE3310" t="b">
        <v>1</v>
      </c>
      <c r="CF3310" t="b">
        <v>0</v>
      </c>
      <c r="CG3310" t="s">
        <v>1870</v>
      </c>
      <c r="CH3310" t="s">
        <v>1681</v>
      </c>
      <c r="CI3310" s="10">
        <v>449000</v>
      </c>
    </row>
    <row r="3311" spans="1:90">
      <c r="A3311">
        <v>28059045</v>
      </c>
      <c r="B3311" s="2" t="str">
        <f>HYPERLINK("http://www.redfin.com/stingray/do/printable-listing?listing-id=1620587","Active")</f>
        <v>Active</v>
      </c>
      <c r="D3311" t="s">
        <v>63</v>
      </c>
      <c r="E3311" t="s">
        <v>6886</v>
      </c>
      <c r="F3311">
        <v>419950</v>
      </c>
      <c r="G3311">
        <v>2008</v>
      </c>
      <c r="H3311">
        <v>1525</v>
      </c>
      <c r="I3311">
        <v>0</v>
      </c>
      <c r="J3311">
        <v>3</v>
      </c>
      <c r="K3311">
        <v>2.25</v>
      </c>
      <c r="M3311" s="2" t="str">
        <f>HYPERLINK("http://maps.live.com/default.aspx?v=2&amp;lvl=15&amp;sp=Point.47.668899_-122.393103_5511 28th Ave NW&amp;cp=47.668899~-122.393103","Map")</f>
        <v>Map</v>
      </c>
      <c r="N3311" s="2" t="str">
        <f>HYPERLINK("http://i-0.rfimg.us/photo/1/bigphoto/045/28059045_0.jpg","Photo")</f>
        <v>Photo</v>
      </c>
      <c r="AG3311">
        <v>47.668899000000003</v>
      </c>
      <c r="AH3311">
        <v>-122.393103</v>
      </c>
      <c r="AI3311" t="s">
        <v>66</v>
      </c>
      <c r="AJ3311">
        <v>98107</v>
      </c>
      <c r="BC3311" s="22">
        <v>39543.609814814816</v>
      </c>
      <c r="BI3311" s="22">
        <v>39549.294907407406</v>
      </c>
      <c r="BL3311">
        <v>8399</v>
      </c>
      <c r="BM3311">
        <v>1620587</v>
      </c>
      <c r="BN3311" t="s">
        <v>1700</v>
      </c>
      <c r="BO3311" s="17">
        <f t="shared" ca="1" si="51"/>
        <v>5.6995910879631992</v>
      </c>
      <c r="BP3311" t="b">
        <v>0</v>
      </c>
      <c r="BQ3311">
        <v>1</v>
      </c>
      <c r="BR3311" t="s">
        <v>1667</v>
      </c>
      <c r="BS3311" t="s">
        <v>1760</v>
      </c>
      <c r="BT3311" t="b">
        <v>0</v>
      </c>
      <c r="BV3311" t="s">
        <v>1668</v>
      </c>
      <c r="BW3311">
        <v>5511</v>
      </c>
      <c r="BX3311" t="s">
        <v>1669</v>
      </c>
      <c r="BY3311">
        <v>12438147</v>
      </c>
      <c r="BZ3311" t="s">
        <v>1741</v>
      </c>
      <c r="CA3311">
        <v>1</v>
      </c>
      <c r="CB3311" t="b">
        <v>1</v>
      </c>
      <c r="CC3311">
        <v>0</v>
      </c>
      <c r="CD3311" t="b">
        <v>0</v>
      </c>
      <c r="CE3311" t="b">
        <v>1</v>
      </c>
      <c r="CF3311" t="b">
        <v>0</v>
      </c>
      <c r="CG3311">
        <v>15641895</v>
      </c>
      <c r="CH3311" t="s">
        <v>1681</v>
      </c>
      <c r="CI3311" s="10">
        <v>419950</v>
      </c>
    </row>
    <row r="3312" spans="1:90">
      <c r="A3312">
        <v>28059074</v>
      </c>
      <c r="B3312" s="2" t="str">
        <f>HYPERLINK("http://www.redfin.com/stingray/do/printable-listing?listing-id=1620992","Active")</f>
        <v>Active</v>
      </c>
      <c r="D3312" t="s">
        <v>5191</v>
      </c>
      <c r="E3312" t="s">
        <v>6916</v>
      </c>
      <c r="F3312">
        <v>735000</v>
      </c>
      <c r="G3312">
        <v>1985</v>
      </c>
      <c r="H3312">
        <v>2620</v>
      </c>
      <c r="I3312">
        <v>8712</v>
      </c>
      <c r="J3312">
        <v>4</v>
      </c>
      <c r="K3312">
        <v>3</v>
      </c>
      <c r="M3312" s="2" t="str">
        <f>HYPERLINK("http://maps.live.com/default.aspx?v=2&amp;lvl=15&amp;sp=Point.47.546689_-122.144948_6246 147th Ave SE&amp;cp=47.546689~-122.144948","Map")</f>
        <v>Map</v>
      </c>
      <c r="N3312" s="2" t="str">
        <f>HYPERLINK("http://i-0.rfimg.us/photo/1/bigphoto/074/28059074_0.jpg","Photo")</f>
        <v>Photo</v>
      </c>
      <c r="AG3312">
        <v>47.546689000000001</v>
      </c>
      <c r="AH3312">
        <v>-122.144948</v>
      </c>
      <c r="AI3312" t="s">
        <v>369</v>
      </c>
      <c r="AJ3312">
        <v>98006</v>
      </c>
      <c r="AN3312">
        <v>126950</v>
      </c>
      <c r="BC3312" s="22">
        <v>39543.849687499998</v>
      </c>
      <c r="BI3312" s="22">
        <v>39549.294907407406</v>
      </c>
      <c r="BL3312">
        <v>14700</v>
      </c>
      <c r="BM3312">
        <v>1620992</v>
      </c>
      <c r="BN3312" t="s">
        <v>1674</v>
      </c>
      <c r="BO3312" s="17">
        <f t="shared" ca="1" si="51"/>
        <v>5.4597184027807089</v>
      </c>
      <c r="BP3312" t="b">
        <v>0</v>
      </c>
      <c r="BQ3312">
        <v>1</v>
      </c>
      <c r="BR3312" t="s">
        <v>1667</v>
      </c>
      <c r="BS3312" t="s">
        <v>4610</v>
      </c>
      <c r="BT3312" t="b">
        <v>0</v>
      </c>
      <c r="BV3312" t="s">
        <v>1668</v>
      </c>
      <c r="BW3312">
        <v>6246</v>
      </c>
      <c r="BX3312" t="s">
        <v>3856</v>
      </c>
      <c r="BY3312">
        <v>238721</v>
      </c>
      <c r="BZ3312" t="s">
        <v>1676</v>
      </c>
      <c r="CA3312">
        <v>1</v>
      </c>
      <c r="CB3312" t="b">
        <v>1</v>
      </c>
      <c r="CC3312">
        <v>0</v>
      </c>
      <c r="CD3312" t="b">
        <v>0</v>
      </c>
      <c r="CE3312" t="b">
        <v>1</v>
      </c>
      <c r="CF3312" t="b">
        <v>0</v>
      </c>
      <c r="CG3312">
        <v>2790817</v>
      </c>
      <c r="CH3312" t="s">
        <v>1681</v>
      </c>
      <c r="CI3312" s="10">
        <v>735000</v>
      </c>
      <c r="CJ3312" s="7">
        <v>31348</v>
      </c>
    </row>
    <row r="3313" spans="1:90">
      <c r="A3313">
        <v>28059077</v>
      </c>
      <c r="B3313" s="2" t="str">
        <f>HYPERLINK("http://www.redfin.com/stingray/do/printable-listing?listing-id=1629376","Active")</f>
        <v>Active</v>
      </c>
      <c r="D3313" t="s">
        <v>3966</v>
      </c>
      <c r="E3313" t="s">
        <v>7069</v>
      </c>
      <c r="F3313">
        <v>557000</v>
      </c>
      <c r="G3313">
        <v>1922</v>
      </c>
      <c r="H3313">
        <v>2740</v>
      </c>
      <c r="I3313">
        <v>5600</v>
      </c>
      <c r="J3313">
        <v>4</v>
      </c>
      <c r="K3313">
        <v>1</v>
      </c>
      <c r="M3313" s="2" t="str">
        <f>HYPERLINK("http://maps.live.com/default.aspx?v=2&amp;lvl=15&amp;sp=Point.47.613958_-122.293292_3011 E Pike St&amp;cp=47.613958~-122.293292","Map")</f>
        <v>Map</v>
      </c>
      <c r="N3313" s="2" t="str">
        <f>HYPERLINK("http://i-0.rfimg.us/photo/1/bigphoto/077/28059077_0.jpg","Photo")</f>
        <v>Photo</v>
      </c>
      <c r="AG3313">
        <v>47.613957999999997</v>
      </c>
      <c r="AH3313">
        <v>-122.29329199999999</v>
      </c>
      <c r="AI3313" t="s">
        <v>66</v>
      </c>
      <c r="AJ3313">
        <v>98122</v>
      </c>
      <c r="AN3313">
        <v>72000</v>
      </c>
      <c r="BC3313" s="22">
        <v>39547.433148148149</v>
      </c>
      <c r="BI3313" s="22">
        <v>39549.294907407406</v>
      </c>
      <c r="BL3313">
        <v>11140</v>
      </c>
      <c r="BM3313">
        <v>1629376</v>
      </c>
      <c r="BN3313" t="s">
        <v>1746</v>
      </c>
      <c r="BO3313" s="17">
        <f t="shared" ca="1" si="51"/>
        <v>1.8762577546294779</v>
      </c>
      <c r="BP3313" t="b">
        <v>0</v>
      </c>
      <c r="BQ3313">
        <v>1</v>
      </c>
      <c r="BR3313" t="s">
        <v>1686</v>
      </c>
      <c r="BS3313" t="s">
        <v>4025</v>
      </c>
      <c r="BT3313" t="b">
        <v>0</v>
      </c>
      <c r="BU3313" t="s">
        <v>2436</v>
      </c>
      <c r="BV3313" t="s">
        <v>1668</v>
      </c>
      <c r="BW3313">
        <v>3011</v>
      </c>
      <c r="BY3313">
        <v>146903</v>
      </c>
      <c r="BZ3313" t="s">
        <v>1745</v>
      </c>
      <c r="CA3313">
        <v>1</v>
      </c>
      <c r="CB3313" t="b">
        <v>1</v>
      </c>
      <c r="CC3313">
        <v>0</v>
      </c>
      <c r="CD3313" t="b">
        <v>0</v>
      </c>
      <c r="CE3313" t="b">
        <v>1</v>
      </c>
      <c r="CF3313" t="b">
        <v>0</v>
      </c>
      <c r="CG3313">
        <v>2665959</v>
      </c>
      <c r="CH3313" t="s">
        <v>1681</v>
      </c>
      <c r="CI3313" s="10">
        <v>557000</v>
      </c>
      <c r="CJ3313" s="7">
        <v>33038</v>
      </c>
    </row>
    <row r="3314" spans="1:90">
      <c r="A3314">
        <v>28059078</v>
      </c>
      <c r="B3314" s="2" t="str">
        <f>HYPERLINK("http://www.redfin.com/stingray/do/printable-listing?listing-id=1620873","Active")</f>
        <v>Active</v>
      </c>
      <c r="D3314" t="s">
        <v>99</v>
      </c>
      <c r="E3314" t="s">
        <v>6878</v>
      </c>
      <c r="F3314">
        <v>399950</v>
      </c>
      <c r="G3314">
        <v>1947</v>
      </c>
      <c r="H3314">
        <v>1700</v>
      </c>
      <c r="I3314">
        <v>6750</v>
      </c>
      <c r="J3314">
        <v>4</v>
      </c>
      <c r="K3314">
        <v>1.75</v>
      </c>
      <c r="M3314" s="2" t="str">
        <f>HYPERLINK("http://maps.live.com/default.aspx?v=2&amp;lvl=15&amp;sp=Point.47.696745_-122.375845_9221 NW Mary Ave&amp;cp=47.696745~-122.375845","Map")</f>
        <v>Map</v>
      </c>
      <c r="N3314" s="2" t="str">
        <f>HYPERLINK("http://i-0.rfimg.us/photo/1/bigphoto/078/28059078_0.jpg","Photo")</f>
        <v>Photo</v>
      </c>
      <c r="AG3314">
        <v>47.696745</v>
      </c>
      <c r="AH3314">
        <v>-122.375845</v>
      </c>
      <c r="AI3314" t="s">
        <v>66</v>
      </c>
      <c r="AJ3314">
        <v>98117</v>
      </c>
      <c r="AN3314">
        <v>79500</v>
      </c>
      <c r="BC3314" s="22">
        <v>39543.745497685188</v>
      </c>
      <c r="BI3314" s="22">
        <v>39549.294907407406</v>
      </c>
      <c r="BL3314">
        <v>7999</v>
      </c>
      <c r="BM3314">
        <v>1620873</v>
      </c>
      <c r="BN3314" t="s">
        <v>3048</v>
      </c>
      <c r="BO3314" s="17">
        <f t="shared" ca="1" si="51"/>
        <v>5.5639082175912336</v>
      </c>
      <c r="BP3314" t="b">
        <v>0</v>
      </c>
      <c r="BQ3314">
        <v>1</v>
      </c>
      <c r="BR3314" t="s">
        <v>1667</v>
      </c>
      <c r="BS3314" t="s">
        <v>1779</v>
      </c>
      <c r="BT3314" t="b">
        <v>0</v>
      </c>
      <c r="BU3314" t="s">
        <v>1669</v>
      </c>
      <c r="BV3314" t="s">
        <v>1668</v>
      </c>
      <c r="BW3314">
        <v>9221</v>
      </c>
      <c r="BX3314" t="s">
        <v>1669</v>
      </c>
      <c r="BY3314">
        <v>95673</v>
      </c>
      <c r="BZ3314" t="s">
        <v>1672</v>
      </c>
      <c r="CA3314">
        <v>1</v>
      </c>
      <c r="CB3314" t="b">
        <v>1</v>
      </c>
      <c r="CC3314">
        <v>0</v>
      </c>
      <c r="CD3314" t="b">
        <v>0</v>
      </c>
      <c r="CE3314" t="b">
        <v>1</v>
      </c>
      <c r="CF3314" t="b">
        <v>0</v>
      </c>
      <c r="CG3314">
        <v>2962772</v>
      </c>
      <c r="CH3314" t="s">
        <v>1681</v>
      </c>
      <c r="CI3314" s="10">
        <v>399950</v>
      </c>
      <c r="CJ3314" s="7">
        <v>31716</v>
      </c>
    </row>
    <row r="3315" spans="1:90">
      <c r="A3315">
        <v>28059143</v>
      </c>
      <c r="B3315" s="2" t="str">
        <f>HYPERLINK("http://www.redfin.com/stingray/do/printable-listing?listing-id=1621281","Active")</f>
        <v>Active</v>
      </c>
      <c r="D3315" t="s">
        <v>2850</v>
      </c>
      <c r="E3315" t="s">
        <v>6919</v>
      </c>
      <c r="F3315">
        <v>585000</v>
      </c>
      <c r="G3315">
        <v>1967</v>
      </c>
      <c r="H3315">
        <v>2560</v>
      </c>
      <c r="I3315">
        <v>10070</v>
      </c>
      <c r="J3315">
        <v>4</v>
      </c>
      <c r="K3315">
        <v>2.5</v>
      </c>
      <c r="M3315" s="2" t="str">
        <f>HYPERLINK("http://maps.live.com/default.aspx?v=2&amp;lvl=15&amp;sp=Point.47.710386_-122.240053_7605 NE 123 St&amp;cp=47.710386~-122.240053","Map")</f>
        <v>Map</v>
      </c>
      <c r="N3315" s="2" t="str">
        <f>HYPERLINK("http://i-0.rfimg.us/photo/1/bigphoto/143/28059143_0.jpg","Photo")</f>
        <v>Photo</v>
      </c>
      <c r="AG3315">
        <v>47.710386</v>
      </c>
      <c r="AH3315">
        <v>-122.240053</v>
      </c>
      <c r="AI3315" t="s">
        <v>1058</v>
      </c>
      <c r="AJ3315">
        <v>98034</v>
      </c>
      <c r="BC3315" s="22">
        <v>39544.109664351854</v>
      </c>
      <c r="BI3315" s="22">
        <v>39549.294907407406</v>
      </c>
      <c r="BL3315">
        <v>11700</v>
      </c>
      <c r="BM3315">
        <v>1621281</v>
      </c>
      <c r="BN3315" t="s">
        <v>2444</v>
      </c>
      <c r="BO3315" s="17">
        <f t="shared" ca="1" si="51"/>
        <v>5.1997415509249549</v>
      </c>
      <c r="BP3315" t="b">
        <v>0</v>
      </c>
      <c r="BQ3315">
        <v>1</v>
      </c>
      <c r="BR3315" t="s">
        <v>1686</v>
      </c>
      <c r="BS3315">
        <v>123</v>
      </c>
      <c r="BT3315" t="b">
        <v>0</v>
      </c>
      <c r="BU3315" t="s">
        <v>1738</v>
      </c>
      <c r="BV3315" t="s">
        <v>1668</v>
      </c>
      <c r="BW3315">
        <v>7605</v>
      </c>
      <c r="BY3315">
        <v>281941</v>
      </c>
      <c r="BZ3315" t="s">
        <v>1672</v>
      </c>
      <c r="CA3315">
        <v>1</v>
      </c>
      <c r="CB3315" t="b">
        <v>1</v>
      </c>
      <c r="CC3315">
        <v>0</v>
      </c>
      <c r="CD3315" t="b">
        <v>0</v>
      </c>
      <c r="CE3315" t="b">
        <v>1</v>
      </c>
      <c r="CF3315" t="b">
        <v>0</v>
      </c>
      <c r="CG3315">
        <v>2918536</v>
      </c>
      <c r="CH3315" t="s">
        <v>1681</v>
      </c>
      <c r="CI3315" s="10">
        <v>585000</v>
      </c>
    </row>
    <row r="3316" spans="1:90">
      <c r="A3316">
        <v>28059146</v>
      </c>
      <c r="B3316" s="2" t="str">
        <f>HYPERLINK("http://www.redfin.com/stingray/do/printable-listing?listing-id=1621338","Active")</f>
        <v>Active</v>
      </c>
      <c r="D3316" t="s">
        <v>192</v>
      </c>
      <c r="E3316" t="s">
        <v>6917</v>
      </c>
      <c r="F3316">
        <v>459950</v>
      </c>
      <c r="G3316">
        <v>1940</v>
      </c>
      <c r="H3316">
        <v>1790</v>
      </c>
      <c r="I3316">
        <v>6380</v>
      </c>
      <c r="J3316">
        <v>3</v>
      </c>
      <c r="K3316">
        <v>1.5</v>
      </c>
      <c r="M3316" s="2" t="str">
        <f>HYPERLINK("http://maps.live.com/default.aspx?v=2&amp;lvl=15&amp;sp=Point.47.702438_-122.31601_1036 NE 102nd St&amp;cp=47.702438~-122.31601","Map")</f>
        <v>Map</v>
      </c>
      <c r="N3316" s="2" t="str">
        <f>HYPERLINK("http://i-0.rfimg.us/photo/1/bigphoto/146/28059146_1.jpg","Photo")</f>
        <v>Photo</v>
      </c>
      <c r="AG3316">
        <v>47.702438000000001</v>
      </c>
      <c r="AH3316">
        <v>-122.31601000000001</v>
      </c>
      <c r="AI3316" t="s">
        <v>66</v>
      </c>
      <c r="AJ3316">
        <v>98125</v>
      </c>
      <c r="AN3316">
        <v>77500</v>
      </c>
      <c r="BC3316" s="22">
        <v>39544.214120370372</v>
      </c>
      <c r="BI3316" s="22">
        <v>39549.294907407406</v>
      </c>
      <c r="BL3316">
        <v>9199</v>
      </c>
      <c r="BM3316">
        <v>1621338</v>
      </c>
      <c r="BN3316" t="s">
        <v>1685</v>
      </c>
      <c r="BO3316" s="17">
        <f t="shared" ca="1" si="51"/>
        <v>5.0952855324067059</v>
      </c>
      <c r="BP3316" t="b">
        <v>0</v>
      </c>
      <c r="BQ3316">
        <v>1</v>
      </c>
      <c r="BR3316" t="s">
        <v>1686</v>
      </c>
      <c r="BS3316" t="s">
        <v>5020</v>
      </c>
      <c r="BT3316" t="b">
        <v>0</v>
      </c>
      <c r="BU3316" t="s">
        <v>1738</v>
      </c>
      <c r="BV3316" t="s">
        <v>1668</v>
      </c>
      <c r="BW3316">
        <v>1036</v>
      </c>
      <c r="BY3316">
        <v>110363</v>
      </c>
      <c r="BZ3316" t="s">
        <v>2865</v>
      </c>
      <c r="CA3316">
        <v>1</v>
      </c>
      <c r="CB3316" t="b">
        <v>1</v>
      </c>
      <c r="CC3316">
        <v>0</v>
      </c>
      <c r="CD3316" t="b">
        <v>0</v>
      </c>
      <c r="CE3316" t="b">
        <v>1</v>
      </c>
      <c r="CF3316" t="b">
        <v>0</v>
      </c>
      <c r="CG3316">
        <v>2586776</v>
      </c>
      <c r="CH3316" t="s">
        <v>1681</v>
      </c>
      <c r="CI3316" s="10">
        <v>459950</v>
      </c>
      <c r="CJ3316" s="7">
        <v>30750</v>
      </c>
    </row>
    <row r="3317" spans="1:90">
      <c r="A3317">
        <v>28059167</v>
      </c>
      <c r="B3317" s="2" t="str">
        <f>HYPERLINK("http://www.redfin.com/stingray/do/printable-listing?listing-id=1621445","Active")</f>
        <v>Active</v>
      </c>
      <c r="D3317" t="s">
        <v>218</v>
      </c>
      <c r="E3317" t="s">
        <v>6918</v>
      </c>
      <c r="F3317">
        <v>579000</v>
      </c>
      <c r="G3317">
        <v>1935</v>
      </c>
      <c r="H3317">
        <v>2200</v>
      </c>
      <c r="I3317">
        <v>5100</v>
      </c>
      <c r="J3317">
        <v>3</v>
      </c>
      <c r="K3317">
        <v>2</v>
      </c>
      <c r="M3317" s="2" t="str">
        <f>HYPERLINK("http://maps.live.com/default.aspx?v=2&amp;lvl=15&amp;sp=Point.47.67802_-122.29923_6812 26th St NE&amp;cp=47.67802~-122.29923","Map")</f>
        <v>Map</v>
      </c>
      <c r="N3317" s="2" t="str">
        <f>HYPERLINK("http://i-0.rfimg.us/photo/1/bigphoto/167/28059167_0.jpg","Photo")</f>
        <v>Photo</v>
      </c>
      <c r="AG3317">
        <v>47.678019999999997</v>
      </c>
      <c r="AH3317">
        <v>-122.29922999999999</v>
      </c>
      <c r="AI3317" t="s">
        <v>66</v>
      </c>
      <c r="AJ3317">
        <v>98115</v>
      </c>
      <c r="BC3317" s="22">
        <v>39544.379675925928</v>
      </c>
      <c r="BI3317" s="22">
        <v>39549.294907407406</v>
      </c>
      <c r="BL3317">
        <v>11580</v>
      </c>
      <c r="BM3317">
        <v>1621445</v>
      </c>
      <c r="BN3317" t="s">
        <v>1824</v>
      </c>
      <c r="BO3317" s="17">
        <f t="shared" ca="1" si="51"/>
        <v>4.9297299768513767</v>
      </c>
      <c r="BP3317" t="b">
        <v>0</v>
      </c>
      <c r="BQ3317">
        <v>1</v>
      </c>
      <c r="BR3317" t="s">
        <v>1686</v>
      </c>
      <c r="BS3317" t="s">
        <v>1769</v>
      </c>
      <c r="BT3317" t="b">
        <v>0</v>
      </c>
      <c r="BV3317" t="s">
        <v>1668</v>
      </c>
      <c r="BW3317">
        <v>6812</v>
      </c>
      <c r="BX3317" t="s">
        <v>1738</v>
      </c>
      <c r="BY3317">
        <v>315977</v>
      </c>
      <c r="BZ3317" s="21">
        <v>0</v>
      </c>
      <c r="CA3317">
        <v>1</v>
      </c>
      <c r="CB3317" t="b">
        <v>1</v>
      </c>
      <c r="CC3317">
        <v>0</v>
      </c>
      <c r="CD3317" t="b">
        <v>0</v>
      </c>
      <c r="CE3317" t="b">
        <v>1</v>
      </c>
      <c r="CF3317" t="b">
        <v>0</v>
      </c>
      <c r="CG3317">
        <v>2702862</v>
      </c>
      <c r="CH3317" t="s">
        <v>1681</v>
      </c>
      <c r="CI3317" s="10">
        <v>579000</v>
      </c>
    </row>
    <row r="3318" spans="1:90">
      <c r="A3318">
        <v>28059190</v>
      </c>
      <c r="B3318" s="2" t="str">
        <f>HYPERLINK("http://www.redfin.com/stingray/do/printable-listing?listing-id=1623467","Active")</f>
        <v>Active</v>
      </c>
      <c r="D3318" t="s">
        <v>5204</v>
      </c>
      <c r="E3318" t="s">
        <v>6985</v>
      </c>
      <c r="F3318">
        <v>665000</v>
      </c>
      <c r="G3318">
        <v>1962</v>
      </c>
      <c r="H3318">
        <v>2640</v>
      </c>
      <c r="I3318">
        <v>8050</v>
      </c>
      <c r="J3318">
        <v>4</v>
      </c>
      <c r="K3318">
        <v>2.25</v>
      </c>
      <c r="M3318" s="2" t="str">
        <f>HYPERLINK("http://maps.live.com/default.aspx?v=2&amp;lvl=15&amp;sp=Point.47.607932_-122.135152_204 153 Pl SE&amp;cp=47.607932~-122.135152","Map")</f>
        <v>Map</v>
      </c>
      <c r="N3318" s="2" t="str">
        <f>HYPERLINK("http://i-0.rfimg.us/photo/1/bigphoto/190/28059190_0.jpg","Photo")</f>
        <v>Photo</v>
      </c>
      <c r="AG3318">
        <v>47.607931999999998</v>
      </c>
      <c r="AH3318">
        <v>-122.13515200000001</v>
      </c>
      <c r="AI3318" t="s">
        <v>369</v>
      </c>
      <c r="AJ3318">
        <v>98007</v>
      </c>
      <c r="BC3318" s="22">
        <v>39545.559525462966</v>
      </c>
      <c r="BI3318" s="22">
        <v>39549.294907407406</v>
      </c>
      <c r="BL3318">
        <v>13300</v>
      </c>
      <c r="BM3318">
        <v>1623467</v>
      </c>
      <c r="BN3318" t="s">
        <v>4593</v>
      </c>
      <c r="BO3318" s="17">
        <f t="shared" ca="1" si="51"/>
        <v>3.7498804398128414</v>
      </c>
      <c r="BP3318" t="b">
        <v>0</v>
      </c>
      <c r="BQ3318">
        <v>1</v>
      </c>
      <c r="BR3318" t="s">
        <v>1842</v>
      </c>
      <c r="BS3318">
        <v>153</v>
      </c>
      <c r="BT3318" t="b">
        <v>0</v>
      </c>
      <c r="BV3318" t="s">
        <v>1668</v>
      </c>
      <c r="BW3318">
        <v>204</v>
      </c>
      <c r="BX3318" t="s">
        <v>3856</v>
      </c>
      <c r="BY3318">
        <v>427640</v>
      </c>
      <c r="BZ3318" t="s">
        <v>1672</v>
      </c>
      <c r="CA3318">
        <v>1</v>
      </c>
      <c r="CB3318" t="b">
        <v>1</v>
      </c>
      <c r="CC3318">
        <v>0</v>
      </c>
      <c r="CD3318" t="b">
        <v>0</v>
      </c>
      <c r="CE3318" t="b">
        <v>1</v>
      </c>
      <c r="CF3318" t="b">
        <v>0</v>
      </c>
      <c r="CG3318">
        <v>2543125</v>
      </c>
      <c r="CH3318" t="s">
        <v>1681</v>
      </c>
      <c r="CI3318" s="10">
        <v>665000</v>
      </c>
      <c r="CL3318" t="s">
        <v>6945</v>
      </c>
    </row>
    <row r="3319" spans="1:90">
      <c r="A3319">
        <v>28059207</v>
      </c>
      <c r="B3319" s="2" t="str">
        <f>HYPERLINK("http://www.redfin.com/stingray/do/printable-listing?listing-id=1621574","Active")</f>
        <v>Active</v>
      </c>
      <c r="D3319" t="s">
        <v>207</v>
      </c>
      <c r="E3319" t="s">
        <v>6926</v>
      </c>
      <c r="F3319">
        <v>375000</v>
      </c>
      <c r="G3319">
        <v>1925</v>
      </c>
      <c r="H3319">
        <v>720</v>
      </c>
      <c r="I3319">
        <v>5250</v>
      </c>
      <c r="J3319">
        <v>2</v>
      </c>
      <c r="K3319">
        <v>1</v>
      </c>
      <c r="M3319" s="2" t="str">
        <f>HYPERLINK("http://maps.live.com/default.aspx?v=2&amp;lvl=15&amp;sp=Point.47.678849_-122.29883_6837 27th Ave NE&amp;cp=47.678849~-122.29883","Map")</f>
        <v>Map</v>
      </c>
      <c r="N3319" s="2" t="str">
        <f>HYPERLINK("http://i-0.rfimg.us/photo/1/bigphoto/207/28059207_1.jpg","Photo")</f>
        <v>Photo</v>
      </c>
      <c r="AG3319">
        <v>47.678849</v>
      </c>
      <c r="AH3319">
        <v>-122.29883</v>
      </c>
      <c r="AI3319" t="s">
        <v>66</v>
      </c>
      <c r="AJ3319">
        <v>98115</v>
      </c>
      <c r="AN3319">
        <v>285000</v>
      </c>
      <c r="BC3319" s="22">
        <v>39544.473356481481</v>
      </c>
      <c r="BI3319" s="22">
        <v>39549.294907407406</v>
      </c>
      <c r="BL3319">
        <v>7500</v>
      </c>
      <c r="BM3319">
        <v>1621574</v>
      </c>
      <c r="BN3319" t="s">
        <v>1737</v>
      </c>
      <c r="BO3319" s="17">
        <f t="shared" ca="1" si="51"/>
        <v>4.8360494212975027</v>
      </c>
      <c r="BP3319" t="b">
        <v>0</v>
      </c>
      <c r="BQ3319">
        <v>1</v>
      </c>
      <c r="BR3319" t="s">
        <v>1667</v>
      </c>
      <c r="BS3319" t="s">
        <v>1751</v>
      </c>
      <c r="BT3319" t="b">
        <v>0</v>
      </c>
      <c r="BV3319" t="s">
        <v>1668</v>
      </c>
      <c r="BW3319">
        <v>6837</v>
      </c>
      <c r="BX3319" t="s">
        <v>1738</v>
      </c>
      <c r="BY3319">
        <v>315889</v>
      </c>
      <c r="BZ3319" t="s">
        <v>6927</v>
      </c>
      <c r="CA3319">
        <v>1</v>
      </c>
      <c r="CB3319" t="b">
        <v>1</v>
      </c>
      <c r="CC3319">
        <v>0</v>
      </c>
      <c r="CD3319" t="b">
        <v>0</v>
      </c>
      <c r="CE3319" t="b">
        <v>1</v>
      </c>
      <c r="CF3319" t="b">
        <v>0</v>
      </c>
      <c r="CG3319">
        <v>2412161</v>
      </c>
      <c r="CH3319" t="s">
        <v>1681</v>
      </c>
      <c r="CI3319" s="10">
        <v>375000</v>
      </c>
      <c r="CJ3319" s="7">
        <v>38061</v>
      </c>
      <c r="CL3319" t="s">
        <v>6966</v>
      </c>
    </row>
    <row r="3320" spans="1:90">
      <c r="A3320">
        <v>28059233</v>
      </c>
      <c r="B3320" s="2" t="str">
        <f>HYPERLINK("http://www.redfin.com/stingray/do/printable-listing?listing-id=1621604","Active")</f>
        <v>Active</v>
      </c>
      <c r="D3320" t="s">
        <v>1129</v>
      </c>
      <c r="E3320" t="s">
        <v>3095</v>
      </c>
      <c r="F3320">
        <v>499950</v>
      </c>
      <c r="G3320">
        <v>2001</v>
      </c>
      <c r="H3320">
        <v>1722</v>
      </c>
      <c r="I3320">
        <v>1569</v>
      </c>
      <c r="J3320">
        <v>3</v>
      </c>
      <c r="K3320">
        <v>3.5</v>
      </c>
      <c r="M3320" s="2" t="str">
        <f>HYPERLINK("http://maps.live.com/default.aspx?v=2&amp;lvl=15&amp;sp=Point.47.664656_-122.285639_4842 Railroad Ave NE&amp;cp=47.664656~-122.285639","Map")</f>
        <v>Map</v>
      </c>
      <c r="N3320" s="2" t="str">
        <f>HYPERLINK("http://i-0.rfimg.us/photo/1/bigphoto/233/28059233_1.jpg","Photo")</f>
        <v>Photo</v>
      </c>
      <c r="AG3320">
        <v>47.664656000000001</v>
      </c>
      <c r="AH3320">
        <v>-122.285639</v>
      </c>
      <c r="AI3320" t="s">
        <v>66</v>
      </c>
      <c r="AJ3320">
        <v>98105</v>
      </c>
      <c r="AN3320">
        <v>349950</v>
      </c>
      <c r="BC3320" s="22">
        <v>39544.506284722222</v>
      </c>
      <c r="BI3320" s="22">
        <v>39549.294907407406</v>
      </c>
      <c r="BL3320">
        <v>9999</v>
      </c>
      <c r="BM3320">
        <v>1621604</v>
      </c>
      <c r="BN3320" t="s">
        <v>1766</v>
      </c>
      <c r="BO3320" s="17">
        <f t="shared" ca="1" si="51"/>
        <v>4.8031211805573548</v>
      </c>
      <c r="BP3320" t="b">
        <v>0</v>
      </c>
      <c r="BQ3320">
        <v>1</v>
      </c>
      <c r="BR3320" t="s">
        <v>1667</v>
      </c>
      <c r="BS3320" t="s">
        <v>3096</v>
      </c>
      <c r="BT3320" t="b">
        <v>0</v>
      </c>
      <c r="BV3320" t="s">
        <v>1668</v>
      </c>
      <c r="BW3320">
        <v>4842</v>
      </c>
      <c r="BX3320" t="s">
        <v>1738</v>
      </c>
      <c r="BY3320">
        <v>314494</v>
      </c>
      <c r="BZ3320" t="s">
        <v>1704</v>
      </c>
      <c r="CA3320">
        <v>1</v>
      </c>
      <c r="CB3320" t="b">
        <v>1</v>
      </c>
      <c r="CC3320">
        <v>0</v>
      </c>
      <c r="CD3320" t="b">
        <v>0</v>
      </c>
      <c r="CE3320" t="b">
        <v>1</v>
      </c>
      <c r="CF3320" t="b">
        <v>0</v>
      </c>
      <c r="CG3320">
        <v>2701889</v>
      </c>
      <c r="CH3320" t="s">
        <v>1681</v>
      </c>
      <c r="CI3320" s="10">
        <v>499950</v>
      </c>
      <c r="CJ3320" s="7">
        <v>37090</v>
      </c>
    </row>
    <row r="3321" spans="1:90">
      <c r="A3321">
        <v>28059266</v>
      </c>
      <c r="B3321" s="2" t="str">
        <f>HYPERLINK("http://www.redfin.com/stingray/do/printable-listing?listing-id=1622452","Active")</f>
        <v>Active</v>
      </c>
      <c r="D3321" t="s">
        <v>1238</v>
      </c>
      <c r="E3321" t="s">
        <v>6968</v>
      </c>
      <c r="F3321">
        <v>945000</v>
      </c>
      <c r="G3321">
        <v>1951</v>
      </c>
      <c r="H3321">
        <v>2890</v>
      </c>
      <c r="I3321">
        <v>5675</v>
      </c>
      <c r="J3321">
        <v>5</v>
      </c>
      <c r="K3321">
        <v>3</v>
      </c>
      <c r="M3321" s="2" t="str">
        <f>HYPERLINK("http://maps.live.com/default.aspx?v=2&amp;lvl=15&amp;sp=Point.47.640394_-122.31464_1330 E Interlaken Blvd&amp;cp=47.640394~-122.31464","Map")</f>
        <v>Map</v>
      </c>
      <c r="N3321" s="2" t="str">
        <f>HYPERLINK("http://i-0.rfimg.us/photo/1/bigphoto/266/28059266_0.jpg","Photo")</f>
        <v>Photo</v>
      </c>
      <c r="AG3321">
        <v>47.640394000000001</v>
      </c>
      <c r="AH3321">
        <v>-122.31464</v>
      </c>
      <c r="AI3321" t="s">
        <v>66</v>
      </c>
      <c r="AJ3321">
        <v>98102</v>
      </c>
      <c r="AN3321">
        <v>221000</v>
      </c>
      <c r="BC3321" s="22">
        <v>39545.348587962966</v>
      </c>
      <c r="BI3321" s="22">
        <v>39549.294907407406</v>
      </c>
      <c r="BL3321">
        <v>18900</v>
      </c>
      <c r="BM3321">
        <v>1622452</v>
      </c>
      <c r="BN3321" t="s">
        <v>1829</v>
      </c>
      <c r="BO3321" s="17">
        <f t="shared" ca="1" si="51"/>
        <v>3.9608179398128414</v>
      </c>
      <c r="BP3321" t="b">
        <v>0</v>
      </c>
      <c r="BQ3321">
        <v>1</v>
      </c>
      <c r="BR3321" t="s">
        <v>3141</v>
      </c>
      <c r="BS3321" t="s">
        <v>6969</v>
      </c>
      <c r="BT3321" t="b">
        <v>0</v>
      </c>
      <c r="BU3321" t="s">
        <v>2436</v>
      </c>
      <c r="BV3321" t="s">
        <v>1668</v>
      </c>
      <c r="BW3321">
        <v>1330</v>
      </c>
      <c r="BY3321">
        <v>138557</v>
      </c>
      <c r="BZ3321" t="s">
        <v>1925</v>
      </c>
      <c r="CA3321">
        <v>1</v>
      </c>
      <c r="CB3321" t="b">
        <v>1</v>
      </c>
      <c r="CC3321">
        <v>0</v>
      </c>
      <c r="CD3321" t="b">
        <v>0</v>
      </c>
      <c r="CE3321" t="b">
        <v>1</v>
      </c>
      <c r="CF3321" t="b">
        <v>0</v>
      </c>
      <c r="CG3321">
        <v>2956779</v>
      </c>
      <c r="CH3321" t="s">
        <v>1681</v>
      </c>
      <c r="CI3321" s="10">
        <v>945000</v>
      </c>
      <c r="CJ3321" s="7">
        <v>34481</v>
      </c>
    </row>
    <row r="3322" spans="1:90">
      <c r="A3322">
        <v>28059275</v>
      </c>
      <c r="B3322" s="2" t="str">
        <f>HYPERLINK("http://www.redfin.com/stingray/do/printable-listing?listing-id=1621747","Active")</f>
        <v>Active</v>
      </c>
      <c r="D3322" t="s">
        <v>4777</v>
      </c>
      <c r="E3322" t="s">
        <v>4799</v>
      </c>
      <c r="F3322">
        <v>839950</v>
      </c>
      <c r="G3322">
        <v>1917</v>
      </c>
      <c r="H3322">
        <v>2400</v>
      </c>
      <c r="I3322">
        <v>9900</v>
      </c>
      <c r="J3322">
        <v>3</v>
      </c>
      <c r="K3322">
        <v>2</v>
      </c>
      <c r="M3322" s="2" t="str">
        <f>HYPERLINK("http://maps.live.com/default.aspx?v=2&amp;lvl=15&amp;sp=Point.47.67439_-122.187904_152 Slater St S&amp;cp=47.67439~-122.187904","Map")</f>
        <v>Map</v>
      </c>
      <c r="N3322" s="2" t="str">
        <f>HYPERLINK("http://i-0.rfimg.us/photo/1/bigphoto/275/28059275_0.jpg","Photo")</f>
        <v>Photo</v>
      </c>
      <c r="AG3322">
        <v>47.674390000000002</v>
      </c>
      <c r="AH3322">
        <v>-122.187904</v>
      </c>
      <c r="AI3322" t="s">
        <v>1058</v>
      </c>
      <c r="AJ3322">
        <v>98033</v>
      </c>
      <c r="AN3322">
        <v>240000</v>
      </c>
      <c r="BC3322" s="22">
        <v>39544.600069444445</v>
      </c>
      <c r="BI3322" s="22">
        <v>39549.294907407406</v>
      </c>
      <c r="BL3322">
        <v>16799</v>
      </c>
      <c r="BM3322">
        <v>1621747</v>
      </c>
      <c r="BN3322" t="s">
        <v>1768</v>
      </c>
      <c r="BO3322" s="17">
        <f t="shared" ca="1" si="51"/>
        <v>4.7093364583342918</v>
      </c>
      <c r="BP3322" t="b">
        <v>0</v>
      </c>
      <c r="BQ3322">
        <v>1</v>
      </c>
      <c r="BR3322" t="s">
        <v>1686</v>
      </c>
      <c r="BS3322" t="s">
        <v>4800</v>
      </c>
      <c r="BT3322" t="b">
        <v>0</v>
      </c>
      <c r="BV3322" t="s">
        <v>1668</v>
      </c>
      <c r="BW3322">
        <v>152</v>
      </c>
      <c r="BX3322" t="s">
        <v>1881</v>
      </c>
      <c r="BY3322">
        <v>462281</v>
      </c>
      <c r="BZ3322" t="s">
        <v>1713</v>
      </c>
      <c r="CA3322">
        <v>1</v>
      </c>
      <c r="CB3322" t="b">
        <v>1</v>
      </c>
      <c r="CC3322">
        <v>0</v>
      </c>
      <c r="CD3322" t="b">
        <v>0</v>
      </c>
      <c r="CE3322" t="b">
        <v>1</v>
      </c>
      <c r="CF3322" t="b">
        <v>0</v>
      </c>
      <c r="CG3322">
        <v>2873014</v>
      </c>
      <c r="CH3322" t="s">
        <v>1681</v>
      </c>
      <c r="CI3322" s="10">
        <v>839950</v>
      </c>
      <c r="CJ3322" s="7">
        <v>34926</v>
      </c>
    </row>
    <row r="3323" spans="1:90">
      <c r="A3323">
        <v>28059309</v>
      </c>
      <c r="B3323" s="2" t="str">
        <f>HYPERLINK("http://www.redfin.com/stingray/do/printable-listing?listing-id=1622407","Active")</f>
        <v>Active</v>
      </c>
      <c r="D3323" t="s">
        <v>5565</v>
      </c>
      <c r="E3323" t="s">
        <v>6987</v>
      </c>
      <c r="F3323">
        <v>517000</v>
      </c>
      <c r="G3323">
        <v>1977</v>
      </c>
      <c r="H3323">
        <v>2440</v>
      </c>
      <c r="I3323">
        <v>7700</v>
      </c>
      <c r="J3323">
        <v>4</v>
      </c>
      <c r="K3323">
        <v>2.75</v>
      </c>
      <c r="M3323" s="2" t="str">
        <f>HYPERLINK("http://maps.live.com/default.aspx?v=2&amp;lvl=15&amp;sp=Point.47.543231_-122.183905_6624 117th Ave SE&amp;cp=47.543231~-122.183905","Map")</f>
        <v>Map</v>
      </c>
      <c r="N3323" s="2" t="str">
        <f>HYPERLINK("http://i-0.rfimg.us/photo/1/bigphoto/309/28059309_1.jpg","Photo")</f>
        <v>Photo</v>
      </c>
      <c r="AG3323">
        <v>47.543230999999999</v>
      </c>
      <c r="AH3323">
        <v>-122.183905</v>
      </c>
      <c r="AI3323" t="s">
        <v>369</v>
      </c>
      <c r="AJ3323">
        <v>98006</v>
      </c>
      <c r="AN3323">
        <v>308000</v>
      </c>
      <c r="BC3323" s="22">
        <v>39545.339525462965</v>
      </c>
      <c r="BI3323" s="22">
        <v>39549.294907407406</v>
      </c>
      <c r="BL3323">
        <v>10340</v>
      </c>
      <c r="BM3323">
        <v>1622407</v>
      </c>
      <c r="BN3323" t="s">
        <v>1768</v>
      </c>
      <c r="BO3323" s="17">
        <f t="shared" ca="1" si="51"/>
        <v>3.9698804398140055</v>
      </c>
      <c r="BP3323" t="b">
        <v>0</v>
      </c>
      <c r="BQ3323">
        <v>1</v>
      </c>
      <c r="BR3323" t="s">
        <v>1667</v>
      </c>
      <c r="BS3323" t="s">
        <v>2743</v>
      </c>
      <c r="BT3323" t="b">
        <v>0</v>
      </c>
      <c r="BV3323" t="s">
        <v>1668</v>
      </c>
      <c r="BW3323">
        <v>6624</v>
      </c>
      <c r="BX3323" t="s">
        <v>3856</v>
      </c>
      <c r="BY3323">
        <v>416285</v>
      </c>
      <c r="BZ3323" t="s">
        <v>1689</v>
      </c>
      <c r="CA3323">
        <v>1</v>
      </c>
      <c r="CB3323" t="b">
        <v>1</v>
      </c>
      <c r="CC3323">
        <v>0</v>
      </c>
      <c r="CD3323" t="b">
        <v>0</v>
      </c>
      <c r="CE3323" t="b">
        <v>1</v>
      </c>
      <c r="CF3323" t="b">
        <v>0</v>
      </c>
      <c r="CG3323">
        <v>2777458</v>
      </c>
      <c r="CH3323" t="s">
        <v>1681</v>
      </c>
      <c r="CI3323" s="10">
        <v>517000</v>
      </c>
      <c r="CJ3323" s="7">
        <v>37194</v>
      </c>
    </row>
    <row r="3324" spans="1:90">
      <c r="A3324">
        <v>28059314</v>
      </c>
      <c r="B3324" s="2" t="str">
        <f>HYPERLINK("http://www.redfin.com/stingray/do/printable-listing?listing-id=1622336","Active")</f>
        <v>Active</v>
      </c>
      <c r="D3324" t="s">
        <v>194</v>
      </c>
      <c r="E3324" t="s">
        <v>6953</v>
      </c>
      <c r="F3324">
        <v>574950</v>
      </c>
      <c r="G3324">
        <v>1962</v>
      </c>
      <c r="H3324">
        <v>2080</v>
      </c>
      <c r="I3324">
        <v>5376</v>
      </c>
      <c r="J3324">
        <v>3</v>
      </c>
      <c r="K3324">
        <v>3</v>
      </c>
      <c r="M3324" s="2" t="str">
        <f>HYPERLINK("http://maps.live.com/default.aspx?v=2&amp;lvl=15&amp;sp=Point.47.68727_-122.282444_8021 43rd St NE&amp;cp=47.68727~-122.282444","Map")</f>
        <v>Map</v>
      </c>
      <c r="N3324" s="2" t="str">
        <f>HYPERLINK("http://i-0.rfimg.us/photo/1/bigphoto/314/28059314_0.jpg","Photo")</f>
        <v>Photo</v>
      </c>
      <c r="AG3324">
        <v>47.687269999999998</v>
      </c>
      <c r="AH3324">
        <v>-122.282444</v>
      </c>
      <c r="AI3324" t="s">
        <v>66</v>
      </c>
      <c r="AJ3324">
        <v>98115</v>
      </c>
      <c r="AN3324">
        <v>377000</v>
      </c>
      <c r="BC3324" s="22">
        <v>39545.318055555559</v>
      </c>
      <c r="BI3324" s="22">
        <v>39549.294907407406</v>
      </c>
      <c r="BL3324">
        <v>11499</v>
      </c>
      <c r="BM3324">
        <v>1622336</v>
      </c>
      <c r="BN3324" t="s">
        <v>1766</v>
      </c>
      <c r="BO3324" s="17">
        <f t="shared" ca="1" si="51"/>
        <v>3.9913503472198499</v>
      </c>
      <c r="BP3324" t="b">
        <v>0</v>
      </c>
      <c r="BQ3324">
        <v>1</v>
      </c>
      <c r="BR3324" t="s">
        <v>1686</v>
      </c>
      <c r="BS3324" t="s">
        <v>3134</v>
      </c>
      <c r="BT3324" t="b">
        <v>0</v>
      </c>
      <c r="BV3324" t="s">
        <v>1668</v>
      </c>
      <c r="BW3324">
        <v>8021</v>
      </c>
      <c r="BX3324" t="s">
        <v>1738</v>
      </c>
      <c r="BY3324">
        <v>317171</v>
      </c>
      <c r="BZ3324" t="s">
        <v>1713</v>
      </c>
      <c r="CA3324">
        <v>1</v>
      </c>
      <c r="CB3324" t="b">
        <v>1</v>
      </c>
      <c r="CC3324">
        <v>0</v>
      </c>
      <c r="CD3324" t="b">
        <v>0</v>
      </c>
      <c r="CE3324" t="b">
        <v>1</v>
      </c>
      <c r="CF3324" t="b">
        <v>0</v>
      </c>
      <c r="CG3324">
        <v>2887932</v>
      </c>
      <c r="CH3324" t="s">
        <v>1681</v>
      </c>
      <c r="CI3324" s="10">
        <v>574950</v>
      </c>
      <c r="CJ3324" s="7">
        <v>38007</v>
      </c>
    </row>
    <row r="3325" spans="1:90">
      <c r="A3325">
        <v>28059349</v>
      </c>
      <c r="B3325" s="2" t="str">
        <f>HYPERLINK("http://www.redfin.com/stingray/do/printable-listing?listing-id=1630461","Active")</f>
        <v>Active</v>
      </c>
      <c r="D3325" t="s">
        <v>3885</v>
      </c>
      <c r="E3325" t="s">
        <v>7086</v>
      </c>
      <c r="F3325">
        <v>459000</v>
      </c>
      <c r="G3325">
        <v>1969</v>
      </c>
      <c r="H3325">
        <v>1590</v>
      </c>
      <c r="I3325">
        <v>10851</v>
      </c>
      <c r="J3325">
        <v>4</v>
      </c>
      <c r="K3325">
        <v>2</v>
      </c>
      <c r="M3325" s="2" t="str">
        <f>HYPERLINK("http://maps.live.com/default.aspx?v=2&amp;lvl=15&amp;sp=Point.47.534736_-122.172951_12553 SE 74th Pl&amp;cp=47.534736~-122.172951","Map")</f>
        <v>Map</v>
      </c>
      <c r="N3325" s="2" t="str">
        <f>HYPERLINK("http://i-0.rfimg.us/photo/1/bigphoto/349/28059349_0.jpg","Photo")</f>
        <v>Photo</v>
      </c>
      <c r="AG3325">
        <v>47.534736000000002</v>
      </c>
      <c r="AH3325">
        <v>-122.172951</v>
      </c>
      <c r="AI3325" t="s">
        <v>3885</v>
      </c>
      <c r="AJ3325">
        <v>98056</v>
      </c>
      <c r="AN3325">
        <v>252000</v>
      </c>
      <c r="BC3325" s="22">
        <v>39547.63753472222</v>
      </c>
      <c r="BI3325" s="22">
        <v>39549.294907407406</v>
      </c>
      <c r="BL3325">
        <v>9180</v>
      </c>
      <c r="BM3325">
        <v>1630461</v>
      </c>
      <c r="BN3325" t="s">
        <v>1768</v>
      </c>
      <c r="BO3325" s="17">
        <f t="shared" ca="1" si="51"/>
        <v>1.67187118055881</v>
      </c>
      <c r="BP3325" t="b">
        <v>0</v>
      </c>
      <c r="BQ3325">
        <v>1</v>
      </c>
      <c r="BR3325" t="s">
        <v>1842</v>
      </c>
      <c r="BS3325" t="s">
        <v>1795</v>
      </c>
      <c r="BT3325" t="b">
        <v>0</v>
      </c>
      <c r="BU3325" t="s">
        <v>3856</v>
      </c>
      <c r="BV3325" t="s">
        <v>1668</v>
      </c>
      <c r="BW3325">
        <v>12553</v>
      </c>
      <c r="BY3325">
        <v>417174</v>
      </c>
      <c r="BZ3325" t="s">
        <v>7087</v>
      </c>
      <c r="CA3325">
        <v>1</v>
      </c>
      <c r="CB3325" t="b">
        <v>1</v>
      </c>
      <c r="CC3325">
        <v>0</v>
      </c>
      <c r="CD3325" t="b">
        <v>0</v>
      </c>
      <c r="CE3325" t="b">
        <v>1</v>
      </c>
      <c r="CF3325" t="b">
        <v>0</v>
      </c>
      <c r="CG3325">
        <v>2724724</v>
      </c>
      <c r="CH3325" t="s">
        <v>1681</v>
      </c>
      <c r="CI3325" s="10">
        <v>459000</v>
      </c>
      <c r="CJ3325" s="7">
        <v>37259</v>
      </c>
    </row>
    <row r="3326" spans="1:90">
      <c r="A3326">
        <v>28059361</v>
      </c>
      <c r="B3326" s="2" t="str">
        <f>HYPERLINK("http://www.redfin.com/stingray/do/printable-listing?listing-id=1622030","Active")</f>
        <v>Active</v>
      </c>
      <c r="D3326" t="s">
        <v>3089</v>
      </c>
      <c r="E3326" t="s">
        <v>6967</v>
      </c>
      <c r="F3326">
        <v>650000</v>
      </c>
      <c r="G3326">
        <v>1942</v>
      </c>
      <c r="H3326">
        <v>2060</v>
      </c>
      <c r="I3326">
        <v>5489</v>
      </c>
      <c r="J3326">
        <v>3</v>
      </c>
      <c r="K3326">
        <v>2.5</v>
      </c>
      <c r="M3326" s="2" t="str">
        <f>HYPERLINK("http://maps.live.com/default.aspx?v=2&amp;lvl=15&amp;sp=Point.47.657447_-122.284687_4005 NE 40th St&amp;cp=47.657447~-122.284687","Map")</f>
        <v>Map</v>
      </c>
      <c r="N3326" s="2" t="str">
        <f>HYPERLINK("http://i-0.rfimg.us/photo/1/bigphoto/361/28059361_0.jpg","Photo")</f>
        <v>Photo</v>
      </c>
      <c r="AG3326">
        <v>47.657446999999998</v>
      </c>
      <c r="AH3326">
        <v>-122.28468700000001</v>
      </c>
      <c r="AI3326" t="s">
        <v>66</v>
      </c>
      <c r="AJ3326">
        <v>98105</v>
      </c>
      <c r="BC3326" s="22">
        <v>39544.922442129631</v>
      </c>
      <c r="BI3326" s="22">
        <v>39549.294907407406</v>
      </c>
      <c r="BL3326">
        <v>13000</v>
      </c>
      <c r="BM3326">
        <v>1622030</v>
      </c>
      <c r="BN3326" t="s">
        <v>1690</v>
      </c>
      <c r="BO3326" s="17">
        <f t="shared" ca="1" si="51"/>
        <v>4.3869637731477269</v>
      </c>
      <c r="BP3326" t="b">
        <v>0</v>
      </c>
      <c r="BQ3326">
        <v>1</v>
      </c>
      <c r="BR3326" t="s">
        <v>1686</v>
      </c>
      <c r="BS3326" t="s">
        <v>2832</v>
      </c>
      <c r="BT3326" t="b">
        <v>0</v>
      </c>
      <c r="BU3326" t="s">
        <v>1738</v>
      </c>
      <c r="BV3326" t="s">
        <v>1668</v>
      </c>
      <c r="BW3326">
        <v>4005</v>
      </c>
      <c r="BY3326">
        <v>122708</v>
      </c>
      <c r="BZ3326" t="s">
        <v>1747</v>
      </c>
      <c r="CA3326">
        <v>1</v>
      </c>
      <c r="CB3326" t="b">
        <v>1</v>
      </c>
      <c r="CC3326">
        <v>0</v>
      </c>
      <c r="CD3326" t="b">
        <v>0</v>
      </c>
      <c r="CE3326" t="b">
        <v>1</v>
      </c>
      <c r="CF3326" t="b">
        <v>0</v>
      </c>
      <c r="CG3326">
        <v>2743395</v>
      </c>
      <c r="CH3326" t="s">
        <v>1681</v>
      </c>
      <c r="CI3326" s="10">
        <v>650000</v>
      </c>
      <c r="CL3326" t="s">
        <v>6966</v>
      </c>
    </row>
    <row r="3327" spans="1:90">
      <c r="A3327">
        <v>28059369</v>
      </c>
      <c r="B3327" s="2" t="str">
        <f>HYPERLINK("http://www.redfin.com/stingray/do/printable-listing?listing-id=1622187","Active")</f>
        <v>Active</v>
      </c>
      <c r="D3327" t="s">
        <v>6989</v>
      </c>
      <c r="E3327" t="s">
        <v>6988</v>
      </c>
      <c r="F3327">
        <v>1250000</v>
      </c>
      <c r="G3327">
        <v>1966</v>
      </c>
      <c r="H3327">
        <v>4000</v>
      </c>
      <c r="I3327">
        <v>17382</v>
      </c>
      <c r="J3327">
        <v>5</v>
      </c>
      <c r="K3327">
        <v>3.75</v>
      </c>
      <c r="M3327" s="2" t="str">
        <f>HYPERLINK("http://maps.live.com/default.aspx?v=2&amp;lvl=15&amp;sp=Point.47.554922_-122.211479_9420 SE 54th St&amp;cp=47.554922~-122.211479","Map")</f>
        <v>Map</v>
      </c>
      <c r="N3327" s="2" t="str">
        <f>HYPERLINK("http://i-0.rfimg.us/photo/1/bigphoto/369/28059369_3.jpg","Photo")</f>
        <v>Photo</v>
      </c>
      <c r="AG3327">
        <v>47.554921999999998</v>
      </c>
      <c r="AH3327">
        <v>-122.211479</v>
      </c>
      <c r="AI3327" t="s">
        <v>5139</v>
      </c>
      <c r="AJ3327">
        <v>98040</v>
      </c>
      <c r="AN3327">
        <v>370000</v>
      </c>
      <c r="BC3327" s="22">
        <v>39545.046307870369</v>
      </c>
      <c r="BI3327" s="22">
        <v>39549.294907407406</v>
      </c>
      <c r="BL3327">
        <v>25000</v>
      </c>
      <c r="BM3327">
        <v>1622187</v>
      </c>
      <c r="BN3327" t="s">
        <v>1688</v>
      </c>
      <c r="BO3327" s="17">
        <f t="shared" ca="1" si="51"/>
        <v>4.2630980324101984</v>
      </c>
      <c r="BP3327" t="b">
        <v>0</v>
      </c>
      <c r="BQ3327">
        <v>1</v>
      </c>
      <c r="BR3327" t="s">
        <v>1686</v>
      </c>
      <c r="BS3327" t="s">
        <v>2585</v>
      </c>
      <c r="BT3327" t="b">
        <v>0</v>
      </c>
      <c r="BU3327" t="s">
        <v>3856</v>
      </c>
      <c r="BV3327" t="s">
        <v>1668</v>
      </c>
      <c r="BW3327">
        <v>9420</v>
      </c>
      <c r="BY3327">
        <v>257007</v>
      </c>
      <c r="BZ3327" t="s">
        <v>2344</v>
      </c>
      <c r="CA3327">
        <v>1</v>
      </c>
      <c r="CB3327" t="b">
        <v>1</v>
      </c>
      <c r="CC3327">
        <v>0</v>
      </c>
      <c r="CD3327" t="b">
        <v>0</v>
      </c>
      <c r="CE3327" t="b">
        <v>1</v>
      </c>
      <c r="CF3327" t="b">
        <v>0</v>
      </c>
      <c r="CG3327">
        <v>2563673</v>
      </c>
      <c r="CH3327" t="s">
        <v>1681</v>
      </c>
      <c r="CI3327" s="10">
        <v>1250000</v>
      </c>
      <c r="CJ3327" s="7">
        <v>33889</v>
      </c>
    </row>
    <row r="3328" spans="1:90">
      <c r="A3328">
        <v>28059372</v>
      </c>
      <c r="B3328" s="2" t="str">
        <f>HYPERLINK("http://www.redfin.com/stingray/do/printable-listing?listing-id=1624752","Active")</f>
        <v>Active</v>
      </c>
      <c r="D3328" t="s">
        <v>5139</v>
      </c>
      <c r="E3328" t="s">
        <v>5866</v>
      </c>
      <c r="F3328">
        <v>998000</v>
      </c>
      <c r="G3328">
        <v>1990</v>
      </c>
      <c r="H3328">
        <v>2700</v>
      </c>
      <c r="I3328">
        <v>10125</v>
      </c>
      <c r="J3328">
        <v>5</v>
      </c>
      <c r="K3328">
        <v>2.75</v>
      </c>
      <c r="M3328" s="2" t="str">
        <f>HYPERLINK("http://maps.live.com/default.aspx?v=2&amp;lvl=15&amp;sp=Point.47.563888_-122.222523_8710 SE 46th St&amp;cp=47.563888~-122.222523","Map")</f>
        <v>Map</v>
      </c>
      <c r="N3328" s="2" t="str">
        <f>HYPERLINK("http://i-0.rfimg.us/photo/1/bigphoto/372/28059372_2.jpg","Photo")</f>
        <v>Photo</v>
      </c>
      <c r="AG3328">
        <v>47.563887999999999</v>
      </c>
      <c r="AH3328">
        <v>-122.222523</v>
      </c>
      <c r="AI3328" t="s">
        <v>5139</v>
      </c>
      <c r="AJ3328">
        <v>98040</v>
      </c>
      <c r="BC3328" s="22">
        <v>39545.94327546296</v>
      </c>
      <c r="BI3328" s="22">
        <v>39549.294907407406</v>
      </c>
      <c r="BL3328">
        <v>19960</v>
      </c>
      <c r="BM3328">
        <v>1624752</v>
      </c>
      <c r="BN3328" t="s">
        <v>3236</v>
      </c>
      <c r="BO3328" s="17">
        <f t="shared" ca="1" si="51"/>
        <v>3.3661304398192442</v>
      </c>
      <c r="BP3328" t="b">
        <v>0</v>
      </c>
      <c r="BQ3328">
        <v>1</v>
      </c>
      <c r="BR3328" t="s">
        <v>1686</v>
      </c>
      <c r="BS3328" t="s">
        <v>2471</v>
      </c>
      <c r="BT3328" t="b">
        <v>0</v>
      </c>
      <c r="BU3328" t="s">
        <v>3856</v>
      </c>
      <c r="BV3328" t="s">
        <v>1668</v>
      </c>
      <c r="BW3328">
        <v>8710</v>
      </c>
      <c r="BY3328">
        <v>255365</v>
      </c>
      <c r="BZ3328" t="s">
        <v>6923</v>
      </c>
      <c r="CA3328">
        <v>1</v>
      </c>
      <c r="CB3328" t="b">
        <v>1</v>
      </c>
      <c r="CC3328">
        <v>0</v>
      </c>
      <c r="CD3328" t="b">
        <v>0</v>
      </c>
      <c r="CE3328" t="b">
        <v>1</v>
      </c>
      <c r="CF3328" t="b">
        <v>0</v>
      </c>
      <c r="CG3328">
        <v>2784773</v>
      </c>
      <c r="CH3328" t="s">
        <v>1681</v>
      </c>
      <c r="CI3328" s="10">
        <v>998000</v>
      </c>
    </row>
    <row r="3329" spans="1:88">
      <c r="A3329">
        <v>28059373</v>
      </c>
      <c r="B3329" s="2" t="str">
        <f>HYPERLINK("http://www.redfin.com/stingray/do/printable-listing?listing-id=1625304","Active")</f>
        <v>Active</v>
      </c>
      <c r="D3329" t="s">
        <v>369</v>
      </c>
      <c r="E3329" t="s">
        <v>7040</v>
      </c>
      <c r="F3329">
        <v>699995</v>
      </c>
      <c r="G3329">
        <v>1958</v>
      </c>
      <c r="H3329">
        <v>1860</v>
      </c>
      <c r="I3329">
        <v>8276</v>
      </c>
      <c r="J3329">
        <v>4</v>
      </c>
      <c r="K3329">
        <v>1.75</v>
      </c>
      <c r="M3329" s="2" t="str">
        <f>HYPERLINK("http://maps.live.com/default.aspx?v=2&amp;lvl=15&amp;sp=Point.47.59977_-122.19857_1112 Bellevue Way SE&amp;cp=47.59977~-122.19857","Map")</f>
        <v>Map</v>
      </c>
      <c r="N3329" s="2" t="str">
        <f>HYPERLINK("http://i-0.rfimg.us/photo/1/bigphoto/373/28059373_0.jpg","Photo")</f>
        <v>Photo</v>
      </c>
      <c r="AG3329">
        <v>47.599769999999999</v>
      </c>
      <c r="AH3329">
        <v>-122.19857</v>
      </c>
      <c r="AI3329" t="s">
        <v>369</v>
      </c>
      <c r="AJ3329">
        <v>98004</v>
      </c>
      <c r="AN3329">
        <v>254000</v>
      </c>
      <c r="BC3329" s="22">
        <v>39546.088935185187</v>
      </c>
      <c r="BI3329" s="22">
        <v>39549.294907407406</v>
      </c>
      <c r="BL3329">
        <v>14000</v>
      </c>
      <c r="BM3329">
        <v>1625304</v>
      </c>
      <c r="BN3329" t="s">
        <v>1674</v>
      </c>
      <c r="BO3329" s="17">
        <f t="shared" ca="1" si="51"/>
        <v>3.2204707175915246</v>
      </c>
      <c r="BP3329" t="b">
        <v>0</v>
      </c>
      <c r="BQ3329">
        <v>1</v>
      </c>
      <c r="BR3329" t="s">
        <v>2463</v>
      </c>
      <c r="BS3329" t="s">
        <v>369</v>
      </c>
      <c r="BT3329" t="b">
        <v>0</v>
      </c>
      <c r="BV3329" t="s">
        <v>1668</v>
      </c>
      <c r="BW3329">
        <v>1112</v>
      </c>
      <c r="BX3329" t="s">
        <v>3856</v>
      </c>
      <c r="BY3329">
        <v>510820</v>
      </c>
      <c r="BZ3329" t="s">
        <v>1743</v>
      </c>
      <c r="CA3329">
        <v>1</v>
      </c>
      <c r="CB3329" t="b">
        <v>1</v>
      </c>
      <c r="CC3329">
        <v>0</v>
      </c>
      <c r="CD3329" t="b">
        <v>0</v>
      </c>
      <c r="CE3329" t="b">
        <v>1</v>
      </c>
      <c r="CF3329" t="b">
        <v>0</v>
      </c>
      <c r="CG3329">
        <v>2872490</v>
      </c>
      <c r="CH3329" t="s">
        <v>1681</v>
      </c>
      <c r="CI3329" s="10">
        <v>699995</v>
      </c>
      <c r="CJ3329" s="7">
        <v>37621</v>
      </c>
    </row>
    <row r="3330" spans="1:88">
      <c r="A3330">
        <v>28059416</v>
      </c>
      <c r="B3330" s="2" t="str">
        <f>HYPERLINK("http://www.redfin.com/stingray/do/printable-listing?listing-id=1622481","Active")</f>
        <v>Active</v>
      </c>
      <c r="D3330" t="s">
        <v>99</v>
      </c>
      <c r="E3330" t="s">
        <v>337</v>
      </c>
      <c r="F3330">
        <v>354950</v>
      </c>
      <c r="G3330">
        <v>1971</v>
      </c>
      <c r="H3330">
        <v>975</v>
      </c>
      <c r="I3330">
        <v>4000</v>
      </c>
      <c r="J3330">
        <v>3</v>
      </c>
      <c r="K3330">
        <v>1.5</v>
      </c>
      <c r="M3330" s="2" t="str">
        <f>HYPERLINK("http://maps.live.com/default.aspx?v=2&amp;lvl=15&amp;sp=Point.47.69256_-122.379262_8701 17th Ave NW&amp;cp=47.69256~-122.379262","Map")</f>
        <v>Map</v>
      </c>
      <c r="N3330" s="2" t="str">
        <f>HYPERLINK("http://i-0.rfimg.us/photo/1/bigphoto/416/28059416_1.jpg","Photo")</f>
        <v>Photo</v>
      </c>
      <c r="AG3330">
        <v>47.69256</v>
      </c>
      <c r="AH3330">
        <v>-122.379262</v>
      </c>
      <c r="AI3330" t="s">
        <v>66</v>
      </c>
      <c r="AJ3330">
        <v>98117</v>
      </c>
      <c r="AN3330">
        <v>165000</v>
      </c>
      <c r="BC3330" s="22">
        <v>39545.359733796293</v>
      </c>
      <c r="BI3330" s="22">
        <v>39549.294907407406</v>
      </c>
      <c r="BL3330">
        <v>7099</v>
      </c>
      <c r="BM3330">
        <v>1622481</v>
      </c>
      <c r="BN3330" t="s">
        <v>1688</v>
      </c>
      <c r="BO3330" s="17">
        <f t="shared" ref="BO3330:BO3393" ca="1" si="52">NOW()-BC3330</f>
        <v>3.9496721064861049</v>
      </c>
      <c r="BP3330" t="b">
        <v>0</v>
      </c>
      <c r="BQ3330">
        <v>1</v>
      </c>
      <c r="BR3330" t="s">
        <v>1667</v>
      </c>
      <c r="BS3330" t="s">
        <v>1683</v>
      </c>
      <c r="BT3330" t="b">
        <v>0</v>
      </c>
      <c r="BV3330" t="s">
        <v>1668</v>
      </c>
      <c r="BW3330">
        <v>8701</v>
      </c>
      <c r="BX3330" t="s">
        <v>1669</v>
      </c>
      <c r="BY3330">
        <v>100466</v>
      </c>
      <c r="BZ3330" t="s">
        <v>2429</v>
      </c>
      <c r="CA3330">
        <v>1</v>
      </c>
      <c r="CB3330" t="b">
        <v>1</v>
      </c>
      <c r="CC3330">
        <v>0</v>
      </c>
      <c r="CD3330" t="b">
        <v>0</v>
      </c>
      <c r="CE3330" t="b">
        <v>1</v>
      </c>
      <c r="CF3330" t="b">
        <v>0</v>
      </c>
      <c r="CG3330">
        <v>2517617</v>
      </c>
      <c r="CH3330" t="s">
        <v>1681</v>
      </c>
      <c r="CI3330" s="10">
        <v>354950</v>
      </c>
      <c r="CJ3330" s="7">
        <v>36053</v>
      </c>
    </row>
    <row r="3331" spans="1:88">
      <c r="A3331">
        <v>28059426</v>
      </c>
      <c r="B3331" s="2" t="str">
        <f>HYPERLINK("http://www.redfin.com/stingray/do/printable-listing?listing-id=1623719","Active")</f>
        <v>Active</v>
      </c>
      <c r="D3331" t="s">
        <v>88</v>
      </c>
      <c r="E3331" t="s">
        <v>6947</v>
      </c>
      <c r="F3331">
        <v>849000</v>
      </c>
      <c r="G3331">
        <v>1919</v>
      </c>
      <c r="H3331">
        <v>2380</v>
      </c>
      <c r="I3331">
        <v>5300</v>
      </c>
      <c r="J3331">
        <v>3</v>
      </c>
      <c r="K3331">
        <v>2.25</v>
      </c>
      <c r="M3331" s="2" t="str">
        <f>HYPERLINK("http://maps.live.com/default.aspx?v=2&amp;lvl=15&amp;sp=Point.47.673959_-122.359176_6054 2nd Ave NW&amp;cp=47.673959~-122.359176","Map")</f>
        <v>Map</v>
      </c>
      <c r="N3331" s="2" t="str">
        <f>HYPERLINK("http://i-0.rfimg.us/photo/1/bigphoto/426/28059426_1.jpg","Photo")</f>
        <v>Photo</v>
      </c>
      <c r="AG3331">
        <v>47.673959000000004</v>
      </c>
      <c r="AH3331">
        <v>-122.35917600000001</v>
      </c>
      <c r="AI3331" t="s">
        <v>66</v>
      </c>
      <c r="AJ3331">
        <v>98107</v>
      </c>
      <c r="AN3331">
        <v>694000</v>
      </c>
      <c r="BC3331" s="22">
        <v>39545.611388888887</v>
      </c>
      <c r="BI3331" s="22">
        <v>39549.294907407406</v>
      </c>
      <c r="BL3331">
        <v>16980</v>
      </c>
      <c r="BM3331">
        <v>1623719</v>
      </c>
      <c r="BN3331" t="s">
        <v>1829</v>
      </c>
      <c r="BO3331" s="17">
        <f t="shared" ca="1" si="52"/>
        <v>3.6980170138922404</v>
      </c>
      <c r="BP3331" t="b">
        <v>0</v>
      </c>
      <c r="BQ3331">
        <v>1</v>
      </c>
      <c r="BR3331" t="s">
        <v>1667</v>
      </c>
      <c r="BS3331" t="s">
        <v>1958</v>
      </c>
      <c r="BT3331" t="b">
        <v>0</v>
      </c>
      <c r="BV3331" t="s">
        <v>1668</v>
      </c>
      <c r="BW3331">
        <v>6054</v>
      </c>
      <c r="BX3331" t="s">
        <v>1669</v>
      </c>
      <c r="BY3331">
        <v>298664</v>
      </c>
      <c r="BZ3331" t="s">
        <v>1709</v>
      </c>
      <c r="CA3331">
        <v>1</v>
      </c>
      <c r="CB3331" t="b">
        <v>1</v>
      </c>
      <c r="CC3331">
        <v>0</v>
      </c>
      <c r="CD3331" t="b">
        <v>0</v>
      </c>
      <c r="CE3331" t="b">
        <v>1</v>
      </c>
      <c r="CF3331" t="b">
        <v>0</v>
      </c>
      <c r="CG3331">
        <v>2580996</v>
      </c>
      <c r="CH3331" t="s">
        <v>1681</v>
      </c>
      <c r="CI3331" s="10">
        <v>849000</v>
      </c>
      <c r="CJ3331" s="7">
        <v>38590</v>
      </c>
    </row>
    <row r="3332" spans="1:88">
      <c r="A3332">
        <v>28059541</v>
      </c>
      <c r="B3332" s="2" t="str">
        <f>HYPERLINK("http://www.redfin.com/stingray/do/printable-listing?listing-id=1623628","Active")</f>
        <v>Active</v>
      </c>
      <c r="D3332" t="s">
        <v>2552</v>
      </c>
      <c r="E3332" t="s">
        <v>6959</v>
      </c>
      <c r="F3332">
        <v>419950</v>
      </c>
      <c r="G3332">
        <v>2006</v>
      </c>
      <c r="H3332">
        <v>1220</v>
      </c>
      <c r="I3332">
        <v>0</v>
      </c>
      <c r="J3332">
        <v>2</v>
      </c>
      <c r="K3332">
        <v>1.5</v>
      </c>
      <c r="M3332" s="2" t="str">
        <f>HYPERLINK("http://maps.live.com/default.aspx?v=2&amp;lvl=15&amp;sp=Point.47.653222_-122.384432_3622 22nd Ave W nA&amp;cp=47.653222~-122.384432","Map")</f>
        <v>Map</v>
      </c>
      <c r="N3332" s="2" t="str">
        <f>HYPERLINK("http://i-0.rfimg.us/photo/1/bigphoto/541/28059541_1.jpg","Photo")</f>
        <v>Photo</v>
      </c>
      <c r="AG3332">
        <v>47.653222</v>
      </c>
      <c r="AH3332">
        <v>-122.384432</v>
      </c>
      <c r="AI3332" t="s">
        <v>66</v>
      </c>
      <c r="AJ3332">
        <v>98199</v>
      </c>
      <c r="AM3332" t="s">
        <v>1722</v>
      </c>
      <c r="BC3332" s="22">
        <v>39545.591481481482</v>
      </c>
      <c r="BI3332" s="22">
        <v>39549.294907407406</v>
      </c>
      <c r="BL3332">
        <v>8399</v>
      </c>
      <c r="BM3332">
        <v>1623628</v>
      </c>
      <c r="BN3332" t="s">
        <v>1678</v>
      </c>
      <c r="BO3332" s="17">
        <f t="shared" ca="1" si="52"/>
        <v>3.7179244212966296</v>
      </c>
      <c r="BP3332" t="b">
        <v>0</v>
      </c>
      <c r="BQ3332">
        <v>1</v>
      </c>
      <c r="BR3332" t="s">
        <v>1667</v>
      </c>
      <c r="BS3332" t="s">
        <v>1692</v>
      </c>
      <c r="BT3332" t="b">
        <v>0</v>
      </c>
      <c r="BV3332" t="s">
        <v>1668</v>
      </c>
      <c r="BW3332">
        <v>3622</v>
      </c>
      <c r="BX3332" t="s">
        <v>2423</v>
      </c>
      <c r="BY3332">
        <v>12438490</v>
      </c>
      <c r="BZ3332" t="s">
        <v>1807</v>
      </c>
      <c r="CA3332">
        <v>1</v>
      </c>
      <c r="CB3332" t="b">
        <v>1</v>
      </c>
      <c r="CC3332">
        <v>0</v>
      </c>
      <c r="CD3332" t="b">
        <v>0</v>
      </c>
      <c r="CE3332" t="b">
        <v>1</v>
      </c>
      <c r="CF3332" t="b">
        <v>0</v>
      </c>
      <c r="CG3332">
        <v>15642238</v>
      </c>
      <c r="CH3332" t="s">
        <v>1681</v>
      </c>
      <c r="CI3332" s="10">
        <v>419950</v>
      </c>
    </row>
    <row r="3333" spans="1:88">
      <c r="A3333">
        <v>28059546</v>
      </c>
      <c r="B3333" s="2" t="str">
        <f>HYPERLINK("http://www.redfin.com/stingray/do/printable-listing?listing-id=1625999","Active")</f>
        <v>Active</v>
      </c>
      <c r="D3333" t="s">
        <v>88</v>
      </c>
      <c r="E3333" t="s">
        <v>6994</v>
      </c>
      <c r="F3333">
        <v>515000</v>
      </c>
      <c r="G3333">
        <v>1953</v>
      </c>
      <c r="H3333">
        <v>2450</v>
      </c>
      <c r="I3333">
        <v>3600</v>
      </c>
      <c r="J3333">
        <v>4</v>
      </c>
      <c r="K3333">
        <v>1.5</v>
      </c>
      <c r="M3333" s="2" t="str">
        <f>HYPERLINK("http://maps.live.com/default.aspx?v=2&amp;lvl=15&amp;sp=Point.47.68119_-122.363027_7212 6th Ave NW&amp;cp=47.68119~-122.363027","Map")</f>
        <v>Map</v>
      </c>
      <c r="N3333" s="2" t="str">
        <f>HYPERLINK("http://i-0.rfimg.us/photo/1/bigphoto/546/28059546_0.jpg","Photo")</f>
        <v>Photo</v>
      </c>
      <c r="AG3333">
        <v>47.681190000000001</v>
      </c>
      <c r="AH3333">
        <v>-122.363027</v>
      </c>
      <c r="AI3333" t="s">
        <v>66</v>
      </c>
      <c r="AJ3333">
        <v>98117</v>
      </c>
      <c r="BC3333" s="22">
        <v>39546.42287037037</v>
      </c>
      <c r="BI3333" s="22">
        <v>39549.294907407406</v>
      </c>
      <c r="BL3333">
        <v>10300</v>
      </c>
      <c r="BM3333">
        <v>1625999</v>
      </c>
      <c r="BN3333" t="s">
        <v>2959</v>
      </c>
      <c r="BO3333" s="17">
        <f t="shared" ca="1" si="52"/>
        <v>2.8865355324087432</v>
      </c>
      <c r="BP3333" t="b">
        <v>0</v>
      </c>
      <c r="BQ3333">
        <v>1</v>
      </c>
      <c r="BR3333" t="s">
        <v>1667</v>
      </c>
      <c r="BS3333" t="s">
        <v>1739</v>
      </c>
      <c r="BT3333" t="b">
        <v>0</v>
      </c>
      <c r="BV3333" t="s">
        <v>1668</v>
      </c>
      <c r="BW3333">
        <v>7212</v>
      </c>
      <c r="BX3333" t="s">
        <v>1669</v>
      </c>
      <c r="BY3333">
        <v>496148</v>
      </c>
      <c r="BZ3333" t="s">
        <v>1747</v>
      </c>
      <c r="CA3333">
        <v>1</v>
      </c>
      <c r="CB3333" t="b">
        <v>1</v>
      </c>
      <c r="CC3333">
        <v>0</v>
      </c>
      <c r="CD3333" t="b">
        <v>0</v>
      </c>
      <c r="CE3333" t="b">
        <v>1</v>
      </c>
      <c r="CF3333" t="b">
        <v>0</v>
      </c>
      <c r="CG3333">
        <v>2760408</v>
      </c>
      <c r="CH3333" t="s">
        <v>1681</v>
      </c>
      <c r="CI3333" s="10">
        <v>515000</v>
      </c>
    </row>
    <row r="3334" spans="1:88">
      <c r="A3334">
        <v>28059550</v>
      </c>
      <c r="B3334" s="2" t="str">
        <f>HYPERLINK("http://www.redfin.com/stingray/do/printable-listing?listing-id=1622819","Active")</f>
        <v>Active</v>
      </c>
      <c r="D3334" t="s">
        <v>5050</v>
      </c>
      <c r="E3334" t="s">
        <v>5090</v>
      </c>
      <c r="F3334">
        <v>987000</v>
      </c>
      <c r="G3334">
        <v>1961</v>
      </c>
      <c r="H3334">
        <v>3330</v>
      </c>
      <c r="I3334">
        <v>12636</v>
      </c>
      <c r="J3334">
        <v>5</v>
      </c>
      <c r="K3334">
        <v>3.5</v>
      </c>
      <c r="M3334" s="2" t="str">
        <f>HYPERLINK("http://maps.live.com/default.aspx?v=2&amp;lvl=15&amp;sp=Point.47.613121_-122.165157_225 131st Ave NE&amp;cp=47.613121~-122.165157","Map")</f>
        <v>Map</v>
      </c>
      <c r="N3334" s="2" t="str">
        <f>HYPERLINK("http://i-0.rfimg.us/photo/1/bigphoto/550/28059550_0.jpg","Photo")</f>
        <v>Photo</v>
      </c>
      <c r="AG3334">
        <v>47.613121</v>
      </c>
      <c r="AH3334">
        <v>-122.16515699999999</v>
      </c>
      <c r="AI3334" t="s">
        <v>369</v>
      </c>
      <c r="AJ3334">
        <v>98005</v>
      </c>
      <c r="AN3334">
        <v>975000</v>
      </c>
      <c r="BC3334" s="22">
        <v>39545.434039351851</v>
      </c>
      <c r="BI3334" s="22">
        <v>39549.294907407406</v>
      </c>
      <c r="BL3334">
        <v>19740</v>
      </c>
      <c r="BM3334">
        <v>1622819</v>
      </c>
      <c r="BN3334" t="s">
        <v>1768</v>
      </c>
      <c r="BO3334" s="17">
        <f t="shared" ca="1" si="52"/>
        <v>3.8753665509284474</v>
      </c>
      <c r="BP3334" t="b">
        <v>0</v>
      </c>
      <c r="BQ3334">
        <v>1</v>
      </c>
      <c r="BR3334" t="s">
        <v>1667</v>
      </c>
      <c r="BS3334" t="s">
        <v>4521</v>
      </c>
      <c r="BT3334" t="b">
        <v>0</v>
      </c>
      <c r="BV3334" t="s">
        <v>1668</v>
      </c>
      <c r="BW3334">
        <v>225</v>
      </c>
      <c r="BX3334" t="s">
        <v>1738</v>
      </c>
      <c r="BY3334">
        <v>509465</v>
      </c>
      <c r="BZ3334" t="s">
        <v>1672</v>
      </c>
      <c r="CA3334">
        <v>1</v>
      </c>
      <c r="CB3334" t="b">
        <v>1</v>
      </c>
      <c r="CC3334">
        <v>0</v>
      </c>
      <c r="CD3334" t="b">
        <v>0</v>
      </c>
      <c r="CE3334" t="b">
        <v>1</v>
      </c>
      <c r="CF3334" t="b">
        <v>0</v>
      </c>
      <c r="CG3334">
        <v>2367581</v>
      </c>
      <c r="CH3334" t="s">
        <v>1681</v>
      </c>
      <c r="CI3334" s="10">
        <v>987000</v>
      </c>
      <c r="CJ3334" s="7">
        <v>38771</v>
      </c>
    </row>
    <row r="3335" spans="1:88">
      <c r="A3335">
        <v>28059584</v>
      </c>
      <c r="B3335" s="2" t="str">
        <f>HYPERLINK("http://www.redfin.com/stingray/do/printable-listing?listing-id=1622817","Active")</f>
        <v>Active</v>
      </c>
      <c r="D3335" t="s">
        <v>100</v>
      </c>
      <c r="E3335" t="s">
        <v>6942</v>
      </c>
      <c r="F3335">
        <v>449950</v>
      </c>
      <c r="G3335">
        <v>2000</v>
      </c>
      <c r="H3335">
        <v>1226</v>
      </c>
      <c r="I3335">
        <v>0</v>
      </c>
      <c r="J3335">
        <v>2</v>
      </c>
      <c r="K3335">
        <v>2.25</v>
      </c>
      <c r="M3335" s="2" t="str">
        <f>HYPERLINK("http://maps.live.com/default.aspx?v=2&amp;lvl=15&amp;sp=Point.47.661963_-122.35117_611 N 46th St&amp;cp=47.661963~-122.35117","Map")</f>
        <v>Map</v>
      </c>
      <c r="N3335" s="2" t="str">
        <f>HYPERLINK("http://i-0.rfimg.us/photo/1/bigphoto/584/28059584_0.jpg","Photo")</f>
        <v>Photo</v>
      </c>
      <c r="AG3335">
        <v>47.661963</v>
      </c>
      <c r="AH3335">
        <v>-122.35117</v>
      </c>
      <c r="AI3335" t="s">
        <v>66</v>
      </c>
      <c r="AJ3335">
        <v>98103</v>
      </c>
      <c r="BC3335" s="22">
        <v>39545.434027777781</v>
      </c>
      <c r="BI3335" s="22">
        <v>39549.294907407406</v>
      </c>
      <c r="BL3335">
        <v>8999</v>
      </c>
      <c r="BM3335">
        <v>1622817</v>
      </c>
      <c r="BN3335" t="s">
        <v>1688</v>
      </c>
      <c r="BO3335" s="17">
        <f t="shared" ca="1" si="52"/>
        <v>3.8753781249979511</v>
      </c>
      <c r="BP3335" t="b">
        <v>0</v>
      </c>
      <c r="BQ3335">
        <v>1</v>
      </c>
      <c r="BR3335" t="s">
        <v>1686</v>
      </c>
      <c r="BS3335" t="s">
        <v>2471</v>
      </c>
      <c r="BT3335" t="b">
        <v>0</v>
      </c>
      <c r="BU3335" t="s">
        <v>1712</v>
      </c>
      <c r="BV3335" t="s">
        <v>1668</v>
      </c>
      <c r="BW3335">
        <v>611</v>
      </c>
      <c r="BY3335">
        <v>2093193</v>
      </c>
      <c r="BZ3335" t="s">
        <v>1672</v>
      </c>
      <c r="CA3335">
        <v>1</v>
      </c>
      <c r="CB3335" t="b">
        <v>1</v>
      </c>
      <c r="CC3335">
        <v>0</v>
      </c>
      <c r="CD3335" t="b">
        <v>0</v>
      </c>
      <c r="CE3335" t="b">
        <v>1</v>
      </c>
      <c r="CF3335" t="b">
        <v>0</v>
      </c>
      <c r="CG3335">
        <v>2945548</v>
      </c>
      <c r="CH3335" t="s">
        <v>1681</v>
      </c>
      <c r="CI3335" s="10">
        <v>449950</v>
      </c>
    </row>
    <row r="3336" spans="1:88">
      <c r="A3336">
        <v>28059587</v>
      </c>
      <c r="B3336" s="2" t="str">
        <f>HYPERLINK("http://www.redfin.com/stingray/do/printable-listing?listing-id=1623002","Active")</f>
        <v>Active</v>
      </c>
      <c r="D3336" t="s">
        <v>2552</v>
      </c>
      <c r="E3336" t="s">
        <v>6957</v>
      </c>
      <c r="F3336">
        <v>444950</v>
      </c>
      <c r="G3336">
        <v>1947</v>
      </c>
      <c r="H3336">
        <v>1660</v>
      </c>
      <c r="I3336">
        <v>4587</v>
      </c>
      <c r="J3336">
        <v>2</v>
      </c>
      <c r="K3336">
        <v>1</v>
      </c>
      <c r="M3336" s="2" t="str">
        <f>HYPERLINK("http://maps.live.com/default.aspx?v=2&amp;lvl=15&amp;sp=Point.47.656938_-122.393083_2803 W Elmore Pl W&amp;cp=47.656938~-122.393083","Map")</f>
        <v>Map</v>
      </c>
      <c r="N3336" s="2" t="str">
        <f>HYPERLINK("http://i-0.rfimg.us/photo/1/bigphoto/587/28059587_.jpg","Photo")</f>
        <v>Photo</v>
      </c>
      <c r="AG3336">
        <v>47.656937999999997</v>
      </c>
      <c r="AH3336">
        <v>-122.393083</v>
      </c>
      <c r="AI3336" t="s">
        <v>66</v>
      </c>
      <c r="AJ3336">
        <v>98199</v>
      </c>
      <c r="AN3336">
        <v>355000</v>
      </c>
      <c r="BC3336" s="22">
        <v>39545.476504629631</v>
      </c>
      <c r="BI3336" s="22">
        <v>39549.294907407406</v>
      </c>
      <c r="BL3336">
        <v>8899</v>
      </c>
      <c r="BM3336">
        <v>1623002</v>
      </c>
      <c r="BN3336" t="s">
        <v>1678</v>
      </c>
      <c r="BO3336" s="17">
        <f t="shared" ca="1" si="52"/>
        <v>3.832901273148309</v>
      </c>
      <c r="BP3336" t="b">
        <v>0</v>
      </c>
      <c r="BQ3336">
        <v>1</v>
      </c>
      <c r="BR3336" t="s">
        <v>1842</v>
      </c>
      <c r="BS3336" t="s">
        <v>3484</v>
      </c>
      <c r="BT3336" t="b">
        <v>0</v>
      </c>
      <c r="BU3336" t="s">
        <v>2423</v>
      </c>
      <c r="BV3336" t="s">
        <v>1668</v>
      </c>
      <c r="BW3336">
        <v>2803</v>
      </c>
      <c r="BX3336" t="s">
        <v>2423</v>
      </c>
      <c r="BY3336">
        <v>123093</v>
      </c>
      <c r="BZ3336" t="s">
        <v>7022</v>
      </c>
      <c r="CA3336">
        <v>1</v>
      </c>
      <c r="CB3336" t="b">
        <v>1</v>
      </c>
      <c r="CC3336">
        <v>0</v>
      </c>
      <c r="CD3336" t="b">
        <v>0</v>
      </c>
      <c r="CE3336" t="b">
        <v>1</v>
      </c>
      <c r="CF3336" t="b">
        <v>0</v>
      </c>
      <c r="CG3336">
        <v>2627514</v>
      </c>
      <c r="CH3336" t="s">
        <v>1681</v>
      </c>
      <c r="CI3336" s="10">
        <v>444950</v>
      </c>
      <c r="CJ3336" s="7">
        <v>38253</v>
      </c>
    </row>
    <row r="3337" spans="1:88">
      <c r="A3337">
        <v>28059606</v>
      </c>
      <c r="B3337" s="2" t="str">
        <f>HYPERLINK("http://www.redfin.com/stingray/do/printable-listing?listing-id=1627259","Active")</f>
        <v>Active</v>
      </c>
      <c r="D3337" t="s">
        <v>4663</v>
      </c>
      <c r="E3337" t="s">
        <v>7033</v>
      </c>
      <c r="F3337">
        <v>555000</v>
      </c>
      <c r="G3337">
        <v>1990</v>
      </c>
      <c r="H3337">
        <v>1910</v>
      </c>
      <c r="I3337">
        <v>7627</v>
      </c>
      <c r="J3337">
        <v>3</v>
      </c>
      <c r="K3337">
        <v>2.5</v>
      </c>
      <c r="M3337" s="2" t="str">
        <f>HYPERLINK("http://maps.live.com/default.aspx?v=2&amp;lvl=15&amp;sp=Point.47.671495_-122.164621_7416 131st Pl NE&amp;cp=47.671495~-122.164621","Map")</f>
        <v>Map</v>
      </c>
      <c r="N3337" s="2" t="str">
        <f>HYPERLINK("http://i-0.rfimg.us/photo/1/bigphoto/606/28059606_0.jpg","Photo")</f>
        <v>Photo</v>
      </c>
      <c r="AG3337">
        <v>47.671495</v>
      </c>
      <c r="AH3337">
        <v>-122.164621</v>
      </c>
      <c r="AI3337" t="s">
        <v>1058</v>
      </c>
      <c r="AJ3337">
        <v>98033</v>
      </c>
      <c r="AN3337">
        <v>295000</v>
      </c>
      <c r="BC3337" s="22">
        <v>39546.631898148145</v>
      </c>
      <c r="BI3337" s="22">
        <v>39549.294907407406</v>
      </c>
      <c r="BL3337">
        <v>11100</v>
      </c>
      <c r="BM3337">
        <v>1627259</v>
      </c>
      <c r="BN3337" t="s">
        <v>1674</v>
      </c>
      <c r="BO3337" s="17">
        <f t="shared" ca="1" si="52"/>
        <v>2.6775077546335524</v>
      </c>
      <c r="BP3337" t="b">
        <v>0</v>
      </c>
      <c r="BQ3337">
        <v>1</v>
      </c>
      <c r="BR3337" t="s">
        <v>1842</v>
      </c>
      <c r="BS3337" t="s">
        <v>4521</v>
      </c>
      <c r="BT3337" t="b">
        <v>0</v>
      </c>
      <c r="BV3337" t="s">
        <v>1668</v>
      </c>
      <c r="BW3337">
        <v>7416</v>
      </c>
      <c r="BX3337" t="s">
        <v>1738</v>
      </c>
      <c r="BY3337">
        <v>514200</v>
      </c>
      <c r="BZ3337" t="s">
        <v>1713</v>
      </c>
      <c r="CA3337">
        <v>1</v>
      </c>
      <c r="CB3337" t="b">
        <v>1</v>
      </c>
      <c r="CC3337">
        <v>0</v>
      </c>
      <c r="CD3337" t="b">
        <v>0</v>
      </c>
      <c r="CE3337" t="b">
        <v>1</v>
      </c>
      <c r="CF3337" t="b">
        <v>0</v>
      </c>
      <c r="CG3337">
        <v>2821075</v>
      </c>
      <c r="CH3337" t="s">
        <v>1681</v>
      </c>
      <c r="CI3337" s="10">
        <v>555000</v>
      </c>
      <c r="CJ3337" s="7">
        <v>36341</v>
      </c>
    </row>
    <row r="3338" spans="1:88">
      <c r="A3338">
        <v>28059612</v>
      </c>
      <c r="B3338" s="2" t="str">
        <f>HYPERLINK("http://www.redfin.com/stingray/do/printable-listing?listing-id=1627261","Active")</f>
        <v>Active</v>
      </c>
      <c r="D3338" t="s">
        <v>88</v>
      </c>
      <c r="E3338" t="s">
        <v>1200</v>
      </c>
      <c r="F3338">
        <v>539900</v>
      </c>
      <c r="G3338">
        <v>1911</v>
      </c>
      <c r="H3338">
        <v>1796</v>
      </c>
      <c r="I3338">
        <v>0</v>
      </c>
      <c r="J3338">
        <v>3</v>
      </c>
      <c r="K3338">
        <v>2</v>
      </c>
      <c r="M3338" s="2" t="str">
        <f>HYPERLINK("http://maps.live.com/default.aspx?v=2&amp;lvl=15&amp;sp=Point.47.684966_-122.358523_110 NW 77th St&amp;cp=47.684966~-122.358523","Map")</f>
        <v>Map</v>
      </c>
      <c r="N3338" s="2" t="str">
        <f>HYPERLINK("http://i-0.rfimg.us/photo/1/bigphoto/612/28059612_.jpg","Photo")</f>
        <v>Photo</v>
      </c>
      <c r="AG3338">
        <v>47.684966000000003</v>
      </c>
      <c r="AH3338">
        <v>-122.35852300000001</v>
      </c>
      <c r="AI3338" t="s">
        <v>66</v>
      </c>
      <c r="AJ3338">
        <v>98117</v>
      </c>
      <c r="AN3338">
        <v>460000</v>
      </c>
      <c r="BC3338" s="22">
        <v>39546.631921296299</v>
      </c>
      <c r="BI3338" s="22">
        <v>39549.294907407406</v>
      </c>
      <c r="BL3338">
        <v>10798</v>
      </c>
      <c r="BM3338">
        <v>1627261</v>
      </c>
      <c r="BN3338" t="s">
        <v>1700</v>
      </c>
      <c r="BO3338" s="17">
        <f t="shared" ca="1" si="52"/>
        <v>2.6774846064799931</v>
      </c>
      <c r="BP3338" t="b">
        <v>0</v>
      </c>
      <c r="BQ3338">
        <v>1</v>
      </c>
      <c r="BR3338" t="s">
        <v>1686</v>
      </c>
      <c r="BS3338" t="s">
        <v>1714</v>
      </c>
      <c r="BT3338" t="b">
        <v>0</v>
      </c>
      <c r="BU3338" t="s">
        <v>1669</v>
      </c>
      <c r="BV3338" t="s">
        <v>1668</v>
      </c>
      <c r="BW3338">
        <v>110</v>
      </c>
      <c r="BY3338">
        <v>495055</v>
      </c>
      <c r="CA3338">
        <v>1</v>
      </c>
      <c r="CB3338" t="b">
        <v>1</v>
      </c>
      <c r="CC3338">
        <v>0</v>
      </c>
      <c r="CD3338" t="b">
        <v>0</v>
      </c>
      <c r="CE3338" t="b">
        <v>1</v>
      </c>
      <c r="CF3338" t="b">
        <v>0</v>
      </c>
      <c r="CG3338">
        <v>2770904</v>
      </c>
      <c r="CH3338" t="s">
        <v>1681</v>
      </c>
      <c r="CI3338" s="10">
        <v>539900</v>
      </c>
      <c r="CJ3338" s="7">
        <v>38531</v>
      </c>
    </row>
    <row r="3339" spans="1:88">
      <c r="A3339">
        <v>28059614</v>
      </c>
      <c r="B3339" s="2" t="str">
        <f>HYPERLINK("http://www.redfin.com/stingray/do/printable-listing?listing-id=1623000","Active")</f>
        <v>Active</v>
      </c>
      <c r="D3339" t="s">
        <v>3066</v>
      </c>
      <c r="E3339" t="s">
        <v>6977</v>
      </c>
      <c r="F3339">
        <v>634900</v>
      </c>
      <c r="G3339">
        <v>1928</v>
      </c>
      <c r="H3339">
        <v>2370</v>
      </c>
      <c r="I3339">
        <v>19360</v>
      </c>
      <c r="J3339">
        <v>3</v>
      </c>
      <c r="K3339">
        <v>1.75</v>
      </c>
      <c r="M3339" s="2" t="str">
        <f>HYPERLINK("http://maps.live.com/default.aspx?v=2&amp;lvl=15&amp;sp=Point.47.681025_-122.16862_8700 128 Ave NE&amp;cp=47.681025~-122.16862","Map")</f>
        <v>Map</v>
      </c>
      <c r="N3339" s="2" t="str">
        <f>HYPERLINK("http://i-0.rfimg.us/photo/1/bigphoto/614/28059614_0.jpg","Photo")</f>
        <v>Photo</v>
      </c>
      <c r="AG3339">
        <v>47.681024999999998</v>
      </c>
      <c r="AH3339">
        <v>-122.16862</v>
      </c>
      <c r="AI3339" t="s">
        <v>1058</v>
      </c>
      <c r="AJ3339">
        <v>98033</v>
      </c>
      <c r="AN3339">
        <v>550000</v>
      </c>
      <c r="BC3339" s="22">
        <v>39545.476481481484</v>
      </c>
      <c r="BI3339" s="22">
        <v>39549.294907407406</v>
      </c>
      <c r="BL3339">
        <v>12698</v>
      </c>
      <c r="BM3339">
        <v>1623000</v>
      </c>
      <c r="BN3339" t="s">
        <v>1746</v>
      </c>
      <c r="BO3339" s="17">
        <f t="shared" ca="1" si="52"/>
        <v>3.8329244212945923</v>
      </c>
      <c r="BP3339" t="b">
        <v>0</v>
      </c>
      <c r="BQ3339">
        <v>1</v>
      </c>
      <c r="BR3339" t="s">
        <v>1667</v>
      </c>
      <c r="BS3339">
        <v>128</v>
      </c>
      <c r="BT3339" t="b">
        <v>0</v>
      </c>
      <c r="BV3339" t="s">
        <v>1668</v>
      </c>
      <c r="BW3339">
        <v>8700</v>
      </c>
      <c r="BX3339" t="s">
        <v>1738</v>
      </c>
      <c r="BY3339">
        <v>512356</v>
      </c>
      <c r="BZ3339" t="s">
        <v>1672</v>
      </c>
      <c r="CA3339">
        <v>1</v>
      </c>
      <c r="CB3339" t="b">
        <v>1</v>
      </c>
      <c r="CC3339">
        <v>0</v>
      </c>
      <c r="CD3339" t="b">
        <v>0</v>
      </c>
      <c r="CE3339" t="b">
        <v>1</v>
      </c>
      <c r="CF3339" t="b">
        <v>0</v>
      </c>
      <c r="CG3339">
        <v>2570270</v>
      </c>
      <c r="CH3339" t="s">
        <v>1681</v>
      </c>
      <c r="CI3339" s="10">
        <v>634900</v>
      </c>
      <c r="CJ3339" s="7">
        <v>38442</v>
      </c>
    </row>
    <row r="3340" spans="1:88">
      <c r="A3340">
        <v>28059676</v>
      </c>
      <c r="B3340" s="2" t="str">
        <f>HYPERLINK("http://www.redfin.com/stingray/do/printable-listing?listing-id=1623088","Active")</f>
        <v>Active</v>
      </c>
      <c r="D3340" t="s">
        <v>5926</v>
      </c>
      <c r="E3340" t="s">
        <v>6990</v>
      </c>
      <c r="F3340">
        <v>449900</v>
      </c>
      <c r="G3340">
        <v>1987</v>
      </c>
      <c r="H3340">
        <v>1900</v>
      </c>
      <c r="I3340">
        <v>11391</v>
      </c>
      <c r="J3340">
        <v>3</v>
      </c>
      <c r="K3340">
        <v>2.75</v>
      </c>
      <c r="M3340" s="2" t="str">
        <f>HYPERLINK("http://maps.live.com/default.aspx?v=2&amp;lvl=15&amp;sp=Point.47.516918_-122.192906_1911 NE 29th CT&amp;cp=47.516918~-122.192906","Map")</f>
        <v>Map</v>
      </c>
      <c r="N3340" s="2" t="str">
        <f>HYPERLINK("http://i-0.rfimg.us/photo/1/bigphoto/676/28059676_1.jpg","Photo")</f>
        <v>Photo</v>
      </c>
      <c r="AG3340">
        <v>47.516917999999997</v>
      </c>
      <c r="AH3340">
        <v>-122.19290599999999</v>
      </c>
      <c r="AI3340" t="s">
        <v>1077</v>
      </c>
      <c r="AJ3340">
        <v>98056</v>
      </c>
      <c r="AN3340">
        <v>32500</v>
      </c>
      <c r="BC3340" s="22">
        <v>39545.495127314818</v>
      </c>
      <c r="BI3340" s="22">
        <v>39549.294907407406</v>
      </c>
      <c r="BL3340">
        <v>8998</v>
      </c>
      <c r="BM3340">
        <v>1623088</v>
      </c>
      <c r="BN3340" t="s">
        <v>2590</v>
      </c>
      <c r="BO3340" s="17">
        <f t="shared" ca="1" si="52"/>
        <v>3.8142785879608709</v>
      </c>
      <c r="BP3340" t="b">
        <v>0</v>
      </c>
      <c r="BQ3340">
        <v>1</v>
      </c>
      <c r="BR3340" t="s">
        <v>6185</v>
      </c>
      <c r="BS3340" t="s">
        <v>1772</v>
      </c>
      <c r="BT3340" t="b">
        <v>0</v>
      </c>
      <c r="BU3340" t="s">
        <v>1738</v>
      </c>
      <c r="BV3340" t="s">
        <v>1668</v>
      </c>
      <c r="BW3340">
        <v>1911</v>
      </c>
      <c r="BY3340">
        <v>410227</v>
      </c>
      <c r="BZ3340" t="s">
        <v>2750</v>
      </c>
      <c r="CA3340">
        <v>1</v>
      </c>
      <c r="CB3340" t="b">
        <v>1</v>
      </c>
      <c r="CC3340">
        <v>0</v>
      </c>
      <c r="CD3340" t="b">
        <v>0</v>
      </c>
      <c r="CE3340" t="b">
        <v>1</v>
      </c>
      <c r="CF3340" t="b">
        <v>0</v>
      </c>
      <c r="CG3340">
        <v>2770217</v>
      </c>
      <c r="CH3340" t="s">
        <v>1681</v>
      </c>
      <c r="CI3340" s="10">
        <v>449900</v>
      </c>
      <c r="CJ3340" s="7">
        <v>32080</v>
      </c>
    </row>
    <row r="3341" spans="1:88">
      <c r="A3341">
        <v>28059695</v>
      </c>
      <c r="B3341" s="2" t="str">
        <f>HYPERLINK("http://www.redfin.com/stingray/do/printable-listing?listing-id=1624596","Active")</f>
        <v>Active</v>
      </c>
      <c r="D3341" t="s">
        <v>919</v>
      </c>
      <c r="E3341" t="s">
        <v>595</v>
      </c>
      <c r="F3341">
        <v>349000</v>
      </c>
      <c r="G3341">
        <v>1940</v>
      </c>
      <c r="H3341">
        <v>1320</v>
      </c>
      <c r="I3341">
        <v>6000</v>
      </c>
      <c r="J3341">
        <v>2</v>
      </c>
      <c r="K3341">
        <v>1</v>
      </c>
      <c r="M3341" s="2" t="str">
        <f>HYPERLINK("http://maps.live.com/default.aspx?v=2&amp;lvl=15&amp;sp=Point.47.707071_-122.338285_1522 N 107th St&amp;cp=47.707071~-122.338285","Map")</f>
        <v>Map</v>
      </c>
      <c r="N3341" s="2" t="str">
        <f>HYPERLINK("http://i-0.rfimg.us/photo/1/bigphoto/695/28059695_0.jpg","Photo")</f>
        <v>Photo</v>
      </c>
      <c r="AG3341">
        <v>47.707070999999999</v>
      </c>
      <c r="AH3341">
        <v>-122.338285</v>
      </c>
      <c r="AI3341" t="s">
        <v>66</v>
      </c>
      <c r="AJ3341">
        <v>98133</v>
      </c>
      <c r="AN3341">
        <v>104000</v>
      </c>
      <c r="BC3341" s="22">
        <v>39545.819791666669</v>
      </c>
      <c r="BI3341" s="22">
        <v>39549.294907407406</v>
      </c>
      <c r="BL3341">
        <v>6980</v>
      </c>
      <c r="BM3341">
        <v>1624596</v>
      </c>
      <c r="BN3341" t="s">
        <v>2066</v>
      </c>
      <c r="BO3341" s="17">
        <f t="shared" ca="1" si="52"/>
        <v>3.4896142361103557</v>
      </c>
      <c r="BP3341" t="b">
        <v>0</v>
      </c>
      <c r="BQ3341">
        <v>1</v>
      </c>
      <c r="BR3341" t="s">
        <v>1686</v>
      </c>
      <c r="BS3341" t="s">
        <v>2678</v>
      </c>
      <c r="BT3341" t="b">
        <v>0</v>
      </c>
      <c r="BU3341" t="s">
        <v>1712</v>
      </c>
      <c r="BV3341" t="s">
        <v>1668</v>
      </c>
      <c r="BW3341">
        <v>1522</v>
      </c>
      <c r="BY3341">
        <v>105599</v>
      </c>
      <c r="BZ3341" t="s">
        <v>1743</v>
      </c>
      <c r="CA3341">
        <v>1</v>
      </c>
      <c r="CB3341" t="b">
        <v>1</v>
      </c>
      <c r="CC3341">
        <v>0</v>
      </c>
      <c r="CD3341" t="b">
        <v>0</v>
      </c>
      <c r="CE3341" t="b">
        <v>1</v>
      </c>
      <c r="CF3341" t="b">
        <v>0</v>
      </c>
      <c r="CG3341">
        <v>2883020</v>
      </c>
      <c r="CH3341" t="s">
        <v>1681</v>
      </c>
      <c r="CI3341" s="10">
        <v>349000</v>
      </c>
      <c r="CJ3341" s="7">
        <v>34333</v>
      </c>
    </row>
    <row r="3342" spans="1:88">
      <c r="A3342">
        <v>28059701</v>
      </c>
      <c r="B3342" s="2" t="str">
        <f>HYPERLINK("http://www.redfin.com/stingray/do/printable-listing?listing-id=1623093","Active")</f>
        <v>Active</v>
      </c>
      <c r="D3342" t="s">
        <v>3681</v>
      </c>
      <c r="E3342" t="s">
        <v>6970</v>
      </c>
      <c r="F3342">
        <v>947000</v>
      </c>
      <c r="G3342">
        <v>1910</v>
      </c>
      <c r="H3342">
        <v>3970</v>
      </c>
      <c r="I3342">
        <v>5055</v>
      </c>
      <c r="J3342">
        <v>4</v>
      </c>
      <c r="K3342">
        <v>2</v>
      </c>
      <c r="M3342" s="2" t="str">
        <f>HYPERLINK("http://maps.live.com/default.aspx?v=2&amp;lvl=15&amp;sp=Point.47.61801_-122.300994_1824 24th Ave E&amp;cp=47.61801~-122.300994","Map")</f>
        <v>Map</v>
      </c>
      <c r="N3342" s="2" t="str">
        <f>HYPERLINK("http://i-0.rfimg.us/photo/1/bigphoto/701/28059701_2.jpg","Photo")</f>
        <v>Photo</v>
      </c>
      <c r="AG3342">
        <v>47.618009999999998</v>
      </c>
      <c r="AH3342">
        <v>-122.300994</v>
      </c>
      <c r="AI3342" t="s">
        <v>66</v>
      </c>
      <c r="AJ3342">
        <v>98122</v>
      </c>
      <c r="BC3342" s="22">
        <v>39545.495185185187</v>
      </c>
      <c r="BI3342" s="22">
        <v>39549.294907407406</v>
      </c>
      <c r="BL3342">
        <v>18940</v>
      </c>
      <c r="BM3342">
        <v>1623093</v>
      </c>
      <c r="BN3342" t="s">
        <v>1744</v>
      </c>
      <c r="BO3342" s="17">
        <f t="shared" ca="1" si="52"/>
        <v>3.8142207175915246</v>
      </c>
      <c r="BP3342" t="b">
        <v>0</v>
      </c>
      <c r="BQ3342">
        <v>1</v>
      </c>
      <c r="BR3342" t="s">
        <v>1667</v>
      </c>
      <c r="BS3342" t="s">
        <v>1740</v>
      </c>
      <c r="BT3342" t="b">
        <v>0</v>
      </c>
      <c r="BV3342" t="s">
        <v>1668</v>
      </c>
      <c r="BW3342">
        <v>1824</v>
      </c>
      <c r="BX3342" t="s">
        <v>2436</v>
      </c>
      <c r="BY3342">
        <v>12328157</v>
      </c>
      <c r="BZ3342" t="s">
        <v>6565</v>
      </c>
      <c r="CA3342">
        <v>1</v>
      </c>
      <c r="CB3342" t="b">
        <v>1</v>
      </c>
      <c r="CC3342">
        <v>0</v>
      </c>
      <c r="CD3342" t="b">
        <v>0</v>
      </c>
      <c r="CE3342" t="b">
        <v>1</v>
      </c>
      <c r="CF3342" t="b">
        <v>0</v>
      </c>
      <c r="CG3342">
        <v>15534167</v>
      </c>
      <c r="CH3342" t="s">
        <v>1681</v>
      </c>
      <c r="CI3342" s="10">
        <v>947000</v>
      </c>
    </row>
    <row r="3343" spans="1:88">
      <c r="A3343">
        <v>28059726</v>
      </c>
      <c r="B3343" s="2" t="str">
        <f>HYPERLINK("http://www.redfin.com/stingray/do/printable-listing?listing-id=1623129","Active")</f>
        <v>Active</v>
      </c>
      <c r="D3343" t="s">
        <v>63</v>
      </c>
      <c r="E3343" t="s">
        <v>6944</v>
      </c>
      <c r="F3343">
        <v>439950</v>
      </c>
      <c r="G3343">
        <v>1910</v>
      </c>
      <c r="H3343">
        <v>950</v>
      </c>
      <c r="I3343">
        <v>1850</v>
      </c>
      <c r="J3343">
        <v>3</v>
      </c>
      <c r="K3343">
        <v>1</v>
      </c>
      <c r="M3343" s="2" t="str">
        <f>HYPERLINK("http://maps.live.com/default.aspx?v=2&amp;lvl=15&amp;sp=Point.47.673245_-122.373037_1138 NW 61st St&amp;cp=47.673245~-122.373037","Map")</f>
        <v>Map</v>
      </c>
      <c r="N3343" s="2" t="str">
        <f>HYPERLINK("http://i-0.rfimg.us/photo/1/bigphoto/726/28059726_1.jpg","Photo")</f>
        <v>Photo</v>
      </c>
      <c r="AG3343">
        <v>47.673245000000001</v>
      </c>
      <c r="AH3343">
        <v>-122.373037</v>
      </c>
      <c r="AI3343" t="s">
        <v>66</v>
      </c>
      <c r="AJ3343">
        <v>98107</v>
      </c>
      <c r="AN3343">
        <v>355000</v>
      </c>
      <c r="BC3343" s="22">
        <v>39545.507256944446</v>
      </c>
      <c r="BI3343" s="22">
        <v>39549.294907407406</v>
      </c>
      <c r="BL3343">
        <v>8799</v>
      </c>
      <c r="BM3343">
        <v>1623129</v>
      </c>
      <c r="BN3343" t="s">
        <v>1846</v>
      </c>
      <c r="BO3343" s="17">
        <f t="shared" ca="1" si="52"/>
        <v>3.8021489583334187</v>
      </c>
      <c r="BP3343" t="b">
        <v>0</v>
      </c>
      <c r="BQ3343">
        <v>1</v>
      </c>
      <c r="BR3343" t="s">
        <v>1686</v>
      </c>
      <c r="BS3343" t="s">
        <v>2431</v>
      </c>
      <c r="BT3343" t="b">
        <v>0</v>
      </c>
      <c r="BU3343" t="s">
        <v>1669</v>
      </c>
      <c r="BV3343" t="s">
        <v>1668</v>
      </c>
      <c r="BW3343">
        <v>1138</v>
      </c>
      <c r="BY3343">
        <v>494935</v>
      </c>
      <c r="BZ3343" t="s">
        <v>4349</v>
      </c>
      <c r="CA3343">
        <v>1</v>
      </c>
      <c r="CB3343" t="b">
        <v>1</v>
      </c>
      <c r="CC3343">
        <v>0</v>
      </c>
      <c r="CD3343" t="b">
        <v>0</v>
      </c>
      <c r="CE3343" t="b">
        <v>1</v>
      </c>
      <c r="CF3343" t="b">
        <v>0</v>
      </c>
      <c r="CG3343">
        <v>2923158</v>
      </c>
      <c r="CH3343" t="s">
        <v>1681</v>
      </c>
      <c r="CI3343" s="10">
        <v>439950</v>
      </c>
      <c r="CJ3343" s="7">
        <v>38952</v>
      </c>
    </row>
    <row r="3344" spans="1:88">
      <c r="A3344">
        <v>28059736</v>
      </c>
      <c r="B3344" s="2" t="str">
        <f>HYPERLINK("http://www.redfin.com/stingray/do/printable-listing?listing-id=1624347","Active")</f>
        <v>Active</v>
      </c>
      <c r="D3344" t="s">
        <v>192</v>
      </c>
      <c r="E3344" t="s">
        <v>6948</v>
      </c>
      <c r="F3344">
        <v>449950</v>
      </c>
      <c r="G3344">
        <v>2006</v>
      </c>
      <c r="H3344">
        <v>1800</v>
      </c>
      <c r="I3344">
        <v>0</v>
      </c>
      <c r="J3344">
        <v>3</v>
      </c>
      <c r="K3344">
        <v>2.5</v>
      </c>
      <c r="M3344" s="2" t="str">
        <f>HYPERLINK("http://maps.live.com/default.aspx?v=2&amp;lvl=15&amp;sp=Point.47.699762_-122.317803_9723 Roosevelt Way NE&amp;cp=47.699762~-122.317803","Map")</f>
        <v>Map</v>
      </c>
      <c r="N3344" s="2" t="str">
        <f>HYPERLINK("http://i-0.rfimg.us/photo/1/bigphoto/736/28059736_1.jpg","Photo")</f>
        <v>Photo</v>
      </c>
      <c r="AG3344">
        <v>47.699762</v>
      </c>
      <c r="AH3344">
        <v>-122.317803</v>
      </c>
      <c r="AI3344" t="s">
        <v>66</v>
      </c>
      <c r="AJ3344">
        <v>98115</v>
      </c>
      <c r="BC3344" s="22">
        <v>39545.767453703702</v>
      </c>
      <c r="BI3344" s="22">
        <v>39549.294907407406</v>
      </c>
      <c r="BL3344">
        <v>8999</v>
      </c>
      <c r="BM3344">
        <v>1624347</v>
      </c>
      <c r="BN3344" t="s">
        <v>1688</v>
      </c>
      <c r="BO3344" s="17">
        <f t="shared" ca="1" si="52"/>
        <v>3.541952199077059</v>
      </c>
      <c r="BP3344" t="b">
        <v>0</v>
      </c>
      <c r="BQ3344">
        <v>1</v>
      </c>
      <c r="BR3344" t="s">
        <v>2463</v>
      </c>
      <c r="BS3344" t="s">
        <v>190</v>
      </c>
      <c r="BT3344" t="b">
        <v>0</v>
      </c>
      <c r="BV3344" t="s">
        <v>1668</v>
      </c>
      <c r="BW3344">
        <v>9723</v>
      </c>
      <c r="BX3344" t="s">
        <v>1738</v>
      </c>
      <c r="BY3344">
        <v>8190157</v>
      </c>
      <c r="BZ3344" t="s">
        <v>2799</v>
      </c>
      <c r="CA3344">
        <v>1</v>
      </c>
      <c r="CB3344" t="b">
        <v>1</v>
      </c>
      <c r="CC3344">
        <v>0</v>
      </c>
      <c r="CD3344" t="b">
        <v>0</v>
      </c>
      <c r="CE3344" t="b">
        <v>1</v>
      </c>
      <c r="CF3344" t="b">
        <v>0</v>
      </c>
      <c r="CG3344">
        <v>10533092</v>
      </c>
      <c r="CH3344" t="s">
        <v>1681</v>
      </c>
      <c r="CI3344" s="10">
        <v>449950</v>
      </c>
    </row>
    <row r="3345" spans="1:88">
      <c r="A3345">
        <v>28059737</v>
      </c>
      <c r="B3345" s="2" t="str">
        <f>HYPERLINK("http://www.redfin.com/stingray/do/printable-listing?listing-id=1623280","Active")</f>
        <v>Active</v>
      </c>
      <c r="D3345" t="s">
        <v>226</v>
      </c>
      <c r="E3345" t="s">
        <v>6951</v>
      </c>
      <c r="F3345">
        <v>725000</v>
      </c>
      <c r="G3345">
        <v>1923</v>
      </c>
      <c r="H3345">
        <v>2430</v>
      </c>
      <c r="I3345">
        <v>4320</v>
      </c>
      <c r="J3345">
        <v>7</v>
      </c>
      <c r="K3345">
        <v>2.75</v>
      </c>
      <c r="M3345" s="2" t="str">
        <f>HYPERLINK("http://maps.live.com/default.aspx?v=2&amp;lvl=15&amp;sp=Point.47.668013_-122.307462_5255 19th Ave NE&amp;cp=47.668013~-122.307462","Map")</f>
        <v>Map</v>
      </c>
      <c r="N3345" s="2" t="str">
        <f>HYPERLINK("http://i-0.rfimg.us/photo/1/bigphoto/737/28059737_0.jpg","Photo")</f>
        <v>Photo</v>
      </c>
      <c r="AG3345">
        <v>47.668013000000002</v>
      </c>
      <c r="AH3345">
        <v>-122.307462</v>
      </c>
      <c r="AI3345" t="s">
        <v>66</v>
      </c>
      <c r="AJ3345">
        <v>98105</v>
      </c>
      <c r="AN3345">
        <v>176500</v>
      </c>
      <c r="BC3345" s="22">
        <v>39545.51766203704</v>
      </c>
      <c r="BI3345" s="22">
        <v>39549.294907407406</v>
      </c>
      <c r="BL3345">
        <v>14500</v>
      </c>
      <c r="BM3345">
        <v>1623280</v>
      </c>
      <c r="BN3345" t="s">
        <v>1702</v>
      </c>
      <c r="BO3345" s="17">
        <f t="shared" ca="1" si="52"/>
        <v>3.7917438657386811</v>
      </c>
      <c r="BP3345" t="b">
        <v>0</v>
      </c>
      <c r="BQ3345">
        <v>1</v>
      </c>
      <c r="BR3345" t="s">
        <v>1667</v>
      </c>
      <c r="BS3345" t="s">
        <v>1906</v>
      </c>
      <c r="BT3345" t="b">
        <v>0</v>
      </c>
      <c r="BV3345" t="s">
        <v>1668</v>
      </c>
      <c r="BW3345">
        <v>5255</v>
      </c>
      <c r="BX3345" t="s">
        <v>1738</v>
      </c>
      <c r="BY3345">
        <v>308891</v>
      </c>
      <c r="BZ3345" s="21">
        <v>0</v>
      </c>
      <c r="CA3345">
        <v>1</v>
      </c>
      <c r="CB3345" t="b">
        <v>1</v>
      </c>
      <c r="CC3345">
        <v>0</v>
      </c>
      <c r="CD3345" t="b">
        <v>0</v>
      </c>
      <c r="CE3345" t="b">
        <v>1</v>
      </c>
      <c r="CF3345" t="b">
        <v>0</v>
      </c>
      <c r="CG3345">
        <v>2422105</v>
      </c>
      <c r="CH3345" t="s">
        <v>1681</v>
      </c>
      <c r="CI3345" s="10">
        <v>725000</v>
      </c>
      <c r="CJ3345" s="7">
        <v>34177</v>
      </c>
    </row>
    <row r="3346" spans="1:88">
      <c r="A3346">
        <v>28059741</v>
      </c>
      <c r="B3346" s="2" t="str">
        <f>HYPERLINK("http://www.redfin.com/stingray/do/printable-listing?listing-id=1623279","Active")</f>
        <v>Active</v>
      </c>
      <c r="D3346" t="s">
        <v>88</v>
      </c>
      <c r="E3346" t="s">
        <v>6946</v>
      </c>
      <c r="F3346">
        <v>499950</v>
      </c>
      <c r="G3346">
        <v>2008</v>
      </c>
      <c r="H3346">
        <v>1694</v>
      </c>
      <c r="I3346">
        <v>0</v>
      </c>
      <c r="J3346">
        <v>3</v>
      </c>
      <c r="K3346">
        <v>2.5</v>
      </c>
      <c r="M3346" s="2" t="str">
        <f>HYPERLINK("http://maps.live.com/default.aspx?v=2&amp;lvl=15&amp;sp=Point.47.674768_-122.354603_6309 Phinney Ave N nB&amp;cp=47.674768~-122.354603","Map")</f>
        <v>Map</v>
      </c>
      <c r="N3346" s="2" t="str">
        <f>HYPERLINK("http://i-0.rfimg.us/photo/1/bigphoto/741/28059741_2.jpg","Photo")</f>
        <v>Photo</v>
      </c>
      <c r="AG3346">
        <v>47.674768</v>
      </c>
      <c r="AH3346">
        <v>-122.354603</v>
      </c>
      <c r="AI3346" t="s">
        <v>66</v>
      </c>
      <c r="AJ3346">
        <v>98103</v>
      </c>
      <c r="AM3346" t="s">
        <v>1699</v>
      </c>
      <c r="BC3346" s="22">
        <v>39545.517650462964</v>
      </c>
      <c r="BI3346" s="22">
        <v>39549.294907407406</v>
      </c>
      <c r="BL3346">
        <v>9999</v>
      </c>
      <c r="BM3346">
        <v>1623279</v>
      </c>
      <c r="BN3346" t="s">
        <v>1700</v>
      </c>
      <c r="BO3346" s="17">
        <f t="shared" ca="1" si="52"/>
        <v>3.7917554398154607</v>
      </c>
      <c r="BP3346" t="b">
        <v>0</v>
      </c>
      <c r="BQ3346">
        <v>1</v>
      </c>
      <c r="BR3346" t="s">
        <v>1667</v>
      </c>
      <c r="BS3346" t="s">
        <v>2475</v>
      </c>
      <c r="BT3346" t="b">
        <v>0</v>
      </c>
      <c r="BV3346" t="s">
        <v>1668</v>
      </c>
      <c r="BW3346">
        <v>6309</v>
      </c>
      <c r="BX3346" t="s">
        <v>1712</v>
      </c>
      <c r="BY3346">
        <v>12183460</v>
      </c>
      <c r="BZ3346" t="s">
        <v>1912</v>
      </c>
      <c r="CA3346">
        <v>1</v>
      </c>
      <c r="CB3346" t="b">
        <v>1</v>
      </c>
      <c r="CC3346">
        <v>0</v>
      </c>
      <c r="CD3346" t="b">
        <v>0</v>
      </c>
      <c r="CE3346" t="b">
        <v>1</v>
      </c>
      <c r="CF3346" t="b">
        <v>0</v>
      </c>
      <c r="CG3346">
        <v>15412762</v>
      </c>
      <c r="CH3346" t="s">
        <v>1681</v>
      </c>
      <c r="CI3346" s="10">
        <v>499950</v>
      </c>
    </row>
    <row r="3347" spans="1:88">
      <c r="A3347">
        <v>28059751</v>
      </c>
      <c r="B3347" s="2" t="str">
        <f>HYPERLINK("http://www.redfin.com/stingray/do/printable-listing?listing-id=1626728","Active")</f>
        <v>Active</v>
      </c>
      <c r="D3347" t="s">
        <v>109</v>
      </c>
      <c r="E3347" t="s">
        <v>7018</v>
      </c>
      <c r="F3347">
        <v>829000</v>
      </c>
      <c r="G3347">
        <v>1927</v>
      </c>
      <c r="H3347">
        <v>3150</v>
      </c>
      <c r="I3347">
        <v>4000</v>
      </c>
      <c r="J3347">
        <v>4</v>
      </c>
      <c r="K3347">
        <v>3.5</v>
      </c>
      <c r="M3347" s="2" t="str">
        <f>HYPERLINK("http://maps.live.com/default.aspx?v=2&amp;lvl=15&amp;sp=Point.47.658147_-122.339403_4202 Ashworth Ave N&amp;cp=47.658147~-122.339403","Map")</f>
        <v>Map</v>
      </c>
      <c r="N3347" s="2" t="str">
        <f>HYPERLINK("http://i-0.rfimg.us/photo/1/bigphoto/751/28059751_1.jpg","Photo")</f>
        <v>Photo</v>
      </c>
      <c r="AG3347">
        <v>47.658147</v>
      </c>
      <c r="AH3347">
        <v>-122.339403</v>
      </c>
      <c r="AI3347" t="s">
        <v>66</v>
      </c>
      <c r="AJ3347">
        <v>98103</v>
      </c>
      <c r="AN3347">
        <v>799000</v>
      </c>
      <c r="BC3347" s="22">
        <v>39546.536944444444</v>
      </c>
      <c r="BI3347" s="22">
        <v>39549.294907407406</v>
      </c>
      <c r="BL3347">
        <v>16580</v>
      </c>
      <c r="BM3347">
        <v>1626728</v>
      </c>
      <c r="BN3347" t="s">
        <v>1688</v>
      </c>
      <c r="BO3347" s="17">
        <f t="shared" ca="1" si="52"/>
        <v>2.7724614583348739</v>
      </c>
      <c r="BP3347" t="b">
        <v>0</v>
      </c>
      <c r="BQ3347">
        <v>1</v>
      </c>
      <c r="BR3347" t="s">
        <v>1667</v>
      </c>
      <c r="BS3347" t="s">
        <v>1825</v>
      </c>
      <c r="BT3347" t="b">
        <v>0</v>
      </c>
      <c r="BV3347" t="s">
        <v>1668</v>
      </c>
      <c r="BW3347">
        <v>4202</v>
      </c>
      <c r="BX3347" t="s">
        <v>1712</v>
      </c>
      <c r="BY3347">
        <v>118367</v>
      </c>
      <c r="BZ3347" t="s">
        <v>1704</v>
      </c>
      <c r="CA3347">
        <v>1</v>
      </c>
      <c r="CB3347" t="b">
        <v>1</v>
      </c>
      <c r="CC3347">
        <v>0</v>
      </c>
      <c r="CD3347" t="b">
        <v>0</v>
      </c>
      <c r="CE3347" t="b">
        <v>1</v>
      </c>
      <c r="CF3347" t="b">
        <v>0</v>
      </c>
      <c r="CG3347">
        <v>2459606</v>
      </c>
      <c r="CH3347" t="s">
        <v>1681</v>
      </c>
      <c r="CI3347" s="10">
        <v>829000</v>
      </c>
      <c r="CJ3347" s="7">
        <v>38842</v>
      </c>
    </row>
    <row r="3348" spans="1:88">
      <c r="A3348">
        <v>28059801</v>
      </c>
      <c r="B3348" s="2" t="str">
        <f>HYPERLINK("http://www.redfin.com/stingray/do/printable-listing?listing-id=1623405","Active")</f>
        <v>Active</v>
      </c>
      <c r="D3348" t="s">
        <v>2552</v>
      </c>
      <c r="E3348" t="s">
        <v>6962</v>
      </c>
      <c r="F3348">
        <v>729000</v>
      </c>
      <c r="G3348">
        <v>1946</v>
      </c>
      <c r="H3348">
        <v>2680</v>
      </c>
      <c r="I3348">
        <v>5500</v>
      </c>
      <c r="J3348">
        <v>3</v>
      </c>
      <c r="K3348">
        <v>2</v>
      </c>
      <c r="M3348" s="2" t="str">
        <f>HYPERLINK("http://maps.live.com/default.aspx?v=2&amp;lvl=15&amp;sp=Point.47.638392_-122.399312_2121 Wolfe Pl W&amp;cp=47.638392~-122.399312","Map")</f>
        <v>Map</v>
      </c>
      <c r="N3348" s="2" t="str">
        <f>HYPERLINK("http://i-0.rfimg.us/photo/1/bigphoto/801/28059801_3.jpg","Photo")</f>
        <v>Photo</v>
      </c>
      <c r="AG3348">
        <v>47.638392000000003</v>
      </c>
      <c r="AH3348">
        <v>-122.39931199999999</v>
      </c>
      <c r="AI3348" t="s">
        <v>66</v>
      </c>
      <c r="AJ3348">
        <v>98199</v>
      </c>
      <c r="AN3348">
        <v>400000</v>
      </c>
      <c r="BC3348" s="22">
        <v>39545.549942129626</v>
      </c>
      <c r="BI3348" s="22">
        <v>39549.294907407406</v>
      </c>
      <c r="BL3348">
        <v>14580</v>
      </c>
      <c r="BM3348">
        <v>1623405</v>
      </c>
      <c r="BN3348" t="s">
        <v>3742</v>
      </c>
      <c r="BO3348" s="17">
        <f t="shared" ca="1" si="52"/>
        <v>3.7594637731526745</v>
      </c>
      <c r="BP3348" t="b">
        <v>0</v>
      </c>
      <c r="BQ3348">
        <v>1</v>
      </c>
      <c r="BR3348" t="s">
        <v>1842</v>
      </c>
      <c r="BS3348" t="s">
        <v>6963</v>
      </c>
      <c r="BT3348" t="b">
        <v>0</v>
      </c>
      <c r="BV3348" t="s">
        <v>1668</v>
      </c>
      <c r="BW3348">
        <v>2121</v>
      </c>
      <c r="BX3348" t="s">
        <v>2423</v>
      </c>
      <c r="BY3348">
        <v>125447</v>
      </c>
      <c r="BZ3348" t="s">
        <v>6964</v>
      </c>
      <c r="CA3348">
        <v>1</v>
      </c>
      <c r="CB3348" t="b">
        <v>1</v>
      </c>
      <c r="CC3348">
        <v>0</v>
      </c>
      <c r="CD3348" t="b">
        <v>0</v>
      </c>
      <c r="CE3348" t="b">
        <v>1</v>
      </c>
      <c r="CF3348" t="b">
        <v>0</v>
      </c>
      <c r="CG3348">
        <v>2684091</v>
      </c>
      <c r="CH3348" t="s">
        <v>1681</v>
      </c>
      <c r="CI3348" s="10">
        <v>729000</v>
      </c>
      <c r="CJ3348" s="7">
        <v>38231</v>
      </c>
    </row>
    <row r="3349" spans="1:88">
      <c r="A3349">
        <v>28059828</v>
      </c>
      <c r="B3349" s="2" t="str">
        <f>HYPERLINK("http://www.redfin.com/stingray/do/printable-listing?listing-id=1629380","Active")</f>
        <v>Active</v>
      </c>
      <c r="D3349" t="s">
        <v>3302</v>
      </c>
      <c r="E3349" t="s">
        <v>7064</v>
      </c>
      <c r="F3349">
        <v>1350000</v>
      </c>
      <c r="G3349">
        <v>1921</v>
      </c>
      <c r="H3349">
        <v>2310</v>
      </c>
      <c r="I3349">
        <v>3630</v>
      </c>
      <c r="J3349">
        <v>4</v>
      </c>
      <c r="K3349">
        <v>3.25</v>
      </c>
      <c r="M3349" s="2" t="str">
        <f>HYPERLINK("http://maps.live.com/default.aspx?v=2&amp;lvl=15&amp;sp=Point.47.63779_-122.323812_2033 Boylston Ave E&amp;cp=47.63779~-122.323812","Map")</f>
        <v>Map</v>
      </c>
      <c r="N3349" s="2" t="str">
        <f>HYPERLINK("http://i-0.rfimg.us/photo/1/bigphoto/828/28059828_1.jpg","Photo")</f>
        <v>Photo</v>
      </c>
      <c r="AG3349">
        <v>47.637790000000003</v>
      </c>
      <c r="AH3349">
        <v>-122.323812</v>
      </c>
      <c r="AI3349" t="s">
        <v>66</v>
      </c>
      <c r="AJ3349">
        <v>98102</v>
      </c>
      <c r="AN3349">
        <v>398000</v>
      </c>
      <c r="BC3349" s="22">
        <v>39547.433252314811</v>
      </c>
      <c r="BI3349" s="22">
        <v>39549.294907407406</v>
      </c>
      <c r="BL3349">
        <v>27000</v>
      </c>
      <c r="BM3349">
        <v>1629380</v>
      </c>
      <c r="BN3349" t="s">
        <v>2593</v>
      </c>
      <c r="BO3349" s="17">
        <f t="shared" ca="1" si="52"/>
        <v>1.8761535879675648</v>
      </c>
      <c r="BP3349" t="b">
        <v>0</v>
      </c>
      <c r="BQ3349">
        <v>1</v>
      </c>
      <c r="BR3349" t="s">
        <v>1667</v>
      </c>
      <c r="BS3349" t="s">
        <v>4184</v>
      </c>
      <c r="BT3349" t="b">
        <v>0</v>
      </c>
      <c r="BV3349" t="s">
        <v>1668</v>
      </c>
      <c r="BW3349">
        <v>2033</v>
      </c>
      <c r="BX3349" t="s">
        <v>2436</v>
      </c>
      <c r="BY3349">
        <v>132006</v>
      </c>
      <c r="BZ3349" t="s">
        <v>7065</v>
      </c>
      <c r="CA3349">
        <v>1</v>
      </c>
      <c r="CB3349" t="b">
        <v>1</v>
      </c>
      <c r="CC3349">
        <v>0</v>
      </c>
      <c r="CD3349" t="b">
        <v>0</v>
      </c>
      <c r="CE3349" t="b">
        <v>1</v>
      </c>
      <c r="CF3349" t="b">
        <v>0</v>
      </c>
      <c r="CG3349">
        <v>2842412</v>
      </c>
      <c r="CH3349" t="s">
        <v>1681</v>
      </c>
      <c r="CI3349" s="10">
        <v>1350000</v>
      </c>
      <c r="CJ3349" s="7">
        <v>37708</v>
      </c>
    </row>
    <row r="3350" spans="1:88">
      <c r="A3350">
        <v>28059849</v>
      </c>
      <c r="B3350" s="2" t="str">
        <f>HYPERLINK("http://www.redfin.com/stingray/do/printable-listing?listing-id=1623629","Active")</f>
        <v>Active</v>
      </c>
      <c r="D3350" t="s">
        <v>1023</v>
      </c>
      <c r="E3350" t="s">
        <v>6941</v>
      </c>
      <c r="F3350">
        <v>579950</v>
      </c>
      <c r="G3350">
        <v>1920</v>
      </c>
      <c r="H3350">
        <v>2300</v>
      </c>
      <c r="I3350">
        <v>7392</v>
      </c>
      <c r="J3350">
        <v>4</v>
      </c>
      <c r="K3350">
        <v>2</v>
      </c>
      <c r="M3350" s="2" t="str">
        <f>HYPERLINK("http://maps.live.com/default.aspx?v=2&amp;lvl=15&amp;sp=Point.47.685923_-122.396094_7733 30th Ave NW&amp;cp=47.685923~-122.396094","Map")</f>
        <v>Map</v>
      </c>
      <c r="N3350" s="2" t="str">
        <f>HYPERLINK("http://i-0.rfimg.us/photo/1/bigphoto/849/28059849_0.jpg","Photo")</f>
        <v>Photo</v>
      </c>
      <c r="AG3350">
        <v>47.685923000000003</v>
      </c>
      <c r="AH3350">
        <v>-122.39609400000001</v>
      </c>
      <c r="AI3350" t="s">
        <v>66</v>
      </c>
      <c r="AJ3350">
        <v>98117</v>
      </c>
      <c r="AN3350">
        <v>351000</v>
      </c>
      <c r="BC3350" s="22">
        <v>39545.591481481482</v>
      </c>
      <c r="BI3350" s="22">
        <v>39549.294907407406</v>
      </c>
      <c r="BL3350">
        <v>11599</v>
      </c>
      <c r="BM3350">
        <v>1623629</v>
      </c>
      <c r="BN3350" t="s">
        <v>1678</v>
      </c>
      <c r="BO3350" s="17">
        <f t="shared" ca="1" si="52"/>
        <v>3.7179244212966296</v>
      </c>
      <c r="BP3350" t="b">
        <v>0</v>
      </c>
      <c r="BQ3350">
        <v>1</v>
      </c>
      <c r="BR3350" t="s">
        <v>1667</v>
      </c>
      <c r="BS3350" t="s">
        <v>1818</v>
      </c>
      <c r="BT3350" t="b">
        <v>0</v>
      </c>
      <c r="BV3350" t="s">
        <v>1668</v>
      </c>
      <c r="BW3350">
        <v>7733</v>
      </c>
      <c r="BX3350" t="s">
        <v>1669</v>
      </c>
      <c r="BY3350">
        <v>164241</v>
      </c>
      <c r="BZ3350" t="s">
        <v>1672</v>
      </c>
      <c r="CA3350">
        <v>1</v>
      </c>
      <c r="CB3350" t="b">
        <v>1</v>
      </c>
      <c r="CC3350">
        <v>0</v>
      </c>
      <c r="CD3350" t="b">
        <v>0</v>
      </c>
      <c r="CE3350" t="b">
        <v>1</v>
      </c>
      <c r="CF3350" t="b">
        <v>0</v>
      </c>
      <c r="CG3350">
        <v>2946559</v>
      </c>
      <c r="CH3350" t="s">
        <v>1681</v>
      </c>
      <c r="CI3350" s="10">
        <v>579950</v>
      </c>
      <c r="CJ3350" s="7">
        <v>37315</v>
      </c>
    </row>
    <row r="3351" spans="1:88">
      <c r="A3351">
        <v>28059873</v>
      </c>
      <c r="B3351" s="2" t="str">
        <f>HYPERLINK("http://www.redfin.com/stingray/do/printable-listing?listing-id=1625817","Active")</f>
        <v>Active</v>
      </c>
      <c r="D3351" t="s">
        <v>1972</v>
      </c>
      <c r="E3351" t="s">
        <v>1973</v>
      </c>
      <c r="F3351">
        <v>5550000</v>
      </c>
      <c r="G3351">
        <v>1994</v>
      </c>
      <c r="H3351">
        <v>8260</v>
      </c>
      <c r="I3351">
        <v>144184</v>
      </c>
      <c r="J3351">
        <v>5</v>
      </c>
      <c r="K3351">
        <v>7</v>
      </c>
      <c r="M3351" s="2" t="str">
        <f>HYPERLINK("http://maps.live.com/default.aspx?v=2&amp;lvl=15&amp;sp=adr.0 Boundary Lane nLot 2 (Unable to map),98177","Map")</f>
        <v>Map</v>
      </c>
      <c r="N3351" s="2" t="str">
        <f>HYPERLINK("http://i-0.rfimg.us/photo/1/bigphoto/873/28059873_.jpg","Photo")</f>
        <v>Photo</v>
      </c>
      <c r="AI3351" t="s">
        <v>395</v>
      </c>
      <c r="AJ3351">
        <v>98177</v>
      </c>
      <c r="AM3351" t="s">
        <v>1975</v>
      </c>
      <c r="BC3351" s="22">
        <v>39546.369560185187</v>
      </c>
      <c r="BI3351" s="22">
        <v>39549.294907407406</v>
      </c>
      <c r="BL3351">
        <v>111000</v>
      </c>
      <c r="BM3351">
        <v>1625817</v>
      </c>
      <c r="BN3351" t="s">
        <v>1674</v>
      </c>
      <c r="BO3351" s="17">
        <f t="shared" ca="1" si="52"/>
        <v>2.9398457175921067</v>
      </c>
      <c r="BP3351" t="b">
        <v>0</v>
      </c>
      <c r="BQ3351">
        <v>1</v>
      </c>
      <c r="BR3351" t="s">
        <v>1974</v>
      </c>
      <c r="BS3351" t="s">
        <v>1976</v>
      </c>
      <c r="BT3351" t="b">
        <v>0</v>
      </c>
      <c r="BV3351" t="s">
        <v>1668</v>
      </c>
      <c r="BW3351">
        <v>0</v>
      </c>
      <c r="BY3351">
        <v>0</v>
      </c>
      <c r="BZ3351" t="s">
        <v>1672</v>
      </c>
      <c r="CA3351">
        <v>1</v>
      </c>
      <c r="CB3351" t="b">
        <v>1</v>
      </c>
      <c r="CC3351">
        <v>0</v>
      </c>
      <c r="CD3351" t="b">
        <v>0</v>
      </c>
      <c r="CE3351" t="b">
        <v>1</v>
      </c>
      <c r="CF3351" t="b">
        <v>0</v>
      </c>
      <c r="CG3351" t="s">
        <v>1870</v>
      </c>
      <c r="CH3351" t="s">
        <v>1681</v>
      </c>
      <c r="CI3351" s="10">
        <v>5550000</v>
      </c>
    </row>
    <row r="3352" spans="1:88">
      <c r="A3352">
        <v>28059878</v>
      </c>
      <c r="B3352" s="2" t="str">
        <f>HYPERLINK("http://www.redfin.com/stingray/do/printable-listing?listing-id=1629113","Active")</f>
        <v>Active</v>
      </c>
      <c r="D3352" t="s">
        <v>207</v>
      </c>
      <c r="E3352" t="s">
        <v>7056</v>
      </c>
      <c r="F3352">
        <v>700000</v>
      </c>
      <c r="G3352">
        <v>1923</v>
      </c>
      <c r="H3352">
        <v>0</v>
      </c>
      <c r="I3352">
        <v>4480</v>
      </c>
      <c r="J3352">
        <v>4</v>
      </c>
      <c r="K3352">
        <v>2</v>
      </c>
      <c r="M3352" s="2" t="str">
        <f>HYPERLINK("http://maps.live.com/default.aspx?v=2&amp;lvl=15&amp;sp=Point.47.669093_-122.294202_5519 31 Ave NE&amp;cp=47.669093~-122.294202","Map")</f>
        <v>Map</v>
      </c>
      <c r="N3352" s="2" t="str">
        <f>HYPERLINK("http://i-0.rfimg.us/photo/1/bigphoto/878/28059878_2.jpg","Photo")</f>
        <v>Photo</v>
      </c>
      <c r="AG3352">
        <v>47.669092999999997</v>
      </c>
      <c r="AH3352">
        <v>-122.294202</v>
      </c>
      <c r="AI3352" t="s">
        <v>66</v>
      </c>
      <c r="AJ3352">
        <v>98105</v>
      </c>
      <c r="AN3352">
        <v>369300</v>
      </c>
      <c r="BC3352" s="22">
        <v>39547.369490740741</v>
      </c>
      <c r="BI3352" s="22">
        <v>39549.294907407406</v>
      </c>
      <c r="BL3352">
        <v>14000</v>
      </c>
      <c r="BM3352">
        <v>1629113</v>
      </c>
      <c r="BN3352" t="s">
        <v>1768</v>
      </c>
      <c r="BO3352" s="17">
        <f t="shared" ca="1" si="52"/>
        <v>1.9399151620382327</v>
      </c>
      <c r="BP3352" t="b">
        <v>0</v>
      </c>
      <c r="BQ3352">
        <v>1</v>
      </c>
      <c r="BR3352" t="s">
        <v>1667</v>
      </c>
      <c r="BS3352">
        <v>31</v>
      </c>
      <c r="BT3352" t="b">
        <v>0</v>
      </c>
      <c r="BV3352" t="s">
        <v>1668</v>
      </c>
      <c r="BW3352">
        <v>5519</v>
      </c>
      <c r="BX3352" t="s">
        <v>1738</v>
      </c>
      <c r="BY3352">
        <v>313096</v>
      </c>
      <c r="BZ3352" t="s">
        <v>1730</v>
      </c>
      <c r="CA3352">
        <v>1</v>
      </c>
      <c r="CB3352" t="b">
        <v>1</v>
      </c>
      <c r="CC3352">
        <v>0</v>
      </c>
      <c r="CD3352" t="b">
        <v>0</v>
      </c>
      <c r="CE3352" t="b">
        <v>1</v>
      </c>
      <c r="CF3352" t="b">
        <v>0</v>
      </c>
      <c r="CG3352">
        <v>2881301</v>
      </c>
      <c r="CH3352" t="s">
        <v>1681</v>
      </c>
      <c r="CI3352" s="10">
        <v>700000</v>
      </c>
      <c r="CJ3352" s="7">
        <v>36333</v>
      </c>
    </row>
    <row r="3353" spans="1:88">
      <c r="A3353">
        <v>28059882</v>
      </c>
      <c r="B3353" s="2" t="str">
        <f>HYPERLINK("http://www.redfin.com/stingray/do/printable-listing?listing-id=1623735","Active")</f>
        <v>Active</v>
      </c>
      <c r="D3353" t="s">
        <v>2552</v>
      </c>
      <c r="E3353" t="s">
        <v>6956</v>
      </c>
      <c r="F3353">
        <v>424950</v>
      </c>
      <c r="G3353">
        <v>2008</v>
      </c>
      <c r="H3353">
        <v>1450</v>
      </c>
      <c r="I3353">
        <v>0</v>
      </c>
      <c r="J3353">
        <v>3</v>
      </c>
      <c r="K3353">
        <v>3.5</v>
      </c>
      <c r="M3353" s="2" t="str">
        <f>HYPERLINK("http://maps.live.com/default.aspx?v=2&amp;lvl=15&amp;sp=Point.47.651205_-122.383195_3400 21st Ave W&amp;cp=47.651205~-122.383195","Map")</f>
        <v>Map</v>
      </c>
      <c r="N3353" s="2" t="str">
        <f>HYPERLINK("http://i-0.rfimg.us/photo/1/bigphoto/882/28059882_.jpg","Photo")</f>
        <v>Photo</v>
      </c>
      <c r="AG3353">
        <v>47.651204999999997</v>
      </c>
      <c r="AH3353">
        <v>-122.383195</v>
      </c>
      <c r="AI3353" t="s">
        <v>66</v>
      </c>
      <c r="AJ3353">
        <v>98199</v>
      </c>
      <c r="AN3353">
        <v>912500</v>
      </c>
      <c r="BC3353" s="22">
        <v>39545.611539351848</v>
      </c>
      <c r="BI3353" s="22">
        <v>39549.294907407406</v>
      </c>
      <c r="BL3353">
        <v>8499</v>
      </c>
      <c r="BM3353">
        <v>1623735</v>
      </c>
      <c r="BN3353" t="s">
        <v>1690</v>
      </c>
      <c r="BO3353" s="17">
        <f t="shared" ca="1" si="52"/>
        <v>3.6978665509304847</v>
      </c>
      <c r="BP3353" t="b">
        <v>0</v>
      </c>
      <c r="BQ3353">
        <v>1</v>
      </c>
      <c r="BR3353" t="s">
        <v>1667</v>
      </c>
      <c r="BS3353" t="s">
        <v>1903</v>
      </c>
      <c r="BT3353" t="b">
        <v>0</v>
      </c>
      <c r="BV3353" t="s">
        <v>1668</v>
      </c>
      <c r="BW3353">
        <v>3400</v>
      </c>
      <c r="BX3353" t="s">
        <v>2423</v>
      </c>
      <c r="BY3353">
        <v>2065197</v>
      </c>
      <c r="CA3353">
        <v>1</v>
      </c>
      <c r="CB3353" t="b">
        <v>1</v>
      </c>
      <c r="CC3353">
        <v>0</v>
      </c>
      <c r="CD3353" t="b">
        <v>0</v>
      </c>
      <c r="CE3353" t="b">
        <v>1</v>
      </c>
      <c r="CF3353" t="b">
        <v>0</v>
      </c>
      <c r="CG3353">
        <v>2442387</v>
      </c>
      <c r="CH3353" t="s">
        <v>1681</v>
      </c>
      <c r="CI3353" s="10">
        <v>424950</v>
      </c>
      <c r="CJ3353" s="7">
        <v>38958</v>
      </c>
    </row>
    <row r="3354" spans="1:88">
      <c r="A3354">
        <v>28059903</v>
      </c>
      <c r="B3354" s="2" t="str">
        <f>HYPERLINK("http://www.redfin.com/stingray/do/printable-listing?listing-id=1623729","Active")</f>
        <v>Active</v>
      </c>
      <c r="D3354" t="s">
        <v>3266</v>
      </c>
      <c r="E3354" t="s">
        <v>3260</v>
      </c>
      <c r="F3354">
        <v>475000</v>
      </c>
      <c r="G3354">
        <v>2003</v>
      </c>
      <c r="H3354">
        <v>1508</v>
      </c>
      <c r="I3354">
        <v>1135</v>
      </c>
      <c r="J3354">
        <v>2</v>
      </c>
      <c r="K3354">
        <v>1.5</v>
      </c>
      <c r="M3354" s="2" t="str">
        <f>HYPERLINK("http://maps.live.com/default.aspx?v=2&amp;lvl=15&amp;sp=Point.47.638365_-122.342918_2127 Waverly Pl N nB&amp;cp=47.638365~-122.342918","Map")</f>
        <v>Map</v>
      </c>
      <c r="N3354" s="2" t="str">
        <f>HYPERLINK("http://i-0.rfimg.us/photo/1/bigphoto/903/28059903_0.jpg","Photo")</f>
        <v>Photo</v>
      </c>
      <c r="AG3354">
        <v>47.638365</v>
      </c>
      <c r="AH3354">
        <v>-122.342918</v>
      </c>
      <c r="AI3354" t="s">
        <v>66</v>
      </c>
      <c r="AJ3354">
        <v>98109</v>
      </c>
      <c r="AM3354" t="s">
        <v>1699</v>
      </c>
      <c r="BC3354" s="22">
        <v>39545.611493055556</v>
      </c>
      <c r="BI3354" s="22">
        <v>39549.294907407406</v>
      </c>
      <c r="BL3354">
        <v>9500</v>
      </c>
      <c r="BM3354">
        <v>1623729</v>
      </c>
      <c r="BN3354" t="s">
        <v>1678</v>
      </c>
      <c r="BO3354" s="17">
        <f t="shared" ca="1" si="52"/>
        <v>3.6979128472230514</v>
      </c>
      <c r="BP3354" t="b">
        <v>0</v>
      </c>
      <c r="BQ3354">
        <v>1</v>
      </c>
      <c r="BR3354" t="s">
        <v>1842</v>
      </c>
      <c r="BS3354" t="s">
        <v>3261</v>
      </c>
      <c r="BT3354" t="b">
        <v>0</v>
      </c>
      <c r="BV3354" t="s">
        <v>1668</v>
      </c>
      <c r="BW3354">
        <v>2127</v>
      </c>
      <c r="BX3354" t="s">
        <v>1712</v>
      </c>
      <c r="BY3354">
        <v>12328296</v>
      </c>
      <c r="BZ3354" t="s">
        <v>1713</v>
      </c>
      <c r="CA3354">
        <v>1</v>
      </c>
      <c r="CB3354" t="b">
        <v>1</v>
      </c>
      <c r="CC3354">
        <v>0</v>
      </c>
      <c r="CD3354" t="b">
        <v>0</v>
      </c>
      <c r="CE3354" t="b">
        <v>1</v>
      </c>
      <c r="CF3354" t="b">
        <v>0</v>
      </c>
      <c r="CG3354">
        <v>15534306</v>
      </c>
      <c r="CH3354" t="s">
        <v>1681</v>
      </c>
      <c r="CI3354" s="10">
        <v>475000</v>
      </c>
    </row>
    <row r="3355" spans="1:88">
      <c r="A3355">
        <v>28059931</v>
      </c>
      <c r="B3355" s="2" t="str">
        <f>HYPERLINK("http://www.redfin.com/stingray/do/printable-listing?listing-id=1623919","Active")</f>
        <v>Active</v>
      </c>
      <c r="D3355" t="s">
        <v>66</v>
      </c>
      <c r="E3355" t="s">
        <v>6950</v>
      </c>
      <c r="F3355">
        <v>399888</v>
      </c>
      <c r="G3355">
        <v>2001</v>
      </c>
      <c r="H3355">
        <v>1860</v>
      </c>
      <c r="I3355">
        <v>0</v>
      </c>
      <c r="J3355">
        <v>3</v>
      </c>
      <c r="K3355">
        <v>3.5</v>
      </c>
      <c r="M3355" s="2" t="str">
        <f>HYPERLINK("http://maps.live.com/default.aspx?v=2&amp;lvl=15&amp;sp=Point.47.718537_-122.313795_12326 14th Ave NE nB&amp;cp=47.718537~-122.313795","Map")</f>
        <v>Map</v>
      </c>
      <c r="N3355" s="2" t="str">
        <f>HYPERLINK("http://i-0.rfimg.us/photo/1/bigphoto/931/28059931_0.jpg","Photo")</f>
        <v>Photo</v>
      </c>
      <c r="AG3355">
        <v>47.718536999999998</v>
      </c>
      <c r="AH3355">
        <v>-122.313795</v>
      </c>
      <c r="AI3355" t="s">
        <v>66</v>
      </c>
      <c r="AJ3355">
        <v>98125</v>
      </c>
      <c r="AM3355" t="s">
        <v>1699</v>
      </c>
      <c r="BC3355" s="22">
        <v>39545.653460648151</v>
      </c>
      <c r="BI3355" s="22">
        <v>39549.294907407406</v>
      </c>
      <c r="BL3355">
        <v>7998</v>
      </c>
      <c r="BM3355">
        <v>1623919</v>
      </c>
      <c r="BN3355" t="s">
        <v>1746</v>
      </c>
      <c r="BO3355" s="17">
        <f t="shared" ca="1" si="52"/>
        <v>3.6559452546280227</v>
      </c>
      <c r="BP3355" t="b">
        <v>0</v>
      </c>
      <c r="BQ3355">
        <v>1</v>
      </c>
      <c r="BR3355" t="s">
        <v>1667</v>
      </c>
      <c r="BS3355" t="s">
        <v>1900</v>
      </c>
      <c r="BT3355" t="b">
        <v>0</v>
      </c>
      <c r="BV3355" t="s">
        <v>1668</v>
      </c>
      <c r="BW3355">
        <v>12326</v>
      </c>
      <c r="BX3355" t="s">
        <v>1738</v>
      </c>
      <c r="BY3355">
        <v>12438527</v>
      </c>
      <c r="BZ3355" t="s">
        <v>1672</v>
      </c>
      <c r="CA3355">
        <v>1</v>
      </c>
      <c r="CB3355" t="b">
        <v>1</v>
      </c>
      <c r="CC3355">
        <v>0</v>
      </c>
      <c r="CD3355" t="b">
        <v>0</v>
      </c>
      <c r="CE3355" t="b">
        <v>1</v>
      </c>
      <c r="CF3355" t="b">
        <v>0</v>
      </c>
      <c r="CG3355">
        <v>15642275</v>
      </c>
      <c r="CH3355" t="s">
        <v>1681</v>
      </c>
      <c r="CI3355" s="10">
        <v>399888</v>
      </c>
    </row>
    <row r="3356" spans="1:88">
      <c r="A3356">
        <v>28059937</v>
      </c>
      <c r="B3356" s="2" t="str">
        <f>HYPERLINK("http://www.redfin.com/stingray/do/printable-listing?listing-id=1623790","Active")</f>
        <v>Active</v>
      </c>
      <c r="D3356" t="s">
        <v>88</v>
      </c>
      <c r="E3356" t="s">
        <v>6943</v>
      </c>
      <c r="F3356">
        <v>790000</v>
      </c>
      <c r="G3356">
        <v>1906</v>
      </c>
      <c r="H3356">
        <v>3000</v>
      </c>
      <c r="I3356">
        <v>5000</v>
      </c>
      <c r="J3356">
        <v>4</v>
      </c>
      <c r="K3356">
        <v>2.75</v>
      </c>
      <c r="M3356" s="2" t="str">
        <f>HYPERLINK("http://maps.live.com/default.aspx?v=2&amp;lvl=15&amp;sp=Point.47.673386_-122.351836_520 N 61st St&amp;cp=47.673386~-122.351836","Map")</f>
        <v>Map</v>
      </c>
      <c r="N3356" s="2" t="str">
        <f>HYPERLINK("http://i-0.rfimg.us/photo/1/bigphoto/937/28059937_0.jpg","Photo")</f>
        <v>Photo</v>
      </c>
      <c r="AG3356">
        <v>47.673386000000001</v>
      </c>
      <c r="AH3356">
        <v>-122.35183600000001</v>
      </c>
      <c r="AI3356" t="s">
        <v>66</v>
      </c>
      <c r="AJ3356">
        <v>98103</v>
      </c>
      <c r="AN3356">
        <v>735000</v>
      </c>
      <c r="BC3356" s="22">
        <v>39545.621168981481</v>
      </c>
      <c r="BI3356" s="22">
        <v>39549.294907407406</v>
      </c>
      <c r="BL3356">
        <v>15800</v>
      </c>
      <c r="BM3356">
        <v>1623790</v>
      </c>
      <c r="BN3356" t="s">
        <v>1823</v>
      </c>
      <c r="BO3356" s="17">
        <f t="shared" ca="1" si="52"/>
        <v>3.6882369212980848</v>
      </c>
      <c r="BP3356" t="b">
        <v>0</v>
      </c>
      <c r="BQ3356">
        <v>1</v>
      </c>
      <c r="BR3356" t="s">
        <v>1686</v>
      </c>
      <c r="BS3356" t="s">
        <v>2431</v>
      </c>
      <c r="BT3356" t="b">
        <v>0</v>
      </c>
      <c r="BU3356" t="s">
        <v>1712</v>
      </c>
      <c r="BV3356" t="s">
        <v>1668</v>
      </c>
      <c r="BW3356">
        <v>520</v>
      </c>
      <c r="BY3356">
        <v>299037</v>
      </c>
      <c r="BZ3356" t="s">
        <v>1672</v>
      </c>
      <c r="CA3356">
        <v>1</v>
      </c>
      <c r="CB3356" t="b">
        <v>1</v>
      </c>
      <c r="CC3356">
        <v>0</v>
      </c>
      <c r="CD3356" t="b">
        <v>0</v>
      </c>
      <c r="CE3356" t="b">
        <v>1</v>
      </c>
      <c r="CF3356" t="b">
        <v>0</v>
      </c>
      <c r="CG3356">
        <v>2434836</v>
      </c>
      <c r="CH3356" t="s">
        <v>1681</v>
      </c>
      <c r="CI3356" s="10">
        <v>790000</v>
      </c>
      <c r="CJ3356" s="7">
        <v>39125</v>
      </c>
    </row>
    <row r="3357" spans="1:88">
      <c r="A3357">
        <v>28059951</v>
      </c>
      <c r="B3357" s="2" t="str">
        <f>HYPERLINK("http://www.redfin.com/stingray/do/printable-listing?listing-id=1628695","Active")</f>
        <v>Active</v>
      </c>
      <c r="D3357" t="s">
        <v>88</v>
      </c>
      <c r="E3357" t="s">
        <v>7053</v>
      </c>
      <c r="F3357">
        <v>600000</v>
      </c>
      <c r="G3357">
        <v>1918</v>
      </c>
      <c r="H3357">
        <v>1920</v>
      </c>
      <c r="I3357">
        <v>3500</v>
      </c>
      <c r="J3357">
        <v>3</v>
      </c>
      <c r="K3357">
        <v>1.75</v>
      </c>
      <c r="M3357" s="2" t="str">
        <f>HYPERLINK("http://maps.live.com/default.aspx?v=2&amp;lvl=15&amp;sp=Point.47.672236_-122.352422_509 N 60th St&amp;cp=47.672236~-122.352422","Map")</f>
        <v>Map</v>
      </c>
      <c r="N3357" s="2" t="str">
        <f>HYPERLINK("http://i-0.rfimg.us/photo/1/bigphoto/951/28059951_0.jpg","Photo")</f>
        <v>Photo</v>
      </c>
      <c r="AG3357">
        <v>47.672235999999998</v>
      </c>
      <c r="AH3357">
        <v>-122.352422</v>
      </c>
      <c r="AI3357" t="s">
        <v>66</v>
      </c>
      <c r="AJ3357">
        <v>98103</v>
      </c>
      <c r="AN3357">
        <v>465000</v>
      </c>
      <c r="BC3357" s="22">
        <v>39547.246631944443</v>
      </c>
      <c r="BI3357" s="22">
        <v>39549.294907407406</v>
      </c>
      <c r="BL3357">
        <v>12000</v>
      </c>
      <c r="BM3357">
        <v>1628695</v>
      </c>
      <c r="BN3357" t="s">
        <v>1678</v>
      </c>
      <c r="BO3357" s="17">
        <f t="shared" ca="1" si="52"/>
        <v>2.062773958336038</v>
      </c>
      <c r="BP3357" t="b">
        <v>0</v>
      </c>
      <c r="BQ3357">
        <v>1</v>
      </c>
      <c r="BR3357" t="s">
        <v>1686</v>
      </c>
      <c r="BS3357" t="s">
        <v>2417</v>
      </c>
      <c r="BT3357" t="b">
        <v>0</v>
      </c>
      <c r="BU3357" t="s">
        <v>1712</v>
      </c>
      <c r="BV3357" t="s">
        <v>1668</v>
      </c>
      <c r="BW3357">
        <v>509</v>
      </c>
      <c r="BY3357">
        <v>299551</v>
      </c>
      <c r="BZ3357" t="s">
        <v>1672</v>
      </c>
      <c r="CA3357">
        <v>1</v>
      </c>
      <c r="CB3357" t="b">
        <v>1</v>
      </c>
      <c r="CC3357">
        <v>0</v>
      </c>
      <c r="CD3357" t="b">
        <v>0</v>
      </c>
      <c r="CE3357" t="b">
        <v>1</v>
      </c>
      <c r="CF3357" t="b">
        <v>0</v>
      </c>
      <c r="CG3357">
        <v>2583247</v>
      </c>
      <c r="CH3357" t="s">
        <v>1681</v>
      </c>
      <c r="CI3357" s="10">
        <v>600000</v>
      </c>
      <c r="CJ3357" s="7">
        <v>38223</v>
      </c>
    </row>
    <row r="3358" spans="1:88">
      <c r="A3358">
        <v>28059962</v>
      </c>
      <c r="B3358" s="2" t="str">
        <f>HYPERLINK("http://www.redfin.com/stingray/do/printable-listing?listing-id=1623891","Active")</f>
        <v>Active</v>
      </c>
      <c r="D3358" t="s">
        <v>63</v>
      </c>
      <c r="E3358" t="s">
        <v>2542</v>
      </c>
      <c r="F3358">
        <v>520000</v>
      </c>
      <c r="G3358">
        <v>1900</v>
      </c>
      <c r="H3358">
        <v>2010</v>
      </c>
      <c r="I3358">
        <v>3900</v>
      </c>
      <c r="J3358">
        <v>3</v>
      </c>
      <c r="K3358">
        <v>1.5</v>
      </c>
      <c r="M3358" s="2" t="str">
        <f>HYPERLINK("http://maps.live.com/default.aspx?v=2&amp;lvl=15&amp;sp=Point.47.671062_-122.37859_1552 NW 58 St&amp;cp=47.671062~-122.37859","Map")</f>
        <v>Map</v>
      </c>
      <c r="N3358" s="2" t="str">
        <f>HYPERLINK("http://i-0.rfimg.us/photo/1/bigphoto/962/28059962_0.jpg","Photo")</f>
        <v>Photo</v>
      </c>
      <c r="AG3358">
        <v>47.671061999999999</v>
      </c>
      <c r="AH3358">
        <v>-122.37859</v>
      </c>
      <c r="AI3358" t="s">
        <v>66</v>
      </c>
      <c r="AJ3358">
        <v>98107</v>
      </c>
      <c r="AN3358">
        <v>173630</v>
      </c>
      <c r="BC3358" s="22">
        <v>39545.64230324074</v>
      </c>
      <c r="BI3358" s="22">
        <v>39549.294907407406</v>
      </c>
      <c r="BL3358">
        <v>10400</v>
      </c>
      <c r="BM3358">
        <v>1623891</v>
      </c>
      <c r="BN3358" t="s">
        <v>1718</v>
      </c>
      <c r="BO3358" s="17">
        <f t="shared" ca="1" si="52"/>
        <v>3.6671026620388147</v>
      </c>
      <c r="BP3358" t="b">
        <v>0</v>
      </c>
      <c r="BQ3358">
        <v>1</v>
      </c>
      <c r="BR3358" t="s">
        <v>1686</v>
      </c>
      <c r="BS3358">
        <v>58</v>
      </c>
      <c r="BT3358" t="b">
        <v>0</v>
      </c>
      <c r="BU3358" t="s">
        <v>1669</v>
      </c>
      <c r="BV3358" t="s">
        <v>1668</v>
      </c>
      <c r="BW3358">
        <v>1552</v>
      </c>
      <c r="BY3358">
        <v>493671</v>
      </c>
      <c r="BZ3358" s="21">
        <v>0</v>
      </c>
      <c r="CA3358">
        <v>1</v>
      </c>
      <c r="CB3358" t="b">
        <v>1</v>
      </c>
      <c r="CC3358">
        <v>0</v>
      </c>
      <c r="CD3358" t="b">
        <v>0</v>
      </c>
      <c r="CE3358" t="b">
        <v>1</v>
      </c>
      <c r="CF3358" t="b">
        <v>0</v>
      </c>
      <c r="CG3358">
        <v>2644264</v>
      </c>
      <c r="CH3358" t="s">
        <v>1681</v>
      </c>
      <c r="CI3358" s="10">
        <v>520000</v>
      </c>
      <c r="CJ3358" s="7">
        <v>35913</v>
      </c>
    </row>
    <row r="3359" spans="1:88">
      <c r="A3359">
        <v>28059996</v>
      </c>
      <c r="B3359" s="2" t="str">
        <f>HYPERLINK("http://www.redfin.com/stingray/do/printable-listing?listing-id=1623874","Active")</f>
        <v>Active</v>
      </c>
      <c r="D3359" t="s">
        <v>218</v>
      </c>
      <c r="E3359" t="s">
        <v>6954</v>
      </c>
      <c r="F3359">
        <v>938800</v>
      </c>
      <c r="G3359">
        <v>2008</v>
      </c>
      <c r="H3359">
        <v>3430</v>
      </c>
      <c r="I3359">
        <v>0</v>
      </c>
      <c r="J3359">
        <v>3</v>
      </c>
      <c r="K3359">
        <v>2</v>
      </c>
      <c r="M3359" s="2" t="str">
        <f>HYPERLINK("http://maps.live.com/default.aspx?v=2&amp;lvl=15&amp;sp=Point.47.682549_-122.305093_7318 21st Ave NE&amp;cp=47.682549~-122.305093","Map")</f>
        <v>Map</v>
      </c>
      <c r="N3359" s="2" t="str">
        <f>HYPERLINK("http://i-0.rfimg.us/photo/1/bigphoto/996/28059996_.jpg","Photo")</f>
        <v>Photo</v>
      </c>
      <c r="AG3359">
        <v>47.682549000000002</v>
      </c>
      <c r="AH3359">
        <v>-122.305093</v>
      </c>
      <c r="AI3359" t="s">
        <v>66</v>
      </c>
      <c r="AJ3359">
        <v>98115</v>
      </c>
      <c r="BC3359" s="22">
        <v>39545.642152777778</v>
      </c>
      <c r="BI3359" s="22">
        <v>39549.294907407406</v>
      </c>
      <c r="BL3359">
        <v>18776</v>
      </c>
      <c r="BM3359">
        <v>1623874</v>
      </c>
      <c r="BN3359" t="s">
        <v>1685</v>
      </c>
      <c r="BO3359" s="17">
        <f t="shared" ca="1" si="52"/>
        <v>3.6672531250005704</v>
      </c>
      <c r="BP3359" t="b">
        <v>0</v>
      </c>
      <c r="BQ3359">
        <v>1</v>
      </c>
      <c r="BR3359" t="s">
        <v>1667</v>
      </c>
      <c r="BS3359" t="s">
        <v>1903</v>
      </c>
      <c r="BT3359" t="b">
        <v>0</v>
      </c>
      <c r="BV3359" t="s">
        <v>1668</v>
      </c>
      <c r="BW3359">
        <v>7318</v>
      </c>
      <c r="BX3359" t="s">
        <v>1738</v>
      </c>
      <c r="BY3359">
        <v>12438516</v>
      </c>
      <c r="CA3359">
        <v>1</v>
      </c>
      <c r="CB3359" t="b">
        <v>1</v>
      </c>
      <c r="CC3359">
        <v>0</v>
      </c>
      <c r="CD3359" t="b">
        <v>0</v>
      </c>
      <c r="CE3359" t="b">
        <v>1</v>
      </c>
      <c r="CF3359" t="b">
        <v>0</v>
      </c>
      <c r="CG3359">
        <v>15642264</v>
      </c>
      <c r="CH3359" t="s">
        <v>1681</v>
      </c>
      <c r="CI3359" s="10">
        <v>938800</v>
      </c>
    </row>
    <row r="3360" spans="1:88">
      <c r="A3360">
        <v>28060018</v>
      </c>
      <c r="B3360" s="2" t="str">
        <f>HYPERLINK("http://www.redfin.com/stingray/do/printable-listing?listing-id=1623992","Active")</f>
        <v>Active</v>
      </c>
      <c r="D3360" t="s">
        <v>4542</v>
      </c>
      <c r="E3360" t="s">
        <v>6978</v>
      </c>
      <c r="F3360">
        <v>615500</v>
      </c>
      <c r="G3360">
        <v>1952</v>
      </c>
      <c r="H3360">
        <v>1540</v>
      </c>
      <c r="I3360">
        <v>0</v>
      </c>
      <c r="J3360">
        <v>3</v>
      </c>
      <c r="K3360">
        <v>2</v>
      </c>
      <c r="M3360" s="2" t="str">
        <f>HYPERLINK("http://maps.live.com/default.aspx?v=2&amp;lvl=15&amp;sp=Point.47.680937_-122.202892_314 7th Ave&amp;cp=47.680937~-122.202892","Map")</f>
        <v>Map</v>
      </c>
      <c r="N3360" s="2" t="str">
        <f>HYPERLINK("http://i-0.rfimg.us/photo/1/bigphoto/018/28060018_3.jpg","Photo")</f>
        <v>Photo</v>
      </c>
      <c r="AG3360">
        <v>47.680937</v>
      </c>
      <c r="AH3360">
        <v>-122.20289200000001</v>
      </c>
      <c r="AI3360" t="s">
        <v>1058</v>
      </c>
      <c r="AJ3360">
        <v>98033</v>
      </c>
      <c r="AN3360">
        <v>240000</v>
      </c>
      <c r="BC3360" s="22">
        <v>39545.674826388888</v>
      </c>
      <c r="BI3360" s="22">
        <v>39549.294907407406</v>
      </c>
      <c r="BL3360">
        <v>12310</v>
      </c>
      <c r="BM3360">
        <v>1623992</v>
      </c>
      <c r="BN3360" t="s">
        <v>3329</v>
      </c>
      <c r="BO3360" s="17">
        <f t="shared" ca="1" si="52"/>
        <v>3.6345795138913672</v>
      </c>
      <c r="BP3360" t="b">
        <v>0</v>
      </c>
      <c r="BQ3360">
        <v>1</v>
      </c>
      <c r="BR3360" t="s">
        <v>1667</v>
      </c>
      <c r="BS3360" t="s">
        <v>1859</v>
      </c>
      <c r="BT3360" t="b">
        <v>0</v>
      </c>
      <c r="BV3360" t="s">
        <v>1668</v>
      </c>
      <c r="BW3360">
        <v>314</v>
      </c>
      <c r="BY3360">
        <v>461402</v>
      </c>
      <c r="BZ3360" t="s">
        <v>6979</v>
      </c>
      <c r="CA3360">
        <v>1</v>
      </c>
      <c r="CB3360" t="b">
        <v>1</v>
      </c>
      <c r="CC3360">
        <v>0</v>
      </c>
      <c r="CD3360" t="b">
        <v>0</v>
      </c>
      <c r="CE3360" t="b">
        <v>1</v>
      </c>
      <c r="CF3360" t="b">
        <v>0</v>
      </c>
      <c r="CG3360">
        <v>2616798</v>
      </c>
      <c r="CH3360" t="s">
        <v>1681</v>
      </c>
      <c r="CI3360" s="10">
        <v>615500</v>
      </c>
      <c r="CJ3360" s="7">
        <v>37474</v>
      </c>
    </row>
    <row r="3361" spans="1:90">
      <c r="A3361">
        <v>28060042</v>
      </c>
      <c r="B3361" s="2" t="str">
        <f>HYPERLINK("http://www.redfin.com/stingray/do/printable-listing?listing-id=1624171","Active")</f>
        <v>Active</v>
      </c>
      <c r="D3361" t="s">
        <v>3839</v>
      </c>
      <c r="E3361" t="s">
        <v>6991</v>
      </c>
      <c r="F3361">
        <v>1075000</v>
      </c>
      <c r="G3361">
        <v>2008</v>
      </c>
      <c r="H3361">
        <v>3860</v>
      </c>
      <c r="I3361">
        <v>0</v>
      </c>
      <c r="J3361">
        <v>4</v>
      </c>
      <c r="K3361">
        <v>3.5</v>
      </c>
      <c r="M3361" s="2" t="str">
        <f>HYPERLINK("http://maps.live.com/default.aspx?v=2&amp;lvl=15&amp;sp=Point.47.506537_-122.149168_5214 NE 16th St&amp;cp=47.506537~-122.149168","Map")</f>
        <v>Map</v>
      </c>
      <c r="N3361" s="2" t="str">
        <f>HYPERLINK("http://i-0.rfimg.us/photo/1/bigphoto/042/28060042_0.jpg","Photo")</f>
        <v>Photo</v>
      </c>
      <c r="AG3361">
        <v>47.506537000000002</v>
      </c>
      <c r="AH3361">
        <v>-122.149168</v>
      </c>
      <c r="AI3361" t="s">
        <v>1077</v>
      </c>
      <c r="AJ3361">
        <v>98059</v>
      </c>
      <c r="BC3361" s="22">
        <v>39545.695057870369</v>
      </c>
      <c r="BI3361" s="22">
        <v>39549.294907407406</v>
      </c>
      <c r="BL3361">
        <v>21500</v>
      </c>
      <c r="BM3361">
        <v>1624171</v>
      </c>
      <c r="BN3361" t="s">
        <v>3236</v>
      </c>
      <c r="BO3361" s="17">
        <f t="shared" ca="1" si="52"/>
        <v>3.6143480324099073</v>
      </c>
      <c r="BP3361" t="b">
        <v>0</v>
      </c>
      <c r="BQ3361">
        <v>1</v>
      </c>
      <c r="BR3361" t="s">
        <v>1686</v>
      </c>
      <c r="BS3361" t="s">
        <v>1695</v>
      </c>
      <c r="BT3361" t="b">
        <v>0</v>
      </c>
      <c r="BU3361" t="s">
        <v>1738</v>
      </c>
      <c r="BV3361" t="s">
        <v>1668</v>
      </c>
      <c r="BW3361">
        <v>5214</v>
      </c>
      <c r="BY3361">
        <v>12438564</v>
      </c>
      <c r="BZ3361" s="21">
        <v>0</v>
      </c>
      <c r="CA3361">
        <v>1</v>
      </c>
      <c r="CB3361" t="b">
        <v>1</v>
      </c>
      <c r="CC3361">
        <v>0</v>
      </c>
      <c r="CD3361" t="b">
        <v>0</v>
      </c>
      <c r="CE3361" t="b">
        <v>1</v>
      </c>
      <c r="CF3361" t="b">
        <v>0</v>
      </c>
      <c r="CG3361">
        <v>15642312</v>
      </c>
      <c r="CH3361" t="s">
        <v>1681</v>
      </c>
      <c r="CI3361" s="10">
        <v>1075000</v>
      </c>
    </row>
    <row r="3362" spans="1:90">
      <c r="A3362">
        <v>28060048</v>
      </c>
      <c r="B3362" s="2" t="str">
        <f>HYPERLINK("http://www.redfin.com/stingray/do/printable-listing?listing-id=1624175","Active")</f>
        <v>Active</v>
      </c>
      <c r="D3362" t="s">
        <v>194</v>
      </c>
      <c r="E3362" t="s">
        <v>6955</v>
      </c>
      <c r="F3362">
        <v>1098500</v>
      </c>
      <c r="G3362">
        <v>2008</v>
      </c>
      <c r="H3362">
        <v>3740</v>
      </c>
      <c r="I3362">
        <v>0</v>
      </c>
      <c r="J3362">
        <v>4</v>
      </c>
      <c r="K3362">
        <v>3.25</v>
      </c>
      <c r="M3362" s="2" t="str">
        <f>HYPERLINK("http://maps.live.com/default.aspx?v=2&amp;lvl=15&amp;sp=Point.47.682259_-122.291867_7335 34 Ave NE&amp;cp=47.682259~-122.291867","Map")</f>
        <v>Map</v>
      </c>
      <c r="N3362" s="2" t="str">
        <f>HYPERLINK("http://i-0.rfimg.us/photo/1/bigphoto/048/28060048_0.jpg","Photo")</f>
        <v>Photo</v>
      </c>
      <c r="AG3362">
        <v>47.682259000000002</v>
      </c>
      <c r="AH3362">
        <v>-122.291867</v>
      </c>
      <c r="AI3362" t="s">
        <v>66</v>
      </c>
      <c r="AJ3362">
        <v>98115</v>
      </c>
      <c r="AN3362">
        <v>700000</v>
      </c>
      <c r="BC3362" s="22">
        <v>39545.695092592592</v>
      </c>
      <c r="BI3362" s="22">
        <v>39549.294907407406</v>
      </c>
      <c r="BL3362">
        <v>21970</v>
      </c>
      <c r="BM3362">
        <v>1624175</v>
      </c>
      <c r="BN3362" t="s">
        <v>1737</v>
      </c>
      <c r="BO3362" s="17">
        <f t="shared" ca="1" si="52"/>
        <v>3.6143133101868443</v>
      </c>
      <c r="BP3362" t="b">
        <v>0</v>
      </c>
      <c r="BQ3362">
        <v>1</v>
      </c>
      <c r="BR3362" t="s">
        <v>1667</v>
      </c>
      <c r="BS3362">
        <v>34</v>
      </c>
      <c r="BT3362" t="b">
        <v>0</v>
      </c>
      <c r="BV3362" t="s">
        <v>1668</v>
      </c>
      <c r="BW3362">
        <v>7335</v>
      </c>
      <c r="BX3362" t="s">
        <v>1738</v>
      </c>
      <c r="BY3362">
        <v>314762</v>
      </c>
      <c r="BZ3362" t="s">
        <v>1713</v>
      </c>
      <c r="CA3362">
        <v>1</v>
      </c>
      <c r="CB3362" t="b">
        <v>1</v>
      </c>
      <c r="CC3362">
        <v>0</v>
      </c>
      <c r="CD3362" t="b">
        <v>0</v>
      </c>
      <c r="CE3362" t="b">
        <v>1</v>
      </c>
      <c r="CF3362" t="b">
        <v>0</v>
      </c>
      <c r="CG3362">
        <v>2526874</v>
      </c>
      <c r="CH3362" t="s">
        <v>1681</v>
      </c>
      <c r="CI3362" s="10">
        <v>1098500</v>
      </c>
      <c r="CJ3362" s="7">
        <v>38924</v>
      </c>
    </row>
    <row r="3363" spans="1:90">
      <c r="A3363">
        <v>28060054</v>
      </c>
      <c r="B3363" s="2" t="str">
        <f>HYPERLINK("http://www.redfin.com/stingray/do/printable-listing?listing-id=1626932","Active")</f>
        <v>Active</v>
      </c>
      <c r="D3363" t="s">
        <v>3885</v>
      </c>
      <c r="E3363" t="s">
        <v>5730</v>
      </c>
      <c r="F3363">
        <v>549950</v>
      </c>
      <c r="G3363">
        <v>1993</v>
      </c>
      <c r="H3363">
        <v>2330</v>
      </c>
      <c r="I3363">
        <v>6200</v>
      </c>
      <c r="J3363">
        <v>4</v>
      </c>
      <c r="K3363">
        <v>2.75</v>
      </c>
      <c r="M3363" s="2" t="str">
        <f>HYPERLINK("http://maps.live.com/default.aspx?v=2&amp;lvl=15&amp;sp=Point.47.540434_-122.18646_11509 SE 70th St&amp;cp=47.540434~-122.18646","Map")</f>
        <v>Map</v>
      </c>
      <c r="N3363" s="2" t="str">
        <f>HYPERLINK("http://i-0.rfimg.us/photo/1/bigphoto/054/28060054_1.jpg","Photo")</f>
        <v>Photo</v>
      </c>
      <c r="AG3363">
        <v>47.540433999999998</v>
      </c>
      <c r="AH3363">
        <v>-122.18646</v>
      </c>
      <c r="AI3363" t="s">
        <v>3885</v>
      </c>
      <c r="AJ3363">
        <v>98056</v>
      </c>
      <c r="AN3363">
        <v>335000</v>
      </c>
      <c r="BC3363" s="22">
        <v>39546.572731481479</v>
      </c>
      <c r="BI3363" s="22">
        <v>39549.294907407406</v>
      </c>
      <c r="BL3363">
        <v>10999</v>
      </c>
      <c r="BM3363">
        <v>1626932</v>
      </c>
      <c r="BN3363" t="s">
        <v>1768</v>
      </c>
      <c r="BO3363" s="17">
        <f t="shared" ca="1" si="52"/>
        <v>2.73667442129954</v>
      </c>
      <c r="BP3363" t="b">
        <v>0</v>
      </c>
      <c r="BQ3363">
        <v>1</v>
      </c>
      <c r="BR3363" t="s">
        <v>1686</v>
      </c>
      <c r="BS3363" t="s">
        <v>1703</v>
      </c>
      <c r="BT3363" t="b">
        <v>0</v>
      </c>
      <c r="BU3363" t="s">
        <v>3856</v>
      </c>
      <c r="BV3363" t="s">
        <v>1668</v>
      </c>
      <c r="BW3363">
        <v>11509</v>
      </c>
      <c r="BY3363">
        <v>413502</v>
      </c>
      <c r="BZ3363" t="s">
        <v>1820</v>
      </c>
      <c r="CA3363">
        <v>1</v>
      </c>
      <c r="CB3363" t="b">
        <v>1</v>
      </c>
      <c r="CC3363">
        <v>0</v>
      </c>
      <c r="CD3363" t="b">
        <v>0</v>
      </c>
      <c r="CE3363" t="b">
        <v>1</v>
      </c>
      <c r="CF3363" t="b">
        <v>0</v>
      </c>
      <c r="CG3363">
        <v>2480340</v>
      </c>
      <c r="CH3363" t="s">
        <v>1681</v>
      </c>
      <c r="CI3363" s="10">
        <v>549950</v>
      </c>
      <c r="CJ3363" s="7">
        <v>36362</v>
      </c>
    </row>
    <row r="3364" spans="1:90">
      <c r="A3364">
        <v>28060071</v>
      </c>
      <c r="B3364" s="2" t="str">
        <f>HYPERLINK("http://www.redfin.com/stingray/do/printable-listing?listing-id=1624288","Active")</f>
        <v>Active</v>
      </c>
      <c r="D3364" t="s">
        <v>2850</v>
      </c>
      <c r="E3364" t="s">
        <v>6975</v>
      </c>
      <c r="F3364">
        <v>699950</v>
      </c>
      <c r="G3364">
        <v>1977</v>
      </c>
      <c r="H3364">
        <v>2460</v>
      </c>
      <c r="I3364">
        <v>26136</v>
      </c>
      <c r="J3364">
        <v>3</v>
      </c>
      <c r="K3364">
        <v>2.5</v>
      </c>
      <c r="M3364" s="2" t="str">
        <f>HYPERLINK("http://maps.live.com/default.aspx?v=2&amp;lvl=15&amp;sp=Point.47.702468_-122.236067_11405 80th Ave NE&amp;cp=47.702468~-122.236067","Map")</f>
        <v>Map</v>
      </c>
      <c r="N3364" s="2" t="str">
        <f>HYPERLINK("http://i-0.rfimg.us/photo/1/bigphoto/071/28060071_0.jpg","Photo")</f>
        <v>Photo</v>
      </c>
      <c r="AG3364">
        <v>47.702468000000003</v>
      </c>
      <c r="AH3364">
        <v>-122.23606700000001</v>
      </c>
      <c r="AI3364" t="s">
        <v>1058</v>
      </c>
      <c r="AJ3364">
        <v>98034</v>
      </c>
      <c r="AN3364">
        <v>600000</v>
      </c>
      <c r="BC3364" s="22">
        <v>39545.736701388887</v>
      </c>
      <c r="BI3364" s="22">
        <v>39549.294907407406</v>
      </c>
      <c r="BL3364">
        <v>13999</v>
      </c>
      <c r="BM3364">
        <v>1624288</v>
      </c>
      <c r="BN3364" t="s">
        <v>5249</v>
      </c>
      <c r="BO3364" s="17">
        <f t="shared" ca="1" si="52"/>
        <v>3.5727045138919493</v>
      </c>
      <c r="BP3364" t="b">
        <v>0</v>
      </c>
      <c r="BQ3364">
        <v>1</v>
      </c>
      <c r="BR3364" t="s">
        <v>1667</v>
      </c>
      <c r="BS3364" t="s">
        <v>1711</v>
      </c>
      <c r="BT3364" t="b">
        <v>0</v>
      </c>
      <c r="BV3364" t="s">
        <v>1668</v>
      </c>
      <c r="BW3364">
        <v>11405</v>
      </c>
      <c r="BX3364" t="s">
        <v>1738</v>
      </c>
      <c r="BY3364">
        <v>280748</v>
      </c>
      <c r="BZ3364" t="s">
        <v>1741</v>
      </c>
      <c r="CA3364">
        <v>1</v>
      </c>
      <c r="CB3364" t="b">
        <v>1</v>
      </c>
      <c r="CC3364">
        <v>0</v>
      </c>
      <c r="CD3364" t="b">
        <v>0</v>
      </c>
      <c r="CE3364" t="b">
        <v>1</v>
      </c>
      <c r="CF3364" t="b">
        <v>0</v>
      </c>
      <c r="CG3364">
        <v>2680009</v>
      </c>
      <c r="CH3364" t="s">
        <v>1681</v>
      </c>
      <c r="CI3364" s="10">
        <v>699950</v>
      </c>
      <c r="CJ3364" s="7">
        <v>38707</v>
      </c>
    </row>
    <row r="3365" spans="1:90">
      <c r="A3365">
        <v>28060079</v>
      </c>
      <c r="B3365" s="2" t="str">
        <f>HYPERLINK("http://www.redfin.com/stingray/do/printable-listing?listing-id=1624179","Active")</f>
        <v>Active</v>
      </c>
      <c r="D3365" t="s">
        <v>63</v>
      </c>
      <c r="E3365" t="s">
        <v>6939</v>
      </c>
      <c r="F3365">
        <v>549000</v>
      </c>
      <c r="G3365">
        <v>2007</v>
      </c>
      <c r="H3365">
        <v>1364</v>
      </c>
      <c r="I3365">
        <v>0</v>
      </c>
      <c r="J3365">
        <v>1</v>
      </c>
      <c r="K3365">
        <v>1</v>
      </c>
      <c r="M3365" s="2" t="str">
        <f>HYPERLINK("http://maps.live.com/default.aspx?v=2&amp;lvl=15&amp;sp=Point.47.672529_-122.405914_6006 Seaview Ave NW nLW&amp;cp=47.672529~-122.405914","Map")</f>
        <v>Map</v>
      </c>
      <c r="N3365" s="2" t="str">
        <f>HYPERLINK("http://i-0.rfimg.us/photo/1/bigphoto/079/28060079_0.jpg","Photo")</f>
        <v>Photo</v>
      </c>
      <c r="AG3365">
        <v>47.672528999999997</v>
      </c>
      <c r="AH3365">
        <v>-122.405914</v>
      </c>
      <c r="AI3365" t="s">
        <v>66</v>
      </c>
      <c r="AJ3365">
        <v>98107</v>
      </c>
      <c r="AM3365" t="s">
        <v>6940</v>
      </c>
      <c r="BC3365" s="22">
        <v>39545.695625</v>
      </c>
      <c r="BI3365" s="22">
        <v>39549.294907407406</v>
      </c>
      <c r="BL3365">
        <v>10980</v>
      </c>
      <c r="BM3365">
        <v>1624179</v>
      </c>
      <c r="BN3365" t="s">
        <v>1688</v>
      </c>
      <c r="BO3365" s="17">
        <f t="shared" ca="1" si="52"/>
        <v>3.6137809027786716</v>
      </c>
      <c r="BP3365" t="b">
        <v>0</v>
      </c>
      <c r="BQ3365">
        <v>1</v>
      </c>
      <c r="BR3365" t="s">
        <v>1667</v>
      </c>
      <c r="BS3365" t="s">
        <v>1727</v>
      </c>
      <c r="BT3365" t="b">
        <v>0</v>
      </c>
      <c r="BV3365" t="s">
        <v>1668</v>
      </c>
      <c r="BW3365">
        <v>6006</v>
      </c>
      <c r="BX3365" t="s">
        <v>1669</v>
      </c>
      <c r="BY3365">
        <v>12327995</v>
      </c>
      <c r="BZ3365" t="s">
        <v>1813</v>
      </c>
      <c r="CA3365">
        <v>1</v>
      </c>
      <c r="CB3365" t="b">
        <v>1</v>
      </c>
      <c r="CC3365">
        <v>0</v>
      </c>
      <c r="CD3365" t="b">
        <v>0</v>
      </c>
      <c r="CE3365" t="b">
        <v>1</v>
      </c>
      <c r="CF3365" t="b">
        <v>0</v>
      </c>
      <c r="CG3365">
        <v>15534032</v>
      </c>
      <c r="CH3365" t="s">
        <v>1666</v>
      </c>
      <c r="CI3365" s="10">
        <v>549000</v>
      </c>
    </row>
    <row r="3366" spans="1:90">
      <c r="A3366">
        <v>28060083</v>
      </c>
      <c r="B3366" s="2" t="str">
        <f>HYPERLINK("http://www.redfin.com/stingray/do/printable-listing?listing-id=1625540","Active")</f>
        <v>Active</v>
      </c>
      <c r="D3366" t="s">
        <v>4542</v>
      </c>
      <c r="E3366" t="s">
        <v>7034</v>
      </c>
      <c r="F3366">
        <v>799000</v>
      </c>
      <c r="G3366">
        <v>1939</v>
      </c>
      <c r="H3366">
        <v>2130</v>
      </c>
      <c r="I3366">
        <v>5500</v>
      </c>
      <c r="J3366">
        <v>3</v>
      </c>
      <c r="K3366">
        <v>2</v>
      </c>
      <c r="M3366" s="2" t="str">
        <f>HYPERLINK("http://maps.live.com/default.aspx?v=2&amp;lvl=15&amp;sp=Point.47.680974_-122.198933_504 7th Ave&amp;cp=47.680974~-122.198933","Map")</f>
        <v>Map</v>
      </c>
      <c r="N3366" s="2" t="str">
        <f>HYPERLINK("http://i-0.rfimg.us/photo/1/bigphoto/083/28060083_2.jpg","Photo")</f>
        <v>Photo</v>
      </c>
      <c r="AG3366">
        <v>47.680973999999999</v>
      </c>
      <c r="AH3366">
        <v>-122.198933</v>
      </c>
      <c r="AI3366" t="s">
        <v>1058</v>
      </c>
      <c r="AJ3366">
        <v>98033</v>
      </c>
      <c r="AN3366">
        <v>328000</v>
      </c>
      <c r="BC3366" s="22">
        <v>39546.264965277776</v>
      </c>
      <c r="BI3366" s="22">
        <v>39549.294907407406</v>
      </c>
      <c r="BL3366">
        <v>15980</v>
      </c>
      <c r="BM3366">
        <v>1625540</v>
      </c>
      <c r="BN3366" t="s">
        <v>3329</v>
      </c>
      <c r="BO3366" s="17">
        <f t="shared" ca="1" si="52"/>
        <v>3.0444406250026077</v>
      </c>
      <c r="BP3366" t="b">
        <v>0</v>
      </c>
      <c r="BQ3366">
        <v>1</v>
      </c>
      <c r="BR3366" t="s">
        <v>1667</v>
      </c>
      <c r="BS3366" t="s">
        <v>1859</v>
      </c>
      <c r="BT3366" t="b">
        <v>0</v>
      </c>
      <c r="BV3366" t="s">
        <v>1668</v>
      </c>
      <c r="BW3366">
        <v>504</v>
      </c>
      <c r="BY3366">
        <v>462038</v>
      </c>
      <c r="BZ3366" t="s">
        <v>7035</v>
      </c>
      <c r="CA3366">
        <v>1</v>
      </c>
      <c r="CB3366" t="b">
        <v>1</v>
      </c>
      <c r="CC3366">
        <v>0</v>
      </c>
      <c r="CD3366" t="b">
        <v>0</v>
      </c>
      <c r="CE3366" t="b">
        <v>1</v>
      </c>
      <c r="CF3366" t="b">
        <v>0</v>
      </c>
      <c r="CG3366">
        <v>2518105</v>
      </c>
      <c r="CH3366" t="s">
        <v>1681</v>
      </c>
      <c r="CI3366" s="10">
        <v>799000</v>
      </c>
      <c r="CJ3366" s="7">
        <v>36266</v>
      </c>
    </row>
    <row r="3367" spans="1:90">
      <c r="A3367">
        <v>28060105</v>
      </c>
      <c r="B3367" s="2" t="str">
        <f>HYPERLINK("http://www.redfin.com/stingray/do/printable-listing?listing-id=1624672","Active")</f>
        <v>Active</v>
      </c>
      <c r="D3367" t="s">
        <v>2552</v>
      </c>
      <c r="E3367" t="s">
        <v>6958</v>
      </c>
      <c r="F3367">
        <v>485000</v>
      </c>
      <c r="G3367">
        <v>1949</v>
      </c>
      <c r="H3367">
        <v>1260</v>
      </c>
      <c r="I3367">
        <v>6699</v>
      </c>
      <c r="J3367">
        <v>3</v>
      </c>
      <c r="K3367">
        <v>2</v>
      </c>
      <c r="M3367" s="2" t="str">
        <f>HYPERLINK("http://maps.live.com/default.aspx?v=2&amp;lvl=15&amp;sp=Point.47.657837_-122.395242_2928 W Elmore St&amp;cp=47.657837~-122.395242","Map")</f>
        <v>Map</v>
      </c>
      <c r="N3367" s="2" t="str">
        <f>HYPERLINK("http://i-0.rfimg.us/photo/1/bigphoto/105/28060105_.jpg","Photo")</f>
        <v>Photo</v>
      </c>
      <c r="AG3367">
        <v>47.657837000000001</v>
      </c>
      <c r="AH3367">
        <v>-122.395242</v>
      </c>
      <c r="AI3367" t="s">
        <v>66</v>
      </c>
      <c r="AJ3367">
        <v>98199</v>
      </c>
      <c r="BC3367" s="22">
        <v>39545.87059027778</v>
      </c>
      <c r="BI3367" s="22">
        <v>39549.294907407406</v>
      </c>
      <c r="BL3367">
        <v>9700</v>
      </c>
      <c r="BM3367">
        <v>1624672</v>
      </c>
      <c r="BN3367" t="s">
        <v>1766</v>
      </c>
      <c r="BO3367" s="17">
        <f t="shared" ca="1" si="52"/>
        <v>3.4388156249988242</v>
      </c>
      <c r="BP3367" t="b">
        <v>0</v>
      </c>
      <c r="BQ3367">
        <v>1</v>
      </c>
      <c r="BR3367" t="s">
        <v>1686</v>
      </c>
      <c r="BS3367" t="s">
        <v>3484</v>
      </c>
      <c r="BT3367" t="b">
        <v>0</v>
      </c>
      <c r="BU3367" t="s">
        <v>2423</v>
      </c>
      <c r="BV3367" t="s">
        <v>1668</v>
      </c>
      <c r="BW3367">
        <v>2928</v>
      </c>
      <c r="BY3367">
        <v>12438896</v>
      </c>
      <c r="BZ3367" t="s">
        <v>1672</v>
      </c>
      <c r="CA3367">
        <v>1</v>
      </c>
      <c r="CB3367" t="b">
        <v>1</v>
      </c>
      <c r="CC3367">
        <v>0</v>
      </c>
      <c r="CD3367" t="b">
        <v>0</v>
      </c>
      <c r="CE3367" t="b">
        <v>1</v>
      </c>
      <c r="CF3367" t="b">
        <v>0</v>
      </c>
      <c r="CG3367">
        <v>15642644</v>
      </c>
      <c r="CH3367" t="s">
        <v>1681</v>
      </c>
      <c r="CI3367" s="10">
        <v>485000</v>
      </c>
    </row>
    <row r="3368" spans="1:90">
      <c r="A3368">
        <v>28060134</v>
      </c>
      <c r="B3368" s="2" t="str">
        <f>HYPERLINK("http://www.redfin.com/stingray/do/printable-listing?listing-id=1624545","Active")</f>
        <v>Active</v>
      </c>
      <c r="D3368" t="s">
        <v>100</v>
      </c>
      <c r="E3368" t="s">
        <v>3292</v>
      </c>
      <c r="F3368">
        <v>509817</v>
      </c>
      <c r="G3368">
        <v>2008</v>
      </c>
      <c r="H3368">
        <v>1364</v>
      </c>
      <c r="I3368">
        <v>0</v>
      </c>
      <c r="J3368">
        <v>3</v>
      </c>
      <c r="K3368">
        <v>2.75</v>
      </c>
      <c r="M3368" s="2" t="str">
        <f>HYPERLINK("http://maps.live.com/default.aspx?v=2&amp;lvl=15&amp;sp=Point.47.653723_-122.356268_3634 Palatine Ave N&amp;cp=47.653723~-122.356268","Map")</f>
        <v>Map</v>
      </c>
      <c r="N3368" s="2" t="str">
        <f>HYPERLINK("http://i-0.rfimg.us/photo/1/bigphoto/134/28060134_0.jpg","Photo")</f>
        <v>Photo</v>
      </c>
      <c r="AG3368">
        <v>47.653722999999999</v>
      </c>
      <c r="AH3368">
        <v>-122.356268</v>
      </c>
      <c r="AI3368" t="s">
        <v>66</v>
      </c>
      <c r="AJ3368">
        <v>98103</v>
      </c>
      <c r="AN3368">
        <v>725000</v>
      </c>
      <c r="BC3368" s="22">
        <v>39545.797361111108</v>
      </c>
      <c r="BI3368" s="22">
        <v>39549.294907407406</v>
      </c>
      <c r="BL3368">
        <v>10196</v>
      </c>
      <c r="BM3368">
        <v>1624545</v>
      </c>
      <c r="BN3368" t="s">
        <v>1737</v>
      </c>
      <c r="BO3368" s="17">
        <f t="shared" ca="1" si="52"/>
        <v>3.5120447916706325</v>
      </c>
      <c r="BP3368" t="b">
        <v>0</v>
      </c>
      <c r="BQ3368">
        <v>1</v>
      </c>
      <c r="BR3368" t="s">
        <v>1667</v>
      </c>
      <c r="BS3368" t="s">
        <v>2605</v>
      </c>
      <c r="BT3368" t="b">
        <v>0</v>
      </c>
      <c r="BV3368" t="s">
        <v>1668</v>
      </c>
      <c r="BW3368">
        <v>3634</v>
      </c>
      <c r="BX3368" t="s">
        <v>1712</v>
      </c>
      <c r="BY3368">
        <v>302720</v>
      </c>
      <c r="BZ3368" t="s">
        <v>1670</v>
      </c>
      <c r="CA3368">
        <v>1</v>
      </c>
      <c r="CB3368" t="b">
        <v>1</v>
      </c>
      <c r="CC3368">
        <v>0</v>
      </c>
      <c r="CD3368" t="b">
        <v>0</v>
      </c>
      <c r="CE3368" t="b">
        <v>1</v>
      </c>
      <c r="CF3368" t="b">
        <v>0</v>
      </c>
      <c r="CG3368">
        <v>2454723</v>
      </c>
      <c r="CH3368" t="s">
        <v>1681</v>
      </c>
      <c r="CI3368" s="10">
        <v>509817</v>
      </c>
      <c r="CJ3368" s="7">
        <v>38936</v>
      </c>
    </row>
    <row r="3369" spans="1:90">
      <c r="A3369">
        <v>28060151</v>
      </c>
      <c r="B3369" s="2" t="str">
        <f>HYPERLINK("http://www.redfin.com/stingray/do/printable-listing?listing-id=1626785","Active")</f>
        <v>Active</v>
      </c>
      <c r="D3369" t="s">
        <v>1022</v>
      </c>
      <c r="E3369" t="s">
        <v>6996</v>
      </c>
      <c r="F3369">
        <v>549000</v>
      </c>
      <c r="G3369">
        <v>1928</v>
      </c>
      <c r="H3369">
        <v>1480</v>
      </c>
      <c r="I3369">
        <v>5000</v>
      </c>
      <c r="J3369">
        <v>3</v>
      </c>
      <c r="K3369">
        <v>2</v>
      </c>
      <c r="M3369" s="2" t="str">
        <f>HYPERLINK("http://maps.live.com/default.aspx?v=2&amp;lvl=15&amp;sp=Point.47.68593_-122.370071_7728 11th Ave NW&amp;cp=47.68593~-122.370071","Map")</f>
        <v>Map</v>
      </c>
      <c r="N3369" s="2" t="str">
        <f>HYPERLINK("http://i-0.rfimg.us/photo/1/bigphoto/151/28060151_0.jpg","Photo")</f>
        <v>Photo</v>
      </c>
      <c r="AG3369">
        <v>47.685929999999999</v>
      </c>
      <c r="AH3369">
        <v>-122.370071</v>
      </c>
      <c r="AI3369" t="s">
        <v>66</v>
      </c>
      <c r="AJ3369">
        <v>98117</v>
      </c>
      <c r="AN3369">
        <v>272500</v>
      </c>
      <c r="BC3369" s="22">
        <v>39546.551759259259</v>
      </c>
      <c r="BI3369" s="22">
        <v>39549.294907407406</v>
      </c>
      <c r="BL3369">
        <v>10980</v>
      </c>
      <c r="BM3369">
        <v>1626785</v>
      </c>
      <c r="BN3369" t="s">
        <v>1710</v>
      </c>
      <c r="BO3369" s="17">
        <f t="shared" ca="1" si="52"/>
        <v>2.7576466435202747</v>
      </c>
      <c r="BP3369" t="b">
        <v>0</v>
      </c>
      <c r="BQ3369">
        <v>1</v>
      </c>
      <c r="BR3369" t="s">
        <v>1667</v>
      </c>
      <c r="BS3369" t="s">
        <v>1792</v>
      </c>
      <c r="BT3369" t="b">
        <v>0</v>
      </c>
      <c r="BV3369" t="s">
        <v>1668</v>
      </c>
      <c r="BW3369">
        <v>7728</v>
      </c>
      <c r="BX3369" t="s">
        <v>1669</v>
      </c>
      <c r="BY3369">
        <v>498141</v>
      </c>
      <c r="BZ3369" t="s">
        <v>1745</v>
      </c>
      <c r="CA3369">
        <v>1</v>
      </c>
      <c r="CB3369" t="b">
        <v>1</v>
      </c>
      <c r="CC3369">
        <v>0</v>
      </c>
      <c r="CD3369" t="b">
        <v>0</v>
      </c>
      <c r="CE3369" t="b">
        <v>1</v>
      </c>
      <c r="CF3369" t="b">
        <v>0</v>
      </c>
      <c r="CG3369">
        <v>2510238</v>
      </c>
      <c r="CH3369" t="s">
        <v>1681</v>
      </c>
      <c r="CI3369" s="10">
        <v>549000</v>
      </c>
      <c r="CJ3369" s="7">
        <v>37803</v>
      </c>
    </row>
    <row r="3370" spans="1:90">
      <c r="A3370">
        <v>28060183</v>
      </c>
      <c r="B3370" s="2" t="str">
        <f>HYPERLINK("http://www.redfin.com/stingray/do/printable-listing?listing-id=1624704","Active")</f>
        <v>Active</v>
      </c>
      <c r="D3370" t="s">
        <v>5705</v>
      </c>
      <c r="E3370" t="s">
        <v>6986</v>
      </c>
      <c r="F3370">
        <v>775000</v>
      </c>
      <c r="G3370">
        <v>1960</v>
      </c>
      <c r="H3370">
        <v>2220</v>
      </c>
      <c r="I3370">
        <v>14400</v>
      </c>
      <c r="J3370">
        <v>4</v>
      </c>
      <c r="K3370">
        <v>1.75</v>
      </c>
      <c r="M3370" s="2" t="str">
        <f>HYPERLINK("http://maps.live.com/default.aspx?v=2&amp;lvl=15&amp;sp=Point.47.539839_-122.215515_9234 SE 70th Pl&amp;cp=47.539839~-122.215515","Map")</f>
        <v>Map</v>
      </c>
      <c r="N3370" s="2" t="str">
        <f>HYPERLINK("http://i-0.rfimg.us/photo/1/bigphoto/183/28060183_.jpg","Photo")</f>
        <v>Photo</v>
      </c>
      <c r="AG3370">
        <v>47.539839000000001</v>
      </c>
      <c r="AH3370">
        <v>-122.215515</v>
      </c>
      <c r="AI3370" t="s">
        <v>5139</v>
      </c>
      <c r="AJ3370">
        <v>98040</v>
      </c>
      <c r="BC3370" s="22">
        <v>39545.891018518516</v>
      </c>
      <c r="BI3370" s="22">
        <v>39549.294907407406</v>
      </c>
      <c r="BL3370">
        <v>15500</v>
      </c>
      <c r="BM3370">
        <v>1624704</v>
      </c>
      <c r="BN3370" t="s">
        <v>1675</v>
      </c>
      <c r="BO3370" s="17">
        <f t="shared" ca="1" si="52"/>
        <v>3.4183873842630419</v>
      </c>
      <c r="BP3370" t="b">
        <v>0</v>
      </c>
      <c r="BQ3370">
        <v>1</v>
      </c>
      <c r="BR3370" t="s">
        <v>1842</v>
      </c>
      <c r="BS3370" t="s">
        <v>1703</v>
      </c>
      <c r="BT3370" t="b">
        <v>0</v>
      </c>
      <c r="BU3370" t="s">
        <v>3856</v>
      </c>
      <c r="BV3370" t="s">
        <v>1668</v>
      </c>
      <c r="BW3370">
        <v>9234</v>
      </c>
      <c r="BY3370">
        <v>255987</v>
      </c>
      <c r="BZ3370" t="s">
        <v>1672</v>
      </c>
      <c r="CA3370">
        <v>1</v>
      </c>
      <c r="CB3370" t="b">
        <v>1</v>
      </c>
      <c r="CC3370">
        <v>0</v>
      </c>
      <c r="CD3370" t="b">
        <v>0</v>
      </c>
      <c r="CE3370" t="b">
        <v>1</v>
      </c>
      <c r="CF3370" t="b">
        <v>0</v>
      </c>
      <c r="CG3370">
        <v>2813872</v>
      </c>
      <c r="CH3370" t="s">
        <v>1681</v>
      </c>
      <c r="CI3370" s="10">
        <v>775000</v>
      </c>
    </row>
    <row r="3371" spans="1:90">
      <c r="A3371">
        <v>28060185</v>
      </c>
      <c r="B3371" s="2" t="str">
        <f>HYPERLINK("http://www.redfin.com/stingray/do/printable-listing?listing-id=1624734","Active")</f>
        <v>Active</v>
      </c>
      <c r="D3371" t="s">
        <v>1058</v>
      </c>
      <c r="E3371" t="s">
        <v>7028</v>
      </c>
      <c r="F3371">
        <v>499950</v>
      </c>
      <c r="G3371">
        <v>1979</v>
      </c>
      <c r="H3371">
        <v>2130</v>
      </c>
      <c r="I3371">
        <v>7227</v>
      </c>
      <c r="J3371">
        <v>3</v>
      </c>
      <c r="K3371">
        <v>2.25</v>
      </c>
      <c r="M3371" s="2" t="str">
        <f>HYPERLINK("http://maps.live.com/default.aspx?v=2&amp;lvl=15&amp;sp=Point.47.718872_-122.192051_13211 112th Ave NE&amp;cp=47.718872~-122.192051","Map")</f>
        <v>Map</v>
      </c>
      <c r="N3371" s="2" t="str">
        <f>HYPERLINK("http://i-0.rfimg.us/photo/1/bigphoto/185/28060185_0.jpg","Photo")</f>
        <v>Photo</v>
      </c>
      <c r="AG3371">
        <v>47.718871999999998</v>
      </c>
      <c r="AH3371">
        <v>-122.19205100000001</v>
      </c>
      <c r="AI3371" t="s">
        <v>1058</v>
      </c>
      <c r="AJ3371">
        <v>98034</v>
      </c>
      <c r="AN3371">
        <v>460000</v>
      </c>
      <c r="BC3371" s="22">
        <v>39545.922905092593</v>
      </c>
      <c r="BI3371" s="22">
        <v>39549.294907407406</v>
      </c>
      <c r="BL3371">
        <v>9999</v>
      </c>
      <c r="BM3371">
        <v>1624734</v>
      </c>
      <c r="BN3371" t="s">
        <v>2203</v>
      </c>
      <c r="BO3371" s="17">
        <f t="shared" ca="1" si="52"/>
        <v>3.3865008101856802</v>
      </c>
      <c r="BP3371" t="b">
        <v>0</v>
      </c>
      <c r="BQ3371">
        <v>1</v>
      </c>
      <c r="BR3371" t="s">
        <v>1667</v>
      </c>
      <c r="BS3371" t="s">
        <v>4382</v>
      </c>
      <c r="BT3371" t="b">
        <v>0</v>
      </c>
      <c r="BV3371" t="s">
        <v>1668</v>
      </c>
      <c r="BW3371">
        <v>13211</v>
      </c>
      <c r="BX3371" t="s">
        <v>1738</v>
      </c>
      <c r="BY3371">
        <v>458277</v>
      </c>
      <c r="BZ3371" t="s">
        <v>1672</v>
      </c>
      <c r="CA3371">
        <v>1</v>
      </c>
      <c r="CB3371" t="b">
        <v>1</v>
      </c>
      <c r="CC3371">
        <v>0</v>
      </c>
      <c r="CD3371" t="b">
        <v>0</v>
      </c>
      <c r="CE3371" t="b">
        <v>1</v>
      </c>
      <c r="CF3371" t="b">
        <v>0</v>
      </c>
      <c r="CG3371">
        <v>2890049</v>
      </c>
      <c r="CH3371" t="s">
        <v>1681</v>
      </c>
      <c r="CI3371" s="10">
        <v>499950</v>
      </c>
      <c r="CJ3371" s="7">
        <v>38952</v>
      </c>
    </row>
    <row r="3372" spans="1:90">
      <c r="A3372">
        <v>28060191</v>
      </c>
      <c r="B3372" s="2" t="str">
        <f>HYPERLINK("http://www.redfin.com/stingray/do/printable-listing?listing-id=1624751","Active")</f>
        <v>Active</v>
      </c>
      <c r="D3372" t="s">
        <v>2552</v>
      </c>
      <c r="E3372" t="s">
        <v>7021</v>
      </c>
      <c r="F3372">
        <v>1250000</v>
      </c>
      <c r="G3372">
        <v>2008</v>
      </c>
      <c r="H3372">
        <v>3375</v>
      </c>
      <c r="I3372">
        <v>5102</v>
      </c>
      <c r="J3372">
        <v>4</v>
      </c>
      <c r="K3372">
        <v>3.5</v>
      </c>
      <c r="M3372" s="2" t="str">
        <f>HYPERLINK("http://maps.live.com/default.aspx?v=2&amp;lvl=15&amp;sp=Point.47.65116_-122.403932_3423 36th Ave W&amp;cp=47.65116~-122.403932","Map")</f>
        <v>Map</v>
      </c>
      <c r="N3372" s="2" t="str">
        <f>HYPERLINK("http://i-0.rfimg.us/photo/1/bigphoto/191/28060191_2.jpg","Photo")</f>
        <v>Photo</v>
      </c>
      <c r="AG3372">
        <v>47.651159999999997</v>
      </c>
      <c r="AH3372">
        <v>-122.403932</v>
      </c>
      <c r="AI3372" t="s">
        <v>66</v>
      </c>
      <c r="AJ3372">
        <v>98199</v>
      </c>
      <c r="AN3372">
        <v>526000</v>
      </c>
      <c r="BC3372" s="22">
        <v>39545.933310185188</v>
      </c>
      <c r="BI3372" s="22">
        <v>39549.294907407406</v>
      </c>
      <c r="BL3372">
        <v>25000</v>
      </c>
      <c r="BM3372">
        <v>1624751</v>
      </c>
      <c r="BN3372" t="s">
        <v>1678</v>
      </c>
      <c r="BO3372" s="17">
        <f t="shared" ca="1" si="52"/>
        <v>3.3760957175909425</v>
      </c>
      <c r="BP3372" t="b">
        <v>0</v>
      </c>
      <c r="BQ3372">
        <v>1</v>
      </c>
      <c r="BR3372" t="s">
        <v>1667</v>
      </c>
      <c r="BS3372" t="s">
        <v>2911</v>
      </c>
      <c r="BT3372" t="b">
        <v>0</v>
      </c>
      <c r="BV3372" t="s">
        <v>1668</v>
      </c>
      <c r="BW3372">
        <v>3423</v>
      </c>
      <c r="BX3372" t="s">
        <v>2423</v>
      </c>
      <c r="BY3372">
        <v>128374</v>
      </c>
      <c r="BZ3372" t="s">
        <v>2577</v>
      </c>
      <c r="CA3372">
        <v>1</v>
      </c>
      <c r="CB3372" t="b">
        <v>1</v>
      </c>
      <c r="CC3372">
        <v>0</v>
      </c>
      <c r="CD3372" t="b">
        <v>0</v>
      </c>
      <c r="CE3372" t="b">
        <v>1</v>
      </c>
      <c r="CF3372" t="b">
        <v>0</v>
      </c>
      <c r="CG3372">
        <v>2879334</v>
      </c>
      <c r="CH3372" t="s">
        <v>1681</v>
      </c>
      <c r="CI3372" s="10">
        <v>1250000</v>
      </c>
      <c r="CJ3372" s="7">
        <v>39210</v>
      </c>
    </row>
    <row r="3373" spans="1:90">
      <c r="A3373">
        <v>28060193</v>
      </c>
      <c r="B3373" s="2" t="str">
        <f>HYPERLINK("http://www.redfin.com/stingray/do/printable-listing?listing-id=1624750","Active")</f>
        <v>Active</v>
      </c>
      <c r="D3373" t="s">
        <v>109</v>
      </c>
      <c r="E3373" t="s">
        <v>7025</v>
      </c>
      <c r="F3373">
        <v>585000</v>
      </c>
      <c r="G3373">
        <v>1922</v>
      </c>
      <c r="H3373">
        <v>1930</v>
      </c>
      <c r="I3373">
        <v>3060</v>
      </c>
      <c r="J3373">
        <v>4</v>
      </c>
      <c r="K3373">
        <v>1.75</v>
      </c>
      <c r="M3373" s="2" t="str">
        <f>HYPERLINK("http://maps.live.com/default.aspx?v=2&amp;lvl=15&amp;sp=Point.47.658557_-122.325891_4228 Thackeray Pl NE&amp;cp=47.658557~-122.325891","Map")</f>
        <v>Map</v>
      </c>
      <c r="N3373" s="2" t="str">
        <f>HYPERLINK("http://i-0.rfimg.us/photo/1/bigphoto/193/28060193_2.jpg","Photo")</f>
        <v>Photo</v>
      </c>
      <c r="AG3373">
        <v>47.658557000000002</v>
      </c>
      <c r="AH3373">
        <v>-122.325891</v>
      </c>
      <c r="AI3373" t="s">
        <v>66</v>
      </c>
      <c r="AJ3373">
        <v>98105</v>
      </c>
      <c r="AN3373">
        <v>366000</v>
      </c>
      <c r="BC3373" s="22">
        <v>39545.933298611111</v>
      </c>
      <c r="BI3373" s="22">
        <v>39547.913935185185</v>
      </c>
      <c r="BL3373">
        <v>11700</v>
      </c>
      <c r="BM3373">
        <v>1624750</v>
      </c>
      <c r="BN3373" t="s">
        <v>1674</v>
      </c>
      <c r="BO3373" s="17">
        <f t="shared" ca="1" si="52"/>
        <v>3.3761072916677222</v>
      </c>
      <c r="BP3373" t="b">
        <v>0</v>
      </c>
      <c r="BQ3373">
        <v>1</v>
      </c>
      <c r="BR3373" t="s">
        <v>1842</v>
      </c>
      <c r="BS3373" t="s">
        <v>2391</v>
      </c>
      <c r="BT3373" t="b">
        <v>0</v>
      </c>
      <c r="BV3373" t="s">
        <v>1668</v>
      </c>
      <c r="BW3373">
        <v>4228</v>
      </c>
      <c r="BX3373" t="s">
        <v>1738</v>
      </c>
      <c r="BY3373">
        <v>117298</v>
      </c>
      <c r="BZ3373" t="s">
        <v>1730</v>
      </c>
      <c r="CA3373">
        <v>1</v>
      </c>
      <c r="CB3373" t="b">
        <v>1</v>
      </c>
      <c r="CC3373">
        <v>0</v>
      </c>
      <c r="CD3373" t="b">
        <v>0</v>
      </c>
      <c r="CE3373" t="b">
        <v>1</v>
      </c>
      <c r="CF3373" t="b">
        <v>0</v>
      </c>
      <c r="CG3373">
        <v>2548272</v>
      </c>
      <c r="CH3373" t="s">
        <v>1681</v>
      </c>
      <c r="CI3373" s="10">
        <v>585000</v>
      </c>
      <c r="CJ3373" s="7">
        <v>38071</v>
      </c>
    </row>
    <row r="3374" spans="1:90">
      <c r="A3374">
        <v>28060207</v>
      </c>
      <c r="B3374" s="2" t="str">
        <f>HYPERLINK("http://www.redfin.com/stingray/do/printable-listing?listing-id=1625539","Active")</f>
        <v>Active</v>
      </c>
      <c r="D3374" t="s">
        <v>192</v>
      </c>
      <c r="E3374" t="s">
        <v>7005</v>
      </c>
      <c r="F3374">
        <v>795500</v>
      </c>
      <c r="G3374">
        <v>1997</v>
      </c>
      <c r="H3374">
        <v>2350</v>
      </c>
      <c r="I3374">
        <v>7683</v>
      </c>
      <c r="J3374">
        <v>4</v>
      </c>
      <c r="K3374">
        <v>2.5</v>
      </c>
      <c r="M3374" s="2" t="str">
        <f>HYPERLINK("http://maps.live.com/default.aspx?v=2&amp;lvl=15&amp;sp=Point.47.692355_-122.326157_8801 Latona Ave NE&amp;cp=47.692355~-122.326157","Map")</f>
        <v>Map</v>
      </c>
      <c r="N3374" s="2" t="str">
        <f>HYPERLINK("http://i-0.rfimg.us/photo/1/bigphoto/207/28060207_2.jpg","Photo")</f>
        <v>Photo</v>
      </c>
      <c r="AG3374">
        <v>47.692354999999999</v>
      </c>
      <c r="AH3374">
        <v>-122.32615699999999</v>
      </c>
      <c r="AI3374" t="s">
        <v>66</v>
      </c>
      <c r="AJ3374">
        <v>98115</v>
      </c>
      <c r="AN3374">
        <v>700000</v>
      </c>
      <c r="BC3374" s="22">
        <v>39546.264953703707</v>
      </c>
      <c r="BI3374" s="22">
        <v>39549.294907407406</v>
      </c>
      <c r="BL3374">
        <v>15910</v>
      </c>
      <c r="BM3374">
        <v>1625539</v>
      </c>
      <c r="BN3374" t="s">
        <v>1702</v>
      </c>
      <c r="BO3374" s="17">
        <f t="shared" ca="1" si="52"/>
        <v>3.0444521990721114</v>
      </c>
      <c r="BP3374" t="b">
        <v>0</v>
      </c>
      <c r="BQ3374">
        <v>1</v>
      </c>
      <c r="BR3374" t="s">
        <v>1667</v>
      </c>
      <c r="BS3374" t="s">
        <v>2395</v>
      </c>
      <c r="BT3374" t="b">
        <v>0</v>
      </c>
      <c r="BV3374" t="s">
        <v>1668</v>
      </c>
      <c r="BW3374">
        <v>8801</v>
      </c>
      <c r="BX3374" t="s">
        <v>1738</v>
      </c>
      <c r="BY3374">
        <v>110325</v>
      </c>
      <c r="BZ3374" t="s">
        <v>6923</v>
      </c>
      <c r="CA3374">
        <v>1</v>
      </c>
      <c r="CB3374" t="b">
        <v>1</v>
      </c>
      <c r="CC3374">
        <v>0</v>
      </c>
      <c r="CD3374" t="b">
        <v>0</v>
      </c>
      <c r="CE3374" t="b">
        <v>1</v>
      </c>
      <c r="CF3374" t="b">
        <v>0</v>
      </c>
      <c r="CG3374">
        <v>2379772</v>
      </c>
      <c r="CH3374" t="s">
        <v>1681</v>
      </c>
      <c r="CI3374" s="10">
        <v>795500</v>
      </c>
      <c r="CJ3374" s="7">
        <v>38884</v>
      </c>
      <c r="CL3374" t="s">
        <v>6945</v>
      </c>
    </row>
    <row r="3375" spans="1:90">
      <c r="A3375">
        <v>28060225</v>
      </c>
      <c r="B3375" s="2" t="str">
        <f>HYPERLINK("http://www.redfin.com/stingray/do/printable-listing?listing-id=1625647","Active")</f>
        <v>Active</v>
      </c>
      <c r="D3375" t="s">
        <v>4710</v>
      </c>
      <c r="E3375" t="s">
        <v>7036</v>
      </c>
      <c r="F3375">
        <v>799950</v>
      </c>
      <c r="G3375">
        <v>2007</v>
      </c>
      <c r="H3375">
        <v>1923</v>
      </c>
      <c r="I3375">
        <v>0</v>
      </c>
      <c r="J3375">
        <v>3</v>
      </c>
      <c r="K3375">
        <v>2.5</v>
      </c>
      <c r="M3375" s="2" t="str">
        <f>HYPERLINK("http://maps.live.com/default.aspx?v=2&amp;lvl=15&amp;sp=Point.47.675537_-122.193549_818 Kirkland Ave&amp;cp=47.675537~-122.193549","Map")</f>
        <v>Map</v>
      </c>
      <c r="N3375" s="2" t="str">
        <f>HYPERLINK("http://i-0.rfimg.us/photo/1/bigphoto/225/28060225_0.jpg","Photo")</f>
        <v>Photo</v>
      </c>
      <c r="AG3375">
        <v>47.675536999999998</v>
      </c>
      <c r="AH3375">
        <v>-122.193549</v>
      </c>
      <c r="AI3375" t="s">
        <v>1058</v>
      </c>
      <c r="AJ3375">
        <v>98033</v>
      </c>
      <c r="BC3375" s="22">
        <v>39546.327488425923</v>
      </c>
      <c r="BI3375" s="22">
        <v>39549.294907407406</v>
      </c>
      <c r="BL3375">
        <v>15999</v>
      </c>
      <c r="BM3375">
        <v>1625647</v>
      </c>
      <c r="BN3375" t="s">
        <v>1768</v>
      </c>
      <c r="BO3375" s="17">
        <f t="shared" ca="1" si="52"/>
        <v>2.9819174768563244</v>
      </c>
      <c r="BP3375" t="b">
        <v>0</v>
      </c>
      <c r="BQ3375">
        <v>1</v>
      </c>
      <c r="BR3375" t="s">
        <v>1667</v>
      </c>
      <c r="BS3375" t="s">
        <v>1058</v>
      </c>
      <c r="BT3375" t="b">
        <v>0</v>
      </c>
      <c r="BV3375" t="s">
        <v>1668</v>
      </c>
      <c r="BW3375">
        <v>818</v>
      </c>
      <c r="BY3375">
        <v>11903027</v>
      </c>
      <c r="BZ3375" t="s">
        <v>1676</v>
      </c>
      <c r="CA3375">
        <v>1</v>
      </c>
      <c r="CB3375" t="b">
        <v>1</v>
      </c>
      <c r="CC3375">
        <v>0</v>
      </c>
      <c r="CD3375" t="b">
        <v>0</v>
      </c>
      <c r="CE3375" t="b">
        <v>1</v>
      </c>
      <c r="CF3375" t="b">
        <v>0</v>
      </c>
      <c r="CG3375">
        <v>15157252</v>
      </c>
      <c r="CH3375" t="s">
        <v>1681</v>
      </c>
      <c r="CI3375" s="10">
        <v>799950</v>
      </c>
    </row>
    <row r="3376" spans="1:90">
      <c r="A3376">
        <v>28060231</v>
      </c>
      <c r="B3376" s="2" t="str">
        <f>HYPERLINK("http://www.redfin.com/stingray/do/printable-listing?listing-id=1627228","Active")</f>
        <v>Active</v>
      </c>
      <c r="D3376" t="s">
        <v>109</v>
      </c>
      <c r="E3376" t="s">
        <v>7019</v>
      </c>
      <c r="F3376">
        <v>1099000</v>
      </c>
      <c r="G3376">
        <v>1911</v>
      </c>
      <c r="H3376">
        <v>0</v>
      </c>
      <c r="I3376">
        <v>0</v>
      </c>
      <c r="J3376">
        <v>4</v>
      </c>
      <c r="K3376">
        <v>3.5</v>
      </c>
      <c r="M3376" s="2" t="str">
        <f>HYPERLINK("http://maps.live.com/default.aspx?v=2&amp;lvl=15&amp;sp=Point.47.657273_-122.331778_4119 Corliss Ave N&amp;cp=47.657273~-122.331778","Map")</f>
        <v>Map</v>
      </c>
      <c r="N3376" s="2" t="str">
        <f>HYPERLINK("http://i-0.rfimg.us/photo/1/bigphoto/231/28060231_0.jpg","Photo")</f>
        <v>Photo</v>
      </c>
      <c r="AG3376">
        <v>47.657273000000004</v>
      </c>
      <c r="AH3376">
        <v>-122.331778</v>
      </c>
      <c r="AI3376" t="s">
        <v>66</v>
      </c>
      <c r="AJ3376">
        <v>98103</v>
      </c>
      <c r="AN3376">
        <v>1005000</v>
      </c>
      <c r="BC3376" s="22">
        <v>39546.622291666667</v>
      </c>
      <c r="BI3376" s="22">
        <v>39549.294907407406</v>
      </c>
      <c r="BL3376">
        <v>21980</v>
      </c>
      <c r="BM3376">
        <v>1627228</v>
      </c>
      <c r="BN3376" t="s">
        <v>1674</v>
      </c>
      <c r="BO3376" s="17">
        <f t="shared" ca="1" si="52"/>
        <v>2.687114236112393</v>
      </c>
      <c r="BP3376" t="b">
        <v>0</v>
      </c>
      <c r="BQ3376">
        <v>1</v>
      </c>
      <c r="BR3376" t="s">
        <v>1667</v>
      </c>
      <c r="BS3376" t="s">
        <v>2388</v>
      </c>
      <c r="BT3376" t="b">
        <v>0</v>
      </c>
      <c r="BV3376" t="s">
        <v>1668</v>
      </c>
      <c r="BW3376">
        <v>4119</v>
      </c>
      <c r="BX3376" t="s">
        <v>1712</v>
      </c>
      <c r="BY3376">
        <v>118564</v>
      </c>
      <c r="BZ3376" t="s">
        <v>1713</v>
      </c>
      <c r="CA3376">
        <v>1</v>
      </c>
      <c r="CB3376" t="b">
        <v>1</v>
      </c>
      <c r="CC3376">
        <v>0</v>
      </c>
      <c r="CD3376" t="b">
        <v>0</v>
      </c>
      <c r="CE3376" t="b">
        <v>1</v>
      </c>
      <c r="CF3376" t="b">
        <v>0</v>
      </c>
      <c r="CG3376">
        <v>2553221</v>
      </c>
      <c r="CH3376" t="s">
        <v>1681</v>
      </c>
      <c r="CI3376" s="10">
        <v>1099000</v>
      </c>
      <c r="CJ3376" s="7">
        <v>39211</v>
      </c>
    </row>
    <row r="3377" spans="1:88">
      <c r="A3377">
        <v>28060234</v>
      </c>
      <c r="B3377" s="2" t="str">
        <f>HYPERLINK("http://www.redfin.com/stingray/do/printable-listing?listing-id=1626079","Active")</f>
        <v>Active</v>
      </c>
      <c r="D3377" t="s">
        <v>70</v>
      </c>
      <c r="E3377" t="s">
        <v>7004</v>
      </c>
      <c r="F3377">
        <v>660000</v>
      </c>
      <c r="G3377">
        <v>2005</v>
      </c>
      <c r="H3377">
        <v>2605</v>
      </c>
      <c r="I3377">
        <v>6577</v>
      </c>
      <c r="J3377">
        <v>4</v>
      </c>
      <c r="K3377">
        <v>2.5</v>
      </c>
      <c r="M3377" s="2" t="str">
        <f>HYPERLINK("http://maps.live.com/default.aspx?v=2&amp;lvl=15&amp;sp=Point.47.70704_-122.351076_10702 Evanston Ave N&amp;cp=47.70704~-122.351076","Map")</f>
        <v>Map</v>
      </c>
      <c r="N3377" s="2" t="str">
        <f>HYPERLINK("http://i-0.rfimg.us/photo/1/bigphoto/234/28060234_0.jpg","Photo")</f>
        <v>Photo</v>
      </c>
      <c r="AG3377">
        <v>47.707039999999999</v>
      </c>
      <c r="AH3377">
        <v>-122.35107600000001</v>
      </c>
      <c r="AI3377" t="s">
        <v>66</v>
      </c>
      <c r="AJ3377">
        <v>98133</v>
      </c>
      <c r="AN3377">
        <v>561000</v>
      </c>
      <c r="BC3377" s="22">
        <v>39546.433518518519</v>
      </c>
      <c r="BI3377" s="22">
        <v>39549.294907407406</v>
      </c>
      <c r="BL3377">
        <v>13200</v>
      </c>
      <c r="BM3377">
        <v>1626079</v>
      </c>
      <c r="BN3377" t="s">
        <v>1678</v>
      </c>
      <c r="BO3377" s="17">
        <f t="shared" ca="1" si="52"/>
        <v>2.8758873842598405</v>
      </c>
      <c r="BP3377" t="b">
        <v>0</v>
      </c>
      <c r="BQ3377">
        <v>1</v>
      </c>
      <c r="BR3377" t="s">
        <v>1667</v>
      </c>
      <c r="BS3377" t="s">
        <v>2487</v>
      </c>
      <c r="BT3377" t="b">
        <v>0</v>
      </c>
      <c r="BV3377" t="s">
        <v>1668</v>
      </c>
      <c r="BW3377">
        <v>10702</v>
      </c>
      <c r="BX3377" t="s">
        <v>1712</v>
      </c>
      <c r="BY3377">
        <v>99372</v>
      </c>
      <c r="BZ3377" t="s">
        <v>1672</v>
      </c>
      <c r="CA3377">
        <v>1</v>
      </c>
      <c r="CB3377" t="b">
        <v>1</v>
      </c>
      <c r="CC3377">
        <v>0</v>
      </c>
      <c r="CD3377" t="b">
        <v>0</v>
      </c>
      <c r="CE3377" t="b">
        <v>1</v>
      </c>
      <c r="CF3377" t="b">
        <v>0</v>
      </c>
      <c r="CG3377">
        <v>2415098</v>
      </c>
      <c r="CH3377" t="s">
        <v>1681</v>
      </c>
      <c r="CI3377" s="10">
        <v>660000</v>
      </c>
      <c r="CJ3377" s="7">
        <v>38614</v>
      </c>
    </row>
    <row r="3378" spans="1:88">
      <c r="A3378">
        <v>28060235</v>
      </c>
      <c r="B3378" s="2" t="str">
        <f>HYPERLINK("http://www.redfin.com/stingray/do/printable-listing?listing-id=1625707","Active")</f>
        <v>Active</v>
      </c>
      <c r="D3378" t="s">
        <v>2850</v>
      </c>
      <c r="E3378" t="s">
        <v>4530</v>
      </c>
      <c r="F3378">
        <v>445950</v>
      </c>
      <c r="G3378">
        <v>1961</v>
      </c>
      <c r="H3378">
        <v>2100</v>
      </c>
      <c r="I3378">
        <v>9847</v>
      </c>
      <c r="J3378">
        <v>4</v>
      </c>
      <c r="K3378">
        <v>1.75</v>
      </c>
      <c r="M3378" s="2" t="str">
        <f>HYPERLINK("http://maps.live.com/default.aspx?v=2&amp;lvl=15&amp;sp=Point.47.709474_-122.214291_12115 95th Pl NE&amp;cp=47.709474~-122.214291","Map")</f>
        <v>Map</v>
      </c>
      <c r="N3378" s="2" t="str">
        <f>HYPERLINK("http://i-0.rfimg.us/photo/1/bigphoto/235/28060235_0.jpg","Photo")</f>
        <v>Photo</v>
      </c>
      <c r="AG3378">
        <v>47.709474</v>
      </c>
      <c r="AH3378">
        <v>-122.214291</v>
      </c>
      <c r="AI3378" t="s">
        <v>1058</v>
      </c>
      <c r="AJ3378">
        <v>98034</v>
      </c>
      <c r="AN3378">
        <v>344000</v>
      </c>
      <c r="BC3378" s="22">
        <v>39546.349421296298</v>
      </c>
      <c r="BI3378" s="22">
        <v>39549.294907407406</v>
      </c>
      <c r="BL3378">
        <v>8919</v>
      </c>
      <c r="BM3378">
        <v>1625707</v>
      </c>
      <c r="BN3378" t="s">
        <v>4529</v>
      </c>
      <c r="BO3378" s="17">
        <f t="shared" ca="1" si="52"/>
        <v>2.9599846064811572</v>
      </c>
      <c r="BP3378" t="b">
        <v>0</v>
      </c>
      <c r="BQ3378">
        <v>1</v>
      </c>
      <c r="BR3378" t="s">
        <v>1842</v>
      </c>
      <c r="BS3378" t="s">
        <v>2722</v>
      </c>
      <c r="BT3378" t="b">
        <v>0</v>
      </c>
      <c r="BV3378" t="s">
        <v>1668</v>
      </c>
      <c r="BW3378">
        <v>12115</v>
      </c>
      <c r="BX3378" t="s">
        <v>1738</v>
      </c>
      <c r="BY3378">
        <v>281141</v>
      </c>
      <c r="BZ3378" t="s">
        <v>1672</v>
      </c>
      <c r="CA3378">
        <v>1</v>
      </c>
      <c r="CB3378" t="b">
        <v>1</v>
      </c>
      <c r="CC3378">
        <v>0</v>
      </c>
      <c r="CD3378" t="b">
        <v>0</v>
      </c>
      <c r="CE3378" t="b">
        <v>1</v>
      </c>
      <c r="CF3378" t="b">
        <v>0</v>
      </c>
      <c r="CG3378">
        <v>2542906</v>
      </c>
      <c r="CH3378" t="s">
        <v>1681</v>
      </c>
      <c r="CI3378" s="10">
        <v>445950</v>
      </c>
      <c r="CJ3378" s="7">
        <v>38796</v>
      </c>
    </row>
    <row r="3379" spans="1:88">
      <c r="A3379">
        <v>28060258</v>
      </c>
      <c r="B3379" s="2" t="str">
        <f>HYPERLINK("http://www.redfin.com/stingray/do/printable-listing?listing-id=1625814","Active")</f>
        <v>Active</v>
      </c>
      <c r="D3379" t="s">
        <v>5078</v>
      </c>
      <c r="E3379" t="s">
        <v>7037</v>
      </c>
      <c r="F3379">
        <v>419000</v>
      </c>
      <c r="G3379">
        <v>1955</v>
      </c>
      <c r="H3379">
        <v>1634</v>
      </c>
      <c r="I3379">
        <v>301850</v>
      </c>
      <c r="J3379">
        <v>3</v>
      </c>
      <c r="K3379">
        <v>1.75</v>
      </c>
      <c r="M3379" s="2" t="str">
        <f>HYPERLINK("http://maps.live.com/default.aspx?v=2&amp;lvl=15&amp;sp=Point.47.617437_-122.171071_12700 NE 8th St&amp;cp=47.617437~-122.171071","Map")</f>
        <v>Map</v>
      </c>
      <c r="N3379" s="2" t="str">
        <f>HYPERLINK("http://i-0.rfimg.us/photo/1/bigphoto/258/28060258_0.jpg","Photo")</f>
        <v>Photo</v>
      </c>
      <c r="AG3379">
        <v>47.617437000000002</v>
      </c>
      <c r="AH3379">
        <v>-122.171071</v>
      </c>
      <c r="AI3379" t="s">
        <v>369</v>
      </c>
      <c r="AJ3379">
        <v>98005</v>
      </c>
      <c r="BC3379" s="22">
        <v>39546.36928240741</v>
      </c>
      <c r="BI3379" s="22">
        <v>39549.294907407406</v>
      </c>
      <c r="BL3379">
        <v>8380</v>
      </c>
      <c r="BM3379">
        <v>1625814</v>
      </c>
      <c r="BN3379" t="s">
        <v>1678</v>
      </c>
      <c r="BO3379" s="17">
        <f t="shared" ca="1" si="52"/>
        <v>2.9401234953693347</v>
      </c>
      <c r="BP3379" t="b">
        <v>0</v>
      </c>
      <c r="BQ3379">
        <v>1</v>
      </c>
      <c r="BR3379" t="s">
        <v>1686</v>
      </c>
      <c r="BS3379" t="s">
        <v>1723</v>
      </c>
      <c r="BT3379" t="b">
        <v>0</v>
      </c>
      <c r="BU3379" t="s">
        <v>1738</v>
      </c>
      <c r="BV3379" t="s">
        <v>1668</v>
      </c>
      <c r="BW3379">
        <v>12700</v>
      </c>
      <c r="BY3379">
        <v>2094700</v>
      </c>
      <c r="BZ3379" t="s">
        <v>1672</v>
      </c>
      <c r="CA3379">
        <v>1</v>
      </c>
      <c r="CB3379" t="b">
        <v>1</v>
      </c>
      <c r="CC3379">
        <v>0</v>
      </c>
      <c r="CD3379" t="b">
        <v>0</v>
      </c>
      <c r="CE3379" t="b">
        <v>1</v>
      </c>
      <c r="CF3379" t="b">
        <v>0</v>
      </c>
      <c r="CG3379">
        <v>2951870</v>
      </c>
      <c r="CH3379" t="s">
        <v>1681</v>
      </c>
      <c r="CI3379" s="10">
        <v>419000</v>
      </c>
    </row>
    <row r="3380" spans="1:88">
      <c r="A3380">
        <v>28060262</v>
      </c>
      <c r="B3380" s="2" t="str">
        <f>HYPERLINK("http://www.redfin.com/stingray/do/printable-listing?listing-id=1625823","Active")</f>
        <v>Active</v>
      </c>
      <c r="D3380" t="s">
        <v>192</v>
      </c>
      <c r="E3380" t="s">
        <v>7013</v>
      </c>
      <c r="F3380">
        <v>350000</v>
      </c>
      <c r="G3380">
        <v>1941</v>
      </c>
      <c r="H3380">
        <v>1960</v>
      </c>
      <c r="I3380">
        <v>5000</v>
      </c>
      <c r="J3380">
        <v>2</v>
      </c>
      <c r="K3380">
        <v>1</v>
      </c>
      <c r="M3380" s="2" t="str">
        <f>HYPERLINK("http://maps.live.com/default.aspx?v=2&amp;lvl=15&amp;sp=Point.47.698291_-122.315478_1051 NE 96th&amp;cp=47.698291~-122.315478","Map")</f>
        <v>Map</v>
      </c>
      <c r="N3380" s="2" t="str">
        <f>HYPERLINK("http://i-0.rfimg.us/photo/1/bigphoto/262/28060262_0.jpg","Photo")</f>
        <v>Photo</v>
      </c>
      <c r="AG3380">
        <v>47.698290999999998</v>
      </c>
      <c r="AH3380">
        <v>-122.315478</v>
      </c>
      <c r="AI3380" t="s">
        <v>66</v>
      </c>
      <c r="AJ3380">
        <v>98115</v>
      </c>
      <c r="BC3380" s="22">
        <v>39546.369618055556</v>
      </c>
      <c r="BI3380" s="22">
        <v>39549.294907407406</v>
      </c>
      <c r="BL3380">
        <v>7000</v>
      </c>
      <c r="BM3380">
        <v>1625823</v>
      </c>
      <c r="BN3380" t="s">
        <v>1702</v>
      </c>
      <c r="BO3380" s="17">
        <f t="shared" ca="1" si="52"/>
        <v>2.9397878472227603</v>
      </c>
      <c r="BP3380" t="b">
        <v>0</v>
      </c>
      <c r="BQ3380">
        <v>1</v>
      </c>
      <c r="BS3380" t="s">
        <v>1961</v>
      </c>
      <c r="BT3380" t="b">
        <v>0</v>
      </c>
      <c r="BU3380" t="s">
        <v>1738</v>
      </c>
      <c r="BV3380" t="s">
        <v>1668</v>
      </c>
      <c r="BW3380">
        <v>1051</v>
      </c>
      <c r="BY3380">
        <v>109990</v>
      </c>
      <c r="BZ3380" t="s">
        <v>1741</v>
      </c>
      <c r="CA3380">
        <v>1</v>
      </c>
      <c r="CB3380" t="b">
        <v>1</v>
      </c>
      <c r="CC3380">
        <v>0</v>
      </c>
      <c r="CD3380" t="b">
        <v>0</v>
      </c>
      <c r="CE3380" t="b">
        <v>1</v>
      </c>
      <c r="CF3380" t="b">
        <v>0</v>
      </c>
      <c r="CG3380">
        <v>2417116</v>
      </c>
      <c r="CH3380" t="s">
        <v>1681</v>
      </c>
      <c r="CI3380" s="10">
        <v>350000</v>
      </c>
    </row>
    <row r="3381" spans="1:88">
      <c r="A3381">
        <v>28060274</v>
      </c>
      <c r="B3381" s="2" t="str">
        <f>HYPERLINK("http://www.redfin.com/stingray/do/printable-listing?listing-id=1625816","Active")</f>
        <v>Active</v>
      </c>
      <c r="D3381" t="s">
        <v>240</v>
      </c>
      <c r="E3381" t="s">
        <v>3127</v>
      </c>
      <c r="F3381">
        <v>789500</v>
      </c>
      <c r="G3381">
        <v>1963</v>
      </c>
      <c r="H3381">
        <v>2240</v>
      </c>
      <c r="I3381">
        <v>5350</v>
      </c>
      <c r="J3381">
        <v>4</v>
      </c>
      <c r="K3381">
        <v>2.5</v>
      </c>
      <c r="M3381" s="2" t="str">
        <f>HYPERLINK("http://maps.live.com/default.aspx?v=2&amp;lvl=15&amp;sp=Point.47.672605_-122.261636_6043 NE 61st St&amp;cp=47.672605~-122.261636","Map")</f>
        <v>Map</v>
      </c>
      <c r="N3381" s="2" t="str">
        <f>HYPERLINK("http://i-0.rfimg.us/photo/1/bigphoto/274/28060274_0.jpg","Photo")</f>
        <v>Photo</v>
      </c>
      <c r="AG3381">
        <v>47.672604999999997</v>
      </c>
      <c r="AH3381">
        <v>-122.261636</v>
      </c>
      <c r="AI3381" t="s">
        <v>66</v>
      </c>
      <c r="AJ3381">
        <v>98115</v>
      </c>
      <c r="AN3381">
        <v>719500</v>
      </c>
      <c r="BC3381" s="22">
        <v>39546.369560185187</v>
      </c>
      <c r="BI3381" s="22">
        <v>39549.294907407406</v>
      </c>
      <c r="BL3381">
        <v>15790</v>
      </c>
      <c r="BM3381">
        <v>1625816</v>
      </c>
      <c r="BN3381" t="s">
        <v>1829</v>
      </c>
      <c r="BO3381" s="17">
        <f t="shared" ca="1" si="52"/>
        <v>2.9398457175921067</v>
      </c>
      <c r="BP3381" t="b">
        <v>0</v>
      </c>
      <c r="BQ3381">
        <v>1</v>
      </c>
      <c r="BR3381" t="s">
        <v>1686</v>
      </c>
      <c r="BS3381" t="s">
        <v>2431</v>
      </c>
      <c r="BT3381" t="b">
        <v>0</v>
      </c>
      <c r="BU3381" t="s">
        <v>1738</v>
      </c>
      <c r="BV3381" t="s">
        <v>1668</v>
      </c>
      <c r="BW3381">
        <v>6043</v>
      </c>
      <c r="BY3381">
        <v>120854</v>
      </c>
      <c r="BZ3381" t="s">
        <v>1713</v>
      </c>
      <c r="CA3381">
        <v>1</v>
      </c>
      <c r="CB3381" t="b">
        <v>1</v>
      </c>
      <c r="CC3381">
        <v>0</v>
      </c>
      <c r="CD3381" t="b">
        <v>0</v>
      </c>
      <c r="CE3381" t="b">
        <v>1</v>
      </c>
      <c r="CF3381" t="b">
        <v>0</v>
      </c>
      <c r="CG3381">
        <v>2889872</v>
      </c>
      <c r="CH3381" t="s">
        <v>1681</v>
      </c>
      <c r="CI3381" s="10">
        <v>789500</v>
      </c>
      <c r="CJ3381" s="7">
        <v>39161</v>
      </c>
    </row>
    <row r="3382" spans="1:88">
      <c r="A3382">
        <v>28060275</v>
      </c>
      <c r="B3382" s="2" t="str">
        <f>HYPERLINK("http://www.redfin.com/stingray/do/printable-listing?listing-id=1625909","Active")</f>
        <v>Active</v>
      </c>
      <c r="D3382" t="s">
        <v>3249</v>
      </c>
      <c r="E3382" t="s">
        <v>7020</v>
      </c>
      <c r="F3382">
        <v>484999</v>
      </c>
      <c r="G3382">
        <v>2008</v>
      </c>
      <c r="H3382">
        <v>1800</v>
      </c>
      <c r="I3382">
        <v>0</v>
      </c>
      <c r="J3382">
        <v>3</v>
      </c>
      <c r="K3382">
        <v>2.5</v>
      </c>
      <c r="M3382" s="2" t="str">
        <f>HYPERLINK("http://maps.live.com/default.aspx?v=2&amp;lvl=15&amp;sp=Point.47.638344_-122.342461_2118 Waverly Pl N&amp;cp=47.638344~-122.342461","Map")</f>
        <v>Map</v>
      </c>
      <c r="N3382" s="2" t="str">
        <f>HYPERLINK("http://i-0.rfimg.us/photo/1/bigphoto/275/28060275_1.jpg","Photo")</f>
        <v>Photo</v>
      </c>
      <c r="AG3382">
        <v>47.638343999999996</v>
      </c>
      <c r="AH3382">
        <v>-122.342461</v>
      </c>
      <c r="AI3382" t="s">
        <v>66</v>
      </c>
      <c r="AJ3382">
        <v>98109</v>
      </c>
      <c r="BC3382" s="22">
        <v>39546.3908912037</v>
      </c>
      <c r="BI3382" s="22">
        <v>39549.294907407406</v>
      </c>
      <c r="BL3382">
        <v>9700</v>
      </c>
      <c r="BM3382">
        <v>1625909</v>
      </c>
      <c r="BN3382" t="s">
        <v>1746</v>
      </c>
      <c r="BO3382" s="17">
        <f t="shared" ca="1" si="52"/>
        <v>2.9185146990785142</v>
      </c>
      <c r="BP3382" t="b">
        <v>0</v>
      </c>
      <c r="BQ3382">
        <v>1</v>
      </c>
      <c r="BR3382" t="s">
        <v>1842</v>
      </c>
      <c r="BS3382" t="s">
        <v>3261</v>
      </c>
      <c r="BT3382" t="b">
        <v>0</v>
      </c>
      <c r="BV3382" t="s">
        <v>1668</v>
      </c>
      <c r="BW3382">
        <v>2118</v>
      </c>
      <c r="BX3382" t="s">
        <v>1712</v>
      </c>
      <c r="BY3382">
        <v>12441653</v>
      </c>
      <c r="BZ3382" t="s">
        <v>1704</v>
      </c>
      <c r="CA3382">
        <v>1</v>
      </c>
      <c r="CB3382" t="b">
        <v>1</v>
      </c>
      <c r="CC3382">
        <v>0</v>
      </c>
      <c r="CD3382" t="b">
        <v>0</v>
      </c>
      <c r="CE3382" t="b">
        <v>1</v>
      </c>
      <c r="CF3382" t="b">
        <v>0</v>
      </c>
      <c r="CG3382">
        <v>15645401</v>
      </c>
      <c r="CH3382" t="s">
        <v>1681</v>
      </c>
      <c r="CI3382" s="10">
        <v>484999</v>
      </c>
    </row>
    <row r="3383" spans="1:88">
      <c r="A3383">
        <v>28060278</v>
      </c>
      <c r="B3383" s="2" t="str">
        <f>HYPERLINK("http://www.redfin.com/stingray/do/printable-listing?listing-id=1626462","Active")</f>
        <v>Active</v>
      </c>
      <c r="D3383" t="s">
        <v>3885</v>
      </c>
      <c r="E3383" t="s">
        <v>7045</v>
      </c>
      <c r="F3383">
        <v>597000</v>
      </c>
      <c r="G3383">
        <v>2000</v>
      </c>
      <c r="H3383">
        <v>2380</v>
      </c>
      <c r="I3383">
        <v>6158</v>
      </c>
      <c r="J3383">
        <v>4</v>
      </c>
      <c r="K3383">
        <v>2.5</v>
      </c>
      <c r="M3383" s="2" t="str">
        <f>HYPERLINK("http://maps.live.com/default.aspx?v=2&amp;lvl=15&amp;sp=Point.47.521997_-122.189434_3320 Aberdeen Ave NE&amp;cp=47.521997~-122.189434","Map")</f>
        <v>Map</v>
      </c>
      <c r="N3383" s="2" t="str">
        <f>HYPERLINK("http://i-0.rfimg.us/photo/1/bigphoto/278/28060278_1.jpg","Photo")</f>
        <v>Photo</v>
      </c>
      <c r="AG3383">
        <v>47.521996999999999</v>
      </c>
      <c r="AH3383">
        <v>-122.18943400000001</v>
      </c>
      <c r="AI3383" t="s">
        <v>1077</v>
      </c>
      <c r="AJ3383">
        <v>98056</v>
      </c>
      <c r="AN3383">
        <v>543950</v>
      </c>
      <c r="BC3383" s="22">
        <v>39546.517002314817</v>
      </c>
      <c r="BI3383" s="22">
        <v>39549.294907407406</v>
      </c>
      <c r="BL3383">
        <v>11940</v>
      </c>
      <c r="BM3383">
        <v>1626462</v>
      </c>
      <c r="BN3383" t="s">
        <v>1673</v>
      </c>
      <c r="BO3383" s="17">
        <f t="shared" ca="1" si="52"/>
        <v>2.7924035879623261</v>
      </c>
      <c r="BP3383" t="b">
        <v>0</v>
      </c>
      <c r="BQ3383">
        <v>1</v>
      </c>
      <c r="BR3383" t="s">
        <v>1667</v>
      </c>
      <c r="BS3383" t="s">
        <v>5766</v>
      </c>
      <c r="BT3383" t="b">
        <v>0</v>
      </c>
      <c r="BV3383" t="s">
        <v>1668</v>
      </c>
      <c r="BW3383">
        <v>3320</v>
      </c>
      <c r="BX3383" t="s">
        <v>1738</v>
      </c>
      <c r="BY3383">
        <v>417164</v>
      </c>
      <c r="BZ3383" t="s">
        <v>1704</v>
      </c>
      <c r="CA3383">
        <v>1</v>
      </c>
      <c r="CB3383" t="b">
        <v>1</v>
      </c>
      <c r="CC3383">
        <v>0</v>
      </c>
      <c r="CD3383" t="b">
        <v>0</v>
      </c>
      <c r="CE3383" t="b">
        <v>1</v>
      </c>
      <c r="CF3383" t="b">
        <v>0</v>
      </c>
      <c r="CG3383">
        <v>2416294</v>
      </c>
      <c r="CH3383" t="s">
        <v>1681</v>
      </c>
      <c r="CI3383" s="10">
        <v>597000</v>
      </c>
      <c r="CJ3383" s="7">
        <v>38621</v>
      </c>
    </row>
    <row r="3384" spans="1:88">
      <c r="A3384">
        <v>28060316</v>
      </c>
      <c r="B3384" s="2" t="str">
        <f>HYPERLINK("http://www.redfin.com/stingray/do/printable-listing?listing-id=1627847","Active")</f>
        <v>Active</v>
      </c>
      <c r="D3384" t="s">
        <v>99</v>
      </c>
      <c r="E3384" t="s">
        <v>6998</v>
      </c>
      <c r="F3384">
        <v>1185000</v>
      </c>
      <c r="G3384">
        <v>2008</v>
      </c>
      <c r="H3384">
        <v>2360</v>
      </c>
      <c r="I3384">
        <v>6493</v>
      </c>
      <c r="J3384">
        <v>3</v>
      </c>
      <c r="K3384">
        <v>2.5</v>
      </c>
      <c r="M3384" s="2" t="str">
        <f>HYPERLINK("http://maps.live.com/default.aspx?v=2&amp;lvl=15&amp;sp=Point.47.69163_-122.368838_8532 10th Ave NW&amp;cp=47.69163~-122.368838","Map")</f>
        <v>Map</v>
      </c>
      <c r="N3384" s="2" t="str">
        <f>HYPERLINK("http://i-0.rfimg.us/photo/1/bigphoto/316/28060316_0.jpg","Photo")</f>
        <v>Photo</v>
      </c>
      <c r="AG3384">
        <v>47.691630000000004</v>
      </c>
      <c r="AH3384">
        <v>-122.368838</v>
      </c>
      <c r="AI3384" t="s">
        <v>66</v>
      </c>
      <c r="AJ3384">
        <v>98117</v>
      </c>
      <c r="AN3384">
        <v>230000</v>
      </c>
      <c r="BC3384" s="22">
        <v>39546.786620370367</v>
      </c>
      <c r="BI3384" s="22">
        <v>39549.294907407406</v>
      </c>
      <c r="BL3384">
        <v>23700</v>
      </c>
      <c r="BM3384">
        <v>1627847</v>
      </c>
      <c r="BN3384" t="s">
        <v>3048</v>
      </c>
      <c r="BO3384" s="17">
        <f t="shared" ca="1" si="52"/>
        <v>2.5227855324119446</v>
      </c>
      <c r="BP3384" t="b">
        <v>0</v>
      </c>
      <c r="BQ3384">
        <v>1</v>
      </c>
      <c r="BR3384" t="s">
        <v>1667</v>
      </c>
      <c r="BS3384" t="s">
        <v>1788</v>
      </c>
      <c r="BT3384" t="b">
        <v>0</v>
      </c>
      <c r="BV3384" t="s">
        <v>1668</v>
      </c>
      <c r="BW3384">
        <v>8532</v>
      </c>
      <c r="BX3384" t="s">
        <v>1669</v>
      </c>
      <c r="BY3384">
        <v>100149</v>
      </c>
      <c r="BZ3384" s="21">
        <v>0</v>
      </c>
      <c r="CA3384">
        <v>1</v>
      </c>
      <c r="CB3384" t="b">
        <v>1</v>
      </c>
      <c r="CC3384">
        <v>0</v>
      </c>
      <c r="CD3384" t="b">
        <v>0</v>
      </c>
      <c r="CE3384" t="b">
        <v>1</v>
      </c>
      <c r="CF3384" t="b">
        <v>0</v>
      </c>
      <c r="CG3384">
        <v>2664790</v>
      </c>
      <c r="CH3384" t="s">
        <v>1681</v>
      </c>
      <c r="CI3384" s="10">
        <v>1185000</v>
      </c>
      <c r="CJ3384" s="7">
        <v>37894</v>
      </c>
    </row>
    <row r="3385" spans="1:88">
      <c r="A3385">
        <v>28060325</v>
      </c>
      <c r="B3385" s="2" t="str">
        <f>HYPERLINK("http://www.redfin.com/stingray/do/printable-listing?listing-id=1626116","Active")</f>
        <v>Active</v>
      </c>
      <c r="D3385" t="s">
        <v>3064</v>
      </c>
      <c r="E3385" t="s">
        <v>1657</v>
      </c>
      <c r="F3385">
        <v>499500</v>
      </c>
      <c r="G3385">
        <v>1963</v>
      </c>
      <c r="H3385">
        <v>2000</v>
      </c>
      <c r="I3385">
        <v>8855</v>
      </c>
      <c r="J3385">
        <v>6</v>
      </c>
      <c r="K3385">
        <v>2.75</v>
      </c>
      <c r="M3385" s="2" t="str">
        <f>HYPERLINK("http://maps.live.com/default.aspx?v=2&amp;lvl=15&amp;sp=adr.Undisclosed,98059","Map")</f>
        <v>Map</v>
      </c>
      <c r="N3385" s="2" t="str">
        <f>HYPERLINK("http://i-0.rfimg.us/photo/1/bigphoto/325/28060325_.jpg","Photo")</f>
        <v>Photo</v>
      </c>
      <c r="AI3385" t="s">
        <v>1077</v>
      </c>
      <c r="AJ3385">
        <v>98059</v>
      </c>
      <c r="BC3385" s="22">
        <v>39546.443379629629</v>
      </c>
      <c r="BI3385" s="22">
        <v>39549.294907407406</v>
      </c>
      <c r="BL3385">
        <v>9990</v>
      </c>
      <c r="BM3385">
        <v>1626116</v>
      </c>
      <c r="BN3385" t="s">
        <v>1688</v>
      </c>
      <c r="BO3385" s="17">
        <f t="shared" ca="1" si="52"/>
        <v>2.8660262731500552</v>
      </c>
      <c r="BP3385" t="b">
        <v>0</v>
      </c>
      <c r="BQ3385">
        <v>1</v>
      </c>
      <c r="BT3385" t="b">
        <v>1</v>
      </c>
      <c r="BV3385" t="s">
        <v>1668</v>
      </c>
      <c r="BY3385">
        <v>0</v>
      </c>
      <c r="CA3385">
        <v>1</v>
      </c>
      <c r="CB3385" t="b">
        <v>1</v>
      </c>
      <c r="CC3385">
        <v>0</v>
      </c>
      <c r="CD3385" t="b">
        <v>0</v>
      </c>
      <c r="CE3385" t="b">
        <v>1</v>
      </c>
      <c r="CF3385" t="b">
        <v>0</v>
      </c>
      <c r="CG3385" t="s">
        <v>1870</v>
      </c>
      <c r="CH3385" t="s">
        <v>1681</v>
      </c>
      <c r="CI3385" s="10">
        <v>499500</v>
      </c>
    </row>
    <row r="3386" spans="1:88">
      <c r="A3386">
        <v>28060328</v>
      </c>
      <c r="B3386" s="2" t="str">
        <f>HYPERLINK("http://www.redfin.com/stingray/do/printable-listing?listing-id=1629352","Active")</f>
        <v>Active</v>
      </c>
      <c r="D3386" t="s">
        <v>1202</v>
      </c>
      <c r="E3386" t="s">
        <v>7048</v>
      </c>
      <c r="F3386">
        <v>750000</v>
      </c>
      <c r="G3386">
        <v>1970</v>
      </c>
      <c r="H3386">
        <v>3920</v>
      </c>
      <c r="I3386">
        <v>7182</v>
      </c>
      <c r="J3386">
        <v>5</v>
      </c>
      <c r="K3386">
        <v>2.75</v>
      </c>
      <c r="M3386" s="2" t="str">
        <f>HYPERLINK("http://maps.live.com/default.aspx?v=2&amp;lvl=15&amp;sp=Point.47.693412_-122.38631_8757 Jones Ave NW&amp;cp=47.693412~-122.38631","Map")</f>
        <v>Map</v>
      </c>
      <c r="N3386" s="2" t="str">
        <f>HYPERLINK("http://i-0.rfimg.us/photo/1/bigphoto/328/28060328_0.jpg","Photo")</f>
        <v>Photo</v>
      </c>
      <c r="AG3386">
        <v>47.693412000000002</v>
      </c>
      <c r="AH3386">
        <v>-122.38630999999999</v>
      </c>
      <c r="AI3386" t="s">
        <v>66</v>
      </c>
      <c r="AJ3386">
        <v>98117</v>
      </c>
      <c r="AN3386">
        <v>155000</v>
      </c>
      <c r="BC3386" s="22">
        <v>39547.422939814816</v>
      </c>
      <c r="BI3386" s="22">
        <v>39549.294907407406</v>
      </c>
      <c r="BL3386">
        <v>15000</v>
      </c>
      <c r="BM3386">
        <v>1629352</v>
      </c>
      <c r="BN3386" t="s">
        <v>1725</v>
      </c>
      <c r="BO3386" s="17">
        <f t="shared" ca="1" si="52"/>
        <v>1.8864660879626172</v>
      </c>
      <c r="BP3386" t="b">
        <v>0</v>
      </c>
      <c r="BQ3386">
        <v>1</v>
      </c>
      <c r="BR3386" t="s">
        <v>1667</v>
      </c>
      <c r="BS3386" t="s">
        <v>6148</v>
      </c>
      <c r="BT3386" t="b">
        <v>0</v>
      </c>
      <c r="BV3386" t="s">
        <v>1668</v>
      </c>
      <c r="BW3386">
        <v>8757</v>
      </c>
      <c r="BX3386" t="s">
        <v>1669</v>
      </c>
      <c r="BY3386">
        <v>289543</v>
      </c>
      <c r="BZ3386" t="s">
        <v>1701</v>
      </c>
      <c r="CA3386">
        <v>1</v>
      </c>
      <c r="CB3386" t="b">
        <v>1</v>
      </c>
      <c r="CC3386">
        <v>0</v>
      </c>
      <c r="CD3386" t="b">
        <v>0</v>
      </c>
      <c r="CE3386" t="b">
        <v>1</v>
      </c>
      <c r="CF3386" t="b">
        <v>0</v>
      </c>
      <c r="CG3386">
        <v>2746745</v>
      </c>
      <c r="CH3386" t="s">
        <v>1681</v>
      </c>
      <c r="CI3386" s="10">
        <v>750000</v>
      </c>
      <c r="CJ3386" s="7">
        <v>31138</v>
      </c>
    </row>
    <row r="3387" spans="1:88">
      <c r="A3387">
        <v>28060436</v>
      </c>
      <c r="B3387" s="2" t="str">
        <f>HYPERLINK("http://www.redfin.com/stingray/do/printable-listing?listing-id=1627116","Active")</f>
        <v>Active</v>
      </c>
      <c r="D3387" t="s">
        <v>3302</v>
      </c>
      <c r="E3387" t="s">
        <v>7023</v>
      </c>
      <c r="F3387">
        <v>574900</v>
      </c>
      <c r="G3387">
        <v>1915</v>
      </c>
      <c r="H3387">
        <v>2604</v>
      </c>
      <c r="I3387">
        <v>0</v>
      </c>
      <c r="J3387">
        <v>6</v>
      </c>
      <c r="K3387">
        <v>2.5</v>
      </c>
      <c r="M3387" s="2" t="str">
        <f>HYPERLINK("http://maps.live.com/default.aspx?v=2&amp;lvl=15&amp;sp=Point.47.639053_-122.323705_2227 Boylston Ave E&amp;cp=47.639053~-122.323705","Map")</f>
        <v>Map</v>
      </c>
      <c r="N3387" s="2" t="str">
        <f>HYPERLINK("http://i-0.rfimg.us/photo/1/bigphoto/436/28060436_0.jpg","Photo")</f>
        <v>Photo</v>
      </c>
      <c r="AG3387">
        <v>47.639052999999997</v>
      </c>
      <c r="AH3387">
        <v>-122.323705</v>
      </c>
      <c r="AI3387" t="s">
        <v>66</v>
      </c>
      <c r="AJ3387">
        <v>98102</v>
      </c>
      <c r="AN3387">
        <v>360000</v>
      </c>
      <c r="BC3387" s="22">
        <v>39546.600543981483</v>
      </c>
      <c r="BI3387" s="22">
        <v>39549.294907407406</v>
      </c>
      <c r="BL3387">
        <v>11498</v>
      </c>
      <c r="BM3387">
        <v>1627116</v>
      </c>
      <c r="BN3387" t="s">
        <v>1766</v>
      </c>
      <c r="BO3387" s="17">
        <f t="shared" ca="1" si="52"/>
        <v>2.7088619212954654</v>
      </c>
      <c r="BP3387" t="b">
        <v>0</v>
      </c>
      <c r="BQ3387">
        <v>1</v>
      </c>
      <c r="BR3387" t="s">
        <v>1667</v>
      </c>
      <c r="BS3387" t="s">
        <v>4184</v>
      </c>
      <c r="BT3387" t="b">
        <v>0</v>
      </c>
      <c r="BV3387" t="s">
        <v>1668</v>
      </c>
      <c r="BW3387">
        <v>2227</v>
      </c>
      <c r="BX3387" t="s">
        <v>2436</v>
      </c>
      <c r="BY3387">
        <v>131737</v>
      </c>
      <c r="BZ3387" t="s">
        <v>1676</v>
      </c>
      <c r="CA3387">
        <v>1</v>
      </c>
      <c r="CB3387" t="b">
        <v>1</v>
      </c>
      <c r="CC3387">
        <v>0</v>
      </c>
      <c r="CD3387" t="b">
        <v>0</v>
      </c>
      <c r="CE3387" t="b">
        <v>1</v>
      </c>
      <c r="CF3387" t="b">
        <v>0</v>
      </c>
      <c r="CG3387">
        <v>2719480</v>
      </c>
      <c r="CH3387" t="s">
        <v>1681</v>
      </c>
      <c r="CI3387" s="10">
        <v>574900</v>
      </c>
      <c r="CJ3387" s="7">
        <v>35580</v>
      </c>
    </row>
    <row r="3388" spans="1:88">
      <c r="A3388">
        <v>28060586</v>
      </c>
      <c r="B3388" s="2" t="str">
        <f>HYPERLINK("http://www.redfin.com/stingray/do/printable-listing?listing-id=1626387","Active")</f>
        <v>Active</v>
      </c>
      <c r="D3388" t="s">
        <v>5153</v>
      </c>
      <c r="E3388" t="s">
        <v>7041</v>
      </c>
      <c r="F3388">
        <v>384950</v>
      </c>
      <c r="G3388">
        <v>1955</v>
      </c>
      <c r="H3388">
        <v>1020</v>
      </c>
      <c r="I3388">
        <v>10440</v>
      </c>
      <c r="J3388">
        <v>3</v>
      </c>
      <c r="K3388">
        <v>1</v>
      </c>
      <c r="M3388" s="2" t="str">
        <f>HYPERLINK("http://maps.live.com/default.aspx?v=2&amp;lvl=15&amp;sp=Point.47.574286_-122.15049_14221 SE 40th St&amp;cp=47.574286~-122.15049","Map")</f>
        <v>Map</v>
      </c>
      <c r="N3388" s="2" t="str">
        <f>HYPERLINK("http://i-0.rfimg.us/photo/1/bigphoto/586/28060586_1.jpg","Photo")</f>
        <v>Photo</v>
      </c>
      <c r="AG3388">
        <v>47.574286000000001</v>
      </c>
      <c r="AH3388">
        <v>-122.15049</v>
      </c>
      <c r="AI3388" t="s">
        <v>369</v>
      </c>
      <c r="AJ3388">
        <v>98006</v>
      </c>
      <c r="AN3388">
        <v>275000</v>
      </c>
      <c r="BC3388" s="22">
        <v>39546.495115740741</v>
      </c>
      <c r="BI3388" s="22">
        <v>39549.294907407406</v>
      </c>
      <c r="BL3388">
        <v>7699</v>
      </c>
      <c r="BM3388">
        <v>1626387</v>
      </c>
      <c r="BN3388" t="s">
        <v>1735</v>
      </c>
      <c r="BO3388" s="17">
        <f t="shared" ca="1" si="52"/>
        <v>2.8142901620376506</v>
      </c>
      <c r="BP3388" t="b">
        <v>0</v>
      </c>
      <c r="BQ3388">
        <v>1</v>
      </c>
      <c r="BR3388" t="s">
        <v>1686</v>
      </c>
      <c r="BS3388" t="s">
        <v>2832</v>
      </c>
      <c r="BT3388" t="b">
        <v>0</v>
      </c>
      <c r="BU3388" t="s">
        <v>3856</v>
      </c>
      <c r="BV3388" t="s">
        <v>1668</v>
      </c>
      <c r="BW3388">
        <v>14221</v>
      </c>
      <c r="BY3388">
        <v>233812</v>
      </c>
      <c r="BZ3388" t="s">
        <v>1679</v>
      </c>
      <c r="CA3388">
        <v>1</v>
      </c>
      <c r="CB3388" t="b">
        <v>1</v>
      </c>
      <c r="CC3388">
        <v>0</v>
      </c>
      <c r="CD3388" t="b">
        <v>0</v>
      </c>
      <c r="CE3388" t="b">
        <v>1</v>
      </c>
      <c r="CF3388" t="b">
        <v>0</v>
      </c>
      <c r="CG3388">
        <v>2413204</v>
      </c>
      <c r="CH3388" t="s">
        <v>1681</v>
      </c>
      <c r="CI3388" s="10">
        <v>384950</v>
      </c>
      <c r="CJ3388" s="7">
        <v>39521</v>
      </c>
    </row>
    <row r="3389" spans="1:88">
      <c r="A3389">
        <v>28060588</v>
      </c>
      <c r="B3389" s="2" t="str">
        <f>HYPERLINK("http://www.redfin.com/stingray/do/printable-listing?listing-id=1626416","Active")</f>
        <v>Active</v>
      </c>
      <c r="D3389" t="s">
        <v>55</v>
      </c>
      <c r="E3389" t="s">
        <v>7006</v>
      </c>
      <c r="F3389">
        <v>349000</v>
      </c>
      <c r="G3389">
        <v>2008</v>
      </c>
      <c r="H3389">
        <v>1409</v>
      </c>
      <c r="I3389">
        <v>0</v>
      </c>
      <c r="J3389">
        <v>3</v>
      </c>
      <c r="K3389">
        <v>3.25</v>
      </c>
      <c r="M3389" s="2" t="str">
        <f>HYPERLINK("http://maps.live.com/default.aspx?v=2&amp;lvl=15&amp;sp=Point.47.709919_-122.355295_11012 Greenwood Ave N nC&amp;cp=47.709919~-122.355295","Map")</f>
        <v>Map</v>
      </c>
      <c r="N3389" s="2" t="str">
        <f>HYPERLINK("http://i-0.rfimg.us/photo/1/bigphoto/588/28060588_0.jpg","Photo")</f>
        <v>Photo</v>
      </c>
      <c r="AG3389">
        <v>47.709918999999999</v>
      </c>
      <c r="AH3389">
        <v>-122.355295</v>
      </c>
      <c r="AI3389" t="s">
        <v>66</v>
      </c>
      <c r="AJ3389">
        <v>98133</v>
      </c>
      <c r="AM3389" t="s">
        <v>2341</v>
      </c>
      <c r="BC3389" s="22">
        <v>39546.506064814814</v>
      </c>
      <c r="BI3389" s="22">
        <v>39549.294907407406</v>
      </c>
      <c r="BL3389">
        <v>6980</v>
      </c>
      <c r="BM3389">
        <v>1626416</v>
      </c>
      <c r="BN3389" t="s">
        <v>1718</v>
      </c>
      <c r="BO3389" s="17">
        <f t="shared" ca="1" si="52"/>
        <v>2.8033410879652365</v>
      </c>
      <c r="BP3389" t="b">
        <v>0</v>
      </c>
      <c r="BQ3389">
        <v>1</v>
      </c>
      <c r="BR3389" t="s">
        <v>1667</v>
      </c>
      <c r="BS3389" t="s">
        <v>55</v>
      </c>
      <c r="BT3389" t="b">
        <v>0</v>
      </c>
      <c r="BV3389" t="s">
        <v>1668</v>
      </c>
      <c r="BW3389">
        <v>11012</v>
      </c>
      <c r="BX3389" t="s">
        <v>1712</v>
      </c>
      <c r="BY3389">
        <v>12441703</v>
      </c>
      <c r="BZ3389" t="s">
        <v>1676</v>
      </c>
      <c r="CA3389">
        <v>1</v>
      </c>
      <c r="CB3389" t="b">
        <v>1</v>
      </c>
      <c r="CC3389">
        <v>0</v>
      </c>
      <c r="CD3389" t="b">
        <v>0</v>
      </c>
      <c r="CE3389" t="b">
        <v>1</v>
      </c>
      <c r="CF3389" t="b">
        <v>0</v>
      </c>
      <c r="CG3389">
        <v>15588952</v>
      </c>
      <c r="CH3389" t="s">
        <v>1681</v>
      </c>
      <c r="CI3389" s="10">
        <v>349000</v>
      </c>
    </row>
    <row r="3390" spans="1:88">
      <c r="A3390">
        <v>28060603</v>
      </c>
      <c r="B3390" s="2" t="str">
        <f>HYPERLINK("http://www.redfin.com/stingray/do/printable-listing?listing-id=1626412","Active")</f>
        <v>Active</v>
      </c>
      <c r="D3390" t="s">
        <v>60</v>
      </c>
      <c r="E3390" t="s">
        <v>7001</v>
      </c>
      <c r="F3390">
        <v>525000</v>
      </c>
      <c r="G3390">
        <v>1906</v>
      </c>
      <c r="H3390">
        <v>2872</v>
      </c>
      <c r="I3390">
        <v>4792</v>
      </c>
      <c r="J3390">
        <v>4</v>
      </c>
      <c r="K3390">
        <v>1.5</v>
      </c>
      <c r="M3390" s="2" t="str">
        <f>HYPERLINK("http://maps.live.com/default.aspx?v=2&amp;lvl=15&amp;sp=Point.47.690058_-122.347801_748 N 84th St&amp;cp=47.690058~-122.347801","Map")</f>
        <v>Map</v>
      </c>
      <c r="N3390" s="2" t="str">
        <f>HYPERLINK("http://i-0.rfimg.us/photo/1/bigphoto/603/28060603_2.jpg","Photo")</f>
        <v>Photo</v>
      </c>
      <c r="AG3390">
        <v>47.690058000000001</v>
      </c>
      <c r="AH3390">
        <v>-122.347801</v>
      </c>
      <c r="AI3390" t="s">
        <v>66</v>
      </c>
      <c r="AJ3390">
        <v>98103</v>
      </c>
      <c r="BC3390" s="22">
        <v>39546.506030092591</v>
      </c>
      <c r="BI3390" s="22">
        <v>39549.294907407406</v>
      </c>
      <c r="BL3390">
        <v>10500</v>
      </c>
      <c r="BM3390">
        <v>1626412</v>
      </c>
      <c r="BN3390" t="s">
        <v>1805</v>
      </c>
      <c r="BO3390" s="17">
        <f t="shared" ca="1" si="52"/>
        <v>2.8033758101882995</v>
      </c>
      <c r="BP3390" t="b">
        <v>0</v>
      </c>
      <c r="BQ3390">
        <v>1</v>
      </c>
      <c r="BR3390" t="s">
        <v>1686</v>
      </c>
      <c r="BS3390" t="s">
        <v>1826</v>
      </c>
      <c r="BT3390" t="b">
        <v>0</v>
      </c>
      <c r="BU3390" t="s">
        <v>1712</v>
      </c>
      <c r="BV3390" t="s">
        <v>1668</v>
      </c>
      <c r="BW3390">
        <v>748</v>
      </c>
      <c r="BY3390">
        <v>301701</v>
      </c>
      <c r="BZ3390" t="s">
        <v>7002</v>
      </c>
      <c r="CA3390">
        <v>1</v>
      </c>
      <c r="CB3390" t="b">
        <v>1</v>
      </c>
      <c r="CC3390">
        <v>0</v>
      </c>
      <c r="CD3390" t="b">
        <v>0</v>
      </c>
      <c r="CE3390" t="b">
        <v>1</v>
      </c>
      <c r="CF3390" t="b">
        <v>0</v>
      </c>
      <c r="CG3390">
        <v>2528976</v>
      </c>
      <c r="CH3390" t="s">
        <v>1681</v>
      </c>
      <c r="CI3390" s="10">
        <v>525000</v>
      </c>
    </row>
    <row r="3391" spans="1:88">
      <c r="A3391">
        <v>28060614</v>
      </c>
      <c r="B3391" s="2" t="str">
        <f>HYPERLINK("http://www.redfin.com/stingray/do/printable-listing?listing-id=1626455","Active")</f>
        <v>Active</v>
      </c>
      <c r="D3391" t="s">
        <v>3066</v>
      </c>
      <c r="E3391" t="s">
        <v>4366</v>
      </c>
      <c r="F3391">
        <v>449990</v>
      </c>
      <c r="G3391">
        <v>1970</v>
      </c>
      <c r="H3391">
        <v>1400</v>
      </c>
      <c r="I3391">
        <v>10010</v>
      </c>
      <c r="J3391">
        <v>3</v>
      </c>
      <c r="K3391">
        <v>1.75</v>
      </c>
      <c r="M3391" s="2" t="str">
        <f>HYPERLINK("http://maps.live.com/default.aspx?v=2&amp;lvl=15&amp;sp=Point.47.698586_-122.1662_13028 NE 109th Pl&amp;cp=47.698586~-122.1662","Map")</f>
        <v>Map</v>
      </c>
      <c r="N3391" s="2" t="str">
        <f>HYPERLINK("http://i-0.rfimg.us/photo/1/bigphoto/614/28060614_1.jpg","Photo")</f>
        <v>Photo</v>
      </c>
      <c r="AG3391">
        <v>47.698585999999999</v>
      </c>
      <c r="AH3391">
        <v>-122.1662</v>
      </c>
      <c r="AI3391" t="s">
        <v>1058</v>
      </c>
      <c r="AJ3391">
        <v>98033</v>
      </c>
      <c r="AN3391">
        <v>315500</v>
      </c>
      <c r="BC3391" s="22">
        <v>39546.516909722224</v>
      </c>
      <c r="BI3391" s="22">
        <v>39549.294907407406</v>
      </c>
      <c r="BL3391">
        <v>9000</v>
      </c>
      <c r="BM3391">
        <v>1626455</v>
      </c>
      <c r="BN3391" t="s">
        <v>2203</v>
      </c>
      <c r="BO3391" s="17">
        <f t="shared" ca="1" si="52"/>
        <v>2.7924961805547355</v>
      </c>
      <c r="BP3391" t="b">
        <v>0</v>
      </c>
      <c r="BQ3391">
        <v>1</v>
      </c>
      <c r="BR3391" t="s">
        <v>1842</v>
      </c>
      <c r="BS3391" t="s">
        <v>4367</v>
      </c>
      <c r="BT3391" t="b">
        <v>0</v>
      </c>
      <c r="BU3391" t="s">
        <v>1738</v>
      </c>
      <c r="BV3391" t="s">
        <v>1668</v>
      </c>
      <c r="BW3391">
        <v>13028</v>
      </c>
      <c r="BY3391">
        <v>513519</v>
      </c>
      <c r="BZ3391" t="s">
        <v>1756</v>
      </c>
      <c r="CA3391">
        <v>1</v>
      </c>
      <c r="CB3391" t="b">
        <v>1</v>
      </c>
      <c r="CC3391">
        <v>0</v>
      </c>
      <c r="CD3391" t="b">
        <v>0</v>
      </c>
      <c r="CE3391" t="b">
        <v>1</v>
      </c>
      <c r="CF3391" t="b">
        <v>0</v>
      </c>
      <c r="CG3391">
        <v>2847379</v>
      </c>
      <c r="CH3391" t="s">
        <v>1681</v>
      </c>
      <c r="CI3391" s="10">
        <v>449990</v>
      </c>
      <c r="CJ3391" s="7">
        <v>38133</v>
      </c>
    </row>
    <row r="3392" spans="1:88">
      <c r="A3392">
        <v>28060625</v>
      </c>
      <c r="B3392" s="2" t="str">
        <f>HYPERLINK("http://www.redfin.com/stingray/do/printable-listing?listing-id=1626661","Active")</f>
        <v>Active</v>
      </c>
      <c r="D3392" t="s">
        <v>3959</v>
      </c>
      <c r="E3392" t="s">
        <v>7026</v>
      </c>
      <c r="F3392">
        <v>453000</v>
      </c>
      <c r="G3392">
        <v>2001</v>
      </c>
      <c r="H3392">
        <v>1780</v>
      </c>
      <c r="I3392">
        <v>1982</v>
      </c>
      <c r="J3392">
        <v>3</v>
      </c>
      <c r="K3392">
        <v>3.25</v>
      </c>
      <c r="M3392" s="2" t="str">
        <f>HYPERLINK("http://maps.live.com/default.aspx?v=2&amp;lvl=15&amp;sp=Point.47.6042_-122.302686_221 23rd Ave&amp;cp=47.6042~-122.302686","Map")</f>
        <v>Map</v>
      </c>
      <c r="N3392" s="2" t="str">
        <f>HYPERLINK("http://i-0.rfimg.us/photo/1/bigphoto/625/28060625_0.jpg","Photo")</f>
        <v>Photo</v>
      </c>
      <c r="AG3392">
        <v>47.604199999999999</v>
      </c>
      <c r="AH3392">
        <v>-122.30268599999999</v>
      </c>
      <c r="AI3392" t="s">
        <v>66</v>
      </c>
      <c r="AJ3392">
        <v>98122</v>
      </c>
      <c r="AN3392">
        <v>322500</v>
      </c>
      <c r="BC3392" s="22">
        <v>39546.527453703704</v>
      </c>
      <c r="BI3392" s="22">
        <v>39549.294907407406</v>
      </c>
      <c r="BL3392">
        <v>9060</v>
      </c>
      <c r="BM3392">
        <v>1626661</v>
      </c>
      <c r="BN3392" t="s">
        <v>1674</v>
      </c>
      <c r="BO3392" s="17">
        <f t="shared" ca="1" si="52"/>
        <v>2.7819521990750218</v>
      </c>
      <c r="BP3392" t="b">
        <v>0</v>
      </c>
      <c r="BQ3392">
        <v>1</v>
      </c>
      <c r="BR3392" t="s">
        <v>1667</v>
      </c>
      <c r="BS3392" t="s">
        <v>1839</v>
      </c>
      <c r="BT3392" t="b">
        <v>0</v>
      </c>
      <c r="BV3392" t="s">
        <v>1668</v>
      </c>
      <c r="BW3392">
        <v>221</v>
      </c>
      <c r="BY3392">
        <v>143265</v>
      </c>
      <c r="BZ3392" t="s">
        <v>1741</v>
      </c>
      <c r="CA3392">
        <v>1</v>
      </c>
      <c r="CB3392" t="b">
        <v>1</v>
      </c>
      <c r="CC3392">
        <v>0</v>
      </c>
      <c r="CD3392" t="b">
        <v>0</v>
      </c>
      <c r="CE3392" t="b">
        <v>1</v>
      </c>
      <c r="CF3392" t="b">
        <v>0</v>
      </c>
      <c r="CG3392">
        <v>2784643</v>
      </c>
      <c r="CH3392" t="s">
        <v>1681</v>
      </c>
      <c r="CI3392" s="10">
        <v>453000</v>
      </c>
      <c r="CJ3392" s="7">
        <v>37321</v>
      </c>
    </row>
    <row r="3393" spans="1:88">
      <c r="A3393">
        <v>28060651</v>
      </c>
      <c r="B3393" s="2" t="str">
        <f>HYPERLINK("http://www.redfin.com/stingray/do/printable-listing?listing-id=1626662","Active")</f>
        <v>Active</v>
      </c>
      <c r="D3393" t="s">
        <v>63</v>
      </c>
      <c r="E3393" t="s">
        <v>6997</v>
      </c>
      <c r="F3393">
        <v>399950</v>
      </c>
      <c r="G3393">
        <v>2007</v>
      </c>
      <c r="H3393">
        <v>1450</v>
      </c>
      <c r="I3393">
        <v>0</v>
      </c>
      <c r="J3393">
        <v>3</v>
      </c>
      <c r="K3393">
        <v>2.5</v>
      </c>
      <c r="M3393" s="2" t="str">
        <f>HYPERLINK("http://maps.live.com/default.aspx?v=2&amp;lvl=15&amp;sp=Point.47.678949_-122.387803_6745 NW 24th Ave nB&amp;cp=47.678949~-122.387803","Map")</f>
        <v>Map</v>
      </c>
      <c r="N3393" s="2" t="str">
        <f>HYPERLINK("http://i-0.rfimg.us/photo/1/bigphoto/651/28060651_.jpg","Photo")</f>
        <v>Photo</v>
      </c>
      <c r="AG3393">
        <v>47.678949000000003</v>
      </c>
      <c r="AH3393">
        <v>-122.38780300000001</v>
      </c>
      <c r="AI3393" t="s">
        <v>66</v>
      </c>
      <c r="AJ3393">
        <v>98117</v>
      </c>
      <c r="AM3393" t="s">
        <v>1699</v>
      </c>
      <c r="BC3393" s="22">
        <v>39546.527453703704</v>
      </c>
      <c r="BI3393" s="22">
        <v>39549.294907407406</v>
      </c>
      <c r="BL3393">
        <v>7999</v>
      </c>
      <c r="BM3393">
        <v>1626662</v>
      </c>
      <c r="BN3393" t="s">
        <v>1700</v>
      </c>
      <c r="BO3393" s="17">
        <f t="shared" ca="1" si="52"/>
        <v>2.7819521990750218</v>
      </c>
      <c r="BP3393" t="b">
        <v>0</v>
      </c>
      <c r="BQ3393">
        <v>1</v>
      </c>
      <c r="BR3393" t="s">
        <v>1667</v>
      </c>
      <c r="BS3393" t="s">
        <v>1740</v>
      </c>
      <c r="BT3393" t="b">
        <v>0</v>
      </c>
      <c r="BU3393" t="s">
        <v>1669</v>
      </c>
      <c r="BV3393" t="s">
        <v>1668</v>
      </c>
      <c r="BW3393">
        <v>6745</v>
      </c>
      <c r="BY3393">
        <v>12441739</v>
      </c>
      <c r="CA3393">
        <v>1</v>
      </c>
      <c r="CB3393" t="b">
        <v>1</v>
      </c>
      <c r="CC3393">
        <v>0</v>
      </c>
      <c r="CD3393" t="b">
        <v>0</v>
      </c>
      <c r="CE3393" t="b">
        <v>1</v>
      </c>
      <c r="CF3393" t="b">
        <v>0</v>
      </c>
      <c r="CG3393">
        <v>15645487</v>
      </c>
      <c r="CH3393" t="s">
        <v>1681</v>
      </c>
      <c r="CI3393" s="10">
        <v>399950</v>
      </c>
    </row>
    <row r="3394" spans="1:88">
      <c r="A3394">
        <v>28060685</v>
      </c>
      <c r="B3394" s="2" t="str">
        <f>HYPERLINK("http://www.redfin.com/stingray/do/printable-listing?listing-id=1626933","Active")</f>
        <v>Active</v>
      </c>
      <c r="D3394" t="s">
        <v>3249</v>
      </c>
      <c r="E3394" t="s">
        <v>3607</v>
      </c>
      <c r="F3394">
        <v>1399900</v>
      </c>
      <c r="G3394">
        <v>2007</v>
      </c>
      <c r="H3394">
        <v>3647</v>
      </c>
      <c r="I3394">
        <v>0</v>
      </c>
      <c r="J3394">
        <v>5</v>
      </c>
      <c r="K3394">
        <v>3.5</v>
      </c>
      <c r="M3394" s="2" t="str">
        <f>HYPERLINK("http://maps.live.com/default.aspx?v=2&amp;lvl=15&amp;sp=Point.47.635498_-122.372595_1826 12th Ave W&amp;cp=47.635498~-122.372595","Map")</f>
        <v>Map</v>
      </c>
      <c r="N3394" s="2" t="str">
        <f>HYPERLINK("http://i-0.rfimg.us/photo/1/bigphoto/685/28060685_0.jpg","Photo")</f>
        <v>Photo</v>
      </c>
      <c r="AG3394">
        <v>47.635497999999998</v>
      </c>
      <c r="AH3394">
        <v>-122.372595</v>
      </c>
      <c r="AI3394" t="s">
        <v>66</v>
      </c>
      <c r="AJ3394">
        <v>98119</v>
      </c>
      <c r="BC3394" s="22">
        <v>39546.572731481479</v>
      </c>
      <c r="BI3394" s="22">
        <v>39549.294907407406</v>
      </c>
      <c r="BL3394">
        <v>27998</v>
      </c>
      <c r="BM3394">
        <v>1626933</v>
      </c>
      <c r="BN3394" t="s">
        <v>1766</v>
      </c>
      <c r="BO3394" s="17">
        <f t="shared" ref="BO3394:BO3439" ca="1" si="53">NOW()-BC3394</f>
        <v>2.73667442129954</v>
      </c>
      <c r="BP3394" t="b">
        <v>0</v>
      </c>
      <c r="BQ3394">
        <v>1</v>
      </c>
      <c r="BR3394" t="s">
        <v>1667</v>
      </c>
      <c r="BS3394" t="s">
        <v>1803</v>
      </c>
      <c r="BT3394" t="b">
        <v>0</v>
      </c>
      <c r="BV3394" t="s">
        <v>1668</v>
      </c>
      <c r="BW3394">
        <v>1826</v>
      </c>
      <c r="BX3394" t="s">
        <v>2423</v>
      </c>
      <c r="BY3394">
        <v>12300620</v>
      </c>
      <c r="BZ3394" t="s">
        <v>1672</v>
      </c>
      <c r="CA3394">
        <v>1</v>
      </c>
      <c r="CB3394" t="b">
        <v>1</v>
      </c>
      <c r="CC3394">
        <v>0</v>
      </c>
      <c r="CD3394" t="b">
        <v>0</v>
      </c>
      <c r="CE3394" t="b">
        <v>1</v>
      </c>
      <c r="CF3394" t="b">
        <v>0</v>
      </c>
      <c r="CG3394">
        <v>2371302</v>
      </c>
      <c r="CH3394" t="s">
        <v>1681</v>
      </c>
      <c r="CI3394" s="10">
        <v>1399900</v>
      </c>
    </row>
    <row r="3395" spans="1:88">
      <c r="A3395">
        <v>28060753</v>
      </c>
      <c r="B3395" s="2" t="str">
        <f>HYPERLINK("http://www.redfin.com/stingray/do/printable-listing?listing-id=1627608","Active")</f>
        <v>Active</v>
      </c>
      <c r="D3395" t="s">
        <v>194</v>
      </c>
      <c r="E3395" t="s">
        <v>7016</v>
      </c>
      <c r="F3395">
        <v>650000</v>
      </c>
      <c r="G3395">
        <v>1965</v>
      </c>
      <c r="H3395">
        <v>3230</v>
      </c>
      <c r="I3395">
        <v>5814</v>
      </c>
      <c r="J3395">
        <v>5</v>
      </c>
      <c r="K3395">
        <v>2.75</v>
      </c>
      <c r="M3395" s="2" t="str">
        <f>HYPERLINK("http://maps.live.com/default.aspx?v=2&amp;lvl=15&amp;sp=Point.47.677917_-122.285714_6808 39 Ave NE&amp;cp=47.677917~-122.285714","Map")</f>
        <v>Map</v>
      </c>
      <c r="N3395" s="2" t="str">
        <f>HYPERLINK("http://i-0.rfimg.us/photo/1/bigphoto/753/28060753_0.jpg","Photo")</f>
        <v>Photo</v>
      </c>
      <c r="AG3395">
        <v>47.677917000000001</v>
      </c>
      <c r="AH3395">
        <v>-122.285714</v>
      </c>
      <c r="AI3395" t="s">
        <v>66</v>
      </c>
      <c r="AJ3395">
        <v>98115</v>
      </c>
      <c r="BC3395" s="22">
        <v>39546.725277777776</v>
      </c>
      <c r="BI3395" s="22">
        <v>39549.294907407406</v>
      </c>
      <c r="BL3395">
        <v>13000</v>
      </c>
      <c r="BM3395">
        <v>1627608</v>
      </c>
      <c r="BN3395" t="s">
        <v>1702</v>
      </c>
      <c r="BO3395" s="17">
        <f t="shared" ca="1" si="53"/>
        <v>2.5841281250031898</v>
      </c>
      <c r="BP3395" t="b">
        <v>0</v>
      </c>
      <c r="BQ3395">
        <v>1</v>
      </c>
      <c r="BR3395" t="s">
        <v>1667</v>
      </c>
      <c r="BS3395">
        <v>39</v>
      </c>
      <c r="BT3395" t="b">
        <v>0</v>
      </c>
      <c r="BV3395" t="s">
        <v>1668</v>
      </c>
      <c r="BW3395">
        <v>6808</v>
      </c>
      <c r="BX3395" t="s">
        <v>1738</v>
      </c>
      <c r="BY3395">
        <v>316687</v>
      </c>
      <c r="BZ3395" t="s">
        <v>1672</v>
      </c>
      <c r="CA3395">
        <v>1</v>
      </c>
      <c r="CB3395" t="b">
        <v>1</v>
      </c>
      <c r="CC3395">
        <v>0</v>
      </c>
      <c r="CD3395" t="b">
        <v>0</v>
      </c>
      <c r="CE3395" t="b">
        <v>1</v>
      </c>
      <c r="CF3395" t="b">
        <v>0</v>
      </c>
      <c r="CG3395">
        <v>2626049</v>
      </c>
      <c r="CH3395" t="s">
        <v>1681</v>
      </c>
      <c r="CI3395" s="10">
        <v>650000</v>
      </c>
    </row>
    <row r="3396" spans="1:88">
      <c r="A3396">
        <v>28060779</v>
      </c>
      <c r="B3396" s="2" t="str">
        <f>HYPERLINK("http://www.redfin.com/stingray/do/printable-listing?listing-id=1627122","Active")</f>
        <v>Active</v>
      </c>
      <c r="D3396" t="s">
        <v>109</v>
      </c>
      <c r="E3396" t="s">
        <v>7000</v>
      </c>
      <c r="F3396">
        <v>519950</v>
      </c>
      <c r="G3396">
        <v>2008</v>
      </c>
      <c r="H3396">
        <v>1367</v>
      </c>
      <c r="I3396">
        <v>0</v>
      </c>
      <c r="J3396">
        <v>3</v>
      </c>
      <c r="K3396">
        <v>2.5</v>
      </c>
      <c r="M3396" s="2" t="str">
        <f>HYPERLINK("http://maps.live.com/default.aspx?v=2&amp;lvl=15&amp;sp=Point.47.662374_-122.334334_1916 N 46th St nA&amp;cp=47.662374~-122.334334","Map")</f>
        <v>Map</v>
      </c>
      <c r="N3396" s="2" t="str">
        <f>HYPERLINK("http://i-0.rfimg.us/photo/1/bigphoto/779/28060779_0.jpg","Photo")</f>
        <v>Photo</v>
      </c>
      <c r="AG3396">
        <v>47.662374</v>
      </c>
      <c r="AH3396">
        <v>-122.334334</v>
      </c>
      <c r="AI3396" t="s">
        <v>66</v>
      </c>
      <c r="AJ3396">
        <v>98103</v>
      </c>
      <c r="AM3396" t="s">
        <v>1722</v>
      </c>
      <c r="BC3396" s="22">
        <v>39546.600601851853</v>
      </c>
      <c r="BI3396" s="22">
        <v>39549.294907407406</v>
      </c>
      <c r="BL3396">
        <v>10399</v>
      </c>
      <c r="BM3396">
        <v>1627122</v>
      </c>
      <c r="BN3396" t="s">
        <v>1693</v>
      </c>
      <c r="BO3396" s="17">
        <f t="shared" ca="1" si="53"/>
        <v>2.7088040509261191</v>
      </c>
      <c r="BP3396" t="b">
        <v>0</v>
      </c>
      <c r="BQ3396">
        <v>1</v>
      </c>
      <c r="BR3396" t="s">
        <v>1686</v>
      </c>
      <c r="BS3396" t="s">
        <v>2471</v>
      </c>
      <c r="BT3396" t="b">
        <v>0</v>
      </c>
      <c r="BU3396" t="s">
        <v>1712</v>
      </c>
      <c r="BV3396" t="s">
        <v>1668</v>
      </c>
      <c r="BW3396">
        <v>1916</v>
      </c>
      <c r="BY3396">
        <v>12441777</v>
      </c>
      <c r="BZ3396" t="s">
        <v>1672</v>
      </c>
      <c r="CA3396">
        <v>1</v>
      </c>
      <c r="CB3396" t="b">
        <v>1</v>
      </c>
      <c r="CC3396">
        <v>0</v>
      </c>
      <c r="CD3396" t="b">
        <v>0</v>
      </c>
      <c r="CE3396" t="b">
        <v>1</v>
      </c>
      <c r="CF3396" t="b">
        <v>0</v>
      </c>
      <c r="CG3396">
        <v>15632447</v>
      </c>
      <c r="CH3396" t="s">
        <v>1681</v>
      </c>
      <c r="CI3396" s="10">
        <v>519950</v>
      </c>
    </row>
    <row r="3397" spans="1:88">
      <c r="A3397">
        <v>28060795</v>
      </c>
      <c r="B3397" s="2" t="str">
        <f>HYPERLINK("http://www.redfin.com/stingray/do/printable-listing?listing-id=1627114","Active")</f>
        <v>Active</v>
      </c>
      <c r="D3397" t="s">
        <v>1077</v>
      </c>
      <c r="E3397" t="s">
        <v>7046</v>
      </c>
      <c r="F3397">
        <v>485000</v>
      </c>
      <c r="G3397">
        <v>1948</v>
      </c>
      <c r="H3397">
        <v>1760</v>
      </c>
      <c r="I3397">
        <v>0</v>
      </c>
      <c r="J3397">
        <v>4</v>
      </c>
      <c r="K3397">
        <v>1.5</v>
      </c>
      <c r="M3397" s="2" t="str">
        <f>HYPERLINK("http://maps.live.com/default.aspx?v=2&amp;lvl=15&amp;sp=Point.47.506456_-122.165131_1609 Union Ave NE&amp;cp=47.506456~-122.165131","Map")</f>
        <v>Map</v>
      </c>
      <c r="N3397" s="2" t="str">
        <f>HYPERLINK("http://i-0.rfimg.us/photo/1/bigphoto/795/28060795_.jpg","Photo")</f>
        <v>Photo</v>
      </c>
      <c r="AG3397">
        <v>47.506456</v>
      </c>
      <c r="AH3397">
        <v>-122.165131</v>
      </c>
      <c r="AI3397" t="s">
        <v>1077</v>
      </c>
      <c r="AJ3397">
        <v>98059</v>
      </c>
      <c r="BC3397" s="22">
        <v>39546.600543981483</v>
      </c>
      <c r="BI3397" s="22">
        <v>39549.294907407406</v>
      </c>
      <c r="BL3397">
        <v>9700</v>
      </c>
      <c r="BM3397">
        <v>1627114</v>
      </c>
      <c r="BN3397" t="s">
        <v>1798</v>
      </c>
      <c r="BO3397" s="17">
        <f t="shared" ca="1" si="53"/>
        <v>2.7088619212954654</v>
      </c>
      <c r="BP3397" t="b">
        <v>0</v>
      </c>
      <c r="BQ3397">
        <v>1</v>
      </c>
      <c r="BR3397" t="s">
        <v>1667</v>
      </c>
      <c r="BS3397" t="s">
        <v>4075</v>
      </c>
      <c r="BT3397" t="b">
        <v>0</v>
      </c>
      <c r="BV3397" t="s">
        <v>1668</v>
      </c>
      <c r="BW3397">
        <v>1609</v>
      </c>
      <c r="BX3397" t="s">
        <v>1738</v>
      </c>
      <c r="BY3397">
        <v>411885</v>
      </c>
      <c r="CA3397">
        <v>1</v>
      </c>
      <c r="CB3397" t="b">
        <v>1</v>
      </c>
      <c r="CC3397">
        <v>0</v>
      </c>
      <c r="CD3397" t="b">
        <v>0</v>
      </c>
      <c r="CE3397" t="b">
        <v>1</v>
      </c>
      <c r="CF3397" t="b">
        <v>0</v>
      </c>
      <c r="CG3397">
        <v>2961246</v>
      </c>
      <c r="CH3397" t="s">
        <v>1681</v>
      </c>
      <c r="CI3397" s="10">
        <v>485000</v>
      </c>
    </row>
    <row r="3398" spans="1:88">
      <c r="A3398">
        <v>28060814</v>
      </c>
      <c r="B3398" s="2" t="str">
        <f>HYPERLINK("http://www.redfin.com/stingray/do/printable-listing?listing-id=1627163","Active")</f>
        <v>Active</v>
      </c>
      <c r="D3398" t="s">
        <v>3966</v>
      </c>
      <c r="E3398" t="s">
        <v>4017</v>
      </c>
      <c r="F3398">
        <v>1695000</v>
      </c>
      <c r="G3398">
        <v>1905</v>
      </c>
      <c r="H3398">
        <v>5000</v>
      </c>
      <c r="I3398">
        <v>6000</v>
      </c>
      <c r="J3398">
        <v>5</v>
      </c>
      <c r="K3398">
        <v>4.5</v>
      </c>
      <c r="M3398" s="2" t="str">
        <f>HYPERLINK("http://maps.live.com/default.aspx?v=2&amp;lvl=15&amp;sp=Point.47.614216_-122.289999_1502 33rd Ave&amp;cp=47.614216~-122.289999","Map")</f>
        <v>Map</v>
      </c>
      <c r="N3398" s="2" t="str">
        <f>HYPERLINK("http://i-0.rfimg.us/photo/1/bigphoto/814/28060814_0.jpg","Photo")</f>
        <v>Photo</v>
      </c>
      <c r="AG3398">
        <v>47.614215999999999</v>
      </c>
      <c r="AH3398">
        <v>-122.28999899999999</v>
      </c>
      <c r="AI3398" t="s">
        <v>66</v>
      </c>
      <c r="AJ3398">
        <v>98122</v>
      </c>
      <c r="AN3398">
        <v>635000</v>
      </c>
      <c r="BC3398" s="22">
        <v>39546.613368055558</v>
      </c>
      <c r="BI3398" s="22">
        <v>39549.294907407406</v>
      </c>
      <c r="BL3398">
        <v>33900</v>
      </c>
      <c r="BM3398">
        <v>1627163</v>
      </c>
      <c r="BN3398" t="s">
        <v>1766</v>
      </c>
      <c r="BO3398" s="17">
        <f t="shared" ca="1" si="53"/>
        <v>2.6960378472213051</v>
      </c>
      <c r="BP3398" t="b">
        <v>0</v>
      </c>
      <c r="BQ3398">
        <v>1</v>
      </c>
      <c r="BR3398" t="s">
        <v>1667</v>
      </c>
      <c r="BS3398" t="s">
        <v>3460</v>
      </c>
      <c r="BT3398" t="b">
        <v>0</v>
      </c>
      <c r="BV3398" t="s">
        <v>1668</v>
      </c>
      <c r="BW3398">
        <v>1502</v>
      </c>
      <c r="BY3398">
        <v>146431</v>
      </c>
      <c r="BZ3398" t="s">
        <v>1745</v>
      </c>
      <c r="CA3398">
        <v>1</v>
      </c>
      <c r="CB3398" t="b">
        <v>1</v>
      </c>
      <c r="CC3398">
        <v>0</v>
      </c>
      <c r="CD3398" t="b">
        <v>0</v>
      </c>
      <c r="CE3398" t="b">
        <v>1</v>
      </c>
      <c r="CF3398" t="b">
        <v>0</v>
      </c>
      <c r="CG3398">
        <v>2742973</v>
      </c>
      <c r="CH3398" t="s">
        <v>1681</v>
      </c>
      <c r="CI3398" s="10">
        <v>1695000</v>
      </c>
      <c r="CJ3398" s="7">
        <v>38399</v>
      </c>
    </row>
    <row r="3399" spans="1:88">
      <c r="A3399">
        <v>28060846</v>
      </c>
      <c r="B3399" s="2" t="str">
        <f>HYPERLINK("http://www.redfin.com/stingray/do/printable-listing?listing-id=1629455","Active")</f>
        <v>Active</v>
      </c>
      <c r="D3399" t="s">
        <v>3885</v>
      </c>
      <c r="E3399" t="s">
        <v>3886</v>
      </c>
      <c r="F3399">
        <v>799950</v>
      </c>
      <c r="G3399">
        <v>2008</v>
      </c>
      <c r="H3399">
        <v>3427</v>
      </c>
      <c r="I3399">
        <v>5500</v>
      </c>
      <c r="J3399">
        <v>4</v>
      </c>
      <c r="K3399">
        <v>2.5</v>
      </c>
      <c r="M3399" s="2" t="str">
        <f>HYPERLINK("http://maps.live.com/default.aspx?v=2&amp;lvl=15&amp;sp=adr.13718 SE 90th Pl (Unable to map),98059","Map")</f>
        <v>Map</v>
      </c>
      <c r="N3399" s="2" t="str">
        <f>HYPERLINK("http://i-0.rfimg.us/photo/1/bigphoto/846/28060846_0.jpg","Photo")</f>
        <v>Photo</v>
      </c>
      <c r="AI3399" t="s">
        <v>3885</v>
      </c>
      <c r="AJ3399">
        <v>98059</v>
      </c>
      <c r="BC3399" s="22">
        <v>39547.453622685185</v>
      </c>
      <c r="BI3399" s="22">
        <v>39549.294907407406</v>
      </c>
      <c r="BL3399">
        <v>15999</v>
      </c>
      <c r="BM3399">
        <v>1629455</v>
      </c>
      <c r="BN3399" t="s">
        <v>3236</v>
      </c>
      <c r="BO3399" s="17">
        <f t="shared" ca="1" si="53"/>
        <v>1.8557832175938529</v>
      </c>
      <c r="BP3399" t="b">
        <v>0</v>
      </c>
      <c r="BQ3399">
        <v>1</v>
      </c>
      <c r="BR3399" t="s">
        <v>1842</v>
      </c>
      <c r="BS3399" t="s">
        <v>1761</v>
      </c>
      <c r="BT3399" t="b">
        <v>0</v>
      </c>
      <c r="BU3399" t="s">
        <v>3856</v>
      </c>
      <c r="BV3399" t="s">
        <v>1668</v>
      </c>
      <c r="BW3399">
        <v>13718</v>
      </c>
      <c r="BY3399">
        <v>0</v>
      </c>
      <c r="BZ3399" s="21">
        <v>0</v>
      </c>
      <c r="CA3399">
        <v>1</v>
      </c>
      <c r="CB3399" t="b">
        <v>1</v>
      </c>
      <c r="CC3399">
        <v>0</v>
      </c>
      <c r="CD3399" t="b">
        <v>0</v>
      </c>
      <c r="CE3399" t="b">
        <v>1</v>
      </c>
      <c r="CF3399" t="b">
        <v>0</v>
      </c>
      <c r="CG3399" t="s">
        <v>1870</v>
      </c>
      <c r="CH3399" t="s">
        <v>1681</v>
      </c>
      <c r="CI3399" s="10">
        <v>799950</v>
      </c>
    </row>
    <row r="3400" spans="1:88">
      <c r="A3400">
        <v>28060853</v>
      </c>
      <c r="B3400" s="2" t="str">
        <f>HYPERLINK("http://www.redfin.com/stingray/do/printable-listing?listing-id=1627262","Active")</f>
        <v>Active</v>
      </c>
      <c r="D3400" t="s">
        <v>3249</v>
      </c>
      <c r="E3400" t="s">
        <v>4316</v>
      </c>
      <c r="F3400">
        <v>394500</v>
      </c>
      <c r="G3400">
        <v>1996</v>
      </c>
      <c r="H3400">
        <v>0</v>
      </c>
      <c r="I3400">
        <v>10850</v>
      </c>
      <c r="J3400">
        <v>2</v>
      </c>
      <c r="K3400">
        <v>2.25</v>
      </c>
      <c r="M3400" s="2" t="str">
        <f>HYPERLINK("http://maps.live.com/default.aspx?v=2&amp;lvl=15&amp;sp=Point.47.630042_-122.345203_1219 6th Ave N&amp;cp=47.630042~-122.345203","Map")</f>
        <v>Map</v>
      </c>
      <c r="N3400" s="2" t="str">
        <f>HYPERLINK("http://i-0.rfimg.us/photo/1/bigphoto/853/28060853_0.jpg","Photo")</f>
        <v>Photo</v>
      </c>
      <c r="AG3400">
        <v>47.630042000000003</v>
      </c>
      <c r="AH3400">
        <v>-122.345203</v>
      </c>
      <c r="AI3400" t="s">
        <v>66</v>
      </c>
      <c r="AJ3400">
        <v>98109</v>
      </c>
      <c r="BC3400" s="22">
        <v>39546.631921296299</v>
      </c>
      <c r="BI3400" s="22">
        <v>39549.294907407406</v>
      </c>
      <c r="BL3400">
        <v>7890</v>
      </c>
      <c r="BM3400">
        <v>1627262</v>
      </c>
      <c r="BN3400" t="s">
        <v>1685</v>
      </c>
      <c r="BO3400" s="17">
        <f t="shared" ca="1" si="53"/>
        <v>2.6774846064799931</v>
      </c>
      <c r="BP3400" t="b">
        <v>0</v>
      </c>
      <c r="BQ3400">
        <v>1</v>
      </c>
      <c r="BR3400" t="s">
        <v>1667</v>
      </c>
      <c r="BS3400" t="s">
        <v>1739</v>
      </c>
      <c r="BT3400" t="b">
        <v>0</v>
      </c>
      <c r="BV3400" t="s">
        <v>1668</v>
      </c>
      <c r="BW3400">
        <v>1219</v>
      </c>
      <c r="BX3400" t="s">
        <v>1712</v>
      </c>
      <c r="BY3400">
        <v>2094295</v>
      </c>
      <c r="BZ3400" t="s">
        <v>1672</v>
      </c>
      <c r="CA3400">
        <v>1</v>
      </c>
      <c r="CB3400" t="b">
        <v>1</v>
      </c>
      <c r="CC3400">
        <v>0</v>
      </c>
      <c r="CD3400" t="b">
        <v>0</v>
      </c>
      <c r="CE3400" t="b">
        <v>1</v>
      </c>
      <c r="CF3400" t="b">
        <v>0</v>
      </c>
      <c r="CG3400">
        <v>2949066</v>
      </c>
      <c r="CH3400" t="s">
        <v>1681</v>
      </c>
      <c r="CI3400" s="10">
        <v>394500</v>
      </c>
    </row>
    <row r="3401" spans="1:88">
      <c r="A3401">
        <v>28060854</v>
      </c>
      <c r="B3401" s="2" t="str">
        <f>HYPERLINK("http://www.redfin.com/stingray/do/printable-listing?listing-id=1627260","Active")</f>
        <v>Active</v>
      </c>
      <c r="D3401" t="s">
        <v>1058</v>
      </c>
      <c r="E3401" t="s">
        <v>3043</v>
      </c>
      <c r="F3401">
        <v>4825000</v>
      </c>
      <c r="G3401">
        <v>2008</v>
      </c>
      <c r="H3401">
        <v>4563</v>
      </c>
      <c r="I3401">
        <v>0</v>
      </c>
      <c r="J3401">
        <v>4</v>
      </c>
      <c r="K3401">
        <v>4.5</v>
      </c>
      <c r="M3401" s="2" t="str">
        <f>HYPERLINK("http://maps.live.com/default.aspx?v=2&amp;lvl=15&amp;sp=Point.47.719979_-122.259622_13233 Holmes Pt Dr&amp;cp=47.719979~-122.259622","Map")</f>
        <v>Map</v>
      </c>
      <c r="N3401" s="2" t="str">
        <f>HYPERLINK("http://i-0.rfimg.us/photo/1/bigphoto/854/28060854_0.jpg","Photo")</f>
        <v>Photo</v>
      </c>
      <c r="AG3401">
        <v>47.719979000000002</v>
      </c>
      <c r="AH3401">
        <v>-122.25962199999999</v>
      </c>
      <c r="AI3401" t="s">
        <v>1058</v>
      </c>
      <c r="AJ3401">
        <v>98033</v>
      </c>
      <c r="AN3401">
        <v>1400000</v>
      </c>
      <c r="BC3401" s="22">
        <v>39546.631909722222</v>
      </c>
      <c r="BI3401" s="22">
        <v>39549.294907407406</v>
      </c>
      <c r="BL3401">
        <v>96500</v>
      </c>
      <c r="BM3401">
        <v>1627260</v>
      </c>
      <c r="BN3401" t="s">
        <v>1768</v>
      </c>
      <c r="BO3401" s="17">
        <f t="shared" ca="1" si="53"/>
        <v>2.6774961805567727</v>
      </c>
      <c r="BP3401" t="b">
        <v>0</v>
      </c>
      <c r="BQ3401">
        <v>1</v>
      </c>
      <c r="BR3401" t="s">
        <v>1816</v>
      </c>
      <c r="BS3401" t="s">
        <v>2967</v>
      </c>
      <c r="BT3401" t="b">
        <v>0</v>
      </c>
      <c r="BV3401" t="s">
        <v>1668</v>
      </c>
      <c r="BW3401">
        <v>13233</v>
      </c>
      <c r="BY3401">
        <v>280208</v>
      </c>
      <c r="BZ3401" t="s">
        <v>1684</v>
      </c>
      <c r="CA3401">
        <v>1</v>
      </c>
      <c r="CB3401" t="b">
        <v>1</v>
      </c>
      <c r="CC3401">
        <v>0</v>
      </c>
      <c r="CD3401" t="b">
        <v>0</v>
      </c>
      <c r="CE3401" t="b">
        <v>1</v>
      </c>
      <c r="CF3401" t="b">
        <v>0</v>
      </c>
      <c r="CG3401">
        <v>2492638</v>
      </c>
      <c r="CH3401" t="s">
        <v>1681</v>
      </c>
      <c r="CI3401" s="10">
        <v>4825000</v>
      </c>
      <c r="CJ3401" s="7">
        <v>38275</v>
      </c>
    </row>
    <row r="3402" spans="1:88">
      <c r="A3402">
        <v>28060884</v>
      </c>
      <c r="B3402" s="2" t="str">
        <f>HYPERLINK("http://www.redfin.com/stingray/do/printable-listing?listing-id=1629647","Active")</f>
        <v>Active</v>
      </c>
      <c r="D3402" t="s">
        <v>3885</v>
      </c>
      <c r="E3402" t="s">
        <v>3901</v>
      </c>
      <c r="F3402">
        <v>809950</v>
      </c>
      <c r="G3402">
        <v>2008</v>
      </c>
      <c r="H3402">
        <v>3718</v>
      </c>
      <c r="I3402">
        <v>5500</v>
      </c>
      <c r="J3402">
        <v>5</v>
      </c>
      <c r="K3402">
        <v>3.5</v>
      </c>
      <c r="M3402" s="2" t="str">
        <f>HYPERLINK("http://maps.live.com/default.aspx?v=2&amp;lvl=15&amp;sp=adr.13712 SE 90th Pl (Unable to map),98059","Map")</f>
        <v>Map</v>
      </c>
      <c r="N3402" s="2" t="str">
        <f>HYPERLINK("http://i-0.rfimg.us/photo/1/bigphoto/884/28060884_0.jpg","Photo")</f>
        <v>Photo</v>
      </c>
      <c r="AI3402" t="s">
        <v>3885</v>
      </c>
      <c r="AJ3402">
        <v>98059</v>
      </c>
      <c r="BC3402" s="22">
        <v>39547.486076388886</v>
      </c>
      <c r="BI3402" s="22">
        <v>39549.294907407406</v>
      </c>
      <c r="BL3402">
        <v>16199</v>
      </c>
      <c r="BM3402">
        <v>1629647</v>
      </c>
      <c r="BN3402" t="s">
        <v>3236</v>
      </c>
      <c r="BO3402" s="17">
        <f t="shared" ca="1" si="53"/>
        <v>1.8233295138925314</v>
      </c>
      <c r="BP3402" t="b">
        <v>0</v>
      </c>
      <c r="BQ3402">
        <v>1</v>
      </c>
      <c r="BR3402" t="s">
        <v>1842</v>
      </c>
      <c r="BS3402" t="s">
        <v>1761</v>
      </c>
      <c r="BT3402" t="b">
        <v>0</v>
      </c>
      <c r="BU3402" t="s">
        <v>3856</v>
      </c>
      <c r="BV3402" t="s">
        <v>1668</v>
      </c>
      <c r="BW3402">
        <v>13712</v>
      </c>
      <c r="BY3402">
        <v>0</v>
      </c>
      <c r="BZ3402" s="21">
        <v>0</v>
      </c>
      <c r="CA3402">
        <v>1</v>
      </c>
      <c r="CB3402" t="b">
        <v>1</v>
      </c>
      <c r="CC3402">
        <v>0</v>
      </c>
      <c r="CD3402" t="b">
        <v>0</v>
      </c>
      <c r="CE3402" t="b">
        <v>1</v>
      </c>
      <c r="CF3402" t="b">
        <v>0</v>
      </c>
      <c r="CG3402" t="s">
        <v>1870</v>
      </c>
      <c r="CH3402" t="s">
        <v>1681</v>
      </c>
      <c r="CI3402" s="10">
        <v>809950</v>
      </c>
    </row>
    <row r="3403" spans="1:88">
      <c r="A3403">
        <v>28060898</v>
      </c>
      <c r="B3403" s="2" t="str">
        <f>HYPERLINK("http://www.redfin.com/stingray/do/printable-listing?listing-id=1627556","Active")</f>
        <v>Active</v>
      </c>
      <c r="D3403" t="s">
        <v>369</v>
      </c>
      <c r="E3403" t="s">
        <v>7038</v>
      </c>
      <c r="F3403">
        <v>850000</v>
      </c>
      <c r="G3403">
        <v>2008</v>
      </c>
      <c r="H3403">
        <v>4000</v>
      </c>
      <c r="I3403">
        <v>10890</v>
      </c>
      <c r="J3403">
        <v>4</v>
      </c>
      <c r="K3403">
        <v>2.5</v>
      </c>
      <c r="M3403" s="2" t="str">
        <f>HYPERLINK("http://maps.live.com/default.aspx?v=2&amp;lvl=15&amp;sp=Point.47.577263_-122.122466_16305 SE 37th St&amp;cp=47.577263~-122.122466","Map")</f>
        <v>Map</v>
      </c>
      <c r="N3403" s="2" t="str">
        <f>HYPERLINK("http://i-0.rfimg.us/photo/1/bigphoto/898/28060898_.jpg","Photo")</f>
        <v>Photo</v>
      </c>
      <c r="AG3403">
        <v>47.577263000000002</v>
      </c>
      <c r="AH3403">
        <v>-122.122466</v>
      </c>
      <c r="AI3403" t="s">
        <v>369</v>
      </c>
      <c r="AJ3403">
        <v>98008</v>
      </c>
      <c r="BC3403" s="22">
        <v>39546.704560185186</v>
      </c>
      <c r="BI3403" s="22">
        <v>39549.294907407406</v>
      </c>
      <c r="BL3403">
        <v>17000</v>
      </c>
      <c r="BM3403">
        <v>1627556</v>
      </c>
      <c r="BN3403" t="s">
        <v>1817</v>
      </c>
      <c r="BO3403" s="17">
        <f t="shared" ca="1" si="53"/>
        <v>2.6048457175929798</v>
      </c>
      <c r="BP3403" t="b">
        <v>0</v>
      </c>
      <c r="BQ3403">
        <v>1</v>
      </c>
      <c r="BR3403" t="s">
        <v>1686</v>
      </c>
      <c r="BS3403" t="s">
        <v>2192</v>
      </c>
      <c r="BT3403" t="b">
        <v>0</v>
      </c>
      <c r="BU3403" t="s">
        <v>3856</v>
      </c>
      <c r="BV3403" t="s">
        <v>1668</v>
      </c>
      <c r="BW3403">
        <v>16305</v>
      </c>
      <c r="BY3403">
        <v>12344759</v>
      </c>
      <c r="BZ3403" t="s">
        <v>7084</v>
      </c>
      <c r="CA3403">
        <v>1</v>
      </c>
      <c r="CB3403" t="b">
        <v>1</v>
      </c>
      <c r="CC3403">
        <v>0</v>
      </c>
      <c r="CD3403" t="b">
        <v>0</v>
      </c>
      <c r="CE3403" t="b">
        <v>1</v>
      </c>
      <c r="CF3403" t="b">
        <v>0</v>
      </c>
      <c r="CG3403">
        <v>15548507</v>
      </c>
      <c r="CH3403" t="s">
        <v>1681</v>
      </c>
      <c r="CI3403" s="10">
        <v>850000</v>
      </c>
    </row>
    <row r="3404" spans="1:88">
      <c r="A3404">
        <v>28060902</v>
      </c>
      <c r="B3404" s="2" t="str">
        <f>HYPERLINK("http://www.redfin.com/stingray/do/printable-listing?listing-id=1627373","Active")</f>
        <v>Active</v>
      </c>
      <c r="D3404" t="s">
        <v>4611</v>
      </c>
      <c r="E3404" t="s">
        <v>7039</v>
      </c>
      <c r="F3404">
        <v>998800</v>
      </c>
      <c r="G3404">
        <v>2008</v>
      </c>
      <c r="H3404">
        <v>3594</v>
      </c>
      <c r="I3404">
        <v>7687</v>
      </c>
      <c r="J3404">
        <v>4</v>
      </c>
      <c r="K3404">
        <v>3.25</v>
      </c>
      <c r="M3404" s="2" t="str">
        <f>HYPERLINK("http://maps.live.com/default.aspx?v=2&amp;lvl=15&amp;sp=Point.47.625323_-122.12487_16101 Northup Way&amp;cp=47.625323~-122.12487","Map")</f>
        <v>Map</v>
      </c>
      <c r="N3404" s="2" t="str">
        <f>HYPERLINK("http://i-0.rfimg.us/photo/1/bigphoto/902/28060902_.jpg","Photo")</f>
        <v>Photo</v>
      </c>
      <c r="AG3404">
        <v>47.625323000000002</v>
      </c>
      <c r="AH3404">
        <v>-122.12487</v>
      </c>
      <c r="AI3404" t="s">
        <v>369</v>
      </c>
      <c r="AJ3404">
        <v>98008</v>
      </c>
      <c r="BC3404" s="22">
        <v>39546.652881944443</v>
      </c>
      <c r="BI3404" s="22">
        <v>39549.294907407406</v>
      </c>
      <c r="BL3404">
        <v>19976</v>
      </c>
      <c r="BM3404">
        <v>1627373</v>
      </c>
      <c r="BN3404" t="s">
        <v>1798</v>
      </c>
      <c r="BO3404" s="17">
        <f t="shared" ca="1" si="53"/>
        <v>2.656523958336038</v>
      </c>
      <c r="BP3404" t="b">
        <v>0</v>
      </c>
      <c r="BQ3404">
        <v>1</v>
      </c>
      <c r="BR3404" t="s">
        <v>2463</v>
      </c>
      <c r="BS3404" t="s">
        <v>5135</v>
      </c>
      <c r="BT3404" t="b">
        <v>0</v>
      </c>
      <c r="BV3404" t="s">
        <v>1668</v>
      </c>
      <c r="BW3404">
        <v>16101</v>
      </c>
      <c r="BY3404">
        <v>12441805</v>
      </c>
      <c r="CA3404">
        <v>1</v>
      </c>
      <c r="CB3404" t="b">
        <v>1</v>
      </c>
      <c r="CC3404">
        <v>0</v>
      </c>
      <c r="CD3404" t="b">
        <v>0</v>
      </c>
      <c r="CE3404" t="b">
        <v>1</v>
      </c>
      <c r="CF3404" t="b">
        <v>0</v>
      </c>
      <c r="CG3404">
        <v>15645553</v>
      </c>
      <c r="CH3404" t="s">
        <v>1681</v>
      </c>
      <c r="CI3404" s="10">
        <v>998800</v>
      </c>
    </row>
    <row r="3405" spans="1:88">
      <c r="A3405">
        <v>28060916</v>
      </c>
      <c r="B3405" s="2" t="str">
        <f>HYPERLINK("http://www.redfin.com/stingray/do/printable-listing?listing-id=1627380","Subject To Inspection")</f>
        <v>Subject To Inspection</v>
      </c>
      <c r="D3405" t="s">
        <v>1058</v>
      </c>
      <c r="E3405" t="s">
        <v>7010</v>
      </c>
      <c r="F3405">
        <v>460000</v>
      </c>
      <c r="G3405">
        <v>1976</v>
      </c>
      <c r="H3405">
        <v>1190</v>
      </c>
      <c r="I3405">
        <v>0</v>
      </c>
      <c r="J3405">
        <v>3</v>
      </c>
      <c r="K3405">
        <v>1</v>
      </c>
      <c r="M3405" s="2" t="str">
        <f>HYPERLINK("http://maps.live.com/default.aspx?v=2&amp;lvl=15&amp;sp=Point.47.717189_-122.257528_13052 Holmes Point&amp;cp=47.717189~-122.257528","Map")</f>
        <v>Map</v>
      </c>
      <c r="N3405" s="2" t="str">
        <f>HYPERLINK("http://i-0.rfimg.us/photo/1/bigphoto/916/28060916_.jpg","Photo")</f>
        <v>Photo</v>
      </c>
      <c r="AG3405">
        <v>47.717188999999998</v>
      </c>
      <c r="AH3405">
        <v>-122.25752799999999</v>
      </c>
      <c r="AI3405" t="s">
        <v>1058</v>
      </c>
      <c r="AJ3405">
        <v>98033</v>
      </c>
      <c r="AN3405">
        <v>720000</v>
      </c>
      <c r="BC3405" s="22">
        <v>39546.652974537035</v>
      </c>
      <c r="BI3405" s="22">
        <v>39549.294907407406</v>
      </c>
      <c r="BL3405">
        <v>9200</v>
      </c>
      <c r="BM3405">
        <v>1627380</v>
      </c>
      <c r="BN3405" t="s">
        <v>7009</v>
      </c>
      <c r="BO3405" s="17">
        <f t="shared" ca="1" si="53"/>
        <v>2.6564313657436287</v>
      </c>
      <c r="BP3405" t="b">
        <v>0</v>
      </c>
      <c r="BQ3405">
        <v>2</v>
      </c>
      <c r="BR3405" t="s">
        <v>7011</v>
      </c>
      <c r="BS3405" t="s">
        <v>7012</v>
      </c>
      <c r="BT3405" t="b">
        <v>0</v>
      </c>
      <c r="BV3405" t="s">
        <v>1668</v>
      </c>
      <c r="BW3405">
        <v>13052</v>
      </c>
      <c r="BY3405">
        <v>279963</v>
      </c>
      <c r="CA3405">
        <v>1</v>
      </c>
      <c r="CB3405" t="b">
        <v>1</v>
      </c>
      <c r="CC3405">
        <v>0</v>
      </c>
      <c r="CD3405" t="b">
        <v>0</v>
      </c>
      <c r="CE3405" t="b">
        <v>1</v>
      </c>
      <c r="CF3405" t="b">
        <v>0</v>
      </c>
      <c r="CG3405">
        <v>2389143</v>
      </c>
      <c r="CH3405" t="s">
        <v>1681</v>
      </c>
      <c r="CI3405" s="10">
        <v>460000</v>
      </c>
      <c r="CJ3405" s="7">
        <v>39092</v>
      </c>
    </row>
    <row r="3406" spans="1:88">
      <c r="A3406">
        <v>28060944</v>
      </c>
      <c r="B3406" s="2" t="str">
        <f>HYPERLINK("http://www.redfin.com/stingray/do/printable-listing?listing-id=1627490","Active")</f>
        <v>Active</v>
      </c>
      <c r="D3406" t="s">
        <v>1023</v>
      </c>
      <c r="E3406" t="s">
        <v>6993</v>
      </c>
      <c r="F3406">
        <v>569950</v>
      </c>
      <c r="G3406">
        <v>1923</v>
      </c>
      <c r="H3406">
        <v>2010</v>
      </c>
      <c r="I3406">
        <v>5000</v>
      </c>
      <c r="J3406">
        <v>3</v>
      </c>
      <c r="K3406">
        <v>2</v>
      </c>
      <c r="M3406" s="2" t="str">
        <f>HYPERLINK("http://maps.live.com/default.aspx?v=2&amp;lvl=15&amp;sp=Point.47.681428_-122.397353_3037 NW 73rd St&amp;cp=47.681428~-122.397353","Map")</f>
        <v>Map</v>
      </c>
      <c r="N3406" s="2" t="str">
        <f>HYPERLINK("http://i-0.rfimg.us/photo/1/bigphoto/944/28060944_.jpg","Photo")</f>
        <v>Photo</v>
      </c>
      <c r="AG3406">
        <v>47.681427999999997</v>
      </c>
      <c r="AH3406">
        <v>-122.397353</v>
      </c>
      <c r="AI3406" t="s">
        <v>66</v>
      </c>
      <c r="AJ3406">
        <v>98117</v>
      </c>
      <c r="AN3406">
        <v>254500</v>
      </c>
      <c r="BC3406" s="22">
        <v>39546.68414351852</v>
      </c>
      <c r="BI3406" s="22">
        <v>39549.294907407406</v>
      </c>
      <c r="BL3406">
        <v>11399</v>
      </c>
      <c r="BM3406">
        <v>1627490</v>
      </c>
      <c r="BN3406" t="s">
        <v>1678</v>
      </c>
      <c r="BO3406" s="17">
        <f t="shared" ca="1" si="53"/>
        <v>2.6252623842592584</v>
      </c>
      <c r="BP3406" t="b">
        <v>0</v>
      </c>
      <c r="BQ3406">
        <v>1</v>
      </c>
      <c r="BR3406" t="s">
        <v>1686</v>
      </c>
      <c r="BS3406" t="s">
        <v>1828</v>
      </c>
      <c r="BT3406" t="b">
        <v>0</v>
      </c>
      <c r="BU3406" t="s">
        <v>1669</v>
      </c>
      <c r="BV3406" t="s">
        <v>1668</v>
      </c>
      <c r="BW3406">
        <v>3037</v>
      </c>
      <c r="BY3406">
        <v>166832</v>
      </c>
      <c r="CA3406">
        <v>1</v>
      </c>
      <c r="CB3406" t="b">
        <v>1</v>
      </c>
      <c r="CC3406">
        <v>0</v>
      </c>
      <c r="CD3406" t="b">
        <v>0</v>
      </c>
      <c r="CE3406" t="b">
        <v>1</v>
      </c>
      <c r="CF3406" t="b">
        <v>0</v>
      </c>
      <c r="CG3406">
        <v>2744955</v>
      </c>
      <c r="CH3406" t="s">
        <v>1681</v>
      </c>
      <c r="CI3406" s="10">
        <v>569950</v>
      </c>
      <c r="CJ3406" s="7">
        <v>36378</v>
      </c>
    </row>
    <row r="3407" spans="1:88">
      <c r="A3407">
        <v>28060948</v>
      </c>
      <c r="B3407" s="2" t="str">
        <f>HYPERLINK("http://www.redfin.com/stingray/do/printable-listing?listing-id=1629644","Active")</f>
        <v>Active</v>
      </c>
      <c r="D3407" t="s">
        <v>3885</v>
      </c>
      <c r="E3407" t="s">
        <v>3890</v>
      </c>
      <c r="F3407">
        <v>825950</v>
      </c>
      <c r="G3407">
        <v>2008</v>
      </c>
      <c r="H3407">
        <v>3718</v>
      </c>
      <c r="I3407">
        <v>7153</v>
      </c>
      <c r="J3407">
        <v>5</v>
      </c>
      <c r="K3407">
        <v>3.5</v>
      </c>
      <c r="M3407" s="2" t="str">
        <f>HYPERLINK("http://maps.live.com/default.aspx?v=2&amp;lvl=15&amp;sp=adr.13724 SE 90th Pl (Unable to map),98059","Map")</f>
        <v>Map</v>
      </c>
      <c r="N3407" s="2" t="str">
        <f>HYPERLINK("http://i-0.rfimg.us/photo/1/bigphoto/948/28060948_0.jpg","Photo")</f>
        <v>Photo</v>
      </c>
      <c r="AI3407" t="s">
        <v>3885</v>
      </c>
      <c r="AJ3407">
        <v>98059</v>
      </c>
      <c r="BC3407" s="22">
        <v>39547.486076388886</v>
      </c>
      <c r="BI3407" s="22">
        <v>39549.294907407406</v>
      </c>
      <c r="BL3407">
        <v>16519</v>
      </c>
      <c r="BM3407">
        <v>1629644</v>
      </c>
      <c r="BN3407" t="s">
        <v>3236</v>
      </c>
      <c r="BO3407" s="17">
        <f t="shared" ca="1" si="53"/>
        <v>1.8233295138925314</v>
      </c>
      <c r="BP3407" t="b">
        <v>0</v>
      </c>
      <c r="BQ3407">
        <v>1</v>
      </c>
      <c r="BR3407" t="s">
        <v>1842</v>
      </c>
      <c r="BS3407" t="s">
        <v>1761</v>
      </c>
      <c r="BT3407" t="b">
        <v>0</v>
      </c>
      <c r="BU3407" t="s">
        <v>3856</v>
      </c>
      <c r="BV3407" t="s">
        <v>1668</v>
      </c>
      <c r="BW3407">
        <v>13724</v>
      </c>
      <c r="BY3407">
        <v>0</v>
      </c>
      <c r="BZ3407" s="21">
        <v>0</v>
      </c>
      <c r="CA3407">
        <v>1</v>
      </c>
      <c r="CB3407" t="b">
        <v>1</v>
      </c>
      <c r="CC3407">
        <v>0</v>
      </c>
      <c r="CD3407" t="b">
        <v>0</v>
      </c>
      <c r="CE3407" t="b">
        <v>1</v>
      </c>
      <c r="CF3407" t="b">
        <v>0</v>
      </c>
      <c r="CG3407" t="s">
        <v>1870</v>
      </c>
      <c r="CH3407" t="s">
        <v>1681</v>
      </c>
      <c r="CI3407" s="10">
        <v>825950</v>
      </c>
    </row>
    <row r="3408" spans="1:88">
      <c r="A3408">
        <v>28060952</v>
      </c>
      <c r="B3408" s="2" t="str">
        <f>HYPERLINK("http://www.redfin.com/stingray/do/printable-listing?listing-id=1627487","Active")</f>
        <v>Active</v>
      </c>
      <c r="D3408" t="s">
        <v>78</v>
      </c>
      <c r="E3408" t="s">
        <v>6992</v>
      </c>
      <c r="F3408">
        <v>485000</v>
      </c>
      <c r="G3408">
        <v>1939</v>
      </c>
      <c r="H3408">
        <v>2180</v>
      </c>
      <c r="I3408">
        <v>4046</v>
      </c>
      <c r="J3408">
        <v>2</v>
      </c>
      <c r="K3408">
        <v>1.5</v>
      </c>
      <c r="M3408" s="2" t="str">
        <f>HYPERLINK("http://maps.live.com/default.aspx?v=2&amp;lvl=15&amp;sp=Point.47.689883_-122.381405_8337 19th Ave NW&amp;cp=47.689883~-122.381405","Map")</f>
        <v>Map</v>
      </c>
      <c r="N3408" s="2" t="str">
        <f>HYPERLINK("http://i-0.rfimg.us/photo/1/bigphoto/952/28060952_0.jpg","Photo")</f>
        <v>Photo</v>
      </c>
      <c r="AG3408">
        <v>47.689883000000002</v>
      </c>
      <c r="AH3408">
        <v>-122.381405</v>
      </c>
      <c r="AI3408" t="s">
        <v>66</v>
      </c>
      <c r="AJ3408">
        <v>98117</v>
      </c>
      <c r="AN3408">
        <v>341000</v>
      </c>
      <c r="BC3408" s="22">
        <v>39546.684120370373</v>
      </c>
      <c r="BI3408" s="22">
        <v>39549.294907407406</v>
      </c>
      <c r="BL3408">
        <v>9700</v>
      </c>
      <c r="BM3408">
        <v>1627487</v>
      </c>
      <c r="BN3408" t="s">
        <v>1829</v>
      </c>
      <c r="BO3408" s="17">
        <f t="shared" ca="1" si="53"/>
        <v>2.6252855324055417</v>
      </c>
      <c r="BP3408" t="b">
        <v>0</v>
      </c>
      <c r="BQ3408">
        <v>1</v>
      </c>
      <c r="BR3408" t="s">
        <v>1667</v>
      </c>
      <c r="BS3408" t="s">
        <v>1906</v>
      </c>
      <c r="BT3408" t="b">
        <v>0</v>
      </c>
      <c r="BV3408" t="s">
        <v>1668</v>
      </c>
      <c r="BW3408">
        <v>8337</v>
      </c>
      <c r="BX3408" t="s">
        <v>1669</v>
      </c>
      <c r="BY3408">
        <v>164449</v>
      </c>
      <c r="BZ3408" t="s">
        <v>1713</v>
      </c>
      <c r="CA3408">
        <v>1</v>
      </c>
      <c r="CB3408" t="b">
        <v>1</v>
      </c>
      <c r="CC3408">
        <v>0</v>
      </c>
      <c r="CD3408" t="b">
        <v>0</v>
      </c>
      <c r="CE3408" t="b">
        <v>1</v>
      </c>
      <c r="CF3408" t="b">
        <v>0</v>
      </c>
      <c r="CG3408">
        <v>2674429</v>
      </c>
      <c r="CH3408" t="s">
        <v>1681</v>
      </c>
      <c r="CI3408" s="10">
        <v>485000</v>
      </c>
      <c r="CJ3408" s="7">
        <v>38275</v>
      </c>
    </row>
    <row r="3409" spans="1:88">
      <c r="A3409">
        <v>28060960</v>
      </c>
      <c r="B3409" s="2" t="str">
        <f>HYPERLINK("http://www.redfin.com/stingray/do/printable-listing?listing-id=1629645","Active")</f>
        <v>Active</v>
      </c>
      <c r="D3409" t="s">
        <v>3885</v>
      </c>
      <c r="E3409" t="s">
        <v>5930</v>
      </c>
      <c r="F3409">
        <v>845950</v>
      </c>
      <c r="G3409">
        <v>2008</v>
      </c>
      <c r="H3409">
        <v>3367</v>
      </c>
      <c r="I3409">
        <v>11086</v>
      </c>
      <c r="J3409">
        <v>5</v>
      </c>
      <c r="K3409">
        <v>3</v>
      </c>
      <c r="M3409" s="2" t="str">
        <f>HYPERLINK("http://maps.live.com/default.aspx?v=2&amp;lvl=15&amp;sp=Point.47.5221_-122.1566_8923 138th Ave SE&amp;cp=47.5221~-122.1566","Map")</f>
        <v>Map</v>
      </c>
      <c r="N3409" s="2" t="str">
        <f>HYPERLINK("http://i-0.rfimg.us/photo/1/bigphoto/960/28060960_0.jpg","Photo")</f>
        <v>Photo</v>
      </c>
      <c r="AG3409">
        <v>47.522100000000002</v>
      </c>
      <c r="AH3409">
        <v>-122.1566</v>
      </c>
      <c r="AI3409" t="s">
        <v>3885</v>
      </c>
      <c r="AJ3409">
        <v>98059</v>
      </c>
      <c r="BC3409" s="22">
        <v>39547.486076388886</v>
      </c>
      <c r="BI3409" s="22">
        <v>39549.294907407406</v>
      </c>
      <c r="BL3409">
        <v>16919</v>
      </c>
      <c r="BM3409">
        <v>1629645</v>
      </c>
      <c r="BN3409" t="s">
        <v>3236</v>
      </c>
      <c r="BO3409" s="17">
        <f t="shared" ca="1" si="53"/>
        <v>1.8233295138925314</v>
      </c>
      <c r="BP3409" t="b">
        <v>0</v>
      </c>
      <c r="BQ3409">
        <v>1</v>
      </c>
      <c r="BR3409" t="s">
        <v>1667</v>
      </c>
      <c r="BS3409" t="s">
        <v>4421</v>
      </c>
      <c r="BT3409" t="b">
        <v>0</v>
      </c>
      <c r="BV3409" t="s">
        <v>1668</v>
      </c>
      <c r="BW3409">
        <v>8923</v>
      </c>
      <c r="BX3409" t="s">
        <v>3856</v>
      </c>
      <c r="BY3409">
        <v>12416443</v>
      </c>
      <c r="BZ3409" s="21">
        <v>0</v>
      </c>
      <c r="CA3409">
        <v>1</v>
      </c>
      <c r="CB3409" t="b">
        <v>1</v>
      </c>
      <c r="CC3409">
        <v>0</v>
      </c>
      <c r="CD3409" t="b">
        <v>0</v>
      </c>
      <c r="CE3409" t="b">
        <v>1</v>
      </c>
      <c r="CF3409" t="b">
        <v>0</v>
      </c>
      <c r="CG3409">
        <v>15620191</v>
      </c>
      <c r="CH3409" t="s">
        <v>1681</v>
      </c>
      <c r="CI3409" s="10">
        <v>845950</v>
      </c>
    </row>
    <row r="3410" spans="1:88">
      <c r="A3410">
        <v>28060967</v>
      </c>
      <c r="B3410" s="2" t="str">
        <f>HYPERLINK("http://www.redfin.com/stingray/do/printable-listing?listing-id=1629646","Active")</f>
        <v>Active</v>
      </c>
      <c r="D3410" t="s">
        <v>3885</v>
      </c>
      <c r="E3410" t="s">
        <v>3900</v>
      </c>
      <c r="F3410">
        <v>865950</v>
      </c>
      <c r="G3410">
        <v>2008</v>
      </c>
      <c r="H3410">
        <v>4019</v>
      </c>
      <c r="I3410">
        <v>6660</v>
      </c>
      <c r="J3410">
        <v>6</v>
      </c>
      <c r="K3410">
        <v>4</v>
      </c>
      <c r="M3410" s="2" t="str">
        <f>HYPERLINK("http://maps.live.com/default.aspx?v=2&amp;lvl=15&amp;sp=adr.13709 SE 90th Pl (Unable to map),98059","Map")</f>
        <v>Map</v>
      </c>
      <c r="N3410" s="2" t="str">
        <f>HYPERLINK("http://i-0.rfimg.us/photo/1/bigphoto/967/28060967_0.jpg","Photo")</f>
        <v>Photo</v>
      </c>
      <c r="AI3410" t="s">
        <v>3885</v>
      </c>
      <c r="AJ3410">
        <v>98059</v>
      </c>
      <c r="BC3410" s="22">
        <v>39547.486076388886</v>
      </c>
      <c r="BI3410" s="22">
        <v>39549.294907407406</v>
      </c>
      <c r="BL3410">
        <v>17319</v>
      </c>
      <c r="BM3410">
        <v>1629646</v>
      </c>
      <c r="BN3410" t="s">
        <v>3236</v>
      </c>
      <c r="BO3410" s="17">
        <f t="shared" ca="1" si="53"/>
        <v>1.8233295138925314</v>
      </c>
      <c r="BP3410" t="b">
        <v>0</v>
      </c>
      <c r="BQ3410">
        <v>1</v>
      </c>
      <c r="BR3410" t="s">
        <v>1842</v>
      </c>
      <c r="BS3410" t="s">
        <v>1761</v>
      </c>
      <c r="BT3410" t="b">
        <v>0</v>
      </c>
      <c r="BU3410" t="s">
        <v>3856</v>
      </c>
      <c r="BV3410" t="s">
        <v>1668</v>
      </c>
      <c r="BW3410">
        <v>13709</v>
      </c>
      <c r="BY3410">
        <v>0</v>
      </c>
      <c r="BZ3410" s="21">
        <v>0</v>
      </c>
      <c r="CA3410">
        <v>1</v>
      </c>
      <c r="CB3410" t="b">
        <v>1</v>
      </c>
      <c r="CC3410">
        <v>0</v>
      </c>
      <c r="CD3410" t="b">
        <v>0</v>
      </c>
      <c r="CE3410" t="b">
        <v>1</v>
      </c>
      <c r="CF3410" t="b">
        <v>0</v>
      </c>
      <c r="CG3410" t="s">
        <v>1870</v>
      </c>
      <c r="CH3410" t="s">
        <v>1681</v>
      </c>
      <c r="CI3410" s="10">
        <v>865950</v>
      </c>
    </row>
    <row r="3411" spans="1:88">
      <c r="A3411">
        <v>28060987</v>
      </c>
      <c r="B3411" s="2" t="str">
        <f>HYPERLINK("http://www.redfin.com/stingray/do/printable-listing?listing-id=1627609","Active")</f>
        <v>Active</v>
      </c>
      <c r="D3411" t="s">
        <v>7031</v>
      </c>
      <c r="E3411" t="s">
        <v>7030</v>
      </c>
      <c r="F3411">
        <v>800000</v>
      </c>
      <c r="G3411">
        <v>1991</v>
      </c>
      <c r="H3411">
        <v>5190</v>
      </c>
      <c r="I3411">
        <v>9496</v>
      </c>
      <c r="J3411">
        <v>4</v>
      </c>
      <c r="K3411">
        <v>3.5</v>
      </c>
      <c r="M3411" s="2" t="str">
        <f>HYPERLINK("http://maps.live.com/default.aspx?v=2&amp;lvl=15&amp;sp=adr.21907 9th Pl S (Unable to map),98003","Map")</f>
        <v>Map</v>
      </c>
      <c r="N3411" s="2" t="str">
        <f>HYPERLINK("http://i-0.rfimg.us/photo/1/bigphoto/987/28060987_0.jpg","Photo")</f>
        <v>Photo</v>
      </c>
      <c r="AI3411" t="s">
        <v>6487</v>
      </c>
      <c r="AJ3411">
        <v>98003</v>
      </c>
      <c r="BC3411" s="22">
        <v>39546.725289351853</v>
      </c>
      <c r="BI3411" s="22">
        <v>39547.913935185185</v>
      </c>
      <c r="BL3411">
        <v>16000</v>
      </c>
      <c r="BM3411">
        <v>1627609</v>
      </c>
      <c r="BN3411" t="s">
        <v>7029</v>
      </c>
      <c r="BO3411" s="17">
        <f t="shared" ca="1" si="53"/>
        <v>2.5841165509264101</v>
      </c>
      <c r="BP3411" t="b">
        <v>0</v>
      </c>
      <c r="BQ3411">
        <v>1</v>
      </c>
      <c r="BR3411" t="s">
        <v>1842</v>
      </c>
      <c r="BS3411" t="s">
        <v>1785</v>
      </c>
      <c r="BT3411" t="b">
        <v>0</v>
      </c>
      <c r="BV3411" t="s">
        <v>1668</v>
      </c>
      <c r="BW3411">
        <v>21907</v>
      </c>
      <c r="BX3411" t="s">
        <v>1881</v>
      </c>
      <c r="BY3411">
        <v>0</v>
      </c>
      <c r="BZ3411" s="21">
        <v>0</v>
      </c>
      <c r="CA3411">
        <v>1</v>
      </c>
      <c r="CB3411" t="b">
        <v>1</v>
      </c>
      <c r="CC3411">
        <v>0</v>
      </c>
      <c r="CD3411" t="b">
        <v>0</v>
      </c>
      <c r="CE3411" t="b">
        <v>1</v>
      </c>
      <c r="CF3411" t="b">
        <v>0</v>
      </c>
      <c r="CG3411" t="s">
        <v>1870</v>
      </c>
      <c r="CH3411" t="s">
        <v>1681</v>
      </c>
      <c r="CI3411" s="10">
        <v>800000</v>
      </c>
    </row>
    <row r="3412" spans="1:88">
      <c r="A3412">
        <v>28061017</v>
      </c>
      <c r="B3412" s="2" t="str">
        <f>HYPERLINK("http://www.redfin.com/stingray/do/printable-listing?listing-id=1627846","Active")</f>
        <v>Active</v>
      </c>
      <c r="D3412" t="s">
        <v>226</v>
      </c>
      <c r="E3412" t="s">
        <v>3231</v>
      </c>
      <c r="F3412">
        <v>1399999</v>
      </c>
      <c r="G3412">
        <v>1978</v>
      </c>
      <c r="H3412">
        <v>0</v>
      </c>
      <c r="I3412">
        <v>6204</v>
      </c>
      <c r="J3412">
        <v>4</v>
      </c>
      <c r="K3412">
        <v>2.5</v>
      </c>
      <c r="M3412" s="2" t="str">
        <f>HYPERLINK("http://maps.live.com/default.aspx?v=2&amp;lvl=15&amp;sp=Point.47.682097_-122.301079_7401 25 Ave NE&amp;cp=47.682097~-122.301079","Map")</f>
        <v>Map</v>
      </c>
      <c r="N3412" s="2" t="str">
        <f>HYPERLINK("http://i-0.rfimg.us/photo/1/bigphoto/017/28061017_0.jpg","Photo")</f>
        <v>Photo</v>
      </c>
      <c r="AG3412">
        <v>47.682096999999999</v>
      </c>
      <c r="AH3412">
        <v>-122.301079</v>
      </c>
      <c r="AI3412" t="s">
        <v>66</v>
      </c>
      <c r="AJ3412">
        <v>98115</v>
      </c>
      <c r="AN3412">
        <v>325000</v>
      </c>
      <c r="BC3412" s="22">
        <v>39546.786597222221</v>
      </c>
      <c r="BI3412" s="22">
        <v>39549.294907407406</v>
      </c>
      <c r="BL3412">
        <v>28000</v>
      </c>
      <c r="BM3412">
        <v>1627846</v>
      </c>
      <c r="BN3412" t="s">
        <v>3230</v>
      </c>
      <c r="BO3412" s="17">
        <f t="shared" ca="1" si="53"/>
        <v>2.5228086805582279</v>
      </c>
      <c r="BP3412" t="b">
        <v>0</v>
      </c>
      <c r="BQ3412">
        <v>1</v>
      </c>
      <c r="BR3412" t="s">
        <v>1667</v>
      </c>
      <c r="BS3412">
        <v>25</v>
      </c>
      <c r="BT3412" t="b">
        <v>0</v>
      </c>
      <c r="BV3412" t="s">
        <v>1668</v>
      </c>
      <c r="BW3412">
        <v>7401</v>
      </c>
      <c r="BX3412" t="s">
        <v>1738</v>
      </c>
      <c r="BY3412">
        <v>309176</v>
      </c>
      <c r="BZ3412" t="s">
        <v>1813</v>
      </c>
      <c r="CA3412">
        <v>1</v>
      </c>
      <c r="CB3412" t="b">
        <v>1</v>
      </c>
      <c r="CC3412">
        <v>0</v>
      </c>
      <c r="CD3412" t="b">
        <v>0</v>
      </c>
      <c r="CE3412" t="b">
        <v>1</v>
      </c>
      <c r="CF3412" t="b">
        <v>0</v>
      </c>
      <c r="CG3412">
        <v>2424744</v>
      </c>
      <c r="CH3412" t="s">
        <v>1681</v>
      </c>
      <c r="CI3412" s="10">
        <v>1399999</v>
      </c>
      <c r="CJ3412" s="7">
        <v>37691</v>
      </c>
    </row>
    <row r="3413" spans="1:88">
      <c r="A3413">
        <v>28061028</v>
      </c>
      <c r="B3413" s="2" t="str">
        <f>HYPERLINK("http://www.redfin.com/stingray/do/printable-listing?listing-id=1627884","Active")</f>
        <v>Active</v>
      </c>
      <c r="D3413" t="s">
        <v>60</v>
      </c>
      <c r="E3413" t="s">
        <v>7008</v>
      </c>
      <c r="F3413">
        <v>319000</v>
      </c>
      <c r="G3413">
        <v>2001</v>
      </c>
      <c r="H3413">
        <v>840</v>
      </c>
      <c r="I3413">
        <v>1230</v>
      </c>
      <c r="J3413">
        <v>2</v>
      </c>
      <c r="K3413">
        <v>1.5</v>
      </c>
      <c r="M3413" s="2" t="str">
        <f>HYPERLINK("http://maps.live.com/default.aspx?v=2&amp;lvl=15&amp;sp=Point.47.69665_-122.339479_9220 Ashworth Ave N&amp;cp=47.69665~-122.339479","Map")</f>
        <v>Map</v>
      </c>
      <c r="N3413" s="2" t="str">
        <f>HYPERLINK("http://i-0.rfimg.us/photo/1/bigphoto/028/28061028_0.jpg","Photo")</f>
        <v>Photo</v>
      </c>
      <c r="AG3413">
        <v>47.696649999999998</v>
      </c>
      <c r="AH3413">
        <v>-122.339479</v>
      </c>
      <c r="AI3413" t="s">
        <v>66</v>
      </c>
      <c r="AJ3413">
        <v>98103</v>
      </c>
      <c r="AN3413">
        <v>225000</v>
      </c>
      <c r="BC3413" s="22">
        <v>39546.818124999998</v>
      </c>
      <c r="BI3413" s="22">
        <v>39549.294907407406</v>
      </c>
      <c r="BL3413">
        <v>6380</v>
      </c>
      <c r="BM3413">
        <v>1627884</v>
      </c>
      <c r="BN3413" t="s">
        <v>4296</v>
      </c>
      <c r="BO3413" s="17">
        <f t="shared" ca="1" si="53"/>
        <v>2.4912809027809999</v>
      </c>
      <c r="BP3413" t="b">
        <v>0</v>
      </c>
      <c r="BQ3413">
        <v>1</v>
      </c>
      <c r="BR3413" t="s">
        <v>1667</v>
      </c>
      <c r="BS3413" t="s">
        <v>1825</v>
      </c>
      <c r="BT3413" t="b">
        <v>0</v>
      </c>
      <c r="BV3413" t="s">
        <v>1668</v>
      </c>
      <c r="BW3413">
        <v>9220</v>
      </c>
      <c r="BX3413" t="s">
        <v>1712</v>
      </c>
      <c r="BY3413">
        <v>104494</v>
      </c>
      <c r="BZ3413" t="s">
        <v>1747</v>
      </c>
      <c r="CA3413">
        <v>1</v>
      </c>
      <c r="CB3413" t="b">
        <v>1</v>
      </c>
      <c r="CC3413">
        <v>0</v>
      </c>
      <c r="CD3413" t="b">
        <v>0</v>
      </c>
      <c r="CE3413" t="b">
        <v>1</v>
      </c>
      <c r="CF3413" t="b">
        <v>0</v>
      </c>
      <c r="CG3413">
        <v>2672141</v>
      </c>
      <c r="CH3413" t="s">
        <v>1681</v>
      </c>
      <c r="CI3413" s="10">
        <v>319000</v>
      </c>
      <c r="CJ3413" s="7">
        <v>38898</v>
      </c>
    </row>
    <row r="3414" spans="1:88">
      <c r="A3414">
        <v>28061045</v>
      </c>
      <c r="B3414" s="2" t="str">
        <f>HYPERLINK("http://www.redfin.com/stingray/do/printable-listing?listing-id=1627930","Subject To Inspection")</f>
        <v>Subject To Inspection</v>
      </c>
      <c r="D3414" t="s">
        <v>3681</v>
      </c>
      <c r="E3414" t="s">
        <v>3817</v>
      </c>
      <c r="F3414">
        <v>699000</v>
      </c>
      <c r="G3414">
        <v>1926</v>
      </c>
      <c r="H3414">
        <v>2720</v>
      </c>
      <c r="I3414">
        <v>3408</v>
      </c>
      <c r="J3414">
        <v>3</v>
      </c>
      <c r="K3414">
        <v>2.5</v>
      </c>
      <c r="M3414" s="2" t="str">
        <f>HYPERLINK("http://maps.live.com/default.aspx?v=2&amp;lvl=15&amp;sp=Point.47.63812_-122.306434_1921 E Blaine St&amp;cp=47.63812~-122.306434","Map")</f>
        <v>Map</v>
      </c>
      <c r="N3414" s="2" t="str">
        <f>HYPERLINK("http://i-0.rfimg.us/photo/1/bigphoto/045/28061045_.jpg","Photo")</f>
        <v>Photo</v>
      </c>
      <c r="AG3414">
        <v>47.638120000000001</v>
      </c>
      <c r="AH3414">
        <v>-122.306434</v>
      </c>
      <c r="AI3414" t="s">
        <v>66</v>
      </c>
      <c r="AJ3414">
        <v>98112</v>
      </c>
      <c r="AN3414">
        <v>335000</v>
      </c>
      <c r="BC3414" s="22">
        <v>39546.85052083333</v>
      </c>
      <c r="BI3414" s="22">
        <v>39549.294907407406</v>
      </c>
      <c r="BL3414">
        <v>13980</v>
      </c>
      <c r="BM3414">
        <v>1627930</v>
      </c>
      <c r="BN3414" t="s">
        <v>1710</v>
      </c>
      <c r="BO3414" s="17">
        <f t="shared" ca="1" si="53"/>
        <v>2.4588850694490247</v>
      </c>
      <c r="BP3414" t="b">
        <v>0</v>
      </c>
      <c r="BQ3414">
        <v>2</v>
      </c>
      <c r="BR3414" t="s">
        <v>1686</v>
      </c>
      <c r="BS3414" t="s">
        <v>3542</v>
      </c>
      <c r="BT3414" t="b">
        <v>0</v>
      </c>
      <c r="BU3414" t="s">
        <v>2436</v>
      </c>
      <c r="BV3414" t="s">
        <v>1668</v>
      </c>
      <c r="BW3414">
        <v>1921</v>
      </c>
      <c r="BY3414">
        <v>138323</v>
      </c>
      <c r="BZ3414" t="s">
        <v>1713</v>
      </c>
      <c r="CA3414">
        <v>1</v>
      </c>
      <c r="CB3414" t="b">
        <v>1</v>
      </c>
      <c r="CC3414">
        <v>0</v>
      </c>
      <c r="CD3414" t="b">
        <v>0</v>
      </c>
      <c r="CE3414" t="b">
        <v>1</v>
      </c>
      <c r="CF3414" t="b">
        <v>0</v>
      </c>
      <c r="CG3414">
        <v>2978562</v>
      </c>
      <c r="CH3414" t="s">
        <v>1681</v>
      </c>
      <c r="CI3414" s="10">
        <v>699000</v>
      </c>
      <c r="CJ3414" s="7">
        <v>35522</v>
      </c>
    </row>
    <row r="3415" spans="1:88">
      <c r="A3415">
        <v>28061072</v>
      </c>
      <c r="B3415" s="2" t="str">
        <f>HYPERLINK("http://www.redfin.com/stingray/do/printable-listing?listing-id=1627980","Active")</f>
        <v>Active</v>
      </c>
      <c r="D3415" t="s">
        <v>3249</v>
      </c>
      <c r="E3415" t="s">
        <v>3560</v>
      </c>
      <c r="F3415">
        <v>819950</v>
      </c>
      <c r="G3415">
        <v>1952</v>
      </c>
      <c r="H3415">
        <v>2410</v>
      </c>
      <c r="I3415">
        <v>4505</v>
      </c>
      <c r="J3415">
        <v>6</v>
      </c>
      <c r="K3415">
        <v>3.5</v>
      </c>
      <c r="M3415" s="2" t="str">
        <f>HYPERLINK("http://maps.live.com/default.aspx?v=2&amp;lvl=15&amp;sp=Point.47.651381_-122.36857_3432 9th Ave W&amp;cp=47.651381~-122.36857","Map")</f>
        <v>Map</v>
      </c>
      <c r="N3415" s="2" t="str">
        <f>HYPERLINK("http://i-0.rfimg.us/photo/1/bigphoto/072/28061072_0.jpg","Photo")</f>
        <v>Photo</v>
      </c>
      <c r="AG3415">
        <v>47.651381000000001</v>
      </c>
      <c r="AH3415">
        <v>-122.36857000000001</v>
      </c>
      <c r="AI3415" t="s">
        <v>66</v>
      </c>
      <c r="AJ3415">
        <v>98119</v>
      </c>
      <c r="AN3415">
        <v>688900</v>
      </c>
      <c r="BC3415" s="22">
        <v>39546.922210648147</v>
      </c>
      <c r="BI3415" s="22">
        <v>39549.294907407406</v>
      </c>
      <c r="BL3415">
        <v>16399</v>
      </c>
      <c r="BM3415">
        <v>1627980</v>
      </c>
      <c r="BN3415" t="s">
        <v>1737</v>
      </c>
      <c r="BO3415" s="17">
        <f t="shared" ca="1" si="53"/>
        <v>2.3871952546323882</v>
      </c>
      <c r="BP3415" t="b">
        <v>0</v>
      </c>
      <c r="BQ3415">
        <v>1</v>
      </c>
      <c r="BR3415" t="s">
        <v>1667</v>
      </c>
      <c r="BS3415" t="s">
        <v>1785</v>
      </c>
      <c r="BT3415" t="b">
        <v>0</v>
      </c>
      <c r="BV3415" t="s">
        <v>1668</v>
      </c>
      <c r="BW3415">
        <v>3432</v>
      </c>
      <c r="BX3415" t="s">
        <v>2423</v>
      </c>
      <c r="BY3415">
        <v>129844</v>
      </c>
      <c r="BZ3415" t="s">
        <v>1672</v>
      </c>
      <c r="CA3415">
        <v>1</v>
      </c>
      <c r="CB3415" t="b">
        <v>1</v>
      </c>
      <c r="CC3415">
        <v>0</v>
      </c>
      <c r="CD3415" t="b">
        <v>0</v>
      </c>
      <c r="CE3415" t="b">
        <v>1</v>
      </c>
      <c r="CF3415" t="b">
        <v>0</v>
      </c>
      <c r="CG3415">
        <v>2932070</v>
      </c>
      <c r="CH3415" t="s">
        <v>1681</v>
      </c>
      <c r="CI3415" s="10">
        <v>819950</v>
      </c>
      <c r="CJ3415" s="7">
        <v>38629</v>
      </c>
    </row>
    <row r="3416" spans="1:88">
      <c r="A3416">
        <v>28061078</v>
      </c>
      <c r="B3416" s="2" t="str">
        <f>HYPERLINK("http://www.redfin.com/stingray/do/printable-listing?listing-id=1628682","Active")</f>
        <v>Active</v>
      </c>
      <c r="D3416" t="s">
        <v>60</v>
      </c>
      <c r="E3416" t="s">
        <v>7054</v>
      </c>
      <c r="F3416">
        <v>415000</v>
      </c>
      <c r="G3416">
        <v>2001</v>
      </c>
      <c r="H3416">
        <v>1409</v>
      </c>
      <c r="I3416">
        <v>1525</v>
      </c>
      <c r="J3416">
        <v>2</v>
      </c>
      <c r="K3416">
        <v>2.5</v>
      </c>
      <c r="M3416" s="2" t="str">
        <f>HYPERLINK("http://maps.live.com/default.aspx?v=2&amp;lvl=15&amp;sp=Point.47.691428_-122.341523_8531 Stone Ave N&amp;cp=47.691428~-122.341523","Map")</f>
        <v>Map</v>
      </c>
      <c r="N3416" s="2" t="str">
        <f>HYPERLINK("http://i-0.rfimg.us/photo/1/bigphoto/078/28061078_.jpg","Photo")</f>
        <v>Photo</v>
      </c>
      <c r="AG3416">
        <v>47.691428000000002</v>
      </c>
      <c r="AH3416">
        <v>-122.341523</v>
      </c>
      <c r="AI3416" t="s">
        <v>66</v>
      </c>
      <c r="AJ3416">
        <v>98103</v>
      </c>
      <c r="AN3416">
        <v>377500</v>
      </c>
      <c r="BC3416" s="22">
        <v>39547.212685185186</v>
      </c>
      <c r="BI3416" s="22">
        <v>39549.294907407406</v>
      </c>
      <c r="BL3416">
        <v>8300</v>
      </c>
      <c r="BM3416">
        <v>1628682</v>
      </c>
      <c r="BN3416" t="s">
        <v>1812</v>
      </c>
      <c r="BO3416" s="17">
        <f t="shared" ca="1" si="53"/>
        <v>2.0967207175926887</v>
      </c>
      <c r="BP3416" t="b">
        <v>0</v>
      </c>
      <c r="BQ3416">
        <v>1</v>
      </c>
      <c r="BR3416" t="s">
        <v>1667</v>
      </c>
      <c r="BS3416" t="s">
        <v>2719</v>
      </c>
      <c r="BT3416" t="b">
        <v>0</v>
      </c>
      <c r="BV3416" t="s">
        <v>1668</v>
      </c>
      <c r="BW3416">
        <v>8531</v>
      </c>
      <c r="BX3416" t="s">
        <v>1712</v>
      </c>
      <c r="BY3416">
        <v>105309</v>
      </c>
      <c r="CA3416">
        <v>1</v>
      </c>
      <c r="CB3416" t="b">
        <v>1</v>
      </c>
      <c r="CC3416">
        <v>0</v>
      </c>
      <c r="CD3416" t="b">
        <v>0</v>
      </c>
      <c r="CE3416" t="b">
        <v>1</v>
      </c>
      <c r="CF3416" t="b">
        <v>0</v>
      </c>
      <c r="CG3416">
        <v>2759827</v>
      </c>
      <c r="CH3416" t="s">
        <v>1681</v>
      </c>
      <c r="CI3416" s="10">
        <v>415000</v>
      </c>
      <c r="CJ3416" s="7">
        <v>39217</v>
      </c>
    </row>
    <row r="3417" spans="1:88">
      <c r="A3417">
        <v>28061082</v>
      </c>
      <c r="B3417" s="2" t="str">
        <f>HYPERLINK("http://www.redfin.com/stingray/do/printable-listing?listing-id=1628530","Active")</f>
        <v>Active</v>
      </c>
      <c r="D3417" t="s">
        <v>1058</v>
      </c>
      <c r="E3417" t="s">
        <v>7075</v>
      </c>
      <c r="F3417">
        <v>539900</v>
      </c>
      <c r="G3417">
        <v>1981</v>
      </c>
      <c r="H3417">
        <v>2480</v>
      </c>
      <c r="I3417">
        <v>13138</v>
      </c>
      <c r="J3417">
        <v>4</v>
      </c>
      <c r="K3417">
        <v>2.5</v>
      </c>
      <c r="M3417" s="2" t="str">
        <f>HYPERLINK("http://maps.live.com/default.aspx?v=2&amp;lvl=15&amp;sp=Point.47.7246_-122.212767_13823 97th Ave NE&amp;cp=47.7246~-122.212767","Map")</f>
        <v>Map</v>
      </c>
      <c r="N3417" s="2" t="str">
        <f>HYPERLINK("http://i-0.rfimg.us/photo/1/bigphoto/082/28061082_3.jpg","Photo")</f>
        <v>Photo</v>
      </c>
      <c r="AG3417">
        <v>47.724600000000002</v>
      </c>
      <c r="AH3417">
        <v>-122.212767</v>
      </c>
      <c r="AI3417" t="s">
        <v>1058</v>
      </c>
      <c r="AJ3417">
        <v>98034</v>
      </c>
      <c r="AN3417">
        <v>189500</v>
      </c>
      <c r="BC3417" s="22">
        <v>39547.0466087963</v>
      </c>
      <c r="BI3417" s="22">
        <v>39549.294907407406</v>
      </c>
      <c r="BL3417">
        <v>10798</v>
      </c>
      <c r="BM3417">
        <v>1628530</v>
      </c>
      <c r="BN3417" t="s">
        <v>2419</v>
      </c>
      <c r="BO3417" s="17">
        <f t="shared" ca="1" si="53"/>
        <v>2.262797106479411</v>
      </c>
      <c r="BP3417" t="b">
        <v>0</v>
      </c>
      <c r="BQ3417">
        <v>1</v>
      </c>
      <c r="BR3417" t="s">
        <v>1667</v>
      </c>
      <c r="BS3417" t="s">
        <v>1840</v>
      </c>
      <c r="BT3417" t="b">
        <v>0</v>
      </c>
      <c r="BV3417" t="s">
        <v>1668</v>
      </c>
      <c r="BW3417">
        <v>13823</v>
      </c>
      <c r="BX3417" t="s">
        <v>1738</v>
      </c>
      <c r="BY3417">
        <v>279065</v>
      </c>
      <c r="BZ3417" t="s">
        <v>7076</v>
      </c>
      <c r="CA3417">
        <v>1</v>
      </c>
      <c r="CB3417" t="b">
        <v>1</v>
      </c>
      <c r="CC3417">
        <v>0</v>
      </c>
      <c r="CD3417" t="b">
        <v>0</v>
      </c>
      <c r="CE3417" t="b">
        <v>1</v>
      </c>
      <c r="CF3417" t="b">
        <v>0</v>
      </c>
      <c r="CG3417">
        <v>2830428</v>
      </c>
      <c r="CH3417" t="s">
        <v>1681</v>
      </c>
      <c r="CI3417" s="10">
        <v>539900</v>
      </c>
      <c r="CJ3417" s="7">
        <v>33441</v>
      </c>
    </row>
    <row r="3418" spans="1:88">
      <c r="A3418">
        <v>28061090</v>
      </c>
      <c r="B3418" s="2" t="str">
        <f>HYPERLINK("http://www.redfin.com/stingray/do/printable-listing?listing-id=1628703","Active")</f>
        <v>Active</v>
      </c>
      <c r="D3418" t="s">
        <v>207</v>
      </c>
      <c r="E3418" t="s">
        <v>3192</v>
      </c>
      <c r="F3418">
        <v>1039950</v>
      </c>
      <c r="G3418">
        <v>2008</v>
      </c>
      <c r="H3418">
        <v>3100</v>
      </c>
      <c r="I3418">
        <v>0</v>
      </c>
      <c r="J3418">
        <v>5</v>
      </c>
      <c r="K3418">
        <v>3.5</v>
      </c>
      <c r="M3418" s="2" t="str">
        <f>HYPERLINK("http://maps.live.com/default.aspx?v=2&amp;lvl=15&amp;sp=Point.47.66953_-122.293503_5532 31st Ave NE&amp;cp=47.66953~-122.293503","Map")</f>
        <v>Map</v>
      </c>
      <c r="N3418" s="2" t="str">
        <f>HYPERLINK("http://i-0.rfimg.us/photo/1/bigphoto/090/28061090_0.jpg","Photo")</f>
        <v>Photo</v>
      </c>
      <c r="AG3418">
        <v>47.669530000000002</v>
      </c>
      <c r="AH3418">
        <v>-122.293503</v>
      </c>
      <c r="AI3418" t="s">
        <v>66</v>
      </c>
      <c r="AJ3418">
        <v>98105</v>
      </c>
      <c r="AN3418">
        <v>559000</v>
      </c>
      <c r="BC3418" s="22">
        <v>39547.267187500001</v>
      </c>
      <c r="BI3418" s="22">
        <v>39549.294907407406</v>
      </c>
      <c r="BL3418">
        <v>20799</v>
      </c>
      <c r="BM3418">
        <v>1628703</v>
      </c>
      <c r="BN3418" t="s">
        <v>3191</v>
      </c>
      <c r="BO3418" s="17">
        <f t="shared" ca="1" si="53"/>
        <v>2.0422184027775074</v>
      </c>
      <c r="BP3418" t="b">
        <v>0</v>
      </c>
      <c r="BQ3418">
        <v>1</v>
      </c>
      <c r="BR3418" t="s">
        <v>1667</v>
      </c>
      <c r="BS3418" t="s">
        <v>1732</v>
      </c>
      <c r="BT3418" t="b">
        <v>0</v>
      </c>
      <c r="BV3418" t="s">
        <v>1668</v>
      </c>
      <c r="BW3418">
        <v>5532</v>
      </c>
      <c r="BX3418" t="s">
        <v>1738</v>
      </c>
      <c r="BY3418">
        <v>312406</v>
      </c>
      <c r="BZ3418" t="s">
        <v>1745</v>
      </c>
      <c r="CA3418">
        <v>1</v>
      </c>
      <c r="CB3418" t="b">
        <v>1</v>
      </c>
      <c r="CC3418">
        <v>0</v>
      </c>
      <c r="CD3418" t="b">
        <v>0</v>
      </c>
      <c r="CE3418" t="b">
        <v>1</v>
      </c>
      <c r="CF3418" t="b">
        <v>0</v>
      </c>
      <c r="CG3418">
        <v>2358342</v>
      </c>
      <c r="CH3418" t="s">
        <v>1681</v>
      </c>
      <c r="CI3418" s="10">
        <v>1039950</v>
      </c>
      <c r="CJ3418" s="7">
        <v>39098</v>
      </c>
    </row>
    <row r="3419" spans="1:88">
      <c r="A3419">
        <v>28061115</v>
      </c>
      <c r="B3419" s="2" t="str">
        <f>HYPERLINK("http://www.redfin.com/stingray/do/printable-listing?listing-id=1629115","Active")</f>
        <v>Active</v>
      </c>
      <c r="D3419" t="s">
        <v>3721</v>
      </c>
      <c r="E3419" t="s">
        <v>7067</v>
      </c>
      <c r="F3419">
        <v>4395000</v>
      </c>
      <c r="G3419">
        <v>1928</v>
      </c>
      <c r="H3419">
        <v>5520</v>
      </c>
      <c r="I3419">
        <v>13650</v>
      </c>
      <c r="J3419">
        <v>5</v>
      </c>
      <c r="K3419">
        <v>3.5</v>
      </c>
      <c r="M3419" s="2" t="str">
        <f>HYPERLINK("http://maps.live.com/default.aspx?v=2&amp;lvl=15&amp;sp=Point.47.629499_-122.281772_1133 McGilvra Blvd E&amp;cp=47.629499~-122.281772","Map")</f>
        <v>Map</v>
      </c>
      <c r="N3419" s="2" t="str">
        <f>HYPERLINK("http://i-0.rfimg.us/photo/1/bigphoto/115/28061115_1.jpg","Photo")</f>
        <v>Photo</v>
      </c>
      <c r="AG3419">
        <v>47.629499000000003</v>
      </c>
      <c r="AH3419">
        <v>-122.281772</v>
      </c>
      <c r="AI3419" t="s">
        <v>66</v>
      </c>
      <c r="AJ3419">
        <v>98112</v>
      </c>
      <c r="AN3419">
        <v>925000</v>
      </c>
      <c r="BC3419" s="22">
        <v>39547.369502314818</v>
      </c>
      <c r="BI3419" s="22">
        <v>39549.294907407406</v>
      </c>
      <c r="BL3419">
        <v>87900</v>
      </c>
      <c r="BM3419">
        <v>1629115</v>
      </c>
      <c r="BN3419" t="s">
        <v>1674</v>
      </c>
      <c r="BO3419" s="17">
        <f t="shared" ca="1" si="53"/>
        <v>1.939903587961453</v>
      </c>
      <c r="BP3419" t="b">
        <v>0</v>
      </c>
      <c r="BQ3419">
        <v>1</v>
      </c>
      <c r="BR3419" t="s">
        <v>3141</v>
      </c>
      <c r="BS3419" t="s">
        <v>3684</v>
      </c>
      <c r="BT3419" t="b">
        <v>0</v>
      </c>
      <c r="BV3419" t="s">
        <v>1668</v>
      </c>
      <c r="BW3419">
        <v>1133</v>
      </c>
      <c r="BX3419" t="s">
        <v>2436</v>
      </c>
      <c r="BY3419">
        <v>139389</v>
      </c>
      <c r="BZ3419" t="s">
        <v>1911</v>
      </c>
      <c r="CA3419">
        <v>1</v>
      </c>
      <c r="CB3419" t="b">
        <v>1</v>
      </c>
      <c r="CC3419">
        <v>0</v>
      </c>
      <c r="CD3419" t="b">
        <v>0</v>
      </c>
      <c r="CE3419" t="b">
        <v>1</v>
      </c>
      <c r="CF3419" t="b">
        <v>0</v>
      </c>
      <c r="CG3419">
        <v>2723464</v>
      </c>
      <c r="CH3419" t="s">
        <v>1681</v>
      </c>
      <c r="CI3419" s="10">
        <v>4395000</v>
      </c>
      <c r="CJ3419" s="7">
        <v>32868</v>
      </c>
    </row>
    <row r="3420" spans="1:88">
      <c r="A3420">
        <v>28061128</v>
      </c>
      <c r="B3420" s="2" t="str">
        <f>HYPERLINK("http://www.redfin.com/stingray/do/printable-listing?listing-id=1628841","Active")</f>
        <v>Active</v>
      </c>
      <c r="D3420" t="s">
        <v>60</v>
      </c>
      <c r="E3420" t="s">
        <v>7050</v>
      </c>
      <c r="F3420">
        <v>645000</v>
      </c>
      <c r="G3420">
        <v>1949</v>
      </c>
      <c r="H3420">
        <v>2120</v>
      </c>
      <c r="I3420">
        <v>5600</v>
      </c>
      <c r="J3420">
        <v>3</v>
      </c>
      <c r="K3420">
        <v>2</v>
      </c>
      <c r="M3420" s="2" t="str">
        <f>HYPERLINK("http://maps.live.com/default.aspx?v=2&amp;lvl=15&amp;sp=Point.47.68954_-122.337453_8226 Densmore Ave N&amp;cp=47.68954~-122.337453","Map")</f>
        <v>Map</v>
      </c>
      <c r="N3420" s="2" t="str">
        <f>HYPERLINK("http://i-0.rfimg.us/photo/1/bigphoto/128/28061128_1.jpg","Photo")</f>
        <v>Photo</v>
      </c>
      <c r="AG3420">
        <v>47.689540000000001</v>
      </c>
      <c r="AH3420">
        <v>-122.337453</v>
      </c>
      <c r="AI3420" t="s">
        <v>66</v>
      </c>
      <c r="AJ3420">
        <v>98103</v>
      </c>
      <c r="AN3420">
        <v>512000</v>
      </c>
      <c r="BC3420" s="22">
        <v>39547.338958333334</v>
      </c>
      <c r="BI3420" s="22">
        <v>39549.294907407406</v>
      </c>
      <c r="BL3420">
        <v>12900</v>
      </c>
      <c r="BM3420">
        <v>1628841</v>
      </c>
      <c r="BN3420" t="s">
        <v>1829</v>
      </c>
      <c r="BO3420" s="17">
        <f t="shared" ca="1" si="53"/>
        <v>1.9704475694452412</v>
      </c>
      <c r="BP3420" t="b">
        <v>0</v>
      </c>
      <c r="BQ3420">
        <v>1</v>
      </c>
      <c r="BR3420" t="s">
        <v>1667</v>
      </c>
      <c r="BS3420" t="s">
        <v>2349</v>
      </c>
      <c r="BT3420" t="b">
        <v>0</v>
      </c>
      <c r="BV3420" t="s">
        <v>1668</v>
      </c>
      <c r="BW3420">
        <v>8226</v>
      </c>
      <c r="BX3420" t="s">
        <v>1712</v>
      </c>
      <c r="BY3420">
        <v>306375</v>
      </c>
      <c r="BZ3420" t="s">
        <v>1709</v>
      </c>
      <c r="CA3420">
        <v>1</v>
      </c>
      <c r="CB3420" t="b">
        <v>1</v>
      </c>
      <c r="CC3420">
        <v>0</v>
      </c>
      <c r="CD3420" t="b">
        <v>0</v>
      </c>
      <c r="CE3420" t="b">
        <v>1</v>
      </c>
      <c r="CF3420" t="b">
        <v>0</v>
      </c>
      <c r="CG3420">
        <v>2698336</v>
      </c>
      <c r="CH3420" t="s">
        <v>1681</v>
      </c>
      <c r="CI3420" s="10">
        <v>645000</v>
      </c>
      <c r="CJ3420" s="7">
        <v>38442</v>
      </c>
    </row>
    <row r="3421" spans="1:88">
      <c r="A3421">
        <v>28061156</v>
      </c>
      <c r="B3421" s="2" t="str">
        <f>HYPERLINK("http://www.redfin.com/stingray/do/printable-listing?listing-id=1629111","Active")</f>
        <v>Active</v>
      </c>
      <c r="D3421" t="s">
        <v>3704</v>
      </c>
      <c r="E3421" t="s">
        <v>7071</v>
      </c>
      <c r="F3421">
        <v>449910</v>
      </c>
      <c r="G3421">
        <v>2005</v>
      </c>
      <c r="H3421">
        <v>0</v>
      </c>
      <c r="I3421">
        <v>0</v>
      </c>
      <c r="J3421">
        <v>2</v>
      </c>
      <c r="K3421">
        <v>1</v>
      </c>
      <c r="M3421" s="2" t="str">
        <f>HYPERLINK("http://maps.live.com/default.aspx?v=2&amp;lvl=15&amp;sp=Point.47.620547_-122.318403_249 11th Ave E&amp;cp=47.620547~-122.318403","Map")</f>
        <v>Map</v>
      </c>
      <c r="N3421" s="2" t="str">
        <f>HYPERLINK("http://i-0.rfimg.us/photo/1/bigphoto/156/28061156_2.jpg","Photo")</f>
        <v>Photo</v>
      </c>
      <c r="AG3421">
        <v>47.620547000000002</v>
      </c>
      <c r="AH3421">
        <v>-122.318403</v>
      </c>
      <c r="AI3421" t="s">
        <v>66</v>
      </c>
      <c r="AJ3421">
        <v>98102</v>
      </c>
      <c r="AN3421">
        <v>390000</v>
      </c>
      <c r="BC3421" s="22">
        <v>39547.369432870371</v>
      </c>
      <c r="BI3421" s="22">
        <v>39549.294907407406</v>
      </c>
      <c r="BL3421">
        <v>8998</v>
      </c>
      <c r="BM3421">
        <v>1629111</v>
      </c>
      <c r="BN3421" t="s">
        <v>1697</v>
      </c>
      <c r="BO3421" s="17">
        <f t="shared" ca="1" si="53"/>
        <v>1.939973032407579</v>
      </c>
      <c r="BP3421" t="b">
        <v>0</v>
      </c>
      <c r="BQ3421">
        <v>1</v>
      </c>
      <c r="BR3421" t="s">
        <v>1667</v>
      </c>
      <c r="BS3421" t="s">
        <v>1792</v>
      </c>
      <c r="BT3421" t="b">
        <v>0</v>
      </c>
      <c r="BV3421" t="s">
        <v>1668</v>
      </c>
      <c r="BW3421">
        <v>249</v>
      </c>
      <c r="BX3421" t="s">
        <v>2436</v>
      </c>
      <c r="BY3421">
        <v>2077211</v>
      </c>
      <c r="BZ3421" t="s">
        <v>7072</v>
      </c>
      <c r="CA3421">
        <v>1</v>
      </c>
      <c r="CB3421" t="b">
        <v>1</v>
      </c>
      <c r="CC3421">
        <v>0</v>
      </c>
      <c r="CD3421" t="b">
        <v>0</v>
      </c>
      <c r="CE3421" t="b">
        <v>1</v>
      </c>
      <c r="CF3421" t="b">
        <v>0</v>
      </c>
      <c r="CG3421">
        <v>2657240</v>
      </c>
      <c r="CH3421" t="s">
        <v>1681</v>
      </c>
      <c r="CI3421" s="10">
        <v>449910</v>
      </c>
      <c r="CJ3421" s="7">
        <v>38674</v>
      </c>
    </row>
    <row r="3422" spans="1:88">
      <c r="A3422">
        <v>28061166</v>
      </c>
      <c r="B3422" s="2" t="str">
        <f>HYPERLINK("http://www.redfin.com/stingray/do/printable-listing?listing-id=1629266","Active")</f>
        <v>Active</v>
      </c>
      <c r="D3422" t="s">
        <v>100</v>
      </c>
      <c r="E3422" t="s">
        <v>7063</v>
      </c>
      <c r="F3422">
        <v>479950</v>
      </c>
      <c r="G3422">
        <v>2008</v>
      </c>
      <c r="H3422">
        <v>0</v>
      </c>
      <c r="I3422">
        <v>0</v>
      </c>
      <c r="J3422">
        <v>2</v>
      </c>
      <c r="K3422">
        <v>2.5</v>
      </c>
      <c r="M3422" s="2" t="str">
        <f>HYPERLINK("http://maps.live.com/default.aspx?v=2&amp;lvl=15&amp;sp=Point.47.653274_-122.357495_3618 1st Ave NW&amp;cp=47.653274~-122.357495","Map")</f>
        <v>Map</v>
      </c>
      <c r="N3422" s="2" t="str">
        <f>HYPERLINK("http://i-0.rfimg.us/photo/1/bigphoto/166/28061166_0.jpg","Photo")</f>
        <v>Photo</v>
      </c>
      <c r="AG3422">
        <v>47.653274000000003</v>
      </c>
      <c r="AH3422">
        <v>-122.357495</v>
      </c>
      <c r="AI3422" t="s">
        <v>66</v>
      </c>
      <c r="AJ3422">
        <v>98103</v>
      </c>
      <c r="BC3422" s="22">
        <v>39547.401307870372</v>
      </c>
      <c r="BI3422" s="22">
        <v>39549.294907407406</v>
      </c>
      <c r="BL3422">
        <v>9599</v>
      </c>
      <c r="BM3422">
        <v>1629266</v>
      </c>
      <c r="BN3422" t="s">
        <v>1725</v>
      </c>
      <c r="BO3422" s="17">
        <f t="shared" ca="1" si="53"/>
        <v>1.9080980324069969</v>
      </c>
      <c r="BP3422" t="b">
        <v>0</v>
      </c>
      <c r="BQ3422">
        <v>1</v>
      </c>
      <c r="BR3422" t="s">
        <v>1667</v>
      </c>
      <c r="BS3422" t="s">
        <v>1822</v>
      </c>
      <c r="BT3422" t="b">
        <v>0</v>
      </c>
      <c r="BV3422" t="s">
        <v>1668</v>
      </c>
      <c r="BW3422">
        <v>3618</v>
      </c>
      <c r="BX3422" t="s">
        <v>1669</v>
      </c>
      <c r="BY3422">
        <v>12441989</v>
      </c>
      <c r="BZ3422" t="s">
        <v>1713</v>
      </c>
      <c r="CA3422">
        <v>1</v>
      </c>
      <c r="CB3422" t="b">
        <v>1</v>
      </c>
      <c r="CC3422">
        <v>0</v>
      </c>
      <c r="CD3422" t="b">
        <v>0</v>
      </c>
      <c r="CE3422" t="b">
        <v>1</v>
      </c>
      <c r="CF3422" t="b">
        <v>0</v>
      </c>
      <c r="CG3422">
        <v>15645737</v>
      </c>
      <c r="CH3422" t="s">
        <v>1681</v>
      </c>
      <c r="CI3422" s="10">
        <v>479950</v>
      </c>
    </row>
    <row r="3423" spans="1:88">
      <c r="A3423">
        <v>28061167</v>
      </c>
      <c r="B3423" s="2" t="str">
        <f>HYPERLINK("http://www.redfin.com/stingray/do/printable-listing?listing-id=1629265","Active")</f>
        <v>Active</v>
      </c>
      <c r="D3423" t="s">
        <v>3885</v>
      </c>
      <c r="E3423" t="s">
        <v>7088</v>
      </c>
      <c r="F3423">
        <v>459900</v>
      </c>
      <c r="G3423">
        <v>1968</v>
      </c>
      <c r="H3423">
        <v>2050</v>
      </c>
      <c r="I3423">
        <v>7700</v>
      </c>
      <c r="J3423">
        <v>4</v>
      </c>
      <c r="K3423">
        <v>2.75</v>
      </c>
      <c r="M3423" s="2" t="str">
        <f>HYPERLINK("http://maps.live.com/default.aspx?v=2&amp;lvl=15&amp;sp=Point.47.537879_-122.177251_7215 122 Ave SE&amp;cp=47.537879~-122.177251","Map")</f>
        <v>Map</v>
      </c>
      <c r="N3423" s="2" t="str">
        <f>HYPERLINK("http://i-0.rfimg.us/photo/1/bigphoto/167/28061167_0.jpg","Photo")</f>
        <v>Photo</v>
      </c>
      <c r="AG3423">
        <v>47.537878999999997</v>
      </c>
      <c r="AH3423">
        <v>-122.177251</v>
      </c>
      <c r="AI3423" t="s">
        <v>3885</v>
      </c>
      <c r="AJ3423">
        <v>98056</v>
      </c>
      <c r="AN3423">
        <v>255000</v>
      </c>
      <c r="BC3423" s="22">
        <v>39547.401261574072</v>
      </c>
      <c r="BI3423" s="22">
        <v>39549.294907407406</v>
      </c>
      <c r="BL3423">
        <v>9198</v>
      </c>
      <c r="BM3423">
        <v>1629265</v>
      </c>
      <c r="BN3423" t="s">
        <v>2590</v>
      </c>
      <c r="BO3423" s="17">
        <f t="shared" ca="1" si="53"/>
        <v>1.9081443287068396</v>
      </c>
      <c r="BP3423" t="b">
        <v>0</v>
      </c>
      <c r="BQ3423">
        <v>1</v>
      </c>
      <c r="BR3423" t="s">
        <v>1667</v>
      </c>
      <c r="BS3423">
        <v>122</v>
      </c>
      <c r="BT3423" t="b">
        <v>0</v>
      </c>
      <c r="BV3423" t="s">
        <v>1668</v>
      </c>
      <c r="BW3423">
        <v>7215</v>
      </c>
      <c r="BX3423" t="s">
        <v>3856</v>
      </c>
      <c r="BY3423">
        <v>415543</v>
      </c>
      <c r="BZ3423" t="s">
        <v>1801</v>
      </c>
      <c r="CA3423">
        <v>1</v>
      </c>
      <c r="CB3423" t="b">
        <v>1</v>
      </c>
      <c r="CC3423">
        <v>0</v>
      </c>
      <c r="CD3423" t="b">
        <v>0</v>
      </c>
      <c r="CE3423" t="b">
        <v>1</v>
      </c>
      <c r="CF3423" t="b">
        <v>0</v>
      </c>
      <c r="CG3423">
        <v>2979414</v>
      </c>
      <c r="CH3423" t="s">
        <v>1681</v>
      </c>
      <c r="CI3423" s="10">
        <v>459900</v>
      </c>
      <c r="CJ3423" s="7">
        <v>37125</v>
      </c>
    </row>
    <row r="3424" spans="1:88">
      <c r="A3424">
        <v>28061176</v>
      </c>
      <c r="B3424" s="2" t="str">
        <f>HYPERLINK("http://www.redfin.com/stingray/do/printable-listing?listing-id=1629173","Active")</f>
        <v>Active</v>
      </c>
      <c r="D3424" t="s">
        <v>5078</v>
      </c>
      <c r="E3424" t="s">
        <v>7082</v>
      </c>
      <c r="F3424">
        <v>474000</v>
      </c>
      <c r="G3424">
        <v>1959</v>
      </c>
      <c r="H3424">
        <v>1245</v>
      </c>
      <c r="I3424">
        <v>7400</v>
      </c>
      <c r="J3424">
        <v>3</v>
      </c>
      <c r="K3424">
        <v>1.75</v>
      </c>
      <c r="M3424" s="2" t="str">
        <f>HYPERLINK("http://maps.live.com/default.aspx?v=2&amp;lvl=15&amp;sp=Point.47.619967_-122.120463_16421 NE 12th St&amp;cp=47.619967~-122.120463","Map")</f>
        <v>Map</v>
      </c>
      <c r="N3424" s="2" t="str">
        <f>HYPERLINK("http://i-0.rfimg.us/photo/1/bigphoto/176/28061176_1.jpg","Photo")</f>
        <v>Photo</v>
      </c>
      <c r="AG3424">
        <v>47.619967000000003</v>
      </c>
      <c r="AH3424">
        <v>-122.120463</v>
      </c>
      <c r="AI3424" t="s">
        <v>369</v>
      </c>
      <c r="AJ3424">
        <v>98008</v>
      </c>
      <c r="AN3424">
        <v>337120</v>
      </c>
      <c r="BC3424" s="22">
        <v>39547.380219907405</v>
      </c>
      <c r="BI3424" s="22">
        <v>39549.294907407406</v>
      </c>
      <c r="BL3424">
        <v>9480</v>
      </c>
      <c r="BM3424">
        <v>1629173</v>
      </c>
      <c r="BN3424" t="s">
        <v>1735</v>
      </c>
      <c r="BO3424" s="17">
        <f t="shared" ca="1" si="53"/>
        <v>1.9291859953737003</v>
      </c>
      <c r="BP3424" t="b">
        <v>0</v>
      </c>
      <c r="BQ3424">
        <v>1</v>
      </c>
      <c r="BR3424" t="s">
        <v>1686</v>
      </c>
      <c r="BS3424" t="s">
        <v>1803</v>
      </c>
      <c r="BT3424" t="b">
        <v>0</v>
      </c>
      <c r="BU3424" t="s">
        <v>1738</v>
      </c>
      <c r="BV3424" t="s">
        <v>1668</v>
      </c>
      <c r="BW3424">
        <v>16421</v>
      </c>
      <c r="BY3424">
        <v>501019</v>
      </c>
      <c r="BZ3424" t="s">
        <v>2799</v>
      </c>
      <c r="CA3424">
        <v>1</v>
      </c>
      <c r="CB3424" t="b">
        <v>1</v>
      </c>
      <c r="CC3424">
        <v>0</v>
      </c>
      <c r="CD3424" t="b">
        <v>0</v>
      </c>
      <c r="CE3424" t="b">
        <v>1</v>
      </c>
      <c r="CF3424" t="b">
        <v>0</v>
      </c>
      <c r="CG3424">
        <v>2492274</v>
      </c>
      <c r="CH3424" t="s">
        <v>1681</v>
      </c>
      <c r="CI3424" s="10">
        <v>474000</v>
      </c>
      <c r="CJ3424" s="7">
        <v>38835</v>
      </c>
    </row>
    <row r="3425" spans="1:88">
      <c r="A3425">
        <v>28061211</v>
      </c>
      <c r="B3425" s="2" t="str">
        <f>HYPERLINK("http://www.redfin.com/stingray/do/printable-listing?listing-id=1629271","Active")</f>
        <v>Active</v>
      </c>
      <c r="D3425" t="s">
        <v>3966</v>
      </c>
      <c r="E3425" t="s">
        <v>7070</v>
      </c>
      <c r="F3425">
        <v>599950</v>
      </c>
      <c r="G3425">
        <v>1908</v>
      </c>
      <c r="H3425">
        <v>1540</v>
      </c>
      <c r="I3425">
        <v>4080</v>
      </c>
      <c r="J3425">
        <v>3</v>
      </c>
      <c r="K3425">
        <v>2.75</v>
      </c>
      <c r="M3425" s="2" t="str">
        <f>HYPERLINK("http://maps.live.com/default.aspx?v=2&amp;lvl=15&amp;sp=Point.47.612666_-122.291766_1133 32nd Ave&amp;cp=47.612666~-122.291766","Map")</f>
        <v>Map</v>
      </c>
      <c r="N3425" s="2" t="str">
        <f>HYPERLINK("http://i-0.rfimg.us/photo/1/bigphoto/211/28061211_.jpg","Photo")</f>
        <v>Photo</v>
      </c>
      <c r="AG3425">
        <v>47.612665999999997</v>
      </c>
      <c r="AH3425">
        <v>-122.291766</v>
      </c>
      <c r="AI3425" t="s">
        <v>66</v>
      </c>
      <c r="AJ3425">
        <v>98133</v>
      </c>
      <c r="AN3425">
        <v>525000</v>
      </c>
      <c r="BC3425" s="22">
        <v>39547.401388888888</v>
      </c>
      <c r="BI3425" s="22">
        <v>39549.294907407406</v>
      </c>
      <c r="BL3425">
        <v>11999</v>
      </c>
      <c r="BM3425">
        <v>1629271</v>
      </c>
      <c r="BN3425" t="s">
        <v>3023</v>
      </c>
      <c r="BO3425" s="17">
        <f t="shared" ca="1" si="53"/>
        <v>1.9080170138913672</v>
      </c>
      <c r="BP3425" t="b">
        <v>0</v>
      </c>
      <c r="BQ3425">
        <v>1</v>
      </c>
      <c r="BR3425" t="s">
        <v>1667</v>
      </c>
      <c r="BS3425" t="s">
        <v>1733</v>
      </c>
      <c r="BT3425" t="b">
        <v>0</v>
      </c>
      <c r="BV3425" t="s">
        <v>1668</v>
      </c>
      <c r="BW3425">
        <v>1133</v>
      </c>
      <c r="BY3425">
        <v>147260</v>
      </c>
      <c r="CA3425">
        <v>1</v>
      </c>
      <c r="CB3425" t="b">
        <v>1</v>
      </c>
      <c r="CC3425">
        <v>0</v>
      </c>
      <c r="CD3425" t="b">
        <v>0</v>
      </c>
      <c r="CE3425" t="b">
        <v>1</v>
      </c>
      <c r="CF3425" t="b">
        <v>0</v>
      </c>
      <c r="CG3425">
        <v>2870322</v>
      </c>
      <c r="CH3425" t="s">
        <v>1681</v>
      </c>
      <c r="CI3425" s="10">
        <v>599950</v>
      </c>
      <c r="CJ3425" s="7">
        <v>39233</v>
      </c>
    </row>
    <row r="3426" spans="1:88">
      <c r="A3426">
        <v>28061233</v>
      </c>
      <c r="B3426" s="2" t="str">
        <f>HYPERLINK("http://www.redfin.com/stingray/do/printable-listing?listing-id=1629353","Active")</f>
        <v>Active</v>
      </c>
      <c r="D3426" t="s">
        <v>78</v>
      </c>
      <c r="E3426" t="s">
        <v>7047</v>
      </c>
      <c r="F3426">
        <v>440000</v>
      </c>
      <c r="G3426">
        <v>1937</v>
      </c>
      <c r="H3426">
        <v>0</v>
      </c>
      <c r="I3426">
        <v>4215</v>
      </c>
      <c r="J3426">
        <v>4</v>
      </c>
      <c r="K3426">
        <v>1.75</v>
      </c>
      <c r="M3426" s="2" t="str">
        <f>HYPERLINK("http://maps.live.com/default.aspx?v=2&amp;lvl=15&amp;sp=Point.47.687815_-122.387945_8033 24th Ave NW&amp;cp=47.687815~-122.387945","Map")</f>
        <v>Map</v>
      </c>
      <c r="N3426" s="2" t="str">
        <f>HYPERLINK("http://i-0.rfimg.us/photo/1/bigphoto/233/28061233_0.jpg","Photo")</f>
        <v>Photo</v>
      </c>
      <c r="AG3426">
        <v>47.687815000000001</v>
      </c>
      <c r="AH3426">
        <v>-122.387945</v>
      </c>
      <c r="AI3426" t="s">
        <v>66</v>
      </c>
      <c r="AJ3426">
        <v>98117</v>
      </c>
      <c r="AN3426">
        <v>60000</v>
      </c>
      <c r="BC3426" s="22">
        <v>39547.422951388886</v>
      </c>
      <c r="BI3426" s="22">
        <v>39549.294907407406</v>
      </c>
      <c r="BL3426">
        <v>8800</v>
      </c>
      <c r="BM3426">
        <v>1629353</v>
      </c>
      <c r="BN3426" t="s">
        <v>1774</v>
      </c>
      <c r="BO3426" s="17">
        <f t="shared" ca="1" si="53"/>
        <v>1.8864545138931135</v>
      </c>
      <c r="BP3426" t="b">
        <v>0</v>
      </c>
      <c r="BQ3426">
        <v>1</v>
      </c>
      <c r="BR3426" t="s">
        <v>1667</v>
      </c>
      <c r="BS3426" t="s">
        <v>1740</v>
      </c>
      <c r="BT3426" t="b">
        <v>0</v>
      </c>
      <c r="BV3426" t="s">
        <v>1668</v>
      </c>
      <c r="BW3426">
        <v>8033</v>
      </c>
      <c r="BX3426" t="s">
        <v>1669</v>
      </c>
      <c r="BY3426">
        <v>164626</v>
      </c>
      <c r="BZ3426" t="s">
        <v>1743</v>
      </c>
      <c r="CA3426">
        <v>1</v>
      </c>
      <c r="CB3426" t="b">
        <v>1</v>
      </c>
      <c r="CC3426">
        <v>0</v>
      </c>
      <c r="CD3426" t="b">
        <v>0</v>
      </c>
      <c r="CE3426" t="b">
        <v>1</v>
      </c>
      <c r="CF3426" t="b">
        <v>0</v>
      </c>
      <c r="CG3426">
        <v>2818541</v>
      </c>
      <c r="CH3426" t="s">
        <v>1681</v>
      </c>
      <c r="CI3426" s="10">
        <v>440000</v>
      </c>
      <c r="CJ3426" s="7">
        <v>31855</v>
      </c>
    </row>
    <row r="3427" spans="1:88">
      <c r="A3427">
        <v>28061250</v>
      </c>
      <c r="B3427" s="2" t="str">
        <f>HYPERLINK("http://www.redfin.com/stingray/do/printable-listing?listing-id=1629375","Active")</f>
        <v>Active</v>
      </c>
      <c r="D3427" t="s">
        <v>3924</v>
      </c>
      <c r="E3427" t="s">
        <v>7073</v>
      </c>
      <c r="F3427">
        <v>515000</v>
      </c>
      <c r="G3427">
        <v>2008</v>
      </c>
      <c r="H3427">
        <v>1898</v>
      </c>
      <c r="I3427">
        <v>0</v>
      </c>
      <c r="J3427">
        <v>4</v>
      </c>
      <c r="K3427">
        <v>3.25</v>
      </c>
      <c r="M3427" s="2" t="str">
        <f>HYPERLINK("http://maps.live.com/default.aspx?v=2&amp;lvl=15&amp;sp=Point.47.617928_-122.297095_1824 27th Ave nB&amp;cp=47.617928~-122.297095","Map")</f>
        <v>Map</v>
      </c>
      <c r="N3427" s="2" t="str">
        <f>HYPERLINK("http://i-0.rfimg.us/photo/1/bigphoto/250/28061250_2.jpg","Photo")</f>
        <v>Photo</v>
      </c>
      <c r="AG3427">
        <v>47.617927999999999</v>
      </c>
      <c r="AH3427">
        <v>-122.297095</v>
      </c>
      <c r="AI3427" t="s">
        <v>66</v>
      </c>
      <c r="AJ3427">
        <v>98122</v>
      </c>
      <c r="AM3427" t="s">
        <v>1699</v>
      </c>
      <c r="BC3427" s="22">
        <v>39547.433148148149</v>
      </c>
      <c r="BI3427" s="22">
        <v>39549.294907407406</v>
      </c>
      <c r="BL3427">
        <v>10300</v>
      </c>
      <c r="BM3427">
        <v>1629375</v>
      </c>
      <c r="BN3427" t="s">
        <v>1766</v>
      </c>
      <c r="BO3427" s="17">
        <f t="shared" ca="1" si="53"/>
        <v>1.8762577546294779</v>
      </c>
      <c r="BP3427" t="b">
        <v>0</v>
      </c>
      <c r="BQ3427">
        <v>1</v>
      </c>
      <c r="BR3427" t="s">
        <v>1667</v>
      </c>
      <c r="BS3427" t="s">
        <v>1751</v>
      </c>
      <c r="BT3427" t="b">
        <v>0</v>
      </c>
      <c r="BV3427" t="s">
        <v>1668</v>
      </c>
      <c r="BW3427">
        <v>1824</v>
      </c>
      <c r="BY3427">
        <v>12441998</v>
      </c>
      <c r="BZ3427" t="s">
        <v>7074</v>
      </c>
      <c r="CA3427">
        <v>1</v>
      </c>
      <c r="CB3427" t="b">
        <v>1</v>
      </c>
      <c r="CC3427">
        <v>0</v>
      </c>
      <c r="CD3427" t="b">
        <v>0</v>
      </c>
      <c r="CE3427" t="b">
        <v>1</v>
      </c>
      <c r="CF3427" t="b">
        <v>0</v>
      </c>
      <c r="CG3427">
        <v>15645746</v>
      </c>
      <c r="CH3427" t="s">
        <v>1681</v>
      </c>
      <c r="CI3427" s="10">
        <v>515000</v>
      </c>
    </row>
    <row r="3428" spans="1:88">
      <c r="A3428">
        <v>28061277</v>
      </c>
      <c r="B3428" s="2" t="str">
        <f>HYPERLINK("http://www.redfin.com/stingray/do/printable-listing?listing-id=1629739","Active")</f>
        <v>Active</v>
      </c>
      <c r="D3428" t="s">
        <v>3249</v>
      </c>
      <c r="E3428" t="s">
        <v>7062</v>
      </c>
      <c r="F3428">
        <v>1250000</v>
      </c>
      <c r="G3428">
        <v>1915</v>
      </c>
      <c r="H3428">
        <v>3040</v>
      </c>
      <c r="I3428">
        <v>3185</v>
      </c>
      <c r="J3428">
        <v>4</v>
      </c>
      <c r="K3428">
        <v>2.75</v>
      </c>
      <c r="M3428" s="2" t="str">
        <f>HYPERLINK("http://maps.live.com/default.aspx?v=2&amp;lvl=15&amp;sp=Point.47.639773_-122.350479_2320 Nob Hill Ave N&amp;cp=47.639773~-122.350479","Map")</f>
        <v>Map</v>
      </c>
      <c r="N3428" s="2" t="str">
        <f>HYPERLINK("http://i-0.rfimg.us/photo/1/bigphoto/277/28061277_0.jpg","Photo")</f>
        <v>Photo</v>
      </c>
      <c r="AG3428">
        <v>47.639772999999998</v>
      </c>
      <c r="AH3428">
        <v>-122.35047900000001</v>
      </c>
      <c r="AI3428" t="s">
        <v>66</v>
      </c>
      <c r="AJ3428">
        <v>98109</v>
      </c>
      <c r="AN3428">
        <v>843500</v>
      </c>
      <c r="BC3428" s="22">
        <v>39547.506539351853</v>
      </c>
      <c r="BI3428" s="22">
        <v>39549.294907407406</v>
      </c>
      <c r="BL3428">
        <v>25000</v>
      </c>
      <c r="BM3428">
        <v>1629739</v>
      </c>
      <c r="BN3428" t="s">
        <v>1829</v>
      </c>
      <c r="BO3428" s="17">
        <f t="shared" ca="1" si="53"/>
        <v>1.8028665509264101</v>
      </c>
      <c r="BP3428" t="b">
        <v>0</v>
      </c>
      <c r="BQ3428">
        <v>1</v>
      </c>
      <c r="BR3428" t="s">
        <v>1667</v>
      </c>
      <c r="BS3428" t="s">
        <v>3251</v>
      </c>
      <c r="BT3428" t="b">
        <v>0</v>
      </c>
      <c r="BV3428" t="s">
        <v>1668</v>
      </c>
      <c r="BW3428">
        <v>2320</v>
      </c>
      <c r="BX3428" t="s">
        <v>1712</v>
      </c>
      <c r="BY3428">
        <v>134902</v>
      </c>
      <c r="BZ3428" t="s">
        <v>1745</v>
      </c>
      <c r="CA3428">
        <v>1</v>
      </c>
      <c r="CB3428" t="b">
        <v>1</v>
      </c>
      <c r="CC3428">
        <v>0</v>
      </c>
      <c r="CD3428" t="b">
        <v>0</v>
      </c>
      <c r="CE3428" t="b">
        <v>1</v>
      </c>
      <c r="CF3428" t="b">
        <v>0</v>
      </c>
      <c r="CG3428">
        <v>2701453</v>
      </c>
      <c r="CH3428" t="s">
        <v>1681</v>
      </c>
      <c r="CI3428" s="10">
        <v>1250000</v>
      </c>
      <c r="CJ3428" s="7">
        <v>39353</v>
      </c>
    </row>
    <row r="3429" spans="1:88">
      <c r="A3429">
        <v>28061348</v>
      </c>
      <c r="B3429" s="2" t="str">
        <f>HYPERLINK("http://www.redfin.com/stingray/do/printable-listing?listing-id=1629740","Active")</f>
        <v>Active</v>
      </c>
      <c r="D3429" t="s">
        <v>1238</v>
      </c>
      <c r="E3429" t="s">
        <v>7066</v>
      </c>
      <c r="F3429">
        <v>2025000</v>
      </c>
      <c r="G3429">
        <v>1900</v>
      </c>
      <c r="H3429">
        <v>4391</v>
      </c>
      <c r="I3429">
        <v>5700</v>
      </c>
      <c r="J3429">
        <v>5</v>
      </c>
      <c r="K3429">
        <v>3.5</v>
      </c>
      <c r="M3429" s="2" t="str">
        <f>HYPERLINK("http://maps.live.com/default.aspx?v=2&amp;lvl=15&amp;sp=Point.47.63161_-122.318828_1236 Federal Ave E&amp;cp=47.63161~-122.318828","Map")</f>
        <v>Map</v>
      </c>
      <c r="N3429" s="2" t="str">
        <f>HYPERLINK("http://i-0.rfimg.us/photo/1/bigphoto/348/28061348_1.jpg","Photo")</f>
        <v>Photo</v>
      </c>
      <c r="AG3429">
        <v>47.631610000000002</v>
      </c>
      <c r="AH3429">
        <v>-122.318828</v>
      </c>
      <c r="AI3429" t="s">
        <v>66</v>
      </c>
      <c r="AJ3429">
        <v>98102</v>
      </c>
      <c r="AN3429">
        <v>1875000</v>
      </c>
      <c r="BC3429" s="22">
        <v>39547.506550925929</v>
      </c>
      <c r="BI3429" s="22">
        <v>39549.294907407406</v>
      </c>
      <c r="BL3429">
        <v>40500</v>
      </c>
      <c r="BM3429">
        <v>1629740</v>
      </c>
      <c r="BN3429" t="s">
        <v>1674</v>
      </c>
      <c r="BO3429" s="17">
        <f t="shared" ca="1" si="53"/>
        <v>1.8028549768496305</v>
      </c>
      <c r="BP3429" t="b">
        <v>0</v>
      </c>
      <c r="BQ3429">
        <v>1</v>
      </c>
      <c r="BR3429" t="s">
        <v>1667</v>
      </c>
      <c r="BS3429" t="s">
        <v>3724</v>
      </c>
      <c r="BT3429" t="b">
        <v>0</v>
      </c>
      <c r="BV3429" t="s">
        <v>1668</v>
      </c>
      <c r="BW3429">
        <v>1236</v>
      </c>
      <c r="BX3429" t="s">
        <v>2436</v>
      </c>
      <c r="BY3429">
        <v>136049</v>
      </c>
      <c r="BZ3429" t="s">
        <v>1704</v>
      </c>
      <c r="CA3429">
        <v>1</v>
      </c>
      <c r="CB3429" t="b">
        <v>1</v>
      </c>
      <c r="CC3429">
        <v>0</v>
      </c>
      <c r="CD3429" t="b">
        <v>0</v>
      </c>
      <c r="CE3429" t="b">
        <v>1</v>
      </c>
      <c r="CF3429" t="b">
        <v>0</v>
      </c>
      <c r="CG3429">
        <v>2509561</v>
      </c>
      <c r="CH3429" t="s">
        <v>1681</v>
      </c>
      <c r="CI3429" s="10">
        <v>2025000</v>
      </c>
      <c r="CJ3429" s="7">
        <v>38883</v>
      </c>
    </row>
    <row r="3430" spans="1:88">
      <c r="A3430">
        <v>28061359</v>
      </c>
      <c r="B3430" s="2" t="str">
        <f>HYPERLINK("http://www.redfin.com/stingray/do/printable-listing?listing-id=1629689","Active")</f>
        <v>Active</v>
      </c>
      <c r="D3430" t="s">
        <v>60</v>
      </c>
      <c r="E3430" t="s">
        <v>3209</v>
      </c>
      <c r="F3430">
        <v>599000</v>
      </c>
      <c r="G3430">
        <v>2008</v>
      </c>
      <c r="H3430">
        <v>1831</v>
      </c>
      <c r="I3430">
        <v>0</v>
      </c>
      <c r="J3430">
        <v>3</v>
      </c>
      <c r="K3430">
        <v>2.5</v>
      </c>
      <c r="M3430" s="2" t="str">
        <f>HYPERLINK("http://maps.live.com/default.aspx?v=2&amp;lvl=15&amp;sp=Point.47.682393_-122.323691_466 NE Maple Leaf Pl&amp;cp=47.682393~-122.323691","Map")</f>
        <v>Map</v>
      </c>
      <c r="N3430" s="2" t="str">
        <f>HYPERLINK("http://i-0.rfimg.us/photo/1/bigphoto/359/28061359_0.jpg","Photo")</f>
        <v>Photo</v>
      </c>
      <c r="AG3430">
        <v>47.682392999999998</v>
      </c>
      <c r="AH3430">
        <v>-122.323691</v>
      </c>
      <c r="AI3430" t="s">
        <v>66</v>
      </c>
      <c r="AJ3430">
        <v>98103</v>
      </c>
      <c r="BC3430" s="22">
        <v>39547.495393518519</v>
      </c>
      <c r="BI3430" s="22">
        <v>39549.294907407406</v>
      </c>
      <c r="BL3430">
        <v>11980</v>
      </c>
      <c r="BM3430">
        <v>1629689</v>
      </c>
      <c r="BN3430" t="s">
        <v>1718</v>
      </c>
      <c r="BO3430" s="17">
        <f t="shared" ca="1" si="53"/>
        <v>1.8140123842604226</v>
      </c>
      <c r="BP3430" t="b">
        <v>0</v>
      </c>
      <c r="BQ3430">
        <v>1</v>
      </c>
      <c r="BR3430" t="s">
        <v>1842</v>
      </c>
      <c r="BS3430" t="s">
        <v>192</v>
      </c>
      <c r="BT3430" t="b">
        <v>0</v>
      </c>
      <c r="BU3430" t="s">
        <v>1738</v>
      </c>
      <c r="BV3430" t="s">
        <v>1668</v>
      </c>
      <c r="BW3430">
        <v>466</v>
      </c>
      <c r="BY3430">
        <v>12384711</v>
      </c>
      <c r="BZ3430" t="s">
        <v>1670</v>
      </c>
      <c r="CA3430">
        <v>1</v>
      </c>
      <c r="CB3430" t="b">
        <v>1</v>
      </c>
      <c r="CC3430">
        <v>0</v>
      </c>
      <c r="CD3430" t="b">
        <v>0</v>
      </c>
      <c r="CE3430" t="b">
        <v>1</v>
      </c>
      <c r="CF3430" t="b">
        <v>0</v>
      </c>
      <c r="CG3430">
        <v>15588459</v>
      </c>
      <c r="CH3430" t="s">
        <v>1681</v>
      </c>
      <c r="CI3430" s="10">
        <v>599000</v>
      </c>
    </row>
    <row r="3431" spans="1:88">
      <c r="A3431">
        <v>28061368</v>
      </c>
      <c r="B3431" s="2" t="str">
        <f>HYPERLINK("http://www.redfin.com/stingray/do/printable-listing?listing-id=1629742","Active")</f>
        <v>Active</v>
      </c>
      <c r="D3431" t="s">
        <v>60</v>
      </c>
      <c r="E3431" t="s">
        <v>3207</v>
      </c>
      <c r="F3431">
        <v>629000</v>
      </c>
      <c r="G3431">
        <v>2008</v>
      </c>
      <c r="H3431">
        <v>1830</v>
      </c>
      <c r="I3431">
        <v>0</v>
      </c>
      <c r="J3431">
        <v>4</v>
      </c>
      <c r="K3431">
        <v>3.25</v>
      </c>
      <c r="M3431" s="2" t="str">
        <f>HYPERLINK("http://maps.live.com/default.aspx?v=2&amp;lvl=15&amp;sp=Point.47.682771_-122.323358_468 NE Maple Leaf Pl&amp;cp=47.682771~-122.323358","Map")</f>
        <v>Map</v>
      </c>
      <c r="N3431" s="2" t="str">
        <f>HYPERLINK("http://i-0.rfimg.us/photo/1/bigphoto/368/28061368_0.jpg","Photo")</f>
        <v>Photo</v>
      </c>
      <c r="AG3431">
        <v>47.682771000000002</v>
      </c>
      <c r="AH3431">
        <v>-122.323358</v>
      </c>
      <c r="AI3431" t="s">
        <v>66</v>
      </c>
      <c r="AJ3431">
        <v>98103</v>
      </c>
      <c r="AN3431">
        <v>435000</v>
      </c>
      <c r="BC3431" s="22">
        <v>39547.506597222222</v>
      </c>
      <c r="BI3431" s="22">
        <v>39549.294907407406</v>
      </c>
      <c r="BL3431">
        <v>12580</v>
      </c>
      <c r="BM3431">
        <v>1629742</v>
      </c>
      <c r="BN3431" t="s">
        <v>1718</v>
      </c>
      <c r="BO3431" s="17">
        <f t="shared" ca="1" si="53"/>
        <v>1.8028086805570638</v>
      </c>
      <c r="BP3431" t="b">
        <v>0</v>
      </c>
      <c r="BQ3431">
        <v>1</v>
      </c>
      <c r="BR3431" t="s">
        <v>1842</v>
      </c>
      <c r="BS3431" t="s">
        <v>192</v>
      </c>
      <c r="BT3431" t="b">
        <v>0</v>
      </c>
      <c r="BU3431" t="s">
        <v>1738</v>
      </c>
      <c r="BV3431" t="s">
        <v>1668</v>
      </c>
      <c r="BW3431">
        <v>468</v>
      </c>
      <c r="BY3431">
        <v>306354</v>
      </c>
      <c r="BZ3431" t="s">
        <v>1672</v>
      </c>
      <c r="CA3431">
        <v>1</v>
      </c>
      <c r="CB3431" t="b">
        <v>1</v>
      </c>
      <c r="CC3431">
        <v>0</v>
      </c>
      <c r="CD3431" t="b">
        <v>0</v>
      </c>
      <c r="CE3431" t="b">
        <v>1</v>
      </c>
      <c r="CF3431" t="b">
        <v>0</v>
      </c>
      <c r="CG3431">
        <v>2428804</v>
      </c>
      <c r="CH3431" t="s">
        <v>1681</v>
      </c>
      <c r="CI3431" s="10">
        <v>629000</v>
      </c>
      <c r="CJ3431" s="7">
        <v>38642</v>
      </c>
    </row>
    <row r="3432" spans="1:88">
      <c r="A3432">
        <v>28061404</v>
      </c>
      <c r="B3432" s="2" t="str">
        <f>HYPERLINK("http://www.redfin.com/stingray/do/printable-listing?listing-id=1630101","Active")</f>
        <v>Active</v>
      </c>
      <c r="D3432" t="s">
        <v>3302</v>
      </c>
      <c r="E3432" t="s">
        <v>7058</v>
      </c>
      <c r="F3432">
        <v>675000</v>
      </c>
      <c r="G3432">
        <v>1925</v>
      </c>
      <c r="H3432">
        <v>2910</v>
      </c>
      <c r="I3432">
        <v>4400</v>
      </c>
      <c r="J3432">
        <v>4</v>
      </c>
      <c r="K3432">
        <v>1.75</v>
      </c>
      <c r="M3432" s="2" t="str">
        <f>HYPERLINK("http://maps.live.com/default.aspx?v=2&amp;lvl=15&amp;sp=Point.47.640412_-122.32798_2320 Minor Ave E&amp;cp=47.640412~-122.32798","Map")</f>
        <v>Map</v>
      </c>
      <c r="N3432" s="2" t="str">
        <f>HYPERLINK("http://i-0.rfimg.us/photo/1/bigphoto/404/28061404_0.jpg","Photo")</f>
        <v>Photo</v>
      </c>
      <c r="AG3432">
        <v>47.640411999999998</v>
      </c>
      <c r="AH3432">
        <v>-122.32798</v>
      </c>
      <c r="AI3432" t="s">
        <v>66</v>
      </c>
      <c r="AJ3432">
        <v>98102</v>
      </c>
      <c r="BC3432" s="22">
        <v>39547.56925925926</v>
      </c>
      <c r="BI3432" s="22">
        <v>39549.294907407406</v>
      </c>
      <c r="BL3432">
        <v>13500</v>
      </c>
      <c r="BM3432">
        <v>1630101</v>
      </c>
      <c r="BN3432" t="s">
        <v>1768</v>
      </c>
      <c r="BO3432" s="17">
        <f t="shared" ca="1" si="53"/>
        <v>1.7401466435185284</v>
      </c>
      <c r="BP3432" t="b">
        <v>0</v>
      </c>
      <c r="BQ3432">
        <v>1</v>
      </c>
      <c r="BR3432" t="s">
        <v>1667</v>
      </c>
      <c r="BS3432" t="s">
        <v>3301</v>
      </c>
      <c r="BT3432" t="b">
        <v>0</v>
      </c>
      <c r="BV3432" t="s">
        <v>1668</v>
      </c>
      <c r="BW3432">
        <v>2320</v>
      </c>
      <c r="BX3432" t="s">
        <v>2436</v>
      </c>
      <c r="BY3432">
        <v>132157</v>
      </c>
      <c r="BZ3432" t="s">
        <v>7059</v>
      </c>
      <c r="CA3432">
        <v>1</v>
      </c>
      <c r="CB3432" t="b">
        <v>1</v>
      </c>
      <c r="CC3432">
        <v>0</v>
      </c>
      <c r="CD3432" t="b">
        <v>0</v>
      </c>
      <c r="CE3432" t="b">
        <v>1</v>
      </c>
      <c r="CF3432" t="b">
        <v>0</v>
      </c>
      <c r="CG3432">
        <v>2736424</v>
      </c>
      <c r="CH3432" t="s">
        <v>1681</v>
      </c>
      <c r="CI3432" s="10">
        <v>675000</v>
      </c>
    </row>
    <row r="3433" spans="1:88">
      <c r="A3433">
        <v>28061493</v>
      </c>
      <c r="B3433" s="2" t="str">
        <f>HYPERLINK("http://www.redfin.com/stingray/do/printable-listing?listing-id=1630266","Active")</f>
        <v>Active</v>
      </c>
      <c r="D3433" t="s">
        <v>109</v>
      </c>
      <c r="E3433" t="s">
        <v>7052</v>
      </c>
      <c r="F3433">
        <v>459000</v>
      </c>
      <c r="G3433">
        <v>2008</v>
      </c>
      <c r="H3433">
        <v>1301</v>
      </c>
      <c r="I3433">
        <v>0</v>
      </c>
      <c r="J3433">
        <v>3</v>
      </c>
      <c r="K3433">
        <v>2.5</v>
      </c>
      <c r="M3433" s="2" t="str">
        <f>HYPERLINK("http://maps.live.com/default.aspx?v=2&amp;lvl=15&amp;sp=Point.47.661673_-122.344964_4507 Woodland Park Ave N&amp;cp=47.661673~-122.344964","Map")</f>
        <v>Map</v>
      </c>
      <c r="N3433" s="2" t="str">
        <f>HYPERLINK("http://i-0.rfimg.us/photo/1/bigphoto/493/28061493_1.jpg","Photo")</f>
        <v>Photo</v>
      </c>
      <c r="AG3433">
        <v>47.661673</v>
      </c>
      <c r="AH3433">
        <v>-122.344964</v>
      </c>
      <c r="AI3433" t="s">
        <v>66</v>
      </c>
      <c r="AJ3433">
        <v>98103</v>
      </c>
      <c r="AN3433">
        <v>720000</v>
      </c>
      <c r="BC3433" s="22">
        <v>39547.590451388889</v>
      </c>
      <c r="BI3433" s="22">
        <v>39549.294907407406</v>
      </c>
      <c r="BL3433">
        <v>9180</v>
      </c>
      <c r="BM3433">
        <v>1630266</v>
      </c>
      <c r="BN3433" t="s">
        <v>2136</v>
      </c>
      <c r="BO3433" s="17">
        <f t="shared" ca="1" si="53"/>
        <v>1.7189545138899121</v>
      </c>
      <c r="BP3433" t="b">
        <v>0</v>
      </c>
      <c r="BQ3433">
        <v>1</v>
      </c>
      <c r="BR3433" t="s">
        <v>1667</v>
      </c>
      <c r="BS3433" t="s">
        <v>1141</v>
      </c>
      <c r="BT3433" t="b">
        <v>0</v>
      </c>
      <c r="BV3433" t="s">
        <v>1668</v>
      </c>
      <c r="BW3433">
        <v>4507</v>
      </c>
      <c r="BX3433" t="s">
        <v>1712</v>
      </c>
      <c r="BY3433">
        <v>119941</v>
      </c>
      <c r="BZ3433" t="s">
        <v>1742</v>
      </c>
      <c r="CA3433">
        <v>1</v>
      </c>
      <c r="CB3433" t="b">
        <v>1</v>
      </c>
      <c r="CC3433">
        <v>0</v>
      </c>
      <c r="CD3433" t="b">
        <v>0</v>
      </c>
      <c r="CE3433" t="b">
        <v>1</v>
      </c>
      <c r="CF3433" t="b">
        <v>0</v>
      </c>
      <c r="CG3433">
        <v>2972707</v>
      </c>
      <c r="CH3433" t="s">
        <v>1681</v>
      </c>
      <c r="CI3433" s="10">
        <v>459000</v>
      </c>
      <c r="CJ3433" s="7">
        <v>39051</v>
      </c>
    </row>
    <row r="3434" spans="1:88">
      <c r="A3434">
        <v>28061506</v>
      </c>
      <c r="B3434" s="2" t="str">
        <f>HYPERLINK("http://www.redfin.com/stingray/do/printable-listing?listing-id=1630335","Active")</f>
        <v>Active</v>
      </c>
      <c r="D3434" t="s">
        <v>109</v>
      </c>
      <c r="E3434" t="s">
        <v>7051</v>
      </c>
      <c r="F3434">
        <v>459000</v>
      </c>
      <c r="G3434">
        <v>2008</v>
      </c>
      <c r="H3434">
        <v>1392</v>
      </c>
      <c r="I3434">
        <v>0</v>
      </c>
      <c r="J3434">
        <v>3</v>
      </c>
      <c r="K3434">
        <v>2.5</v>
      </c>
      <c r="M3434" s="2" t="str">
        <f>HYPERLINK("http://maps.live.com/default.aspx?v=2&amp;lvl=15&amp;sp=Point.47.661576_-122.344803_4509 Woodland Park Ave N&amp;cp=47.661576~-122.344803","Map")</f>
        <v>Map</v>
      </c>
      <c r="N3434" s="2" t="str">
        <f>HYPERLINK("http://i-0.rfimg.us/photo/1/bigphoto/506/28061506_1.jpg","Photo")</f>
        <v>Photo</v>
      </c>
      <c r="AG3434">
        <v>47.661575999999997</v>
      </c>
      <c r="AH3434">
        <v>-122.344803</v>
      </c>
      <c r="AI3434" t="s">
        <v>66</v>
      </c>
      <c r="AJ3434">
        <v>98103</v>
      </c>
      <c r="BC3434" s="22">
        <v>39547.602754629632</v>
      </c>
      <c r="BI3434" s="22">
        <v>39549.294907407406</v>
      </c>
      <c r="BL3434">
        <v>9180</v>
      </c>
      <c r="BM3434">
        <v>1630335</v>
      </c>
      <c r="BN3434" t="s">
        <v>2136</v>
      </c>
      <c r="BO3434" s="17">
        <f t="shared" ca="1" si="53"/>
        <v>1.7066512731471448</v>
      </c>
      <c r="BP3434" t="b">
        <v>0</v>
      </c>
      <c r="BQ3434">
        <v>1</v>
      </c>
      <c r="BR3434" t="s">
        <v>1667</v>
      </c>
      <c r="BS3434" t="s">
        <v>1141</v>
      </c>
      <c r="BT3434" t="b">
        <v>0</v>
      </c>
      <c r="BV3434" t="s">
        <v>1668</v>
      </c>
      <c r="BW3434">
        <v>4509</v>
      </c>
      <c r="BX3434" t="s">
        <v>1712</v>
      </c>
      <c r="BY3434">
        <v>12442102</v>
      </c>
      <c r="BZ3434" t="s">
        <v>1742</v>
      </c>
      <c r="CA3434">
        <v>1</v>
      </c>
      <c r="CB3434" t="b">
        <v>1</v>
      </c>
      <c r="CC3434">
        <v>0</v>
      </c>
      <c r="CD3434" t="b">
        <v>0</v>
      </c>
      <c r="CE3434" t="b">
        <v>1</v>
      </c>
      <c r="CF3434" t="b">
        <v>0</v>
      </c>
      <c r="CG3434">
        <v>15645850</v>
      </c>
      <c r="CH3434" t="s">
        <v>1681</v>
      </c>
      <c r="CI3434" s="10">
        <v>459000</v>
      </c>
    </row>
    <row r="3435" spans="1:88">
      <c r="A3435">
        <v>28061511</v>
      </c>
      <c r="B3435" s="2" t="str">
        <f>HYPERLINK("http://www.redfin.com/stingray/do/printable-listing?listing-id=1630264","Active")</f>
        <v>Active</v>
      </c>
      <c r="D3435" t="s">
        <v>3685</v>
      </c>
      <c r="E3435" t="s">
        <v>7068</v>
      </c>
      <c r="F3435">
        <v>799000</v>
      </c>
      <c r="G3435">
        <v>1949</v>
      </c>
      <c r="H3435">
        <v>2800</v>
      </c>
      <c r="I3435">
        <v>6720</v>
      </c>
      <c r="J3435">
        <v>4</v>
      </c>
      <c r="K3435">
        <v>2.5</v>
      </c>
      <c r="M3435" s="2" t="str">
        <f>HYPERLINK("http://maps.live.com/default.aspx?v=2&amp;lvl=15&amp;sp=Point.47.621986_-122.288909_323 34th Ave E&amp;cp=47.621986~-122.288909","Map")</f>
        <v>Map</v>
      </c>
      <c r="N3435" s="2" t="str">
        <f>HYPERLINK("http://i-0.rfimg.us/photo/1/bigphoto/511/28061511_.jpg","Photo")</f>
        <v>Photo</v>
      </c>
      <c r="AG3435">
        <v>47.621986</v>
      </c>
      <c r="AH3435">
        <v>-122.288909</v>
      </c>
      <c r="AI3435" t="s">
        <v>66</v>
      </c>
      <c r="AJ3435">
        <v>98112</v>
      </c>
      <c r="AN3435">
        <v>690000</v>
      </c>
      <c r="BC3435" s="22">
        <v>39547.590439814812</v>
      </c>
      <c r="BI3435" s="22">
        <v>39549.294907407406</v>
      </c>
      <c r="BL3435">
        <v>15980</v>
      </c>
      <c r="BM3435">
        <v>1630264</v>
      </c>
      <c r="BN3435" t="s">
        <v>1775</v>
      </c>
      <c r="BO3435" s="17">
        <f t="shared" ca="1" si="53"/>
        <v>1.7189660879666917</v>
      </c>
      <c r="BP3435" t="b">
        <v>0</v>
      </c>
      <c r="BQ3435">
        <v>1</v>
      </c>
      <c r="BR3435" t="s">
        <v>1667</v>
      </c>
      <c r="BS3435" t="s">
        <v>2912</v>
      </c>
      <c r="BT3435" t="b">
        <v>0</v>
      </c>
      <c r="BV3435" t="s">
        <v>1668</v>
      </c>
      <c r="BW3435">
        <v>323</v>
      </c>
      <c r="BX3435" t="s">
        <v>2436</v>
      </c>
      <c r="BY3435">
        <v>140741</v>
      </c>
      <c r="CA3435">
        <v>1</v>
      </c>
      <c r="CB3435" t="b">
        <v>1</v>
      </c>
      <c r="CC3435">
        <v>0</v>
      </c>
      <c r="CD3435" t="b">
        <v>0</v>
      </c>
      <c r="CE3435" t="b">
        <v>1</v>
      </c>
      <c r="CF3435" t="b">
        <v>0</v>
      </c>
      <c r="CG3435">
        <v>2512682</v>
      </c>
      <c r="CH3435" t="s">
        <v>1681</v>
      </c>
      <c r="CI3435" s="10">
        <v>799000</v>
      </c>
      <c r="CJ3435" s="7">
        <v>38838</v>
      </c>
    </row>
    <row r="3436" spans="1:88">
      <c r="A3436">
        <v>28061524</v>
      </c>
      <c r="B3436" s="2" t="str">
        <f>HYPERLINK("http://www.redfin.com/stingray/do/printable-listing?listing-id=1630378","Active")</f>
        <v>Active</v>
      </c>
      <c r="D3436" t="s">
        <v>5201</v>
      </c>
      <c r="E3436" t="s">
        <v>7083</v>
      </c>
      <c r="F3436">
        <v>949950</v>
      </c>
      <c r="G3436">
        <v>1988</v>
      </c>
      <c r="H3436">
        <v>0</v>
      </c>
      <c r="I3436">
        <v>30008</v>
      </c>
      <c r="J3436">
        <v>3</v>
      </c>
      <c r="K3436">
        <v>4</v>
      </c>
      <c r="M3436" s="2" t="str">
        <f>HYPERLINK("http://maps.live.com/default.aspx?v=2&amp;lvl=15&amp;sp=Point.47.589335_-122.126167_16008 SE 24th St&amp;cp=47.589335~-122.126167","Map")</f>
        <v>Map</v>
      </c>
      <c r="N3436" s="2" t="str">
        <f>HYPERLINK("http://i-0.rfimg.us/photo/1/bigphoto/524/28061524_0.jpg","Photo")</f>
        <v>Photo</v>
      </c>
      <c r="AG3436">
        <v>47.589334999999998</v>
      </c>
      <c r="AH3436">
        <v>-122.126167</v>
      </c>
      <c r="AI3436" t="s">
        <v>369</v>
      </c>
      <c r="AJ3436">
        <v>98008</v>
      </c>
      <c r="AN3436">
        <v>485000</v>
      </c>
      <c r="BC3436" s="22">
        <v>39547.613310185188</v>
      </c>
      <c r="BI3436" s="22">
        <v>39549.294907407406</v>
      </c>
      <c r="BL3436">
        <v>18999</v>
      </c>
      <c r="BM3436">
        <v>1630378</v>
      </c>
      <c r="BN3436" t="s">
        <v>1768</v>
      </c>
      <c r="BO3436" s="17">
        <f t="shared" ca="1" si="53"/>
        <v>1.6960957175906515</v>
      </c>
      <c r="BP3436" t="b">
        <v>0</v>
      </c>
      <c r="BQ3436">
        <v>1</v>
      </c>
      <c r="BR3436" t="s">
        <v>1686</v>
      </c>
      <c r="BS3436" t="s">
        <v>1740</v>
      </c>
      <c r="BT3436" t="b">
        <v>0</v>
      </c>
      <c r="BU3436" t="s">
        <v>3856</v>
      </c>
      <c r="BV3436" t="s">
        <v>1668</v>
      </c>
      <c r="BW3436">
        <v>16008</v>
      </c>
      <c r="BY3436">
        <v>428587</v>
      </c>
      <c r="BZ3436" t="s">
        <v>1672</v>
      </c>
      <c r="CA3436">
        <v>1</v>
      </c>
      <c r="CB3436" t="b">
        <v>1</v>
      </c>
      <c r="CC3436">
        <v>0</v>
      </c>
      <c r="CD3436" t="b">
        <v>0</v>
      </c>
      <c r="CE3436" t="b">
        <v>1</v>
      </c>
      <c r="CF3436" t="b">
        <v>0</v>
      </c>
      <c r="CG3436">
        <v>2698140</v>
      </c>
      <c r="CH3436" t="s">
        <v>1681</v>
      </c>
      <c r="CI3436" s="10">
        <v>949950</v>
      </c>
      <c r="CJ3436" s="7">
        <v>36279</v>
      </c>
    </row>
    <row r="3437" spans="1:88">
      <c r="A3437">
        <v>28061554</v>
      </c>
      <c r="B3437" s="2" t="str">
        <f>HYPERLINK("http://www.redfin.com/stingray/do/printable-listing?listing-id=1630477","Active")</f>
        <v>Active</v>
      </c>
      <c r="D3437" t="s">
        <v>5014</v>
      </c>
      <c r="E3437" t="s">
        <v>5103</v>
      </c>
      <c r="F3437">
        <v>998000</v>
      </c>
      <c r="G3437">
        <v>1950</v>
      </c>
      <c r="H3437">
        <v>2180</v>
      </c>
      <c r="I3437">
        <v>8050</v>
      </c>
      <c r="J3437">
        <v>3</v>
      </c>
      <c r="K3437">
        <v>1.75</v>
      </c>
      <c r="M3437" s="2" t="str">
        <f>HYPERLINK("http://maps.live.com/default.aspx?v=2&amp;lvl=15&amp;sp=Point.47.630417_-122.218199_2213 92nd Ave NE&amp;cp=47.630417~-122.218199","Map")</f>
        <v>Map</v>
      </c>
      <c r="N3437" s="2" t="str">
        <f>HYPERLINK("http://i-0.rfimg.us/photo/1/bigphoto/554/28061554_0.jpg","Photo")</f>
        <v>Photo</v>
      </c>
      <c r="AG3437">
        <v>47.630417000000001</v>
      </c>
      <c r="AH3437">
        <v>-122.218199</v>
      </c>
      <c r="AI3437" t="s">
        <v>5014</v>
      </c>
      <c r="AJ3437">
        <v>98004</v>
      </c>
      <c r="AN3437">
        <v>255000</v>
      </c>
      <c r="BC3437" s="22">
        <v>39547.638148148151</v>
      </c>
      <c r="BI3437" s="22">
        <v>39549.294907407406</v>
      </c>
      <c r="BL3437">
        <v>19960</v>
      </c>
      <c r="BM3437">
        <v>1630477</v>
      </c>
      <c r="BN3437" t="s">
        <v>1768</v>
      </c>
      <c r="BO3437" s="17">
        <f t="shared" ca="1" si="53"/>
        <v>1.6712577546277316</v>
      </c>
      <c r="BP3437" t="b">
        <v>0</v>
      </c>
      <c r="BQ3437">
        <v>1</v>
      </c>
      <c r="BR3437" t="s">
        <v>1667</v>
      </c>
      <c r="BS3437" t="s">
        <v>2726</v>
      </c>
      <c r="BT3437" t="b">
        <v>0</v>
      </c>
      <c r="BV3437" t="s">
        <v>1668</v>
      </c>
      <c r="BW3437">
        <v>2213</v>
      </c>
      <c r="BX3437" t="s">
        <v>1738</v>
      </c>
      <c r="BY3437">
        <v>251893</v>
      </c>
      <c r="BZ3437" t="s">
        <v>1696</v>
      </c>
      <c r="CA3437">
        <v>1</v>
      </c>
      <c r="CB3437" t="b">
        <v>1</v>
      </c>
      <c r="CC3437">
        <v>0</v>
      </c>
      <c r="CD3437" t="b">
        <v>0</v>
      </c>
      <c r="CE3437" t="b">
        <v>1</v>
      </c>
      <c r="CF3437" t="b">
        <v>0</v>
      </c>
      <c r="CG3437">
        <v>2387952</v>
      </c>
      <c r="CH3437" t="s">
        <v>1681</v>
      </c>
      <c r="CI3437" s="10">
        <v>998000</v>
      </c>
      <c r="CJ3437" s="7">
        <v>32948</v>
      </c>
    </row>
    <row r="3438" spans="1:88">
      <c r="A3438">
        <v>28061666</v>
      </c>
      <c r="B3438" s="2" t="str">
        <f>HYPERLINK("http://www.redfin.com/stingray/do/printable-listing?listing-id=1630737","Active")</f>
        <v>Active</v>
      </c>
      <c r="D3438" t="s">
        <v>2552</v>
      </c>
      <c r="E3438" t="s">
        <v>7061</v>
      </c>
      <c r="F3438">
        <v>479500</v>
      </c>
      <c r="G3438">
        <v>1952</v>
      </c>
      <c r="H3438">
        <v>1800</v>
      </c>
      <c r="I3438">
        <v>2886</v>
      </c>
      <c r="J3438">
        <v>4</v>
      </c>
      <c r="K3438">
        <v>2</v>
      </c>
      <c r="M3438" s="2" t="str">
        <f>HYPERLINK("http://maps.live.com/default.aspx?v=2&amp;lvl=15&amp;sp=Point.47.651986_-122.38442_3456 22nd Ave W&amp;cp=47.651986~-122.38442","Map")</f>
        <v>Map</v>
      </c>
      <c r="N3438" s="2" t="str">
        <f>HYPERLINK("http://i-0.rfimg.us/photo/1/bigphoto/666/28061666_.jpg","Photo")</f>
        <v>Photo</v>
      </c>
      <c r="AG3438">
        <v>47.651986000000001</v>
      </c>
      <c r="AH3438">
        <v>-122.38442000000001</v>
      </c>
      <c r="AI3438" t="s">
        <v>66</v>
      </c>
      <c r="AJ3438">
        <v>98199</v>
      </c>
      <c r="AN3438">
        <v>151000</v>
      </c>
      <c r="BC3438" s="22">
        <v>39547.694803240738</v>
      </c>
      <c r="BI3438" s="22">
        <v>39549.294907407406</v>
      </c>
      <c r="BL3438">
        <v>9590</v>
      </c>
      <c r="BM3438">
        <v>1630737</v>
      </c>
      <c r="BN3438" t="s">
        <v>1766</v>
      </c>
      <c r="BO3438" s="17">
        <f t="shared" ca="1" si="53"/>
        <v>1.614602662040852</v>
      </c>
      <c r="BP3438" t="b">
        <v>0</v>
      </c>
      <c r="BQ3438">
        <v>1</v>
      </c>
      <c r="BR3438" t="s">
        <v>1667</v>
      </c>
      <c r="BS3438" t="s">
        <v>1692</v>
      </c>
      <c r="BT3438" t="b">
        <v>0</v>
      </c>
      <c r="BV3438" t="s">
        <v>1668</v>
      </c>
      <c r="BW3438">
        <v>3456</v>
      </c>
      <c r="BX3438" t="s">
        <v>2423</v>
      </c>
      <c r="BY3438">
        <v>124263</v>
      </c>
      <c r="CA3438">
        <v>1</v>
      </c>
      <c r="CB3438" t="b">
        <v>1</v>
      </c>
      <c r="CC3438">
        <v>0</v>
      </c>
      <c r="CD3438" t="b">
        <v>0</v>
      </c>
      <c r="CE3438" t="b">
        <v>1</v>
      </c>
      <c r="CF3438" t="b">
        <v>0</v>
      </c>
      <c r="CG3438">
        <v>2913153</v>
      </c>
      <c r="CH3438" t="s">
        <v>1681</v>
      </c>
      <c r="CI3438" s="10">
        <v>479500</v>
      </c>
      <c r="CJ3438" s="7">
        <v>35312</v>
      </c>
    </row>
    <row r="3439" spans="1:88">
      <c r="A3439">
        <v>28061710</v>
      </c>
      <c r="B3439" s="2" t="str">
        <f>HYPERLINK("http://www.redfin.com/stingray/do/printable-listing?listing-id=1630860","Active")</f>
        <v>Active</v>
      </c>
      <c r="D3439" t="s">
        <v>3885</v>
      </c>
      <c r="E3439" t="s">
        <v>7089</v>
      </c>
      <c r="F3439">
        <v>469980</v>
      </c>
      <c r="G3439">
        <v>1974</v>
      </c>
      <c r="H3439">
        <v>1940</v>
      </c>
      <c r="I3439">
        <v>10019</v>
      </c>
      <c r="J3439">
        <v>4</v>
      </c>
      <c r="K3439">
        <v>2</v>
      </c>
      <c r="M3439" s="2" t="str">
        <f>HYPERLINK("http://maps.live.com/default.aspx?v=2&amp;lvl=15&amp;sp=Point.47.519498_-122.181139_9226 120th Ave SE&amp;cp=47.519498~-122.181139","Map")</f>
        <v>Map</v>
      </c>
      <c r="N3439" s="2" t="str">
        <f>HYPERLINK("http://i-0.rfimg.us/photo/1/bigphoto/710/28061710_3.jpg","Photo")</f>
        <v>Photo</v>
      </c>
      <c r="AG3439">
        <v>47.519497999999999</v>
      </c>
      <c r="AH3439">
        <v>-122.181139</v>
      </c>
      <c r="AI3439" t="s">
        <v>3885</v>
      </c>
      <c r="AJ3439">
        <v>98056</v>
      </c>
      <c r="BC3439" s="22">
        <v>39547.744814814818</v>
      </c>
      <c r="BI3439" s="22">
        <v>39549.294907407406</v>
      </c>
      <c r="BL3439">
        <v>9400</v>
      </c>
      <c r="BM3439">
        <v>1630860</v>
      </c>
      <c r="BN3439" t="s">
        <v>1673</v>
      </c>
      <c r="BO3439" s="17">
        <f t="shared" ca="1" si="53"/>
        <v>1.564591087961162</v>
      </c>
      <c r="BP3439" t="b">
        <v>0</v>
      </c>
      <c r="BQ3439">
        <v>1</v>
      </c>
      <c r="BR3439" t="s">
        <v>1667</v>
      </c>
      <c r="BS3439" t="s">
        <v>2785</v>
      </c>
      <c r="BT3439" t="b">
        <v>0</v>
      </c>
      <c r="BV3439" t="s">
        <v>1668</v>
      </c>
      <c r="BW3439">
        <v>9226</v>
      </c>
      <c r="BX3439" t="s">
        <v>3856</v>
      </c>
      <c r="BY3439">
        <v>413311</v>
      </c>
      <c r="BZ3439" t="s">
        <v>7090</v>
      </c>
      <c r="CA3439">
        <v>1</v>
      </c>
      <c r="CB3439" t="b">
        <v>1</v>
      </c>
      <c r="CC3439">
        <v>0</v>
      </c>
      <c r="CD3439" t="b">
        <v>0</v>
      </c>
      <c r="CE3439" t="b">
        <v>1</v>
      </c>
      <c r="CF3439" t="b">
        <v>0</v>
      </c>
      <c r="CG3439">
        <v>2665843</v>
      </c>
      <c r="CH3439" t="s">
        <v>1681</v>
      </c>
      <c r="CI3439" s="10">
        <v>469980</v>
      </c>
    </row>
  </sheetData>
  <sortState ref="A2:CM3439">
    <sortCondition ref="A1"/>
  </sortState>
  <conditionalFormatting sqref="A1:A3439">
    <cfRule type="expression" dxfId="0" priority="1">
      <formula>ISBLANK($BD1048566)</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sheetPr codeName="Sheet1"/>
  <dimension ref="A1:P76"/>
  <sheetViews>
    <sheetView tabSelected="1" workbookViewId="0">
      <selection activeCell="B11" sqref="B11"/>
    </sheetView>
  </sheetViews>
  <sheetFormatPr defaultRowHeight="12.75"/>
  <cols>
    <col min="1" max="1" width="23.140625" customWidth="1"/>
    <col min="2" max="2" width="40" customWidth="1"/>
    <col min="5" max="5" width="15.42578125" customWidth="1"/>
    <col min="6" max="6" width="16.5703125" customWidth="1"/>
  </cols>
  <sheetData>
    <row r="1" spans="1:10">
      <c r="A1" t="s">
        <v>1</v>
      </c>
      <c r="B1" t="s">
        <v>301</v>
      </c>
      <c r="E1" s="5" t="s">
        <v>228</v>
      </c>
      <c r="F1" s="5" t="s">
        <v>229</v>
      </c>
      <c r="G1" s="5" t="s">
        <v>230</v>
      </c>
      <c r="H1" s="5" t="s">
        <v>306</v>
      </c>
      <c r="I1" s="5" t="s">
        <v>1563</v>
      </c>
      <c r="J1" s="5" t="s">
        <v>1564</v>
      </c>
    </row>
    <row r="2" spans="1:10">
      <c r="A2" t="s">
        <v>0</v>
      </c>
      <c r="B2" s="6" t="s">
        <v>913</v>
      </c>
      <c r="E2" s="6" t="s">
        <v>1026</v>
      </c>
      <c r="F2" s="11" t="s">
        <v>1073</v>
      </c>
      <c r="G2" s="6" t="s">
        <v>1074</v>
      </c>
      <c r="H2" s="6" t="s">
        <v>240</v>
      </c>
      <c r="I2" s="6" t="s">
        <v>44</v>
      </c>
      <c r="J2" s="6" t="s">
        <v>44</v>
      </c>
    </row>
    <row r="3" spans="1:10">
      <c r="E3" s="6" t="s">
        <v>1021</v>
      </c>
      <c r="F3" s="11" t="s">
        <v>1071</v>
      </c>
      <c r="G3" s="6" t="s">
        <v>1025</v>
      </c>
      <c r="H3" s="6" t="s">
        <v>240</v>
      </c>
      <c r="I3" s="6" t="s">
        <v>44</v>
      </c>
      <c r="J3" s="6" t="s">
        <v>44</v>
      </c>
    </row>
    <row r="4" spans="1:10">
      <c r="B4" t="s">
        <v>232</v>
      </c>
      <c r="E4" s="6" t="s">
        <v>1075</v>
      </c>
      <c r="F4" s="11" t="s">
        <v>1078</v>
      </c>
      <c r="G4" s="6" t="s">
        <v>1076</v>
      </c>
      <c r="H4" s="6" t="s">
        <v>240</v>
      </c>
      <c r="I4" s="6" t="s">
        <v>1629</v>
      </c>
      <c r="J4" s="6" t="s">
        <v>44</v>
      </c>
    </row>
    <row r="5" spans="1:10">
      <c r="B5" t="s">
        <v>301</v>
      </c>
      <c r="E5" s="6" t="s">
        <v>1077</v>
      </c>
      <c r="F5" s="11" t="s">
        <v>1079</v>
      </c>
      <c r="G5" s="6" t="s">
        <v>1077</v>
      </c>
      <c r="H5" s="6" t="s">
        <v>240</v>
      </c>
      <c r="I5" s="6" t="s">
        <v>1629</v>
      </c>
      <c r="J5" s="6" t="s">
        <v>44</v>
      </c>
    </row>
    <row r="6" spans="1:10">
      <c r="E6" s="6" t="s">
        <v>1636</v>
      </c>
      <c r="F6" s="9" t="s">
        <v>1637</v>
      </c>
      <c r="G6" s="6" t="s">
        <v>1631</v>
      </c>
      <c r="H6" s="6" t="s">
        <v>1634</v>
      </c>
      <c r="I6" s="6" t="s">
        <v>44</v>
      </c>
      <c r="J6" s="6" t="s">
        <v>44</v>
      </c>
    </row>
    <row r="7" spans="1:10">
      <c r="E7" s="6" t="s">
        <v>1639</v>
      </c>
      <c r="F7" s="9" t="s">
        <v>1638</v>
      </c>
      <c r="G7" s="6" t="s">
        <v>1631</v>
      </c>
      <c r="H7" s="6" t="s">
        <v>1634</v>
      </c>
      <c r="I7" s="6" t="s">
        <v>44</v>
      </c>
      <c r="J7" s="6" t="s">
        <v>44</v>
      </c>
    </row>
    <row r="8" spans="1:10">
      <c r="E8" s="6" t="s">
        <v>1640</v>
      </c>
      <c r="F8" s="11" t="s">
        <v>1895</v>
      </c>
      <c r="G8" s="6" t="s">
        <v>1635</v>
      </c>
      <c r="H8" s="6" t="s">
        <v>1634</v>
      </c>
      <c r="I8" s="6" t="s">
        <v>44</v>
      </c>
      <c r="J8" s="6" t="s">
        <v>1629</v>
      </c>
    </row>
    <row r="9" spans="1:10">
      <c r="E9" s="6" t="s">
        <v>1641</v>
      </c>
      <c r="F9" s="9" t="s">
        <v>2096</v>
      </c>
      <c r="G9" s="6" t="s">
        <v>1641</v>
      </c>
      <c r="H9" s="6" t="s">
        <v>1634</v>
      </c>
      <c r="I9" s="6" t="s">
        <v>44</v>
      </c>
      <c r="J9" s="6" t="s">
        <v>44</v>
      </c>
    </row>
    <row r="10" spans="1:10">
      <c r="E10" s="6" t="s">
        <v>2017</v>
      </c>
      <c r="F10" s="9" t="s">
        <v>2032</v>
      </c>
      <c r="G10" s="6" t="s">
        <v>2017</v>
      </c>
      <c r="H10" s="6" t="s">
        <v>1634</v>
      </c>
      <c r="I10" s="6" t="s">
        <v>44</v>
      </c>
      <c r="J10" s="6" t="s">
        <v>44</v>
      </c>
    </row>
    <row r="11" spans="1:10">
      <c r="E11" s="6" t="s">
        <v>2018</v>
      </c>
      <c r="F11" s="9" t="s">
        <v>2033</v>
      </c>
      <c r="G11" s="6" t="s">
        <v>2018</v>
      </c>
      <c r="H11" s="6" t="s">
        <v>1634</v>
      </c>
      <c r="I11" s="6" t="s">
        <v>44</v>
      </c>
      <c r="J11" s="6" t="s">
        <v>44</v>
      </c>
    </row>
    <row r="12" spans="1:10">
      <c r="E12" s="6" t="s">
        <v>2019</v>
      </c>
      <c r="F12" s="9" t="s">
        <v>2034</v>
      </c>
      <c r="G12" s="6" t="s">
        <v>2019</v>
      </c>
      <c r="H12" s="6" t="s">
        <v>1634</v>
      </c>
      <c r="I12" s="6" t="s">
        <v>44</v>
      </c>
      <c r="J12" s="6" t="s">
        <v>44</v>
      </c>
    </row>
    <row r="13" spans="1:10">
      <c r="E13" s="6" t="s">
        <v>2020</v>
      </c>
      <c r="F13" s="9" t="s">
        <v>2035</v>
      </c>
      <c r="G13" s="6" t="s">
        <v>2020</v>
      </c>
      <c r="H13" s="6" t="s">
        <v>1634</v>
      </c>
      <c r="I13" s="6" t="s">
        <v>44</v>
      </c>
      <c r="J13" s="6" t="s">
        <v>44</v>
      </c>
    </row>
    <row r="14" spans="1:10" ht="14.25">
      <c r="A14" t="s">
        <v>2047</v>
      </c>
      <c r="B14" s="8" t="b">
        <v>1</v>
      </c>
      <c r="E14" s="6" t="s">
        <v>2021</v>
      </c>
      <c r="F14" s="9" t="s">
        <v>2036</v>
      </c>
      <c r="G14" s="6" t="s">
        <v>2021</v>
      </c>
      <c r="H14" s="6" t="s">
        <v>1634</v>
      </c>
      <c r="I14" s="6" t="s">
        <v>44</v>
      </c>
      <c r="J14" s="6" t="s">
        <v>44</v>
      </c>
    </row>
    <row r="15" spans="1:10">
      <c r="A15" t="s">
        <v>2067</v>
      </c>
      <c r="B15" s="7"/>
      <c r="E15" s="6" t="s">
        <v>2022</v>
      </c>
      <c r="F15" s="9" t="s">
        <v>2037</v>
      </c>
      <c r="G15" s="6" t="s">
        <v>2022</v>
      </c>
      <c r="H15" s="6" t="s">
        <v>1634</v>
      </c>
      <c r="I15" s="6" t="s">
        <v>44</v>
      </c>
      <c r="J15" s="6" t="s">
        <v>44</v>
      </c>
    </row>
    <row r="16" spans="1:10">
      <c r="E16" s="6" t="s">
        <v>2023</v>
      </c>
      <c r="F16" s="9" t="s">
        <v>2038</v>
      </c>
      <c r="G16" s="6" t="s">
        <v>2023</v>
      </c>
      <c r="H16" s="6" t="s">
        <v>1634</v>
      </c>
      <c r="I16" s="6" t="s">
        <v>44</v>
      </c>
      <c r="J16" s="6" t="s">
        <v>44</v>
      </c>
    </row>
    <row r="17" spans="2:10">
      <c r="E17" s="6" t="s">
        <v>2024</v>
      </c>
      <c r="F17" s="9" t="s">
        <v>2039</v>
      </c>
      <c r="G17" s="6" t="s">
        <v>2024</v>
      </c>
      <c r="H17" s="6" t="s">
        <v>1634</v>
      </c>
      <c r="I17" s="6" t="s">
        <v>44</v>
      </c>
      <c r="J17" s="6" t="s">
        <v>44</v>
      </c>
    </row>
    <row r="18" spans="2:10">
      <c r="E18" s="6" t="s">
        <v>2025</v>
      </c>
      <c r="F18" s="9" t="s">
        <v>2040</v>
      </c>
      <c r="G18" s="6" t="s">
        <v>2025</v>
      </c>
      <c r="H18" s="6" t="s">
        <v>1634</v>
      </c>
      <c r="I18" s="6" t="s">
        <v>44</v>
      </c>
      <c r="J18" s="6" t="s">
        <v>44</v>
      </c>
    </row>
    <row r="19" spans="2:10">
      <c r="E19" s="6" t="s">
        <v>2026</v>
      </c>
      <c r="F19" s="9" t="s">
        <v>2041</v>
      </c>
      <c r="G19" s="6" t="s">
        <v>2026</v>
      </c>
      <c r="H19" s="6" t="s">
        <v>1634</v>
      </c>
      <c r="I19" s="6" t="s">
        <v>44</v>
      </c>
      <c r="J19" s="6" t="s">
        <v>44</v>
      </c>
    </row>
    <row r="20" spans="2:10">
      <c r="B20" s="7"/>
      <c r="E20" s="6" t="s">
        <v>2027</v>
      </c>
      <c r="F20" s="9" t="s">
        <v>2042</v>
      </c>
      <c r="G20" s="6" t="s">
        <v>2027</v>
      </c>
      <c r="H20" s="6" t="s">
        <v>1634</v>
      </c>
      <c r="I20" s="6" t="s">
        <v>44</v>
      </c>
      <c r="J20" s="6" t="s">
        <v>44</v>
      </c>
    </row>
    <row r="21" spans="2:10">
      <c r="E21" s="6" t="s">
        <v>2028</v>
      </c>
      <c r="F21" s="9" t="s">
        <v>2043</v>
      </c>
      <c r="G21" s="6" t="s">
        <v>2028</v>
      </c>
      <c r="H21" s="6" t="s">
        <v>1634</v>
      </c>
      <c r="I21" s="6" t="s">
        <v>44</v>
      </c>
      <c r="J21" s="6" t="s">
        <v>44</v>
      </c>
    </row>
    <row r="22" spans="2:10">
      <c r="E22" s="6" t="s">
        <v>2029</v>
      </c>
      <c r="F22" s="9" t="s">
        <v>2044</v>
      </c>
      <c r="G22" s="6" t="s">
        <v>2029</v>
      </c>
      <c r="H22" s="6" t="s">
        <v>1634</v>
      </c>
      <c r="I22" s="6" t="s">
        <v>44</v>
      </c>
      <c r="J22" s="6" t="s">
        <v>44</v>
      </c>
    </row>
    <row r="23" spans="2:10">
      <c r="E23" s="6" t="s">
        <v>2030</v>
      </c>
      <c r="F23" s="9" t="s">
        <v>2045</v>
      </c>
      <c r="G23" s="6" t="s">
        <v>2030</v>
      </c>
      <c r="H23" s="6" t="s">
        <v>1634</v>
      </c>
      <c r="I23" s="6" t="s">
        <v>44</v>
      </c>
      <c r="J23" s="6" t="s">
        <v>44</v>
      </c>
    </row>
    <row r="24" spans="2:10">
      <c r="E24" s="6" t="s">
        <v>2031</v>
      </c>
      <c r="F24" s="9" t="s">
        <v>2046</v>
      </c>
      <c r="G24" s="6" t="s">
        <v>2031</v>
      </c>
      <c r="H24" s="6" t="s">
        <v>1634</v>
      </c>
      <c r="I24" s="6" t="s">
        <v>44</v>
      </c>
      <c r="J24" s="6" t="s">
        <v>44</v>
      </c>
    </row>
    <row r="25" spans="2:10">
      <c r="E25" s="6"/>
      <c r="F25" s="9"/>
      <c r="G25" s="6"/>
      <c r="H25" s="6"/>
      <c r="I25" s="6"/>
      <c r="J25" s="6"/>
    </row>
    <row r="26" spans="2:10">
      <c r="E26" s="6"/>
      <c r="F26" s="9"/>
      <c r="G26" s="6"/>
      <c r="H26" s="6"/>
      <c r="I26" s="6"/>
      <c r="J26" s="6"/>
    </row>
    <row r="27" spans="2:10">
      <c r="E27" s="6"/>
      <c r="F27" s="9"/>
      <c r="G27" s="6"/>
      <c r="H27" s="6"/>
      <c r="I27" s="6"/>
      <c r="J27" s="6"/>
    </row>
    <row r="28" spans="2:10">
      <c r="E28" s="6"/>
      <c r="F28" s="9"/>
      <c r="G28" s="6"/>
      <c r="H28" s="6"/>
      <c r="I28" s="6"/>
      <c r="J28" s="6"/>
    </row>
    <row r="29" spans="2:10">
      <c r="E29" s="6"/>
      <c r="F29" s="9"/>
      <c r="G29" s="6"/>
      <c r="H29" s="6"/>
      <c r="I29" s="6"/>
      <c r="J29" s="6"/>
    </row>
    <row r="30" spans="2:10">
      <c r="E30" s="6"/>
      <c r="F30" s="9"/>
      <c r="G30" s="6"/>
      <c r="H30" s="6"/>
      <c r="I30" s="6"/>
      <c r="J30" s="6"/>
    </row>
    <row r="31" spans="2:10">
      <c r="E31" s="6"/>
      <c r="F31" s="9"/>
      <c r="G31" s="6"/>
      <c r="H31" s="6"/>
      <c r="I31" s="6"/>
      <c r="J31" s="6"/>
    </row>
    <row r="32" spans="2:10">
      <c r="E32" s="6"/>
      <c r="F32" s="9"/>
      <c r="G32" s="6"/>
      <c r="H32" s="6"/>
      <c r="I32" s="6"/>
      <c r="J32" s="6"/>
    </row>
    <row r="33" spans="5:12">
      <c r="E33" s="5"/>
      <c r="F33" s="20"/>
      <c r="G33" s="5"/>
      <c r="H33" s="5"/>
      <c r="I33" s="5"/>
    </row>
    <row r="34" spans="5:12">
      <c r="E34" s="6" t="s">
        <v>1026</v>
      </c>
      <c r="F34" s="11" t="s">
        <v>1073</v>
      </c>
      <c r="G34" s="6" t="s">
        <v>1069</v>
      </c>
      <c r="H34" s="6" t="s">
        <v>240</v>
      </c>
      <c r="I34" s="6" t="s">
        <v>44</v>
      </c>
    </row>
    <row r="35" spans="5:12">
      <c r="E35" s="6" t="s">
        <v>1021</v>
      </c>
      <c r="F35" s="11" t="s">
        <v>1071</v>
      </c>
      <c r="G35" s="6" t="s">
        <v>1025</v>
      </c>
      <c r="H35" s="6" t="s">
        <v>240</v>
      </c>
      <c r="I35" s="6" t="s">
        <v>44</v>
      </c>
    </row>
    <row r="36" spans="5:12">
      <c r="E36" s="6" t="s">
        <v>233</v>
      </c>
      <c r="F36" t="s">
        <v>912</v>
      </c>
      <c r="G36" s="6" t="s">
        <v>1024</v>
      </c>
      <c r="H36" s="6" t="s">
        <v>913</v>
      </c>
      <c r="I36" s="6" t="s">
        <v>44</v>
      </c>
    </row>
    <row r="38" spans="5:12">
      <c r="E38" s="5" t="s">
        <v>240</v>
      </c>
    </row>
    <row r="39" spans="5:12">
      <c r="E39" s="6" t="s">
        <v>1026</v>
      </c>
      <c r="F39" s="11" t="s">
        <v>1073</v>
      </c>
      <c r="G39" s="6" t="s">
        <v>1074</v>
      </c>
      <c r="H39" s="6" t="s">
        <v>240</v>
      </c>
    </row>
    <row r="40" spans="5:12">
      <c r="E40" s="6" t="s">
        <v>1021</v>
      </c>
      <c r="F40" s="11" t="s">
        <v>1071</v>
      </c>
      <c r="G40" s="6" t="s">
        <v>1025</v>
      </c>
      <c r="H40" s="6" t="s">
        <v>240</v>
      </c>
      <c r="L40" s="6" t="s">
        <v>1029</v>
      </c>
    </row>
    <row r="41" spans="5:12">
      <c r="E41" s="6" t="s">
        <v>1070</v>
      </c>
      <c r="F41" s="11" t="s">
        <v>1072</v>
      </c>
      <c r="G41" s="6" t="s">
        <v>1070</v>
      </c>
      <c r="H41" s="6" t="s">
        <v>240</v>
      </c>
      <c r="K41" s="6" t="s">
        <v>1027</v>
      </c>
      <c r="L41" s="6" t="s">
        <v>1041</v>
      </c>
    </row>
    <row r="42" spans="5:12">
      <c r="E42" s="6" t="s">
        <v>1075</v>
      </c>
      <c r="F42" s="11" t="s">
        <v>1078</v>
      </c>
      <c r="G42" s="6" t="s">
        <v>1076</v>
      </c>
      <c r="H42" s="6" t="s">
        <v>240</v>
      </c>
      <c r="K42" s="6" t="s">
        <v>1028</v>
      </c>
      <c r="L42" s="6" t="s">
        <v>1042</v>
      </c>
    </row>
    <row r="43" spans="5:12">
      <c r="E43" s="6" t="s">
        <v>1077</v>
      </c>
      <c r="F43" s="11" t="s">
        <v>1079</v>
      </c>
      <c r="G43" s="6" t="s">
        <v>1077</v>
      </c>
      <c r="H43" s="6" t="s">
        <v>240</v>
      </c>
      <c r="K43" s="6"/>
      <c r="L43" s="6" t="s">
        <v>1043</v>
      </c>
    </row>
    <row r="44" spans="5:12">
      <c r="F44" s="9"/>
      <c r="K44" s="6"/>
      <c r="L44" s="6" t="s">
        <v>1045</v>
      </c>
    </row>
    <row r="45" spans="5:12">
      <c r="K45" s="6"/>
      <c r="L45" s="6" t="s">
        <v>1044</v>
      </c>
    </row>
    <row r="46" spans="5:12">
      <c r="E46" s="6" t="s">
        <v>1630</v>
      </c>
      <c r="F46" s="9" t="s">
        <v>1632</v>
      </c>
      <c r="G46" s="6" t="s">
        <v>1631</v>
      </c>
      <c r="H46" s="6" t="s">
        <v>240</v>
      </c>
      <c r="I46" s="6" t="s">
        <v>1629</v>
      </c>
      <c r="J46" s="6" t="s">
        <v>1629</v>
      </c>
      <c r="K46" s="6"/>
      <c r="L46" s="6" t="s">
        <v>1031</v>
      </c>
    </row>
    <row r="47" spans="5:12">
      <c r="K47" s="6"/>
      <c r="L47" s="6" t="s">
        <v>1032</v>
      </c>
    </row>
    <row r="48" spans="5:12">
      <c r="K48" s="6" t="s">
        <v>1030</v>
      </c>
      <c r="L48" s="6" t="s">
        <v>1033</v>
      </c>
    </row>
    <row r="49" spans="6:16">
      <c r="L49" s="6" t="s">
        <v>1034</v>
      </c>
    </row>
    <row r="50" spans="6:16">
      <c r="L50" s="6" t="s">
        <v>1036</v>
      </c>
    </row>
    <row r="51" spans="6:16">
      <c r="L51" s="6" t="s">
        <v>1037</v>
      </c>
    </row>
    <row r="52" spans="6:16">
      <c r="K52" s="6" t="s">
        <v>1035</v>
      </c>
      <c r="L52" s="6" t="s">
        <v>1039</v>
      </c>
    </row>
    <row r="53" spans="6:16">
      <c r="L53" s="6" t="s">
        <v>1040</v>
      </c>
    </row>
    <row r="54" spans="6:16">
      <c r="F54" s="9"/>
      <c r="K54" s="6" t="s">
        <v>1038</v>
      </c>
      <c r="L54" s="6" t="s">
        <v>1047</v>
      </c>
    </row>
    <row r="55" spans="6:16">
      <c r="L55" s="6" t="s">
        <v>1048</v>
      </c>
    </row>
    <row r="56" spans="6:16">
      <c r="K56" s="6" t="s">
        <v>1046</v>
      </c>
      <c r="L56" s="6" t="s">
        <v>1049</v>
      </c>
    </row>
    <row r="57" spans="6:16">
      <c r="L57" s="6" t="s">
        <v>119</v>
      </c>
    </row>
    <row r="58" spans="6:16">
      <c r="L58" s="6" t="s">
        <v>66</v>
      </c>
    </row>
    <row r="59" spans="6:16">
      <c r="K59" s="6" t="s">
        <v>1050</v>
      </c>
      <c r="L59" s="6" t="s">
        <v>369</v>
      </c>
      <c r="N59" s="9"/>
      <c r="O59" s="9"/>
      <c r="P59" s="9"/>
    </row>
    <row r="60" spans="6:16">
      <c r="L60" s="6" t="s">
        <v>1058</v>
      </c>
    </row>
    <row r="61" spans="6:16">
      <c r="L61" s="9" t="s">
        <v>1068</v>
      </c>
    </row>
    <row r="62" spans="6:16">
      <c r="L62" s="6" t="s">
        <v>1056</v>
      </c>
    </row>
    <row r="63" spans="6:16">
      <c r="K63" s="9" t="s">
        <v>1067</v>
      </c>
      <c r="L63" s="6" t="s">
        <v>1057</v>
      </c>
      <c r="M63" s="9"/>
    </row>
    <row r="64" spans="6:16">
      <c r="K64" s="6" t="s">
        <v>1051</v>
      </c>
    </row>
    <row r="65" spans="11:12">
      <c r="K65" s="6" t="s">
        <v>1052</v>
      </c>
    </row>
    <row r="66" spans="11:12">
      <c r="K66" s="6" t="s">
        <v>1053</v>
      </c>
    </row>
    <row r="67" spans="11:12">
      <c r="K67" s="6" t="s">
        <v>1054</v>
      </c>
    </row>
    <row r="68" spans="11:12">
      <c r="K68" s="6" t="s">
        <v>1055</v>
      </c>
    </row>
    <row r="69" spans="11:12">
      <c r="K69" s="6" t="s">
        <v>1059</v>
      </c>
    </row>
    <row r="70" spans="11:12">
      <c r="K70" s="6" t="s">
        <v>1060</v>
      </c>
      <c r="L70" s="6" t="s">
        <v>1063</v>
      </c>
    </row>
    <row r="71" spans="11:12">
      <c r="K71" s="6" t="s">
        <v>1061</v>
      </c>
    </row>
    <row r="72" spans="11:12">
      <c r="K72" s="6" t="s">
        <v>1062</v>
      </c>
    </row>
    <row r="74" spans="11:12">
      <c r="K74" s="6" t="s">
        <v>1064</v>
      </c>
    </row>
    <row r="75" spans="11:12">
      <c r="K75" s="6" t="s">
        <v>1065</v>
      </c>
    </row>
    <row r="76" spans="11:12">
      <c r="K76" s="6" t="s">
        <v>1066</v>
      </c>
    </row>
  </sheetData>
  <phoneticPr fontId="2" type="noConversion"/>
  <hyperlinks>
    <hyperlink ref="F41" display="http://www.windermere.com/index.cfm?fuseaction=Listing.PropertySearchResults&amp;searchString=ptyp=1|st=|premier=|sss=|ar=|cou=|cit=|minPrice=|maxPrice=|br=|bth=|minSqft=|maxSqft=|water=|ybtMin=|ybtMax=|hsn=|stor=|vew=|daysback=|NC=|ls=|address=|ln=|sub=|zip="/>
    <hyperlink ref="F34" display="http://www.windermere.com/index.cfm?fuseaction=Listing.PropertySearchResults&amp;searchString=ptyp=1|st=|premier=|sss=|ar=705,710|cou=|cit=|minPrice=300000|maxPrice=500000|br=2|bth=|minSqft=|maxSqft=|water=|ybtMin=|ybtMax=|hsn=|stor=|vew=|daysback=|NC=|ls=|ad"/>
    <hyperlink ref="F35" display="http://www.windermere.com/index.cfm?fuseaction=Listing.PropertySearchResults&amp;searchString=ptyp=1|st=|premier=|sss=|ar=|cou=|cit=|minPrice=|maxPrice=|br=|bth=|minSqft=|maxSqft=|water=|ybtMin=|ybtMax=|hsn=|stor=|vew=|daysback=|NC=|ls=|address=|ln=|sub=|zip="/>
    <hyperlink ref="F39" display="http://www.windermere.com/index.cfm?fuseaction=Listing.PropertySearchResults&amp;searchString=ptyp=1|st=|premier=|sss=|ar=705,710|cou=|cit=|minPrice=300000|maxPrice=500000|br=2|bth=|minSqft=|maxSqft=|water=|ybtMin=|ybtMax=|hsn=|stor=|vew=|daysback=|NC=|ls=|ad"/>
    <hyperlink ref="F40" display="http://www.windermere.com/index.cfm?fuseaction=Listing.PropertySearchResults&amp;searchString=ptyp=1|st=|premier=|sss=|ar=|cou=|cit=|minPrice=|maxPrice=|br=|bth=|minSqft=|maxSqft=|water=|ybtMin=|ybtMax=|hsn=|stor=|vew=|daysback=|NC=|ls=|address=|ln=|sub=|zip="/>
    <hyperlink ref="F42" display="http://www.windermere.com/index.cfm?fuseaction=Listing.PropertySearchResults&amp;searchString=ptyp=1|st=wa|premier=|sss=|ar=|cou=|cit=Bellevue,Redmond,Kirkland|minPrice=200000|maxPrice=500000|br=2|bth=|minSqft=|maxSqft=|water=|ybtMin=|ybtMax=|hsn=|stor=|vew=|"/>
    <hyperlink ref="F43" display="http://www.windermere.com/index.cfm?fuseaction=Listing.PropertySearchResults&amp;searchString=ptyp=1|st=wa|premier=|sss=|ar=|cou=|cit=Renton|minPrice=200000|maxPrice=500000|br=2|bth=|minSqft=|maxSqft=|water=|ybtMin=|ybtMax=|hsn=|stor=|vew=|daysback=|NC=|ls=|a"/>
    <hyperlink ref="F2" display="http://www.windermere.com/index.cfm?fuseaction=Listing.PropertySearchResults&amp;searchString=ptyp=1|st=|premier=|sss=|ar=705,710|cou=|cit=|minPrice=300000|maxPrice=500000|br=2|bth=|minSqft=|maxSqft=|water=|ybtMin=|ybtMax=|hsn=|stor=|vew=|daysback=|NC=|ls=|ad"/>
    <hyperlink ref="F3" display="http://www.windermere.com/index.cfm?fuseaction=Listing.PropertySearchResults&amp;searchString=ptyp=1|st=|premier=|sss=|ar=|cou=|cit=|minPrice=|maxPrice=|br=|bth=|minSqft=|maxSqft=|water=|ybtMin=|ybtMax=|hsn=|stor=|vew=|daysback=|NC=|ls=|address=|ln=|sub=|zip="/>
    <hyperlink ref="F4" display="http://www.windermere.com/index.cfm?fuseaction=Listing.PropertySearchResults&amp;searchString=ptyp=1|st=wa|premier=|sss=|ar=|cou=|cit=Bellevue,Redmond,Kirkland|minPrice=200000|maxPrice=500000|br=2|bth=|minSqft=|maxSqft=|water=|ybtMin=|ybtMax=|hsn=|stor=|vew=|"/>
    <hyperlink ref="F5" display="http://www.windermere.com/index.cfm?fuseaction=Listing.PropertySearchResults&amp;searchString=ptyp=1|st=wa|premier=|sss=|ar=|cou=|cit=Renton|minPrice=200000|maxPrice=500000|br=2|bth=|minSqft=|maxSqft=|water=|ybtMin=|ybtMax=|hsn=|stor=|vew=|daysback=|NC=|ls=|a"/>
    <hyperlink ref="F8" display="http://www.redfin.com/stingray/do/gis-search?market=seattle&amp;status=3&amp;poly=-122.46838%2047.65302,-122.30169%2047.65302,-122.30169%2047.71658,-122.46838%2047.71658,-122.46838%2047.65302&amp;unmatched=1&amp;region_id=40830&amp;region_type=2&amp;residential=true&amp;condo=true&amp;m"/>
  </hyperlinks>
  <pageMargins left="0.75" right="0.75" top="1" bottom="1" header="0.5" footer="0.5"/>
  <pageSetup orientation="portrait" horizontalDpi="1200" r:id="rId1"/>
  <headerFooter alignWithMargins="0"/>
  <drawing r:id="rId2"/>
</worksheet>
</file>

<file path=xl/worksheets/sheet3.xml><?xml version="1.0" encoding="utf-8"?>
<worksheet xmlns="http://schemas.openxmlformats.org/spreadsheetml/2006/main" xmlns:r="http://schemas.openxmlformats.org/officeDocument/2006/relationships">
  <sheetPr codeName="Sheet7"/>
  <dimension ref="A1:C48"/>
  <sheetViews>
    <sheetView workbookViewId="0"/>
  </sheetViews>
  <sheetFormatPr defaultRowHeight="12.75"/>
  <cols>
    <col min="1" max="1" width="18.85546875" customWidth="1"/>
  </cols>
  <sheetData>
    <row r="1" spans="1:3">
      <c r="A1" t="s">
        <v>122</v>
      </c>
      <c r="B1">
        <v>1</v>
      </c>
      <c r="C1" s="2" t="s">
        <v>242</v>
      </c>
    </row>
    <row r="2" spans="1:3">
      <c r="A2" s="6" t="s">
        <v>241</v>
      </c>
      <c r="B2">
        <v>1</v>
      </c>
    </row>
    <row r="3" spans="1:3">
      <c r="A3" s="6" t="s">
        <v>243</v>
      </c>
      <c r="B3">
        <v>1</v>
      </c>
    </row>
    <row r="4" spans="1:3">
      <c r="A4" t="s">
        <v>8</v>
      </c>
      <c r="B4">
        <v>2</v>
      </c>
    </row>
    <row r="5" spans="1:3">
      <c r="A5" s="6" t="s">
        <v>6</v>
      </c>
      <c r="B5">
        <v>12</v>
      </c>
    </row>
    <row r="6" spans="1:3">
      <c r="A6" t="s">
        <v>4</v>
      </c>
      <c r="B6">
        <v>12</v>
      </c>
    </row>
    <row r="7" spans="1:3">
      <c r="A7" t="s">
        <v>19</v>
      </c>
      <c r="B7">
        <v>12</v>
      </c>
    </row>
    <row r="8" spans="1:3">
      <c r="A8" t="s">
        <v>32</v>
      </c>
      <c r="B8">
        <v>12</v>
      </c>
    </row>
    <row r="9" spans="1:3">
      <c r="A9" t="s">
        <v>5</v>
      </c>
      <c r="B9">
        <v>13</v>
      </c>
    </row>
    <row r="10" spans="1:3">
      <c r="A10" t="s">
        <v>13</v>
      </c>
      <c r="B10">
        <v>13</v>
      </c>
    </row>
    <row r="11" spans="1:3">
      <c r="A11" t="s">
        <v>15</v>
      </c>
      <c r="B11">
        <v>13</v>
      </c>
    </row>
    <row r="12" spans="1:3">
      <c r="A12" t="s">
        <v>10</v>
      </c>
      <c r="B12">
        <v>13</v>
      </c>
    </row>
    <row r="13" spans="1:3">
      <c r="A13" t="s">
        <v>11</v>
      </c>
      <c r="B13">
        <v>13</v>
      </c>
    </row>
    <row r="14" spans="1:3">
      <c r="A14" t="s">
        <v>17</v>
      </c>
      <c r="B14">
        <v>15</v>
      </c>
    </row>
    <row r="15" spans="1:3">
      <c r="A15" s="6" t="s">
        <v>244</v>
      </c>
      <c r="B15">
        <v>17</v>
      </c>
    </row>
    <row r="16" spans="1:3">
      <c r="A16" t="s">
        <v>20</v>
      </c>
    </row>
    <row r="17" spans="1:1">
      <c r="A17" t="s">
        <v>21</v>
      </c>
    </row>
    <row r="18" spans="1:1">
      <c r="A18" t="s">
        <v>12</v>
      </c>
    </row>
    <row r="19" spans="1:1">
      <c r="A19" t="s">
        <v>16</v>
      </c>
    </row>
    <row r="20" spans="1:1">
      <c r="A20" t="s">
        <v>116</v>
      </c>
    </row>
    <row r="21" spans="1:1">
      <c r="A21" t="s">
        <v>26</v>
      </c>
    </row>
    <row r="22" spans="1:1">
      <c r="A22" t="s">
        <v>27</v>
      </c>
    </row>
    <row r="23" spans="1:1">
      <c r="A23" t="s">
        <v>31</v>
      </c>
    </row>
    <row r="24" spans="1:1">
      <c r="A24" t="s">
        <v>33</v>
      </c>
    </row>
    <row r="25" spans="1:1">
      <c r="A25" t="s">
        <v>2</v>
      </c>
    </row>
    <row r="26" spans="1:1">
      <c r="A26" t="s">
        <v>25</v>
      </c>
    </row>
    <row r="27" spans="1:1">
      <c r="A27" t="s">
        <v>24</v>
      </c>
    </row>
    <row r="28" spans="1:1">
      <c r="A28" t="s">
        <v>28</v>
      </c>
    </row>
    <row r="29" spans="1:1">
      <c r="A29" t="s">
        <v>29</v>
      </c>
    </row>
    <row r="30" spans="1:1">
      <c r="A30" t="s">
        <v>30</v>
      </c>
    </row>
    <row r="31" spans="1:1">
      <c r="A31" t="s">
        <v>34</v>
      </c>
    </row>
    <row r="32" spans="1:1">
      <c r="A32" t="s">
        <v>35</v>
      </c>
    </row>
    <row r="33" spans="1:1">
      <c r="A33" t="s">
        <v>36</v>
      </c>
    </row>
    <row r="34" spans="1:1">
      <c r="A34" t="s">
        <v>37</v>
      </c>
    </row>
    <row r="35" spans="1:1">
      <c r="A35" t="s">
        <v>38</v>
      </c>
    </row>
    <row r="36" spans="1:1">
      <c r="A36" t="s">
        <v>39</v>
      </c>
    </row>
    <row r="37" spans="1:1">
      <c r="A37" t="s">
        <v>117</v>
      </c>
    </row>
    <row r="38" spans="1:1">
      <c r="A38" t="s">
        <v>118</v>
      </c>
    </row>
    <row r="39" spans="1:1">
      <c r="A39" t="s">
        <v>119</v>
      </c>
    </row>
    <row r="40" spans="1:1">
      <c r="A40" t="s">
        <v>120</v>
      </c>
    </row>
    <row r="41" spans="1:1">
      <c r="A41" t="s">
        <v>7</v>
      </c>
    </row>
    <row r="42" spans="1:1">
      <c r="A42" t="s">
        <v>121</v>
      </c>
    </row>
    <row r="43" spans="1:1">
      <c r="A43" t="s">
        <v>3</v>
      </c>
    </row>
    <row r="44" spans="1:1">
      <c r="A44" t="s">
        <v>9</v>
      </c>
    </row>
    <row r="45" spans="1:1">
      <c r="A45" t="s">
        <v>14</v>
      </c>
    </row>
    <row r="46" spans="1:1">
      <c r="A46" t="s">
        <v>18</v>
      </c>
    </row>
    <row r="47" spans="1:1">
      <c r="A47" t="s">
        <v>22</v>
      </c>
    </row>
    <row r="48" spans="1:1">
      <c r="A48" t="s">
        <v>23</v>
      </c>
    </row>
  </sheetData>
  <sortState ref="A1:C48">
    <sortCondition ref="B1:B48"/>
  </sortState>
  <hyperlinks>
    <hyperlink ref="C1" r:id="rId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
  <sheetViews>
    <sheetView workbookViewId="0">
      <selection activeCell="I4" sqref="I4"/>
    </sheetView>
  </sheetViews>
  <sheetFormatPr defaultRowHeight="12.75"/>
  <sheetData/>
  <sortState ref="A2:CL206">
    <sortCondition ref="A1"/>
  </sortState>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33" filterMode="1"/>
  <dimension ref="A1:BK548"/>
  <sheetViews>
    <sheetView workbookViewId="0">
      <pane xSplit="5580" ySplit="510" topLeftCell="G1" activePane="bottomRight"/>
      <selection activeCell="I4" sqref="I4"/>
      <selection pane="topRight" activeCell="I4" sqref="I4"/>
      <selection pane="bottomLeft" activeCell="I4" sqref="I4"/>
      <selection pane="bottomRight" activeCell="I4" sqref="I4"/>
    </sheetView>
  </sheetViews>
  <sheetFormatPr defaultRowHeight="12.75"/>
  <cols>
    <col min="2" max="3" width="9.140625" customWidth="1"/>
    <col min="5" max="5" width="12.85546875" customWidth="1"/>
    <col min="6" max="6" width="11.7109375" customWidth="1"/>
    <col min="7" max="54" width="9.140625" customWidth="1"/>
    <col min="55" max="55" width="10.42578125" customWidth="1"/>
    <col min="56" max="56" width="9.140625" customWidth="1"/>
  </cols>
  <sheetData>
    <row r="1" spans="1:63">
      <c r="A1" t="s">
        <v>6</v>
      </c>
      <c r="B1" t="s">
        <v>5</v>
      </c>
      <c r="C1" t="s">
        <v>20</v>
      </c>
      <c r="D1" t="s">
        <v>21</v>
      </c>
      <c r="E1" t="s">
        <v>4</v>
      </c>
      <c r="F1" t="s">
        <v>8</v>
      </c>
      <c r="G1" t="s">
        <v>19</v>
      </c>
      <c r="H1" t="s">
        <v>13</v>
      </c>
      <c r="I1" t="s">
        <v>15</v>
      </c>
      <c r="J1" t="s">
        <v>10</v>
      </c>
      <c r="K1" t="s">
        <v>11</v>
      </c>
      <c r="L1" t="s">
        <v>12</v>
      </c>
      <c r="M1" t="s">
        <v>16</v>
      </c>
      <c r="N1" t="s">
        <v>116</v>
      </c>
      <c r="O1" t="s">
        <v>17</v>
      </c>
      <c r="P1" t="s">
        <v>32</v>
      </c>
      <c r="Q1" t="s">
        <v>26</v>
      </c>
      <c r="R1" t="s">
        <v>27</v>
      </c>
      <c r="S1" t="s">
        <v>31</v>
      </c>
      <c r="T1" t="s">
        <v>33</v>
      </c>
      <c r="U1" t="s">
        <v>2</v>
      </c>
      <c r="V1" t="s">
        <v>25</v>
      </c>
      <c r="W1" t="s">
        <v>24</v>
      </c>
      <c r="X1" t="s">
        <v>28</v>
      </c>
      <c r="Y1" t="s">
        <v>29</v>
      </c>
      <c r="Z1" t="s">
        <v>30</v>
      </c>
      <c r="AA1" t="s">
        <v>34</v>
      </c>
      <c r="AB1" t="s">
        <v>35</v>
      </c>
      <c r="AC1" t="s">
        <v>36</v>
      </c>
      <c r="AD1" t="s">
        <v>37</v>
      </c>
      <c r="AE1" t="s">
        <v>38</v>
      </c>
      <c r="AF1" t="s">
        <v>39</v>
      </c>
      <c r="AG1" t="s">
        <v>117</v>
      </c>
      <c r="AH1" t="s">
        <v>118</v>
      </c>
      <c r="AI1" t="s">
        <v>119</v>
      </c>
      <c r="AJ1" t="s">
        <v>120</v>
      </c>
      <c r="AK1" t="s">
        <v>7</v>
      </c>
      <c r="AL1" t="s">
        <v>121</v>
      </c>
      <c r="AM1" t="s">
        <v>3</v>
      </c>
      <c r="AN1" t="s">
        <v>9</v>
      </c>
      <c r="AO1" t="s">
        <v>14</v>
      </c>
      <c r="AP1" t="s">
        <v>18</v>
      </c>
      <c r="AQ1" t="s">
        <v>22</v>
      </c>
      <c r="AR1" t="s">
        <v>23</v>
      </c>
      <c r="AS1" t="s">
        <v>122</v>
      </c>
      <c r="AT1" t="s">
        <v>245</v>
      </c>
      <c r="AU1" t="s">
        <v>300</v>
      </c>
      <c r="AV1" t="s">
        <v>302</v>
      </c>
      <c r="AW1" t="s">
        <v>303</v>
      </c>
      <c r="AX1" t="s">
        <v>304</v>
      </c>
      <c r="AY1" t="s">
        <v>305</v>
      </c>
      <c r="AZ1" t="s">
        <v>914</v>
      </c>
      <c r="BA1" t="s">
        <v>915</v>
      </c>
      <c r="BB1" t="s">
        <v>910</v>
      </c>
      <c r="BC1" s="6" t="s">
        <v>1309</v>
      </c>
      <c r="BD1" t="s">
        <v>183</v>
      </c>
      <c r="BE1" t="s">
        <v>230</v>
      </c>
      <c r="BF1" t="s">
        <v>231</v>
      </c>
      <c r="BG1" s="6" t="s">
        <v>1310</v>
      </c>
      <c r="BH1" s="6" t="s">
        <v>1349</v>
      </c>
      <c r="BI1" s="6" t="s">
        <v>1481</v>
      </c>
      <c r="BJ1" s="6" t="s">
        <v>1482</v>
      </c>
      <c r="BK1" s="6" t="s">
        <v>1339</v>
      </c>
    </row>
    <row r="2" spans="1:63" hidden="1">
      <c r="A2">
        <v>28016323</v>
      </c>
      <c r="B2" s="2" t="str">
        <f>HYPERLINK("http://www.windermere.com/index.cfm?fuseaction=Listing.ListingDetail&amp;ListingID=19287429","Active")</f>
        <v>Active</v>
      </c>
      <c r="D2" t="s">
        <v>99</v>
      </c>
      <c r="E2" t="s">
        <v>1160</v>
      </c>
      <c r="F2" s="13">
        <v>269950</v>
      </c>
      <c r="G2" t="s">
        <v>146</v>
      </c>
      <c r="H2">
        <v>540</v>
      </c>
      <c r="I2">
        <v>2325</v>
      </c>
      <c r="J2">
        <v>1</v>
      </c>
      <c r="K2">
        <v>1</v>
      </c>
      <c r="M2" s="2" t="str">
        <f>HYPERLINK("http://www.windermere.com/index.cfm?fuseaction=Listing.MapPropertyInteractive&amp;ListingID=19287429&amp;resize=true&amp;windowWidth=800&amp;windowHeight=600","Map")</f>
        <v>Map</v>
      </c>
      <c r="O2" s="2" t="str">
        <f>HYPERLINK("http://www.windermere.com/index.cfm?fuseaction=viewGallery.Home&amp;customTourID=205873&amp;wvt=0","More")</f>
        <v>More</v>
      </c>
      <c r="AI2" t="s">
        <v>66</v>
      </c>
      <c r="AJ2">
        <v>98117</v>
      </c>
      <c r="AS2" t="s">
        <v>1161</v>
      </c>
      <c r="AT2">
        <v>19287429</v>
      </c>
      <c r="AU2" s="12">
        <v>39495</v>
      </c>
      <c r="BB2" t="s">
        <v>911</v>
      </c>
      <c r="BC2" s="7">
        <v>39475</v>
      </c>
      <c r="BD2">
        <v>2</v>
      </c>
      <c r="BE2" s="6" t="s">
        <v>1350</v>
      </c>
      <c r="BG2">
        <v>20</v>
      </c>
      <c r="BH2" s="17">
        <f ca="1">TODAY()-BC2</f>
        <v>74</v>
      </c>
      <c r="BI2" s="17"/>
      <c r="BJ2" s="17"/>
    </row>
    <row r="3" spans="1:63" hidden="1">
      <c r="A3">
        <v>27216181</v>
      </c>
      <c r="B3" s="2" t="str">
        <f>HYPERLINK("http://www.windermere.com/index.cfm?fuseaction=Listing.ListingDetail&amp;ListingID=19134351","Active")</f>
        <v>Active</v>
      </c>
      <c r="D3" t="s">
        <v>42</v>
      </c>
      <c r="E3" t="s">
        <v>370</v>
      </c>
      <c r="F3" s="10">
        <v>304950</v>
      </c>
      <c r="G3" t="s">
        <v>124</v>
      </c>
      <c r="H3">
        <v>900</v>
      </c>
      <c r="I3">
        <v>4792</v>
      </c>
      <c r="J3">
        <v>2</v>
      </c>
      <c r="K3">
        <v>1</v>
      </c>
      <c r="M3" s="2" t="str">
        <f>HYPERLINK("http://www.windermere.com/index.cfm?fuseaction=Listing.MapPropertyInteractive&amp;ListingID=19134351&amp;resize=true&amp;windowWidth=800&amp;windowHeight=600","Map")</f>
        <v>Map</v>
      </c>
      <c r="O3" s="2" t="str">
        <f>HYPERLINK("http://www.windermere.com/index.cfm?fuseaction=Listing.MultiImageViewer&amp;ListingID=19134351&amp;ln=27216181&amp;pub_mls=1","More")</f>
        <v>More</v>
      </c>
      <c r="AI3" t="s">
        <v>66</v>
      </c>
      <c r="AJ3">
        <v>98133</v>
      </c>
      <c r="AS3" t="s">
        <v>371</v>
      </c>
      <c r="AT3">
        <v>19134351</v>
      </c>
      <c r="AU3" s="12">
        <v>39495</v>
      </c>
      <c r="BB3" t="s">
        <v>911</v>
      </c>
      <c r="BC3" s="7">
        <v>39444</v>
      </c>
      <c r="BG3">
        <v>51</v>
      </c>
      <c r="BH3" s="17">
        <f t="shared" ref="BH3:BH66" ca="1" si="0">TODAY()-BC3</f>
        <v>105</v>
      </c>
      <c r="BI3" s="17"/>
      <c r="BJ3" s="17"/>
    </row>
    <row r="4" spans="1:63" hidden="1">
      <c r="A4">
        <v>28014336</v>
      </c>
      <c r="B4" s="2" t="str">
        <f>HYPERLINK("http://www.windermere.com/index.cfm?fuseaction=Listing.ListingDetail&amp;ListingID=19267034","Active")</f>
        <v>Active</v>
      </c>
      <c r="D4" t="s">
        <v>967</v>
      </c>
      <c r="E4" t="s">
        <v>1080</v>
      </c>
      <c r="F4" s="10">
        <v>307500</v>
      </c>
      <c r="G4" t="s">
        <v>147</v>
      </c>
      <c r="H4" s="1">
        <v>1375</v>
      </c>
      <c r="J4">
        <v>3</v>
      </c>
      <c r="K4">
        <v>2.5</v>
      </c>
      <c r="M4" s="2" t="str">
        <f>HYPERLINK("http://www.windermere.com/index.cfm?fuseaction=Listing.MapPropertyInteractive&amp;ListingID=19267034&amp;resize=true&amp;windowWidth=800&amp;windowHeight=600","Map")</f>
        <v>Map</v>
      </c>
      <c r="O4" s="2" t="str">
        <f>HYPERLINK("http://www.windermere.com/index.cfm?fuseaction=Listing.MultiImageViewer&amp;ListingID=19267034&amp;ln=28014336&amp;pub_mls=1","More")</f>
        <v>More</v>
      </c>
      <c r="AI4" t="s">
        <v>66</v>
      </c>
      <c r="AJ4">
        <v>98125</v>
      </c>
      <c r="AS4" t="s">
        <v>1081</v>
      </c>
      <c r="AT4">
        <v>19267034</v>
      </c>
      <c r="AU4" s="12">
        <v>39495</v>
      </c>
      <c r="BB4" t="s">
        <v>911</v>
      </c>
      <c r="BC4" s="7">
        <v>39470</v>
      </c>
      <c r="BG4">
        <v>25</v>
      </c>
      <c r="BH4" s="17">
        <f t="shared" ca="1" si="0"/>
        <v>79</v>
      </c>
      <c r="BI4" s="17"/>
      <c r="BJ4" s="17"/>
    </row>
    <row r="5" spans="1:63" hidden="1">
      <c r="A5">
        <v>28000620</v>
      </c>
      <c r="B5" s="2" t="str">
        <f>HYPERLINK("http://www.windermere.com/index.cfm?fuseaction=Listing.ListingDetail&amp;ListingID=19161972","Active")</f>
        <v>Active</v>
      </c>
      <c r="D5" t="s">
        <v>194</v>
      </c>
      <c r="E5" t="s">
        <v>372</v>
      </c>
      <c r="F5" s="10">
        <v>308000</v>
      </c>
      <c r="G5" t="s">
        <v>373</v>
      </c>
      <c r="H5">
        <v>750</v>
      </c>
      <c r="J5">
        <v>2</v>
      </c>
      <c r="K5">
        <v>1.5</v>
      </c>
      <c r="M5" s="2" t="str">
        <f>HYPERLINK("http://www.windermere.com/index.cfm?fuseaction=Listing.MapPropertyInteractive&amp;ListingID=19161972&amp;resize=true&amp;windowWidth=800&amp;windowHeight=600","Map")</f>
        <v>Map</v>
      </c>
      <c r="O5" s="2" t="str">
        <f>HYPERLINK("http://www.windermere.com/index.cfm?fuseaction=Listing.MultiImageViewer&amp;ListingID=19161972&amp;ln=28000620&amp;pub_mls=1","More")</f>
        <v>More</v>
      </c>
      <c r="P5" t="s">
        <v>44</v>
      </c>
      <c r="AI5" t="s">
        <v>66</v>
      </c>
      <c r="AJ5">
        <v>98115</v>
      </c>
      <c r="AS5" t="s">
        <v>374</v>
      </c>
      <c r="AT5">
        <v>19161972</v>
      </c>
      <c r="AU5" s="12">
        <v>39495</v>
      </c>
      <c r="BB5" t="s">
        <v>911</v>
      </c>
      <c r="BC5" s="7">
        <v>39451</v>
      </c>
      <c r="BG5">
        <v>44</v>
      </c>
      <c r="BH5" s="17">
        <f t="shared" ca="1" si="0"/>
        <v>98</v>
      </c>
      <c r="BI5" s="17"/>
      <c r="BJ5" s="17"/>
    </row>
    <row r="6" spans="1:63" hidden="1">
      <c r="A6">
        <v>28026998</v>
      </c>
      <c r="B6" s="15" t="str">
        <f>HYPERLINK("http://www.windermere.com/index.cfm?fuseaction=Listing.ListingDetail&amp;ListingID=19370194","Subject To Inspection")</f>
        <v>Subject To Inspection</v>
      </c>
      <c r="D6" t="s">
        <v>70</v>
      </c>
      <c r="E6" t="s">
        <v>375</v>
      </c>
      <c r="F6" s="10">
        <v>309000</v>
      </c>
      <c r="G6" t="s">
        <v>137</v>
      </c>
      <c r="H6">
        <v>880</v>
      </c>
      <c r="I6">
        <v>6561</v>
      </c>
      <c r="J6">
        <v>2</v>
      </c>
      <c r="K6">
        <v>1</v>
      </c>
      <c r="M6" s="2" t="str">
        <f>HYPERLINK("http://www.windermere.com/index.cfm?fuseaction=Listing.MapPropertyInteractive&amp;ListingID=19370194&amp;resize=true&amp;windowWidth=800&amp;windowHeight=600","Map")</f>
        <v>Map</v>
      </c>
      <c r="O6" s="2" t="str">
        <f>HYPERLINK("http://www.windermere.com/index.cfm?fuseaction=Listing.MultiImageViewer&amp;ListingID=19370194&amp;ln=28026998&amp;pub_mls=1","More")</f>
        <v>More</v>
      </c>
      <c r="AI6" t="s">
        <v>66</v>
      </c>
      <c r="AJ6">
        <v>98133</v>
      </c>
      <c r="AS6" t="s">
        <v>376</v>
      </c>
      <c r="AT6">
        <v>19370194</v>
      </c>
      <c r="AU6" s="12">
        <v>39495</v>
      </c>
      <c r="BB6" t="s">
        <v>911</v>
      </c>
      <c r="BC6" s="7">
        <v>39492</v>
      </c>
      <c r="BG6">
        <v>3</v>
      </c>
      <c r="BH6" s="17">
        <f t="shared" ca="1" si="0"/>
        <v>57</v>
      </c>
      <c r="BI6" s="17"/>
      <c r="BJ6" s="17"/>
    </row>
    <row r="7" spans="1:63" hidden="1">
      <c r="A7">
        <v>27172819</v>
      </c>
      <c r="B7" s="15" t="str">
        <f>HYPERLINK("http://www.windermere.com/index.cfm?fuseaction=Listing.ListingDetail&amp;ListingID=18673522","Subject To Inspection")</f>
        <v>Subject To Inspection</v>
      </c>
      <c r="D7" t="s">
        <v>66</v>
      </c>
      <c r="E7" t="s">
        <v>402</v>
      </c>
      <c r="F7" s="10">
        <v>309950</v>
      </c>
      <c r="G7" t="s">
        <v>403</v>
      </c>
      <c r="I7">
        <v>1200</v>
      </c>
      <c r="J7">
        <v>3</v>
      </c>
      <c r="K7">
        <v>2.5</v>
      </c>
      <c r="M7" s="2" t="str">
        <f>HYPERLINK("http://www.windermere.com/index.cfm?fuseaction=Listing.MapPropertyInteractive&amp;ListingID=18673522&amp;resize=true&amp;windowWidth=800&amp;windowHeight=600","Map")</f>
        <v>Map</v>
      </c>
      <c r="O7" s="2" t="str">
        <f>HYPERLINK("http://www.windermere.com/index.cfm?fuseaction=Listing.MultiImageViewer&amp;ListingID=18673522&amp;ln=27172819&amp;pub_mls=1","More")</f>
        <v>More</v>
      </c>
      <c r="AI7" t="s">
        <v>66</v>
      </c>
      <c r="AJ7">
        <v>98133</v>
      </c>
      <c r="AS7" t="s">
        <v>404</v>
      </c>
      <c r="AT7">
        <v>18673522</v>
      </c>
      <c r="AU7" s="12">
        <v>39495</v>
      </c>
      <c r="BB7" t="s">
        <v>911</v>
      </c>
      <c r="BC7" s="7">
        <v>39346</v>
      </c>
      <c r="BG7">
        <v>149</v>
      </c>
      <c r="BH7" s="17">
        <f t="shared" ca="1" si="0"/>
        <v>203</v>
      </c>
      <c r="BI7" s="17"/>
      <c r="BJ7" s="17"/>
    </row>
    <row r="8" spans="1:63" hidden="1">
      <c r="A8">
        <v>27193955</v>
      </c>
      <c r="B8" s="2" t="str">
        <f>HYPERLINK("http://www.windermere.com/index.cfm?fuseaction=Listing.ListingDetail&amp;ListingID=18883912","Active")</f>
        <v>Active</v>
      </c>
      <c r="D8" t="s">
        <v>66</v>
      </c>
      <c r="E8" t="s">
        <v>377</v>
      </c>
      <c r="F8" s="10">
        <v>309950</v>
      </c>
      <c r="G8" t="s">
        <v>378</v>
      </c>
      <c r="H8">
        <v>760</v>
      </c>
      <c r="I8">
        <v>5163</v>
      </c>
      <c r="J8">
        <v>2</v>
      </c>
      <c r="K8">
        <v>1</v>
      </c>
      <c r="M8" s="2" t="str">
        <f>HYPERLINK("http://www.windermere.com/index.cfm?fuseaction=Listing.MapPropertyInteractive&amp;ListingID=18883912&amp;resize=true&amp;windowWidth=800&amp;windowHeight=600","Map")</f>
        <v>Map</v>
      </c>
      <c r="O8" s="2" t="str">
        <f>HYPERLINK("http://www.windermere.com/index.cfm?fuseaction=Listing.MultiImageViewer&amp;ListingID=18883912&amp;ln=27193955&amp;pub_mls=1","More")</f>
        <v>More</v>
      </c>
      <c r="P8" t="s">
        <v>44</v>
      </c>
      <c r="AI8" t="s">
        <v>66</v>
      </c>
      <c r="AJ8">
        <v>98133</v>
      </c>
      <c r="AS8" t="s">
        <v>379</v>
      </c>
      <c r="AT8">
        <v>18883912</v>
      </c>
      <c r="AU8" s="12">
        <v>39495</v>
      </c>
      <c r="BB8" t="s">
        <v>911</v>
      </c>
      <c r="BC8" s="7">
        <v>39385</v>
      </c>
      <c r="BG8">
        <v>110</v>
      </c>
      <c r="BH8" s="17">
        <f t="shared" ca="1" si="0"/>
        <v>164</v>
      </c>
      <c r="BI8" s="17"/>
      <c r="BJ8" s="17"/>
    </row>
    <row r="9" spans="1:63" hidden="1">
      <c r="A9">
        <v>27196449</v>
      </c>
      <c r="B9" s="15" t="str">
        <f>HYPERLINK("http://www.windermere.com/index.cfm?fuseaction=Listing.ListingDetail&amp;ListingID=18906882","Subject To Inspection")</f>
        <v>Subject To Inspection</v>
      </c>
      <c r="D9" t="s">
        <v>99</v>
      </c>
      <c r="E9" t="s">
        <v>312</v>
      </c>
      <c r="F9" s="10">
        <v>309950</v>
      </c>
      <c r="G9" t="s">
        <v>147</v>
      </c>
      <c r="J9">
        <v>3</v>
      </c>
      <c r="K9">
        <v>1.5</v>
      </c>
      <c r="M9" s="2" t="str">
        <f>HYPERLINK("http://www.windermere.com/index.cfm?fuseaction=Listing.MapPropertyInteractive&amp;ListingID=18906882&amp;resize=true&amp;windowWidth=800&amp;windowHeight=600","Map")</f>
        <v>Map</v>
      </c>
      <c r="O9" s="2" t="str">
        <f>HYPERLINK("http://www.windermere.com/index.cfm?fuseaction=Listing.MultiImageViewer&amp;ListingID=18906882&amp;ln=27196449&amp;pub_mls=1","More")</f>
        <v>More</v>
      </c>
      <c r="P9" t="s">
        <v>44</v>
      </c>
      <c r="AI9" t="s">
        <v>66</v>
      </c>
      <c r="AJ9">
        <v>98117</v>
      </c>
      <c r="AS9" t="s">
        <v>313</v>
      </c>
      <c r="AT9">
        <v>18906882</v>
      </c>
      <c r="AU9" s="12">
        <v>39495</v>
      </c>
      <c r="BB9" t="s">
        <v>911</v>
      </c>
      <c r="BC9" s="7">
        <v>39388</v>
      </c>
      <c r="BG9">
        <v>107</v>
      </c>
      <c r="BH9" s="17">
        <f t="shared" ca="1" si="0"/>
        <v>161</v>
      </c>
      <c r="BI9" s="17"/>
      <c r="BJ9" s="17"/>
    </row>
    <row r="10" spans="1:63" hidden="1">
      <c r="A10">
        <v>28020736</v>
      </c>
      <c r="B10" s="4" t="str">
        <f>HYPERLINK("http://www.windermere.com/index.cfm?fuseaction=Listing.ListingDetail&amp;ListingID=19320510","Subject To Inspection")</f>
        <v>Subject To Inspection</v>
      </c>
      <c r="D10" t="s">
        <v>967</v>
      </c>
      <c r="E10" t="s">
        <v>1082</v>
      </c>
      <c r="F10" s="10">
        <v>309950</v>
      </c>
      <c r="G10" t="s">
        <v>147</v>
      </c>
      <c r="H10" s="1">
        <v>1220</v>
      </c>
      <c r="J10">
        <v>3</v>
      </c>
      <c r="K10">
        <v>2.5</v>
      </c>
      <c r="M10" s="2" t="str">
        <f>HYPERLINK("http://www.windermere.com/index.cfm?fuseaction=Listing.MapPropertyInteractive&amp;ListingID=19320510&amp;resize=true&amp;windowWidth=800&amp;windowHeight=600","Map")</f>
        <v>Map</v>
      </c>
      <c r="O10" s="2" t="str">
        <f>HYPERLINK("http://www.windermere.com/index.cfm?fuseaction=Listing.MultiImageViewer&amp;ListingID=19320510&amp;ln=28020736&amp;pub_mls=1","More")</f>
        <v>More</v>
      </c>
      <c r="P10" t="s">
        <v>44</v>
      </c>
      <c r="AI10" t="s">
        <v>66</v>
      </c>
      <c r="AJ10">
        <v>98125</v>
      </c>
      <c r="AS10" t="s">
        <v>1083</v>
      </c>
      <c r="AT10">
        <v>19320510</v>
      </c>
      <c r="AU10" s="12">
        <v>39495</v>
      </c>
      <c r="BB10" t="s">
        <v>911</v>
      </c>
      <c r="BC10" s="7">
        <v>39482</v>
      </c>
      <c r="BG10">
        <v>13</v>
      </c>
      <c r="BH10" s="17">
        <f t="shared" ca="1" si="0"/>
        <v>67</v>
      </c>
      <c r="BI10" s="17"/>
      <c r="BJ10" s="17"/>
    </row>
    <row r="11" spans="1:63" hidden="1">
      <c r="A11">
        <v>28022589</v>
      </c>
      <c r="B11" s="2" t="str">
        <f>HYPERLINK("http://www.windermere.com/index.cfm?fuseaction=Listing.ListingDetail&amp;ListingID=19341859","Active")</f>
        <v>Active</v>
      </c>
      <c r="D11" t="s">
        <v>967</v>
      </c>
      <c r="E11" t="s">
        <v>1084</v>
      </c>
      <c r="F11" s="10">
        <v>309950</v>
      </c>
      <c r="G11" t="s">
        <v>255</v>
      </c>
      <c r="H11" s="14">
        <v>1420</v>
      </c>
      <c r="I11">
        <v>1716</v>
      </c>
      <c r="J11">
        <v>3</v>
      </c>
      <c r="K11">
        <v>2</v>
      </c>
      <c r="M11" s="2" t="str">
        <f>HYPERLINK("http://www.windermere.com/index.cfm?fuseaction=Listing.MapPropertyInteractive&amp;ListingID=19341859&amp;resize=true&amp;windowWidth=800&amp;windowHeight=600","Map")</f>
        <v>Map</v>
      </c>
      <c r="O11" s="2" t="str">
        <f>HYPERLINK("http://www.windermere.com/index.cfm?fuseaction=viewGallery.Home&amp;customTourID=206948&amp;wvt=0","More")</f>
        <v>More</v>
      </c>
      <c r="AI11" t="s">
        <v>395</v>
      </c>
      <c r="AJ11">
        <v>98155</v>
      </c>
      <c r="AS11" t="s">
        <v>1085</v>
      </c>
      <c r="AT11">
        <v>19341859</v>
      </c>
      <c r="AU11" s="12">
        <v>39495</v>
      </c>
      <c r="BB11" t="s">
        <v>911</v>
      </c>
      <c r="BC11" s="7">
        <v>39486</v>
      </c>
      <c r="BG11">
        <v>9</v>
      </c>
      <c r="BH11" s="17">
        <f t="shared" ca="1" si="0"/>
        <v>63</v>
      </c>
      <c r="BI11" s="17"/>
      <c r="BJ11" s="17"/>
    </row>
    <row r="12" spans="1:63" hidden="1">
      <c r="A12">
        <v>28015944</v>
      </c>
      <c r="B12" s="2" t="str">
        <f>HYPERLINK("http://www.windermere.com/index.cfm?fuseaction=Listing.ListingDetail&amp;ListingID=19281164","Subject To Inspection")</f>
        <v>Subject To Inspection</v>
      </c>
      <c r="D12" t="s">
        <v>1086</v>
      </c>
      <c r="E12" t="s">
        <v>380</v>
      </c>
      <c r="F12" s="10">
        <v>309999</v>
      </c>
      <c r="G12" t="s">
        <v>157</v>
      </c>
      <c r="H12">
        <v>770</v>
      </c>
      <c r="I12">
        <v>14469</v>
      </c>
      <c r="J12">
        <v>2</v>
      </c>
      <c r="K12">
        <v>1</v>
      </c>
      <c r="M12" s="2" t="str">
        <f>HYPERLINK("http://www.windermere.com/index.cfm?fuseaction=Listing.MapPropertyInteractive&amp;ListingID=19281164&amp;resize=true&amp;windowWidth=800&amp;windowHeight=600","Map")</f>
        <v>Map</v>
      </c>
      <c r="O12" s="2" t="str">
        <f>HYPERLINK("http://www.windermere.com/index.cfm?fuseaction=Listing.MultiImageViewer&amp;ListingID=19281164&amp;ln=28015944&amp;pub_mls=1","More")</f>
        <v>More</v>
      </c>
      <c r="AI12" t="s">
        <v>66</v>
      </c>
      <c r="AJ12">
        <v>98133</v>
      </c>
      <c r="AS12" t="s">
        <v>381</v>
      </c>
      <c r="AT12">
        <v>19281164</v>
      </c>
      <c r="AU12" s="12">
        <v>39495</v>
      </c>
      <c r="BB12" t="s">
        <v>911</v>
      </c>
      <c r="BC12" s="7">
        <v>39472</v>
      </c>
      <c r="BG12">
        <v>23</v>
      </c>
      <c r="BH12" s="17">
        <f t="shared" ca="1" si="0"/>
        <v>77</v>
      </c>
      <c r="BI12" s="17"/>
      <c r="BJ12" s="17"/>
      <c r="BK12" t="str">
        <f>B12</f>
        <v>Subject To Inspection</v>
      </c>
    </row>
    <row r="13" spans="1:63" hidden="1">
      <c r="A13">
        <v>28016237</v>
      </c>
      <c r="B13" s="15" t="str">
        <f>HYPERLINK("http://www.windermere.com/index.cfm?fuseaction=Listing.ListingDetail&amp;ListingID=19291014","Subject To Inspection")</f>
        <v>Subject To Inspection</v>
      </c>
      <c r="D13" t="s">
        <v>42</v>
      </c>
      <c r="E13" t="s">
        <v>382</v>
      </c>
      <c r="F13" s="10">
        <v>314000</v>
      </c>
      <c r="G13" t="s">
        <v>147</v>
      </c>
      <c r="H13" s="1">
        <v>1432</v>
      </c>
      <c r="J13">
        <v>3</v>
      </c>
      <c r="K13">
        <v>2.5</v>
      </c>
      <c r="M13" s="2" t="str">
        <f>HYPERLINK("http://www.windermere.com/index.cfm?fuseaction=Listing.MapPropertyInteractive&amp;ListingID=19291014&amp;resize=true&amp;windowWidth=800&amp;windowHeight=600","Map")</f>
        <v>Map</v>
      </c>
      <c r="O13" s="2" t="str">
        <f>HYPERLINK("http://www.windermere.com/index.cfm?fuseaction=Listing.MultiImageViewer&amp;ListingID=19291014&amp;ln=28016237&amp;pub_mls=1","More")</f>
        <v>More</v>
      </c>
      <c r="AI13" t="s">
        <v>66</v>
      </c>
      <c r="AJ13">
        <v>98133</v>
      </c>
      <c r="AS13" t="s">
        <v>383</v>
      </c>
      <c r="AT13">
        <v>19291014</v>
      </c>
      <c r="AU13" s="12">
        <v>39495</v>
      </c>
      <c r="BB13" t="s">
        <v>911</v>
      </c>
      <c r="BC13" s="7">
        <v>39475</v>
      </c>
      <c r="BG13">
        <v>20</v>
      </c>
      <c r="BH13" s="17">
        <f t="shared" ca="1" si="0"/>
        <v>74</v>
      </c>
      <c r="BI13" s="17"/>
      <c r="BJ13" s="17"/>
    </row>
    <row r="14" spans="1:63" hidden="1">
      <c r="A14">
        <v>28011739</v>
      </c>
      <c r="B14" s="2" t="str">
        <f>HYPERLINK("http://www.windermere.com/index.cfm?fuseaction=Listing.ListingDetail&amp;ListingID=19249638","Active")</f>
        <v>Active</v>
      </c>
      <c r="D14" t="s">
        <v>967</v>
      </c>
      <c r="E14" t="s">
        <v>1087</v>
      </c>
      <c r="F14" s="10">
        <v>314900</v>
      </c>
      <c r="G14" t="s">
        <v>128</v>
      </c>
      <c r="H14" s="1">
        <v>1275</v>
      </c>
      <c r="J14">
        <v>3</v>
      </c>
      <c r="K14">
        <v>1.75</v>
      </c>
      <c r="M14" s="2" t="str">
        <f>HYPERLINK("http://www.windermere.com/index.cfm?fuseaction=Listing.MapPropertyInteractive&amp;ListingID=19249638&amp;resize=true&amp;windowWidth=800&amp;windowHeight=600","Map")</f>
        <v>Map</v>
      </c>
      <c r="O14" s="2" t="str">
        <f>HYPERLINK("http://www.windermere.com/index.cfm?fuseaction=Listing.MultiImageViewer&amp;ListingID=19249638&amp;ln=28011739&amp;pub_mls=1","More")</f>
        <v>More</v>
      </c>
      <c r="P14" t="s">
        <v>44</v>
      </c>
      <c r="AI14" t="s">
        <v>66</v>
      </c>
      <c r="AJ14">
        <v>98125</v>
      </c>
      <c r="AS14" t="s">
        <v>1088</v>
      </c>
      <c r="AT14">
        <v>19249638</v>
      </c>
      <c r="AU14" s="12">
        <v>39495</v>
      </c>
      <c r="BB14" t="s">
        <v>911</v>
      </c>
      <c r="BC14" s="7">
        <v>39466</v>
      </c>
      <c r="BG14">
        <v>29</v>
      </c>
      <c r="BH14" s="17">
        <f t="shared" ca="1" si="0"/>
        <v>83</v>
      </c>
      <c r="BI14" s="17"/>
      <c r="BJ14" s="17"/>
    </row>
    <row r="15" spans="1:63" hidden="1">
      <c r="A15">
        <v>28014342</v>
      </c>
      <c r="B15" s="2" t="str">
        <f>HYPERLINK("http://www.windermere.com/index.cfm?fuseaction=Listing.ListingDetail&amp;ListingID=19267024","Subject To Inspection")</f>
        <v>Subject To Inspection</v>
      </c>
      <c r="D15" t="s">
        <v>967</v>
      </c>
      <c r="E15" t="s">
        <v>1089</v>
      </c>
      <c r="F15" s="10">
        <v>315000</v>
      </c>
      <c r="G15" t="s">
        <v>147</v>
      </c>
      <c r="H15" s="1">
        <v>1499</v>
      </c>
      <c r="J15">
        <v>3</v>
      </c>
      <c r="K15">
        <v>2</v>
      </c>
      <c r="M15" s="2" t="str">
        <f>HYPERLINK("http://www.windermere.com/index.cfm?fuseaction=Listing.MapPropertyInteractive&amp;ListingID=19267024&amp;resize=true&amp;windowWidth=800&amp;windowHeight=600","Map")</f>
        <v>Map</v>
      </c>
      <c r="O15" s="2" t="str">
        <f>HYPERLINK("http://www.windermere.com/index.cfm?fuseaction=Listing.MultiImageViewer&amp;ListingID=19267024&amp;ln=28014342&amp;pub_mls=1","More")</f>
        <v>More</v>
      </c>
      <c r="AI15" t="s">
        <v>66</v>
      </c>
      <c r="AJ15">
        <v>98125</v>
      </c>
      <c r="AS15" t="s">
        <v>1090</v>
      </c>
      <c r="AT15">
        <v>19267024</v>
      </c>
      <c r="AU15" s="12">
        <v>39495</v>
      </c>
      <c r="BB15" t="s">
        <v>911</v>
      </c>
      <c r="BC15" s="7">
        <v>39470</v>
      </c>
      <c r="BG15">
        <v>25</v>
      </c>
      <c r="BH15" s="17">
        <f t="shared" ca="1" si="0"/>
        <v>79</v>
      </c>
      <c r="BI15" s="17"/>
      <c r="BJ15" s="17"/>
      <c r="BK15" t="str">
        <f>B15</f>
        <v>Subject To Inspection</v>
      </c>
    </row>
    <row r="16" spans="1:63" hidden="1">
      <c r="A16">
        <v>28027761</v>
      </c>
      <c r="B16" s="2" t="str">
        <f>HYPERLINK("http://www.windermere.com/index.cfm?fuseaction=Listing.ListingDetail&amp;ListingID=19381850","Active")</f>
        <v>Active</v>
      </c>
      <c r="D16" t="s">
        <v>60</v>
      </c>
      <c r="E16" t="s">
        <v>384</v>
      </c>
      <c r="F16" s="10">
        <v>315000</v>
      </c>
      <c r="G16" t="s">
        <v>255</v>
      </c>
      <c r="H16">
        <v>800</v>
      </c>
      <c r="I16">
        <v>1196</v>
      </c>
      <c r="J16">
        <v>2</v>
      </c>
      <c r="K16">
        <v>1.5</v>
      </c>
      <c r="M16" s="2" t="str">
        <f>HYPERLINK("http://www.windermere.com/index.cfm?fuseaction=Listing.MapPropertyInteractive&amp;ListingID=19381850&amp;resize=true&amp;windowWidth=800&amp;windowHeight=600","Map")</f>
        <v>Map</v>
      </c>
      <c r="O16" s="2" t="str">
        <f>HYPERLINK("http://www.windermere.com/index.cfm?fuseaction=Listing.MultiImageViewer&amp;ListingID=19381850&amp;ln=28027761&amp;pub_mls=1","More")</f>
        <v>More</v>
      </c>
      <c r="AI16" t="s">
        <v>66</v>
      </c>
      <c r="AJ16">
        <v>98103</v>
      </c>
      <c r="AS16" t="s">
        <v>385</v>
      </c>
      <c r="AT16">
        <v>19381850</v>
      </c>
      <c r="AU16" s="12">
        <v>39495</v>
      </c>
      <c r="BB16" t="s">
        <v>911</v>
      </c>
      <c r="BC16" s="7">
        <v>39494</v>
      </c>
      <c r="BG16">
        <v>1</v>
      </c>
      <c r="BH16" s="17">
        <f t="shared" ca="1" si="0"/>
        <v>55</v>
      </c>
      <c r="BI16" s="17"/>
      <c r="BJ16" s="17"/>
    </row>
    <row r="17" spans="1:63" hidden="1">
      <c r="A17">
        <v>28000911</v>
      </c>
      <c r="B17" s="15" t="str">
        <f>HYPERLINK("http://www.windermere.com/index.cfm?fuseaction=Listing.ListingDetail&amp;ListingID=19148568","Active")</f>
        <v>Active</v>
      </c>
      <c r="D17" t="s">
        <v>967</v>
      </c>
      <c r="E17" t="s">
        <v>1093</v>
      </c>
      <c r="F17" s="13">
        <v>309888</v>
      </c>
      <c r="G17" t="s">
        <v>147</v>
      </c>
      <c r="H17" s="1">
        <v>1482</v>
      </c>
      <c r="J17">
        <v>3</v>
      </c>
      <c r="K17">
        <v>2.5</v>
      </c>
      <c r="M17" s="2" t="str">
        <f>HYPERLINK("http://www.windermere.com/index.cfm?fuseaction=Listing.MapPropertyInteractive&amp;ListingID=19148568&amp;resize=true&amp;windowWidth=800&amp;windowHeight=600","Map")</f>
        <v>Map</v>
      </c>
      <c r="O17" s="2" t="str">
        <f>HYPERLINK("http://www.windermere.com/index.cfm?fuseaction=Listing.MultiImageViewer&amp;ListingID=19148568&amp;ln=28000911&amp;pub_mls=1","More")</f>
        <v>More</v>
      </c>
      <c r="AI17" t="s">
        <v>66</v>
      </c>
      <c r="AJ17">
        <v>98125</v>
      </c>
      <c r="AS17" t="s">
        <v>1094</v>
      </c>
      <c r="AT17">
        <v>19148568</v>
      </c>
      <c r="AU17" s="12">
        <v>39495</v>
      </c>
      <c r="BB17" t="s">
        <v>911</v>
      </c>
      <c r="BC17" s="7">
        <v>39449</v>
      </c>
      <c r="BG17">
        <v>46</v>
      </c>
      <c r="BH17" s="17">
        <f t="shared" ca="1" si="0"/>
        <v>100</v>
      </c>
      <c r="BI17" s="17"/>
      <c r="BJ17" s="17"/>
      <c r="BK17" t="str">
        <f>B17</f>
        <v>Active</v>
      </c>
    </row>
    <row r="18" spans="1:63" hidden="1">
      <c r="A18">
        <v>28000982</v>
      </c>
      <c r="B18" s="2" t="str">
        <f>HYPERLINK("http://www.windermere.com/index.cfm?fuseaction=Listing.ListingDetail&amp;ListingID=19148569","Active")</f>
        <v>Active</v>
      </c>
      <c r="D18" t="s">
        <v>967</v>
      </c>
      <c r="E18" t="s">
        <v>1091</v>
      </c>
      <c r="F18" s="13">
        <v>309888</v>
      </c>
      <c r="G18" t="s">
        <v>147</v>
      </c>
      <c r="H18" s="1">
        <v>1380</v>
      </c>
      <c r="J18">
        <v>3</v>
      </c>
      <c r="K18">
        <v>2.25</v>
      </c>
      <c r="M18" s="2" t="str">
        <f>HYPERLINK("http://www.windermere.com/index.cfm?fuseaction=Listing.MapPropertyInteractive&amp;ListingID=19148569&amp;resize=true&amp;windowWidth=800&amp;windowHeight=600","Map")</f>
        <v>Map</v>
      </c>
      <c r="O18" s="2" t="str">
        <f>HYPERLINK("http://www.windermere.com/index.cfm?fuseaction=Listing.MultiImageViewer&amp;ListingID=19148569&amp;ln=28000982&amp;pub_mls=1","More")</f>
        <v>More</v>
      </c>
      <c r="AI18" t="s">
        <v>66</v>
      </c>
      <c r="AJ18">
        <v>98125</v>
      </c>
      <c r="AS18" t="s">
        <v>1092</v>
      </c>
      <c r="AT18">
        <v>19148569</v>
      </c>
      <c r="AU18" s="12">
        <v>39495</v>
      </c>
      <c r="BB18" t="s">
        <v>911</v>
      </c>
      <c r="BC18" s="7">
        <v>39494</v>
      </c>
      <c r="BG18">
        <v>1</v>
      </c>
      <c r="BH18" s="17">
        <f t="shared" ca="1" si="0"/>
        <v>55</v>
      </c>
      <c r="BI18" s="17"/>
      <c r="BJ18" s="17"/>
    </row>
    <row r="19" spans="1:63" hidden="1">
      <c r="A19">
        <v>27186400</v>
      </c>
      <c r="B19" s="2" t="str">
        <f>HYPERLINK("http://www.windermere.com/index.cfm?fuseaction=Listing.ListingDetail&amp;ListingID=18812719","Active")</f>
        <v>Active</v>
      </c>
      <c r="D19" t="s">
        <v>99</v>
      </c>
      <c r="E19" t="s">
        <v>320</v>
      </c>
      <c r="F19" s="10">
        <v>319950</v>
      </c>
      <c r="G19" t="s">
        <v>147</v>
      </c>
      <c r="J19">
        <v>3</v>
      </c>
      <c r="K19">
        <v>1.5</v>
      </c>
      <c r="M19" s="2" t="str">
        <f>HYPERLINK("http://www.windermere.com/index.cfm?fuseaction=Listing.MapPropertyInteractive&amp;ListingID=18812719&amp;resize=true&amp;windowWidth=800&amp;windowHeight=600","Map")</f>
        <v>Map</v>
      </c>
      <c r="O19" s="2" t="str">
        <f>HYPERLINK("http://www.windermere.com/index.cfm?fuseaction=Listing.MultiImageViewer&amp;ListingID=18812719&amp;ln=27186400&amp;pub_mls=1","More")</f>
        <v>More</v>
      </c>
      <c r="P19" t="s">
        <v>44</v>
      </c>
      <c r="AI19" t="s">
        <v>66</v>
      </c>
      <c r="AJ19">
        <v>98117</v>
      </c>
      <c r="AS19" t="s">
        <v>321</v>
      </c>
      <c r="AT19">
        <v>18812719</v>
      </c>
      <c r="AU19" s="12">
        <v>39495</v>
      </c>
      <c r="BB19" t="s">
        <v>911</v>
      </c>
      <c r="BC19" s="7">
        <v>39370</v>
      </c>
      <c r="BG19">
        <v>125</v>
      </c>
      <c r="BH19" s="17">
        <f t="shared" ca="1" si="0"/>
        <v>179</v>
      </c>
      <c r="BI19" s="17"/>
      <c r="BJ19" s="17"/>
    </row>
    <row r="20" spans="1:63" hidden="1">
      <c r="A20">
        <v>27189098</v>
      </c>
      <c r="B20" s="2" t="str">
        <f>HYPERLINK("http://www.windermere.com/index.cfm?fuseaction=Listing.ListingDetail&amp;ListingID=18838362","Subject To Inspection")</f>
        <v>Subject To Inspection</v>
      </c>
      <c r="D20" t="s">
        <v>99</v>
      </c>
      <c r="E20" t="s">
        <v>316</v>
      </c>
      <c r="F20" s="10">
        <v>319950</v>
      </c>
      <c r="G20" t="s">
        <v>147</v>
      </c>
      <c r="J20">
        <v>3</v>
      </c>
      <c r="K20">
        <v>1.5</v>
      </c>
      <c r="M20" s="2" t="str">
        <f>HYPERLINK("http://www.windermere.com/index.cfm?fuseaction=Listing.MapPropertyInteractive&amp;ListingID=18838362&amp;resize=true&amp;windowWidth=800&amp;windowHeight=600","Map")</f>
        <v>Map</v>
      </c>
      <c r="O20" s="2" t="str">
        <f>HYPERLINK("http://www.windermere.com/index.cfm?fuseaction=Listing.MultiImageViewer&amp;ListingID=18838362&amp;ln=27189098&amp;pub_mls=1","More")</f>
        <v>More</v>
      </c>
      <c r="P20" t="s">
        <v>44</v>
      </c>
      <c r="AI20" t="s">
        <v>66</v>
      </c>
      <c r="AJ20">
        <v>98117</v>
      </c>
      <c r="AS20" t="s">
        <v>317</v>
      </c>
      <c r="AT20">
        <v>18838362</v>
      </c>
      <c r="AU20" s="12">
        <v>39495</v>
      </c>
      <c r="BB20" t="s">
        <v>911</v>
      </c>
      <c r="BC20" s="7">
        <v>39374</v>
      </c>
      <c r="BG20">
        <v>121</v>
      </c>
      <c r="BH20" s="17">
        <f t="shared" ca="1" si="0"/>
        <v>175</v>
      </c>
      <c r="BI20" s="17"/>
      <c r="BJ20" s="17"/>
      <c r="BK20" t="str">
        <f>B20</f>
        <v>Subject To Inspection</v>
      </c>
    </row>
    <row r="21" spans="1:63" hidden="1">
      <c r="A21">
        <v>27192612</v>
      </c>
      <c r="B21" s="2" t="str">
        <f>HYPERLINK("http://www.windermere.com/index.cfm?fuseaction=Listing.ListingDetail&amp;ListingID=18870272","Subject To Inspection")</f>
        <v>Subject To Inspection</v>
      </c>
      <c r="D21" t="s">
        <v>99</v>
      </c>
      <c r="E21" t="s">
        <v>318</v>
      </c>
      <c r="F21" s="10">
        <v>319950</v>
      </c>
      <c r="G21" t="s">
        <v>147</v>
      </c>
      <c r="J21">
        <v>3</v>
      </c>
      <c r="K21">
        <v>1.5</v>
      </c>
      <c r="M21" s="2" t="str">
        <f>HYPERLINK("http://www.windermere.com/index.cfm?fuseaction=Listing.MapPropertyInteractive&amp;ListingID=18870272&amp;resize=true&amp;windowWidth=800&amp;windowHeight=600","Map")</f>
        <v>Map</v>
      </c>
      <c r="O21" s="2" t="str">
        <f>HYPERLINK("http://www.windermere.com/index.cfm?fuseaction=Listing.MultiImageViewer&amp;ListingID=18870272&amp;ln=27192612&amp;pub_mls=1","More")</f>
        <v>More</v>
      </c>
      <c r="P21" t="s">
        <v>44</v>
      </c>
      <c r="AI21" t="s">
        <v>66</v>
      </c>
      <c r="AJ21">
        <v>98117</v>
      </c>
      <c r="AS21" t="s">
        <v>319</v>
      </c>
      <c r="AT21">
        <v>18870272</v>
      </c>
      <c r="AU21" s="12">
        <v>39495</v>
      </c>
      <c r="BB21" t="s">
        <v>911</v>
      </c>
      <c r="BC21" s="7">
        <v>39381</v>
      </c>
      <c r="BG21">
        <v>114</v>
      </c>
      <c r="BH21" s="17">
        <f t="shared" ca="1" si="0"/>
        <v>168</v>
      </c>
      <c r="BI21" s="17"/>
      <c r="BJ21" s="17"/>
      <c r="BK21" t="str">
        <f>B21</f>
        <v>Subject To Inspection</v>
      </c>
    </row>
    <row r="22" spans="1:63" hidden="1">
      <c r="A22">
        <v>27199386</v>
      </c>
      <c r="B22" s="2" t="str">
        <f>HYPERLINK("http://www.windermere.com/index.cfm?fuseaction=Listing.ListingDetail&amp;ListingID=18936713","Active")</f>
        <v>Active</v>
      </c>
      <c r="D22" t="s">
        <v>99</v>
      </c>
      <c r="E22" t="s">
        <v>322</v>
      </c>
      <c r="F22" s="10">
        <v>319950</v>
      </c>
      <c r="G22" t="s">
        <v>147</v>
      </c>
      <c r="J22">
        <v>3</v>
      </c>
      <c r="K22">
        <v>1.5</v>
      </c>
      <c r="M22" s="2" t="str">
        <f>HYPERLINK("http://www.windermere.com/index.cfm?fuseaction=Listing.MapPropertyInteractive&amp;ListingID=18936713&amp;resize=true&amp;windowWidth=800&amp;windowHeight=600","Map")</f>
        <v>Map</v>
      </c>
      <c r="O22" s="2" t="str">
        <f>HYPERLINK("http://www.windermere.com/index.cfm?fuseaction=Listing.MultiImageViewer&amp;ListingID=18936713&amp;ln=27199386&amp;pub_mls=1","More")</f>
        <v>More</v>
      </c>
      <c r="P22" t="s">
        <v>44</v>
      </c>
      <c r="AI22" t="s">
        <v>66</v>
      </c>
      <c r="AJ22">
        <v>98117</v>
      </c>
      <c r="AS22" t="s">
        <v>323</v>
      </c>
      <c r="AT22">
        <v>18936713</v>
      </c>
      <c r="AU22" s="12">
        <v>39495</v>
      </c>
      <c r="BB22" t="s">
        <v>911</v>
      </c>
      <c r="BC22" s="7">
        <v>39394</v>
      </c>
      <c r="BG22">
        <v>101</v>
      </c>
      <c r="BH22" s="17">
        <f t="shared" ca="1" si="0"/>
        <v>155</v>
      </c>
      <c r="BI22" s="17"/>
      <c r="BJ22" s="17"/>
    </row>
    <row r="23" spans="1:63" hidden="1">
      <c r="A23">
        <v>27206338</v>
      </c>
      <c r="B23" s="2" t="str">
        <f>HYPERLINK("http://www.windermere.com/index.cfm?fuseaction=Listing.ListingDetail&amp;ListingID=19018885","Active")</f>
        <v>Active</v>
      </c>
      <c r="D23" t="s">
        <v>99</v>
      </c>
      <c r="E23" t="s">
        <v>314</v>
      </c>
      <c r="F23" s="10">
        <v>319950</v>
      </c>
      <c r="G23" t="s">
        <v>147</v>
      </c>
      <c r="J23">
        <v>3</v>
      </c>
      <c r="K23">
        <v>1.5</v>
      </c>
      <c r="M23" s="2" t="str">
        <f>HYPERLINK("http://www.windermere.com/index.cfm?fuseaction=Listing.MapPropertyInteractive&amp;ListingID=19018885&amp;resize=true&amp;windowWidth=800&amp;windowHeight=600","Map")</f>
        <v>Map</v>
      </c>
      <c r="O23" s="2" t="str">
        <f>HYPERLINK("http://www.windermere.com/index.cfm?fuseaction=Listing.MultiImageViewer&amp;ListingID=19018885&amp;ln=27206338&amp;pub_mls=1","More")</f>
        <v>More</v>
      </c>
      <c r="P23" t="s">
        <v>44</v>
      </c>
      <c r="AI23" t="s">
        <v>66</v>
      </c>
      <c r="AJ23">
        <v>98117</v>
      </c>
      <c r="AS23" t="s">
        <v>315</v>
      </c>
      <c r="AT23">
        <v>19018885</v>
      </c>
      <c r="AU23" s="12">
        <v>39495</v>
      </c>
      <c r="BB23" t="s">
        <v>911</v>
      </c>
      <c r="BC23" s="7">
        <v>39413</v>
      </c>
      <c r="BG23">
        <v>82</v>
      </c>
      <c r="BH23" s="17">
        <f t="shared" ca="1" si="0"/>
        <v>136</v>
      </c>
      <c r="BI23" s="17"/>
      <c r="BJ23" s="17"/>
    </row>
    <row r="24" spans="1:63" hidden="1">
      <c r="A24">
        <v>27215594</v>
      </c>
      <c r="B24" s="15" t="str">
        <f>HYPERLINK("http://www.windermere.com/index.cfm?fuseaction=Listing.ListingDetail&amp;ListingID=19127481","Subject To Inspection")</f>
        <v>Subject To Inspection</v>
      </c>
      <c r="D24" t="s">
        <v>60</v>
      </c>
      <c r="E24" t="s">
        <v>388</v>
      </c>
      <c r="F24" s="10">
        <v>319950</v>
      </c>
      <c r="G24" t="s">
        <v>147</v>
      </c>
      <c r="H24" s="1">
        <v>1088</v>
      </c>
      <c r="J24">
        <v>2</v>
      </c>
      <c r="K24">
        <v>2.5</v>
      </c>
      <c r="M24" s="2" t="str">
        <f>HYPERLINK("http://www.windermere.com/index.cfm?fuseaction=Listing.MapPropertyInteractive&amp;ListingID=19127481&amp;resize=true&amp;windowWidth=800&amp;windowHeight=600","Map")</f>
        <v>Map</v>
      </c>
      <c r="O24" s="2" t="str">
        <f>HYPERLINK("http://www.windermere.com/index.cfm?fuseaction=viewGallery.Home&amp;customTourID=203089&amp;wvt=0","More")</f>
        <v>More</v>
      </c>
      <c r="AI24" t="s">
        <v>66</v>
      </c>
      <c r="AJ24">
        <v>98103</v>
      </c>
      <c r="AS24" t="s">
        <v>389</v>
      </c>
      <c r="AT24">
        <v>19127481</v>
      </c>
      <c r="AU24" s="12">
        <v>39495</v>
      </c>
      <c r="BB24" t="s">
        <v>911</v>
      </c>
      <c r="BC24" s="7">
        <v>39442</v>
      </c>
      <c r="BG24">
        <v>53</v>
      </c>
      <c r="BH24" s="17">
        <f t="shared" ca="1" si="0"/>
        <v>107</v>
      </c>
      <c r="BI24" s="17"/>
      <c r="BJ24" s="17"/>
    </row>
    <row r="25" spans="1:63" hidden="1">
      <c r="A25">
        <v>28024017</v>
      </c>
      <c r="B25" s="2" t="str">
        <f>HYPERLINK("http://www.windermere.com/index.cfm?fuseaction=Listing.ListingDetail&amp;ListingID=19343180","Active")</f>
        <v>Active</v>
      </c>
      <c r="D25" t="s">
        <v>99</v>
      </c>
      <c r="E25" t="s">
        <v>386</v>
      </c>
      <c r="F25" s="10">
        <v>319950</v>
      </c>
      <c r="G25" t="s">
        <v>156</v>
      </c>
      <c r="H25">
        <v>840</v>
      </c>
      <c r="I25">
        <v>8407</v>
      </c>
      <c r="J25">
        <v>2</v>
      </c>
      <c r="K25">
        <v>1</v>
      </c>
      <c r="M25" s="2" t="str">
        <f>HYPERLINK("http://www.windermere.com/index.cfm?fuseaction=Listing.MapPropertyInteractive&amp;ListingID=19343180&amp;resize=true&amp;windowWidth=800&amp;windowHeight=600","Map")</f>
        <v>Map</v>
      </c>
      <c r="O25" s="2" t="str">
        <f>HYPERLINK("http://www.windermere.com/index.cfm?fuseaction=Listing.MultiImageViewer&amp;ListingID=19343180&amp;ln=28024017&amp;pub_mls=1","More")</f>
        <v>More</v>
      </c>
      <c r="AI25" t="s">
        <v>66</v>
      </c>
      <c r="AJ25">
        <v>98177</v>
      </c>
      <c r="AS25" t="s">
        <v>387</v>
      </c>
      <c r="AT25">
        <v>19343180</v>
      </c>
      <c r="AU25" s="12">
        <v>39495</v>
      </c>
      <c r="BB25" t="s">
        <v>911</v>
      </c>
      <c r="BC25" s="7">
        <v>39486</v>
      </c>
      <c r="BG25">
        <v>9</v>
      </c>
      <c r="BH25" s="17">
        <f t="shared" ca="1" si="0"/>
        <v>63</v>
      </c>
      <c r="BI25" s="17"/>
      <c r="BJ25" s="17"/>
    </row>
    <row r="26" spans="1:63" hidden="1">
      <c r="A26">
        <v>28027404</v>
      </c>
      <c r="B26" s="2" t="str">
        <f>HYPERLINK("http://www.windermere.com/index.cfm?fuseaction=Listing.ListingDetail&amp;ListingID=19372503","Subject To Inspection")</f>
        <v>Subject To Inspection</v>
      </c>
      <c r="D26" t="s">
        <v>60</v>
      </c>
      <c r="E26" t="s">
        <v>390</v>
      </c>
      <c r="F26" s="10">
        <v>319950</v>
      </c>
      <c r="G26" t="s">
        <v>147</v>
      </c>
      <c r="H26" s="1">
        <v>1088</v>
      </c>
      <c r="J26">
        <v>2</v>
      </c>
      <c r="K26">
        <v>2.5</v>
      </c>
      <c r="M26" s="2" t="str">
        <f>HYPERLINK("http://www.windermere.com/index.cfm?fuseaction=Listing.MapPropertyInteractive&amp;ListingID=19372503&amp;resize=true&amp;windowWidth=800&amp;windowHeight=600","Map")</f>
        <v>Map</v>
      </c>
      <c r="AI26" t="s">
        <v>66</v>
      </c>
      <c r="AJ26">
        <v>98103</v>
      </c>
      <c r="AS26" t="s">
        <v>391</v>
      </c>
      <c r="AT26">
        <v>19372503</v>
      </c>
      <c r="AU26" s="12">
        <v>39495</v>
      </c>
      <c r="BB26" t="s">
        <v>911</v>
      </c>
      <c r="BC26" s="7">
        <v>39492</v>
      </c>
      <c r="BG26">
        <v>3</v>
      </c>
      <c r="BH26" s="17">
        <f t="shared" ca="1" si="0"/>
        <v>57</v>
      </c>
      <c r="BI26" s="17"/>
      <c r="BJ26" s="17"/>
      <c r="BK26" t="str">
        <f>B26</f>
        <v>Subject To Inspection</v>
      </c>
    </row>
    <row r="27" spans="1:63" hidden="1">
      <c r="A27">
        <v>27213367</v>
      </c>
      <c r="B27" s="2" t="str">
        <f>HYPERLINK("http://www.windermere.com/index.cfm?fuseaction=Listing.ListingDetail&amp;ListingID=19100576","Active")</f>
        <v>Active</v>
      </c>
      <c r="D27" t="s">
        <v>967</v>
      </c>
      <c r="E27" t="s">
        <v>1095</v>
      </c>
      <c r="F27" s="10">
        <v>320000</v>
      </c>
      <c r="G27" t="s">
        <v>146</v>
      </c>
      <c r="H27">
        <v>700</v>
      </c>
      <c r="I27">
        <v>5753</v>
      </c>
      <c r="J27">
        <v>2</v>
      </c>
      <c r="K27">
        <v>1</v>
      </c>
      <c r="M27" s="2" t="str">
        <f>HYPERLINK("http://www.windermere.com/index.cfm?fuseaction=Listing.MapPropertyInteractive&amp;ListingID=19100576&amp;resize=true&amp;windowWidth=800&amp;windowHeight=600","Map")</f>
        <v>Map</v>
      </c>
      <c r="O27" s="2" t="str">
        <f>HYPERLINK("http://www.windermere.com/index.cfm?fuseaction=Listing.MultiImageViewer&amp;ListingID=19100576&amp;ln=27213367&amp;pub_mls=1","More")</f>
        <v>More</v>
      </c>
      <c r="P27" t="s">
        <v>44</v>
      </c>
      <c r="AI27" t="s">
        <v>66</v>
      </c>
      <c r="AJ27">
        <v>98125</v>
      </c>
      <c r="AS27" t="s">
        <v>1096</v>
      </c>
      <c r="AT27">
        <v>19100576</v>
      </c>
      <c r="AU27" s="12">
        <v>39495</v>
      </c>
      <c r="BB27" t="s">
        <v>911</v>
      </c>
      <c r="BC27" s="7">
        <v>39431</v>
      </c>
      <c r="BG27">
        <v>64</v>
      </c>
      <c r="BH27" s="17">
        <f t="shared" ca="1" si="0"/>
        <v>118</v>
      </c>
      <c r="BI27" s="17"/>
      <c r="BJ27" s="17"/>
    </row>
    <row r="28" spans="1:63" hidden="1">
      <c r="A28">
        <v>28000989</v>
      </c>
      <c r="B28" s="2" t="str">
        <f>HYPERLINK("http://www.windermere.com/index.cfm?fuseaction=Listing.ListingDetail&amp;ListingID=19148570","Active")</f>
        <v>Active</v>
      </c>
      <c r="D28" t="s">
        <v>967</v>
      </c>
      <c r="E28" t="s">
        <v>1097</v>
      </c>
      <c r="F28" s="13">
        <v>315888</v>
      </c>
      <c r="G28" t="s">
        <v>147</v>
      </c>
      <c r="H28" s="1">
        <v>1335</v>
      </c>
      <c r="J28">
        <v>3</v>
      </c>
      <c r="K28">
        <v>3</v>
      </c>
      <c r="M28" s="2" t="str">
        <f>HYPERLINK("http://www.windermere.com/index.cfm?fuseaction=Listing.MapPropertyInteractive&amp;ListingID=19148570&amp;resize=true&amp;windowWidth=800&amp;windowHeight=600","Map")</f>
        <v>Map</v>
      </c>
      <c r="O28" s="2" t="str">
        <f>HYPERLINK("http://www.windermere.com/index.cfm?fuseaction=Listing.MultiImageViewer&amp;ListingID=19148570&amp;ln=28000989&amp;pub_mls=1","More")</f>
        <v>More</v>
      </c>
      <c r="AI28" t="s">
        <v>66</v>
      </c>
      <c r="AJ28">
        <v>98125</v>
      </c>
      <c r="AS28" t="s">
        <v>1098</v>
      </c>
      <c r="AT28">
        <v>19148570</v>
      </c>
      <c r="AU28" s="12">
        <v>39495</v>
      </c>
      <c r="BB28" t="s">
        <v>911</v>
      </c>
      <c r="BC28" s="7">
        <v>39449</v>
      </c>
      <c r="BG28">
        <v>46</v>
      </c>
      <c r="BH28" s="17">
        <f t="shared" ca="1" si="0"/>
        <v>100</v>
      </c>
      <c r="BI28" s="17"/>
      <c r="BJ28" s="17"/>
    </row>
    <row r="29" spans="1:63" hidden="1">
      <c r="A29">
        <v>27186819</v>
      </c>
      <c r="B29" s="2" t="str">
        <f>HYPERLINK("http://www.windermere.com/index.cfm?fuseaction=Listing.ListingDetail&amp;ListingID=18814919","Active")</f>
        <v>Active</v>
      </c>
      <c r="D29" t="s">
        <v>55</v>
      </c>
      <c r="E29" t="s">
        <v>392</v>
      </c>
      <c r="F29" s="10">
        <v>324950</v>
      </c>
      <c r="G29" t="s">
        <v>393</v>
      </c>
      <c r="H29">
        <v>840</v>
      </c>
      <c r="I29">
        <v>3844</v>
      </c>
      <c r="J29">
        <v>2</v>
      </c>
      <c r="K29">
        <v>1</v>
      </c>
      <c r="M29" s="2" t="str">
        <f>HYPERLINK("http://www.windermere.com/index.cfm?fuseaction=Listing.MapPropertyInteractive&amp;ListingID=18814919&amp;resize=true&amp;windowWidth=800&amp;windowHeight=600","Map")</f>
        <v>Map</v>
      </c>
      <c r="O29" s="2" t="str">
        <f>HYPERLINK("http://www.windermere.com/index.cfm?fuseaction=Listing.MultiImageViewer&amp;ListingID=18814919&amp;ln=27186819&amp;pub_mls=1","More")</f>
        <v>More</v>
      </c>
      <c r="AI29" t="s">
        <v>66</v>
      </c>
      <c r="AJ29">
        <v>98133</v>
      </c>
      <c r="AS29" t="s">
        <v>394</v>
      </c>
      <c r="AT29">
        <v>18814919</v>
      </c>
      <c r="AU29" s="12">
        <v>39495</v>
      </c>
      <c r="BB29" t="s">
        <v>911</v>
      </c>
      <c r="BC29" s="7">
        <v>39371</v>
      </c>
      <c r="BG29">
        <v>124</v>
      </c>
      <c r="BH29" s="17">
        <f t="shared" ca="1" si="0"/>
        <v>178</v>
      </c>
      <c r="BI29" s="17"/>
      <c r="BJ29" s="17"/>
    </row>
    <row r="30" spans="1:63" hidden="1">
      <c r="A30">
        <v>28007094</v>
      </c>
      <c r="B30" s="2" t="str">
        <f>HYPERLINK("http://www.windermere.com/index.cfm?fuseaction=Listing.ListingDetail&amp;ListingID=19216145","Active")</f>
        <v>Active</v>
      </c>
      <c r="D30" t="s">
        <v>199</v>
      </c>
      <c r="E30" t="s">
        <v>396</v>
      </c>
      <c r="F30" s="10">
        <v>325000</v>
      </c>
      <c r="G30" t="s">
        <v>132</v>
      </c>
      <c r="H30">
        <v>890</v>
      </c>
      <c r="I30">
        <v>5000</v>
      </c>
      <c r="J30">
        <v>2</v>
      </c>
      <c r="K30">
        <v>1</v>
      </c>
      <c r="M30" s="2" t="str">
        <f>HYPERLINK("http://www.windermere.com/index.cfm?fuseaction=Listing.MapPropertyInteractive&amp;ListingID=19216145&amp;resize=true&amp;windowWidth=800&amp;windowHeight=600","Map")</f>
        <v>Map</v>
      </c>
      <c r="O30" s="2" t="str">
        <f>HYPERLINK("http://www.windermere.com/index.cfm?fuseaction=Listing.MultiImageViewer&amp;ListingID=19216145&amp;ln=28007094&amp;pub_mls=1","More")</f>
        <v>More</v>
      </c>
      <c r="AI30" t="s">
        <v>66</v>
      </c>
      <c r="AJ30">
        <v>98125</v>
      </c>
      <c r="AS30" t="s">
        <v>397</v>
      </c>
      <c r="AT30">
        <v>19216145</v>
      </c>
      <c r="AU30" s="12">
        <v>39495</v>
      </c>
      <c r="BB30" t="s">
        <v>911</v>
      </c>
      <c r="BC30" s="7">
        <v>39459</v>
      </c>
      <c r="BG30">
        <v>36</v>
      </c>
      <c r="BH30" s="17">
        <f t="shared" ca="1" si="0"/>
        <v>90</v>
      </c>
      <c r="BI30" s="17"/>
      <c r="BJ30" s="17"/>
    </row>
    <row r="31" spans="1:63" hidden="1">
      <c r="A31">
        <v>28007357</v>
      </c>
      <c r="B31" s="2" t="str">
        <f>HYPERLINK("http://www.windermere.com/index.cfm?fuseaction=Listing.ListingDetail&amp;ListingID=19206462","Active")</f>
        <v>Active</v>
      </c>
      <c r="D31" t="s">
        <v>42</v>
      </c>
      <c r="E31" t="s">
        <v>398</v>
      </c>
      <c r="F31" s="13">
        <v>300000</v>
      </c>
      <c r="G31" t="s">
        <v>156</v>
      </c>
      <c r="H31">
        <v>850</v>
      </c>
      <c r="I31">
        <v>6800</v>
      </c>
      <c r="J31">
        <v>2</v>
      </c>
      <c r="K31">
        <v>1</v>
      </c>
      <c r="M31" s="2" t="str">
        <f>HYPERLINK("http://www.windermere.com/index.cfm?fuseaction=Listing.MapPropertyInteractive&amp;ListingID=19206462&amp;resize=true&amp;windowWidth=800&amp;windowHeight=600","Map")</f>
        <v>Map</v>
      </c>
      <c r="O31" s="2" t="str">
        <f>HYPERLINK("http://www.windermere.com/index.cfm?fuseaction=Listing.MultiImageViewer&amp;ListingID=19206462&amp;ln=28007357&amp;pub_mls=1","More")</f>
        <v>More</v>
      </c>
      <c r="AI31" t="s">
        <v>66</v>
      </c>
      <c r="AJ31">
        <v>98133</v>
      </c>
      <c r="AS31" t="s">
        <v>399</v>
      </c>
      <c r="AT31">
        <v>19206462</v>
      </c>
      <c r="AU31" s="12">
        <v>39495</v>
      </c>
      <c r="BB31" t="s">
        <v>911</v>
      </c>
      <c r="BC31" s="7">
        <v>39458</v>
      </c>
      <c r="BG31">
        <v>37</v>
      </c>
      <c r="BH31" s="17">
        <f t="shared" ca="1" si="0"/>
        <v>91</v>
      </c>
      <c r="BI31" s="17"/>
      <c r="BJ31" s="17"/>
    </row>
    <row r="32" spans="1:63" hidden="1">
      <c r="A32">
        <v>28025036</v>
      </c>
      <c r="B32" s="15" t="str">
        <f>HYPERLINK("http://www.windermere.com/index.cfm?fuseaction=Listing.ListingDetail&amp;ListingID=19356881","Subject To Inspection")</f>
        <v>Subject To Inspection</v>
      </c>
      <c r="D32" t="s">
        <v>55</v>
      </c>
      <c r="E32" t="s">
        <v>400</v>
      </c>
      <c r="F32" s="10">
        <v>325000</v>
      </c>
      <c r="G32" t="s">
        <v>378</v>
      </c>
      <c r="H32" s="1">
        <v>1150</v>
      </c>
      <c r="I32">
        <v>7650</v>
      </c>
      <c r="J32">
        <v>2</v>
      </c>
      <c r="K32">
        <v>1</v>
      </c>
      <c r="M32" s="2" t="str">
        <f>HYPERLINK("http://www.windermere.com/index.cfm?fuseaction=Listing.MapPropertyInteractive&amp;ListingID=19356881&amp;resize=true&amp;windowWidth=800&amp;windowHeight=600","Map")</f>
        <v>Map</v>
      </c>
      <c r="O32" s="2" t="str">
        <f>HYPERLINK("http://www.windermere.com/index.cfm?fuseaction=viewGallery.Home&amp;customTourID=207418&amp;wvt=0","More")</f>
        <v>More</v>
      </c>
      <c r="AI32" t="s">
        <v>66</v>
      </c>
      <c r="AJ32">
        <v>98133</v>
      </c>
      <c r="AS32" t="s">
        <v>401</v>
      </c>
      <c r="AT32">
        <v>19356881</v>
      </c>
      <c r="AU32" s="12">
        <v>39495</v>
      </c>
      <c r="BB32" t="s">
        <v>911</v>
      </c>
      <c r="BC32" s="7">
        <v>39490</v>
      </c>
      <c r="BG32">
        <v>5</v>
      </c>
      <c r="BH32" s="17">
        <f t="shared" ca="1" si="0"/>
        <v>59</v>
      </c>
      <c r="BI32" s="17"/>
      <c r="BJ32" s="17"/>
    </row>
    <row r="33" spans="1:63" hidden="1">
      <c r="A33">
        <v>27154939</v>
      </c>
      <c r="B33" s="2" t="str">
        <f>HYPERLINK("http://www.windermere.com/index.cfm?fuseaction=Listing.ListingDetail&amp;ListingID=18521282","Active")</f>
        <v>Active</v>
      </c>
      <c r="D33" t="s">
        <v>60</v>
      </c>
      <c r="E33" t="s">
        <v>411</v>
      </c>
      <c r="F33" s="10">
        <v>329000</v>
      </c>
      <c r="G33" t="s">
        <v>147</v>
      </c>
      <c r="J33">
        <v>2</v>
      </c>
      <c r="K33">
        <v>1.5</v>
      </c>
      <c r="M33" s="2" t="str">
        <f>HYPERLINK("http://www.windermere.com/index.cfm?fuseaction=Listing.MapPropertyInteractive&amp;ListingID=18521282&amp;resize=true&amp;windowWidth=800&amp;windowHeight=600","Map")</f>
        <v>Map</v>
      </c>
      <c r="O33" s="2" t="str">
        <f>HYPERLINK("http://www.windermere.com/index.cfm?fuseaction=Listing.MultiImageViewer&amp;ListingID=18521282&amp;ln=27154939&amp;pub_mls=1","More")</f>
        <v>More</v>
      </c>
      <c r="AI33" t="s">
        <v>66</v>
      </c>
      <c r="AJ33">
        <v>98103</v>
      </c>
      <c r="AS33" t="s">
        <v>412</v>
      </c>
      <c r="AT33">
        <v>18521282</v>
      </c>
      <c r="AU33" s="12">
        <v>39495</v>
      </c>
      <c r="BB33" t="s">
        <v>911</v>
      </c>
      <c r="BC33" s="7">
        <v>39319</v>
      </c>
      <c r="BD33">
        <v>3</v>
      </c>
      <c r="BE33" s="6" t="s">
        <v>1322</v>
      </c>
      <c r="BG33">
        <v>176</v>
      </c>
      <c r="BH33" s="17">
        <f t="shared" ca="1" si="0"/>
        <v>230</v>
      </c>
      <c r="BI33" s="17"/>
      <c r="BJ33" s="17"/>
    </row>
    <row r="34" spans="1:63" hidden="1">
      <c r="A34">
        <v>27169639</v>
      </c>
      <c r="B34" s="2" t="str">
        <f>HYPERLINK("http://www.windermere.com/index.cfm?fuseaction=Listing.ListingDetail&amp;ListingID=18645969","Active")</f>
        <v>Active</v>
      </c>
      <c r="D34" t="s">
        <v>60</v>
      </c>
      <c r="E34" t="s">
        <v>407</v>
      </c>
      <c r="F34" s="10">
        <v>329000</v>
      </c>
      <c r="G34" t="s">
        <v>147</v>
      </c>
      <c r="J34">
        <v>2</v>
      </c>
      <c r="K34">
        <v>1.5</v>
      </c>
      <c r="M34" s="2" t="str">
        <f>HYPERLINK("http://www.windermere.com/index.cfm?fuseaction=Listing.MapPropertyInteractive&amp;ListingID=18645969&amp;resize=true&amp;windowWidth=800&amp;windowHeight=600","Map")</f>
        <v>Map</v>
      </c>
      <c r="O34" s="2" t="str">
        <f>HYPERLINK("http://www.windermere.com/index.cfm?fuseaction=Listing.MultiImageViewer&amp;ListingID=18645969&amp;ln=27169639&amp;pub_mls=1","More")</f>
        <v>More</v>
      </c>
      <c r="AI34" t="s">
        <v>66</v>
      </c>
      <c r="AJ34">
        <v>98103</v>
      </c>
      <c r="AS34" t="s">
        <v>408</v>
      </c>
      <c r="AT34">
        <v>18645969</v>
      </c>
      <c r="AU34" s="12">
        <v>39495</v>
      </c>
      <c r="BB34" t="s">
        <v>911</v>
      </c>
      <c r="BC34" s="7">
        <v>39340</v>
      </c>
      <c r="BG34">
        <v>155</v>
      </c>
      <c r="BH34" s="17">
        <f t="shared" ca="1" si="0"/>
        <v>209</v>
      </c>
      <c r="BI34" s="17"/>
      <c r="BJ34" s="17"/>
    </row>
    <row r="35" spans="1:63" hidden="1">
      <c r="A35">
        <v>27169642</v>
      </c>
      <c r="B35" s="2" t="str">
        <f>HYPERLINK("http://www.windermere.com/index.cfm?fuseaction=Listing.ListingDetail&amp;ListingID=18645976","Active")</f>
        <v>Active</v>
      </c>
      <c r="D35" t="s">
        <v>60</v>
      </c>
      <c r="E35" t="s">
        <v>405</v>
      </c>
      <c r="F35" s="10">
        <v>329000</v>
      </c>
      <c r="G35" t="s">
        <v>147</v>
      </c>
      <c r="J35">
        <v>2</v>
      </c>
      <c r="K35">
        <v>1.5</v>
      </c>
      <c r="M35" s="2" t="str">
        <f>HYPERLINK("http://www.windermere.com/index.cfm?fuseaction=Listing.MapPropertyInteractive&amp;ListingID=18645976&amp;resize=true&amp;windowWidth=800&amp;windowHeight=600","Map")</f>
        <v>Map</v>
      </c>
      <c r="O35" s="2" t="str">
        <f>HYPERLINK("http://www.windermere.com/index.cfm?fuseaction=Listing.MultiImageViewer&amp;ListingID=18645976&amp;ln=27169642&amp;pub_mls=1","More")</f>
        <v>More</v>
      </c>
      <c r="AI35" t="s">
        <v>66</v>
      </c>
      <c r="AJ35">
        <v>98103</v>
      </c>
      <c r="AS35" t="s">
        <v>406</v>
      </c>
      <c r="AT35">
        <v>18645976</v>
      </c>
      <c r="AU35" s="12">
        <v>39495</v>
      </c>
      <c r="BB35" t="s">
        <v>911</v>
      </c>
      <c r="BC35" s="7">
        <v>39340</v>
      </c>
      <c r="BG35">
        <v>155</v>
      </c>
      <c r="BH35" s="17">
        <f t="shared" ca="1" si="0"/>
        <v>209</v>
      </c>
      <c r="BI35" s="17"/>
      <c r="BJ35" s="17"/>
    </row>
    <row r="36" spans="1:63" hidden="1">
      <c r="A36">
        <v>27190986</v>
      </c>
      <c r="B36" s="2" t="str">
        <f>HYPERLINK("http://www.windermere.com/index.cfm?fuseaction=Listing.ListingDetail&amp;ListingID=18854105","Active")</f>
        <v>Active</v>
      </c>
      <c r="D36" t="s">
        <v>60</v>
      </c>
      <c r="E36" t="s">
        <v>409</v>
      </c>
      <c r="F36" s="10">
        <v>329000</v>
      </c>
      <c r="G36" t="s">
        <v>147</v>
      </c>
      <c r="J36">
        <v>2</v>
      </c>
      <c r="K36">
        <v>1.5</v>
      </c>
      <c r="M36" s="2" t="str">
        <f>HYPERLINK("http://www.windermere.com/index.cfm?fuseaction=Listing.MapPropertyInteractive&amp;ListingID=18854105&amp;resize=true&amp;windowWidth=800&amp;windowHeight=600","Map")</f>
        <v>Map</v>
      </c>
      <c r="O36" s="2" t="str">
        <f>HYPERLINK("http://www.windermere.com/index.cfm?fuseaction=Listing.MultiImageViewer&amp;ListingID=18854105&amp;ln=27190986&amp;pub_mls=1","More")</f>
        <v>More</v>
      </c>
      <c r="AI36" t="s">
        <v>66</v>
      </c>
      <c r="AJ36">
        <v>98103</v>
      </c>
      <c r="AS36" t="s">
        <v>410</v>
      </c>
      <c r="AT36">
        <v>18854105</v>
      </c>
      <c r="AU36" s="12">
        <v>39495</v>
      </c>
      <c r="BB36" t="s">
        <v>911</v>
      </c>
      <c r="BC36" s="7">
        <v>39378</v>
      </c>
      <c r="BG36">
        <v>117</v>
      </c>
      <c r="BH36" s="17">
        <f t="shared" ca="1" si="0"/>
        <v>171</v>
      </c>
      <c r="BI36" s="17"/>
      <c r="BJ36" s="17"/>
    </row>
    <row r="37" spans="1:63" hidden="1">
      <c r="A37">
        <v>28014016</v>
      </c>
      <c r="B37" s="2" t="str">
        <f>HYPERLINK("http://www.windermere.com/index.cfm?fuseaction=Listing.ListingDetail&amp;ListingID=19265907","Active")</f>
        <v>Active</v>
      </c>
      <c r="D37" t="s">
        <v>63</v>
      </c>
      <c r="E37" t="s">
        <v>324</v>
      </c>
      <c r="F37" s="10">
        <v>329000</v>
      </c>
      <c r="G37" t="s">
        <v>147</v>
      </c>
      <c r="H37" s="1">
        <v>1200</v>
      </c>
      <c r="J37">
        <v>2</v>
      </c>
      <c r="K37">
        <v>2.5</v>
      </c>
      <c r="M37" s="2" t="str">
        <f>HYPERLINK("http://www.windermere.com/index.cfm?fuseaction=Listing.MapPropertyInteractive&amp;ListingID=19265907&amp;resize=true&amp;windowWidth=800&amp;windowHeight=600","Map")</f>
        <v>Map</v>
      </c>
      <c r="O37" s="2" t="str">
        <f>HYPERLINK("http://www.windermere.com/index.cfm?fuseaction=Listing.MultiImageViewer&amp;ListingID=19265907&amp;ln=28014016&amp;pub_mls=1","More")</f>
        <v>More</v>
      </c>
      <c r="P37" t="s">
        <v>44</v>
      </c>
      <c r="AI37" t="s">
        <v>66</v>
      </c>
      <c r="AJ37">
        <v>98117</v>
      </c>
      <c r="AS37" t="s">
        <v>325</v>
      </c>
      <c r="AT37">
        <v>19265907</v>
      </c>
      <c r="AU37" s="12">
        <v>39495</v>
      </c>
      <c r="BB37" t="s">
        <v>911</v>
      </c>
      <c r="BC37" s="7">
        <v>39470</v>
      </c>
      <c r="BG37">
        <v>25</v>
      </c>
      <c r="BH37" s="17">
        <f t="shared" ca="1" si="0"/>
        <v>79</v>
      </c>
      <c r="BI37" s="17"/>
      <c r="BJ37" s="17"/>
    </row>
    <row r="38" spans="1:63" hidden="1">
      <c r="A38">
        <v>28006018</v>
      </c>
      <c r="B38" s="2" t="str">
        <f>HYPERLINK("http://www.windermere.com/index.cfm?fuseaction=Listing.ListingDetail&amp;ListingID=19192648","Active")</f>
        <v>Active</v>
      </c>
      <c r="D38" t="s">
        <v>184</v>
      </c>
      <c r="E38" t="s">
        <v>413</v>
      </c>
      <c r="F38" s="13">
        <v>309950</v>
      </c>
      <c r="G38" t="s">
        <v>168</v>
      </c>
      <c r="I38">
        <v>6604</v>
      </c>
      <c r="J38">
        <v>3</v>
      </c>
      <c r="K38">
        <v>1.5</v>
      </c>
      <c r="M38" s="2" t="str">
        <f>HYPERLINK("http://www.windermere.com/index.cfm?fuseaction=Listing.MapPropertyInteractive&amp;ListingID=19192648&amp;resize=true&amp;windowWidth=800&amp;windowHeight=600","Map")</f>
        <v>Map</v>
      </c>
      <c r="O38" s="2" t="str">
        <f>HYPERLINK("http://www.windermere.com/index.cfm?fuseaction=viewGallery.Home&amp;customTourID=193819&amp;wvt=0","More")</f>
        <v>More</v>
      </c>
      <c r="AI38" t="s">
        <v>66</v>
      </c>
      <c r="AJ38">
        <v>98125</v>
      </c>
      <c r="AS38" t="s">
        <v>414</v>
      </c>
      <c r="AT38">
        <v>19192648</v>
      </c>
      <c r="AU38" s="12">
        <v>39495</v>
      </c>
      <c r="BB38" t="s">
        <v>911</v>
      </c>
      <c r="BC38" s="7">
        <v>39457</v>
      </c>
      <c r="BG38">
        <v>38</v>
      </c>
      <c r="BH38" s="17">
        <f t="shared" ca="1" si="0"/>
        <v>92</v>
      </c>
      <c r="BI38" s="17"/>
      <c r="BJ38" s="17"/>
    </row>
    <row r="39" spans="1:63" hidden="1">
      <c r="A39">
        <v>28016250</v>
      </c>
      <c r="B39" s="2" t="str">
        <f>HYPERLINK("http://www.windermere.com/index.cfm?fuseaction=Listing.ListingDetail&amp;ListingID=19291015","Active")</f>
        <v>Active</v>
      </c>
      <c r="D39" t="s">
        <v>42</v>
      </c>
      <c r="E39" t="s">
        <v>415</v>
      </c>
      <c r="F39" s="10">
        <v>332000</v>
      </c>
      <c r="G39" t="s">
        <v>147</v>
      </c>
      <c r="H39" s="1">
        <v>1471</v>
      </c>
      <c r="J39">
        <v>3</v>
      </c>
      <c r="K39">
        <v>2.5</v>
      </c>
      <c r="M39" s="2" t="str">
        <f>HYPERLINK("http://www.windermere.com/index.cfm?fuseaction=Listing.MapPropertyInteractive&amp;ListingID=19291015&amp;resize=true&amp;windowWidth=800&amp;windowHeight=600","Map")</f>
        <v>Map</v>
      </c>
      <c r="O39" s="2" t="str">
        <f>HYPERLINK("http://www.windermere.com/index.cfm?fuseaction=Listing.MultiImageViewer&amp;ListingID=19291015&amp;ln=28016250&amp;pub_mls=1","More")</f>
        <v>More</v>
      </c>
      <c r="AI39" t="s">
        <v>66</v>
      </c>
      <c r="AJ39">
        <v>98296</v>
      </c>
      <c r="AS39" t="s">
        <v>416</v>
      </c>
      <c r="AT39">
        <v>19291015</v>
      </c>
      <c r="AU39" s="12">
        <v>39495</v>
      </c>
      <c r="BB39" t="s">
        <v>911</v>
      </c>
      <c r="BC39" s="7">
        <v>39475</v>
      </c>
      <c r="BG39">
        <v>20</v>
      </c>
      <c r="BH39" s="17">
        <f t="shared" ca="1" si="0"/>
        <v>74</v>
      </c>
      <c r="BI39" s="17"/>
      <c r="BJ39" s="17"/>
    </row>
    <row r="40" spans="1:63" hidden="1">
      <c r="A40">
        <v>28024275</v>
      </c>
      <c r="B40" s="2" t="str">
        <f>HYPERLINK("http://www.windermere.com/index.cfm?fuseaction=Listing.ListingDetail&amp;ListingID=19349709","Active")</f>
        <v>Active</v>
      </c>
      <c r="D40" t="s">
        <v>66</v>
      </c>
      <c r="E40" t="s">
        <v>417</v>
      </c>
      <c r="F40" s="13">
        <v>324900</v>
      </c>
      <c r="G40" t="s">
        <v>418</v>
      </c>
      <c r="H40">
        <v>960</v>
      </c>
      <c r="J40">
        <v>3</v>
      </c>
      <c r="K40">
        <v>1</v>
      </c>
      <c r="M40" s="2" t="str">
        <f>HYPERLINK("http://www.windermere.com/index.cfm?fuseaction=Listing.MapPropertyInteractive&amp;ListingID=19349709&amp;resize=true&amp;windowWidth=800&amp;windowHeight=600","Map")</f>
        <v>Map</v>
      </c>
      <c r="O40" s="2" t="str">
        <f>HYPERLINK("http://www.windermere.com/index.cfm?fuseaction=Listing.MultiImageViewer&amp;ListingID=19349709&amp;ln=28024275&amp;pub_mls=1","More")</f>
        <v>More</v>
      </c>
      <c r="AI40" t="s">
        <v>395</v>
      </c>
      <c r="AJ40">
        <v>98133</v>
      </c>
      <c r="AS40" t="s">
        <v>419</v>
      </c>
      <c r="AT40">
        <v>19349709</v>
      </c>
      <c r="AU40" s="12">
        <v>39495</v>
      </c>
      <c r="BB40" t="s">
        <v>911</v>
      </c>
      <c r="BC40" s="7">
        <v>39488</v>
      </c>
      <c r="BD40">
        <v>4</v>
      </c>
      <c r="BE40" t="s">
        <v>1435</v>
      </c>
      <c r="BF40" t="s">
        <v>1344</v>
      </c>
      <c r="BG40">
        <v>7</v>
      </c>
      <c r="BH40" s="17">
        <f t="shared" ca="1" si="0"/>
        <v>61</v>
      </c>
      <c r="BI40" s="17"/>
      <c r="BJ40" s="17"/>
    </row>
    <row r="41" spans="1:63" hidden="1">
      <c r="A41">
        <v>27202509</v>
      </c>
      <c r="B41" s="2" t="str">
        <f>HYPERLINK("http://www.windermere.com/index.cfm?fuseaction=Listing.ListingDetail&amp;ListingID=18979832","Active")</f>
        <v>Active</v>
      </c>
      <c r="D41" t="s">
        <v>60</v>
      </c>
      <c r="E41" t="s">
        <v>422</v>
      </c>
      <c r="F41" s="10">
        <v>335000</v>
      </c>
      <c r="G41" t="s">
        <v>423</v>
      </c>
      <c r="H41" s="1">
        <v>1260</v>
      </c>
      <c r="J41">
        <v>2</v>
      </c>
      <c r="K41">
        <v>1.5</v>
      </c>
      <c r="M41" s="2" t="str">
        <f>HYPERLINK("http://www.windermere.com/index.cfm?fuseaction=Listing.MapPropertyInteractive&amp;ListingID=18979832&amp;resize=true&amp;windowWidth=800&amp;windowHeight=600","Map")</f>
        <v>Map</v>
      </c>
      <c r="O41" s="2" t="str">
        <f>HYPERLINK("http://www.windermere.com/index.cfm?fuseaction=Listing.MultiImageViewer&amp;ListingID=18979832&amp;ln=27202509&amp;pub_mls=1","More")</f>
        <v>More</v>
      </c>
      <c r="P41" t="s">
        <v>44</v>
      </c>
      <c r="AI41" t="s">
        <v>66</v>
      </c>
      <c r="AJ41">
        <v>98103</v>
      </c>
      <c r="AS41" t="s">
        <v>424</v>
      </c>
      <c r="AT41">
        <v>18979832</v>
      </c>
      <c r="AU41" s="12">
        <v>39495</v>
      </c>
      <c r="BB41" t="s">
        <v>911</v>
      </c>
      <c r="BC41" s="7">
        <v>39401</v>
      </c>
      <c r="BG41">
        <v>94</v>
      </c>
      <c r="BH41" s="17">
        <f t="shared" ca="1" si="0"/>
        <v>148</v>
      </c>
      <c r="BI41" s="17"/>
      <c r="BJ41" s="17"/>
    </row>
    <row r="42" spans="1:63" hidden="1">
      <c r="A42">
        <v>28010709</v>
      </c>
      <c r="B42" s="15" t="str">
        <f>HYPERLINK("http://www.windermere.com/index.cfm?fuseaction=Listing.ListingDetail&amp;ListingID=19246527","Active")</f>
        <v>Active</v>
      </c>
      <c r="D42" t="s">
        <v>42</v>
      </c>
      <c r="E42" t="s">
        <v>420</v>
      </c>
      <c r="F42" s="13">
        <v>330000</v>
      </c>
      <c r="G42" t="s">
        <v>161</v>
      </c>
      <c r="H42" s="1">
        <v>1020</v>
      </c>
      <c r="I42">
        <v>7863</v>
      </c>
      <c r="J42">
        <v>2</v>
      </c>
      <c r="K42">
        <v>1</v>
      </c>
      <c r="M42" s="2" t="str">
        <f>HYPERLINK("http://www.windermere.com/index.cfm?fuseaction=Listing.MapPropertyInteractive&amp;ListingID=19246527&amp;resize=true&amp;windowWidth=800&amp;windowHeight=600","Map")</f>
        <v>Map</v>
      </c>
      <c r="O42" s="2" t="str">
        <f>HYPERLINK("http://www.windermere.com/index.cfm?fuseaction=Listing.MultiImageViewer&amp;ListingID=19246527&amp;ln=28010709&amp;pub_mls=1","More")</f>
        <v>More</v>
      </c>
      <c r="P42" t="s">
        <v>44</v>
      </c>
      <c r="AI42" t="s">
        <v>66</v>
      </c>
      <c r="AJ42">
        <v>98133</v>
      </c>
      <c r="AS42" t="s">
        <v>421</v>
      </c>
      <c r="AT42">
        <v>19246527</v>
      </c>
      <c r="AU42" s="12">
        <v>39495</v>
      </c>
      <c r="BB42" t="s">
        <v>911</v>
      </c>
      <c r="BC42" s="7">
        <v>39465</v>
      </c>
      <c r="BG42">
        <v>30</v>
      </c>
      <c r="BH42" s="17">
        <f t="shared" ca="1" si="0"/>
        <v>84</v>
      </c>
      <c r="BI42" s="17"/>
      <c r="BJ42" s="17"/>
      <c r="BK42" t="str">
        <f>B42</f>
        <v>Active</v>
      </c>
    </row>
    <row r="43" spans="1:63" hidden="1">
      <c r="A43">
        <v>28005412</v>
      </c>
      <c r="B43" s="15" t="str">
        <f>HYPERLINK("http://www.windermere.com/index.cfm?fuseaction=Listing.ListingDetail&amp;ListingID=19183393","Subject To Inspection")</f>
        <v>Subject To Inspection</v>
      </c>
      <c r="D43" t="s">
        <v>202</v>
      </c>
      <c r="E43" t="s">
        <v>425</v>
      </c>
      <c r="F43" s="10">
        <v>336000</v>
      </c>
      <c r="G43" t="s">
        <v>162</v>
      </c>
      <c r="I43">
        <v>6525</v>
      </c>
      <c r="J43">
        <v>2</v>
      </c>
      <c r="K43">
        <v>1</v>
      </c>
      <c r="M43" s="2" t="str">
        <f>HYPERLINK("http://www.windermere.com/index.cfm?fuseaction=Listing.MapPropertyInteractive&amp;ListingID=19183393&amp;resize=true&amp;windowWidth=800&amp;windowHeight=600","Map")</f>
        <v>Map</v>
      </c>
      <c r="O43" s="2" t="str">
        <f>HYPERLINK("http://www.windermere.com/index.cfm?fuseaction=viewGallery.Home&amp;customTourID=203879&amp;wvt=0","More")</f>
        <v>More</v>
      </c>
      <c r="AI43" t="s">
        <v>66</v>
      </c>
      <c r="AJ43">
        <v>98125</v>
      </c>
      <c r="AS43" t="s">
        <v>426</v>
      </c>
      <c r="AT43">
        <v>19183393</v>
      </c>
      <c r="AU43" s="12">
        <v>39495</v>
      </c>
      <c r="BB43" t="s">
        <v>911</v>
      </c>
      <c r="BC43" s="7">
        <v>39456</v>
      </c>
      <c r="BE43" t="s">
        <v>1348</v>
      </c>
      <c r="BG43">
        <v>39</v>
      </c>
      <c r="BH43" s="17">
        <f t="shared" ca="1" si="0"/>
        <v>93</v>
      </c>
      <c r="BI43" s="17"/>
      <c r="BJ43" s="17"/>
      <c r="BK43" s="16" t="str">
        <f>B43</f>
        <v>Subject To Inspection</v>
      </c>
    </row>
    <row r="44" spans="1:63" hidden="1">
      <c r="A44">
        <v>27205518</v>
      </c>
      <c r="B44" s="2" t="str">
        <f>HYPERLINK("http://www.windermere.com/index.cfm?fuseaction=Listing.ListingDetail&amp;ListingID=19408389","Active")</f>
        <v>Active</v>
      </c>
      <c r="D44" t="s">
        <v>60</v>
      </c>
      <c r="E44" t="s">
        <v>427</v>
      </c>
      <c r="F44" s="10">
        <v>338900</v>
      </c>
      <c r="G44" t="s">
        <v>128</v>
      </c>
      <c r="H44" s="1">
        <v>1200</v>
      </c>
      <c r="J44">
        <v>2</v>
      </c>
      <c r="K44">
        <v>1.5</v>
      </c>
      <c r="M44" s="2" t="str">
        <f>HYPERLINK("http://www.windermere.com/index.cfm?fuseaction=Listing.MapPropertyInteractive&amp;ListingID=19408389&amp;resize=true&amp;windowWidth=800&amp;windowHeight=600","Map")</f>
        <v>Map</v>
      </c>
      <c r="O44" s="2" t="str">
        <f>HYPERLINK("http://www.windermere.com/index.cfm?fuseaction=Listing.MultiImageViewer&amp;ListingID=19408389&amp;ln=27205518&amp;pub_mls=1","More")</f>
        <v>More</v>
      </c>
      <c r="AI44" t="s">
        <v>66</v>
      </c>
      <c r="AJ44">
        <v>98103</v>
      </c>
      <c r="AS44" s="19" t="s">
        <v>1455</v>
      </c>
      <c r="AT44" s="19">
        <v>19408389</v>
      </c>
      <c r="AU44" s="12">
        <v>39495</v>
      </c>
      <c r="BB44" t="s">
        <v>911</v>
      </c>
      <c r="BC44" s="7">
        <v>39410</v>
      </c>
      <c r="BG44">
        <v>85</v>
      </c>
      <c r="BH44" s="17">
        <f t="shared" ca="1" si="0"/>
        <v>139</v>
      </c>
      <c r="BI44" s="17"/>
      <c r="BJ44" s="17"/>
    </row>
    <row r="45" spans="1:63" hidden="1">
      <c r="A45">
        <v>27154929</v>
      </c>
      <c r="B45" s="2" t="str">
        <f>HYPERLINK("http://www.windermere.com/index.cfm?fuseaction=Listing.ListingDetail&amp;ListingID=18521283","Subject To Inspection")</f>
        <v>Subject To Inspection</v>
      </c>
      <c r="D45" t="s">
        <v>60</v>
      </c>
      <c r="E45" t="s">
        <v>430</v>
      </c>
      <c r="F45" s="10">
        <v>339000</v>
      </c>
      <c r="G45" t="s">
        <v>147</v>
      </c>
      <c r="J45">
        <v>2</v>
      </c>
      <c r="K45">
        <v>1.5</v>
      </c>
      <c r="M45" s="2" t="str">
        <f>HYPERLINK("http://www.windermere.com/index.cfm?fuseaction=Listing.MapPropertyInteractive&amp;ListingID=18521283&amp;resize=true&amp;windowWidth=800&amp;windowHeight=600","Map")</f>
        <v>Map</v>
      </c>
      <c r="O45" s="2" t="str">
        <f>HYPERLINK("http://www.windermere.com/index.cfm?fuseaction=Listing.MultiImageViewer&amp;ListingID=18521283&amp;ln=27154929&amp;pub_mls=1","More")</f>
        <v>More</v>
      </c>
      <c r="AI45" t="s">
        <v>66</v>
      </c>
      <c r="AJ45">
        <v>98103</v>
      </c>
      <c r="AS45" t="s">
        <v>431</v>
      </c>
      <c r="AT45">
        <v>18521283</v>
      </c>
      <c r="AU45" s="12">
        <v>39495</v>
      </c>
      <c r="BB45" t="s">
        <v>911</v>
      </c>
      <c r="BC45" s="7">
        <v>39319</v>
      </c>
      <c r="BD45">
        <v>3</v>
      </c>
      <c r="BE45" s="6" t="s">
        <v>1322</v>
      </c>
      <c r="BG45">
        <v>176</v>
      </c>
      <c r="BH45" s="17">
        <f t="shared" ca="1" si="0"/>
        <v>230</v>
      </c>
      <c r="BI45" s="17"/>
      <c r="BJ45" s="17"/>
      <c r="BK45" t="str">
        <f>B45</f>
        <v>Subject To Inspection</v>
      </c>
    </row>
    <row r="46" spans="1:63" hidden="1">
      <c r="A46">
        <v>27184903</v>
      </c>
      <c r="B46" s="2" t="str">
        <f>HYPERLINK("http://www.windermere.com/index.cfm?fuseaction=Listing.ListingDetail&amp;ListingID=18799513","Active")</f>
        <v>Active</v>
      </c>
      <c r="D46" t="s">
        <v>55</v>
      </c>
      <c r="E46" t="s">
        <v>428</v>
      </c>
      <c r="F46" s="10">
        <v>339000</v>
      </c>
      <c r="G46" t="s">
        <v>147</v>
      </c>
      <c r="J46">
        <v>3</v>
      </c>
      <c r="K46">
        <v>1.5</v>
      </c>
      <c r="M46" s="2" t="str">
        <f>HYPERLINK("http://www.windermere.com/index.cfm?fuseaction=Listing.MapPropertyInteractive&amp;ListingID=18799513&amp;resize=true&amp;windowWidth=800&amp;windowHeight=600","Map")</f>
        <v>Map</v>
      </c>
      <c r="O46" s="2" t="str">
        <f>HYPERLINK("http://www.windermere.com/index.cfm?fuseaction=Listing.MultiImageViewer&amp;ListingID=18799513&amp;ln=27184903&amp;pub_mls=1","More")</f>
        <v>More</v>
      </c>
      <c r="AI46" t="s">
        <v>66</v>
      </c>
      <c r="AJ46">
        <v>98133</v>
      </c>
      <c r="AS46" t="s">
        <v>429</v>
      </c>
      <c r="AT46">
        <v>18799513</v>
      </c>
      <c r="AU46" s="12">
        <v>39495</v>
      </c>
      <c r="BB46" t="s">
        <v>911</v>
      </c>
      <c r="BC46" s="7">
        <v>39367</v>
      </c>
      <c r="BG46">
        <v>128</v>
      </c>
      <c r="BH46" s="17">
        <f t="shared" ca="1" si="0"/>
        <v>182</v>
      </c>
      <c r="BI46" s="17"/>
      <c r="BJ46" s="17"/>
    </row>
    <row r="47" spans="1:63" hidden="1">
      <c r="A47">
        <v>28012906</v>
      </c>
      <c r="B47" s="2" t="str">
        <f>HYPERLINK("http://www.windermere.com/index.cfm?fuseaction=Listing.ListingDetail&amp;ListingID=19261837","Active")</f>
        <v>Active</v>
      </c>
      <c r="D47" t="s">
        <v>55</v>
      </c>
      <c r="E47" t="s">
        <v>432</v>
      </c>
      <c r="F47" s="10">
        <v>339000</v>
      </c>
      <c r="G47" t="s">
        <v>147</v>
      </c>
      <c r="J47">
        <v>3</v>
      </c>
      <c r="K47">
        <v>1.5</v>
      </c>
      <c r="M47" s="2" t="str">
        <f>HYPERLINK("http://www.windermere.com/index.cfm?fuseaction=Listing.MapPropertyInteractive&amp;ListingID=19261837&amp;resize=true&amp;windowWidth=800&amp;windowHeight=600","Map")</f>
        <v>Map</v>
      </c>
      <c r="O47" s="2" t="str">
        <f>HYPERLINK("http://www.windermere.com/index.cfm?fuseaction=Listing.MultiImageViewer&amp;ListingID=19261837&amp;ln=28012906&amp;pub_mls=1","More")</f>
        <v>More</v>
      </c>
      <c r="P47" t="s">
        <v>44</v>
      </c>
      <c r="AI47" t="s">
        <v>66</v>
      </c>
      <c r="AJ47">
        <v>98103</v>
      </c>
      <c r="AS47" t="s">
        <v>433</v>
      </c>
      <c r="AT47">
        <v>19261837</v>
      </c>
      <c r="AU47" s="12">
        <v>39495</v>
      </c>
      <c r="BB47" t="s">
        <v>911</v>
      </c>
      <c r="BC47" s="7">
        <v>39469</v>
      </c>
      <c r="BG47">
        <v>26</v>
      </c>
      <c r="BH47" s="17">
        <f t="shared" ca="1" si="0"/>
        <v>80</v>
      </c>
      <c r="BI47" s="17"/>
      <c r="BJ47" s="17"/>
    </row>
    <row r="48" spans="1:63" hidden="1">
      <c r="A48">
        <v>28016234</v>
      </c>
      <c r="B48" s="2" t="str">
        <f>HYPERLINK("http://www.windermere.com/index.cfm?fuseaction=Listing.ListingDetail&amp;ListingID=19293598","Active")</f>
        <v>Active</v>
      </c>
      <c r="D48" t="s">
        <v>42</v>
      </c>
      <c r="E48" t="s">
        <v>434</v>
      </c>
      <c r="F48" s="10">
        <v>339000</v>
      </c>
      <c r="G48" t="s">
        <v>147</v>
      </c>
      <c r="H48" s="1">
        <v>1471</v>
      </c>
      <c r="J48">
        <v>3</v>
      </c>
      <c r="K48">
        <v>2.5</v>
      </c>
      <c r="M48" s="2" t="str">
        <f>HYPERLINK("http://www.windermere.com/index.cfm?fuseaction=Listing.MapPropertyInteractive&amp;ListingID=19293598&amp;resize=true&amp;windowWidth=800&amp;windowHeight=600","Map")</f>
        <v>Map</v>
      </c>
      <c r="O48" s="2" t="str">
        <f>HYPERLINK("http://www.windermere.com/index.cfm?fuseaction=Listing.MultiImageViewer&amp;ListingID=19293598&amp;ln=28016234&amp;pub_mls=1","More")</f>
        <v>More</v>
      </c>
      <c r="AI48" t="s">
        <v>66</v>
      </c>
      <c r="AJ48">
        <v>98133</v>
      </c>
      <c r="AS48" t="s">
        <v>435</v>
      </c>
      <c r="AT48">
        <v>19293598</v>
      </c>
      <c r="AU48" s="12">
        <v>39495</v>
      </c>
      <c r="BB48" t="s">
        <v>911</v>
      </c>
      <c r="BC48" s="7">
        <v>39476</v>
      </c>
      <c r="BG48">
        <v>19</v>
      </c>
      <c r="BH48" s="17">
        <f t="shared" ca="1" si="0"/>
        <v>73</v>
      </c>
      <c r="BI48" s="17"/>
      <c r="BJ48" s="17"/>
    </row>
    <row r="49" spans="1:63" hidden="1">
      <c r="A49">
        <v>27202070</v>
      </c>
      <c r="B49" s="2" t="str">
        <f>HYPERLINK("http://www.windermere.com/index.cfm?fuseaction=Listing.ListingDetail&amp;ListingID=18978903","Active")</f>
        <v>Active</v>
      </c>
      <c r="D49" t="s">
        <v>919</v>
      </c>
      <c r="E49" t="s">
        <v>444</v>
      </c>
      <c r="F49" s="10">
        <v>339950</v>
      </c>
      <c r="G49" t="s">
        <v>137</v>
      </c>
      <c r="H49">
        <v>880</v>
      </c>
      <c r="I49">
        <v>6024</v>
      </c>
      <c r="J49">
        <v>2</v>
      </c>
      <c r="K49">
        <v>1</v>
      </c>
      <c r="M49" s="2" t="str">
        <f>HYPERLINK("http://www.windermere.com/index.cfm?fuseaction=Listing.MapPropertyInteractive&amp;ListingID=18978903&amp;resize=true&amp;windowWidth=800&amp;windowHeight=600","Map")</f>
        <v>Map</v>
      </c>
      <c r="O49" s="2" t="str">
        <f>HYPERLINK("http://www.windermere.com/index.cfm?fuseaction=viewGallery.Home&amp;customTourID=199286&amp;wvt=0","More")</f>
        <v>More</v>
      </c>
      <c r="P49" t="s">
        <v>44</v>
      </c>
      <c r="AI49" t="s">
        <v>66</v>
      </c>
      <c r="AJ49">
        <v>98133</v>
      </c>
      <c r="AS49" t="s">
        <v>445</v>
      </c>
      <c r="AT49">
        <v>18978903</v>
      </c>
      <c r="AU49" s="12">
        <v>39495</v>
      </c>
      <c r="BB49" t="s">
        <v>911</v>
      </c>
      <c r="BC49" s="7">
        <v>39401</v>
      </c>
      <c r="BG49">
        <v>94</v>
      </c>
      <c r="BH49" s="17">
        <f t="shared" ca="1" si="0"/>
        <v>148</v>
      </c>
      <c r="BI49" s="17"/>
      <c r="BJ49" s="17"/>
    </row>
    <row r="50" spans="1:63" hidden="1">
      <c r="A50">
        <v>27204669</v>
      </c>
      <c r="B50" s="2" t="str">
        <f>HYPERLINK("http://www.windermere.com/index.cfm?fuseaction=Listing.ListingDetail&amp;ListingID=19000289","Active")</f>
        <v>Active</v>
      </c>
      <c r="D50" t="s">
        <v>100</v>
      </c>
      <c r="E50" t="s">
        <v>438</v>
      </c>
      <c r="F50" s="13">
        <v>319950</v>
      </c>
      <c r="G50" t="s">
        <v>439</v>
      </c>
      <c r="H50">
        <v>820</v>
      </c>
      <c r="I50">
        <v>2500</v>
      </c>
      <c r="J50">
        <v>2</v>
      </c>
      <c r="K50">
        <v>1</v>
      </c>
      <c r="M50" s="2" t="str">
        <f>HYPERLINK("http://www.windermere.com/index.cfm?fuseaction=Listing.MapPropertyInteractive&amp;ListingID=19000289&amp;resize=true&amp;windowWidth=800&amp;windowHeight=600","Map")</f>
        <v>Map</v>
      </c>
      <c r="P50" t="s">
        <v>44</v>
      </c>
      <c r="AI50" t="s">
        <v>66</v>
      </c>
      <c r="AJ50">
        <v>98103</v>
      </c>
      <c r="AS50" t="s">
        <v>440</v>
      </c>
      <c r="AT50">
        <v>19000289</v>
      </c>
      <c r="AU50" s="12">
        <v>39495</v>
      </c>
      <c r="BB50" t="s">
        <v>911</v>
      </c>
      <c r="BC50" s="7">
        <v>39406</v>
      </c>
      <c r="BG50">
        <v>89</v>
      </c>
      <c r="BH50" s="17">
        <f t="shared" ca="1" si="0"/>
        <v>143</v>
      </c>
      <c r="BI50" s="17"/>
      <c r="BJ50" s="17"/>
    </row>
    <row r="51" spans="1:63" hidden="1">
      <c r="A51">
        <v>28011583</v>
      </c>
      <c r="B51" s="2" t="str">
        <f>HYPERLINK("http://www.windermere.com/index.cfm?fuseaction=Listing.ListingDetail&amp;ListingID=19246531","Active")</f>
        <v>Active</v>
      </c>
      <c r="D51" t="s">
        <v>100</v>
      </c>
      <c r="E51" t="s">
        <v>441</v>
      </c>
      <c r="F51" s="10">
        <v>339950</v>
      </c>
      <c r="G51" t="s">
        <v>442</v>
      </c>
      <c r="J51">
        <v>2</v>
      </c>
      <c r="K51">
        <v>1</v>
      </c>
      <c r="M51" s="2" t="str">
        <f>HYPERLINK("http://www.windermere.com/index.cfm?fuseaction=Listing.MapPropertyInteractive&amp;ListingID=19246531&amp;resize=true&amp;windowWidth=800&amp;windowHeight=600","Map")</f>
        <v>Map</v>
      </c>
      <c r="O51" s="2" t="str">
        <f>HYPERLINK("http://www.windermere.com/index.cfm?fuseaction=Listing.MultiImageViewer&amp;ListingID=19246531&amp;ln=28011583&amp;pub_mls=1","More")</f>
        <v>More</v>
      </c>
      <c r="P51" t="s">
        <v>44</v>
      </c>
      <c r="AI51" t="s">
        <v>66</v>
      </c>
      <c r="AJ51">
        <v>98103</v>
      </c>
      <c r="AS51" t="s">
        <v>443</v>
      </c>
      <c r="AT51">
        <v>19246531</v>
      </c>
      <c r="AU51" s="12">
        <v>39495</v>
      </c>
      <c r="BB51" t="s">
        <v>911</v>
      </c>
      <c r="BC51" s="7">
        <v>39465</v>
      </c>
      <c r="BG51">
        <v>30</v>
      </c>
      <c r="BH51" s="17">
        <f t="shared" ca="1" si="0"/>
        <v>84</v>
      </c>
      <c r="BI51" s="17"/>
      <c r="BJ51" s="17"/>
    </row>
    <row r="52" spans="1:63" hidden="1">
      <c r="A52">
        <v>28022372</v>
      </c>
      <c r="B52" s="2" t="str">
        <f>HYPERLINK("http://www.windermere.com/index.cfm?fuseaction=Listing.ListingDetail&amp;ListingID=19345068","Active")</f>
        <v>Active</v>
      </c>
      <c r="D52" t="s">
        <v>42</v>
      </c>
      <c r="E52" t="s">
        <v>436</v>
      </c>
      <c r="F52" s="10">
        <v>339950</v>
      </c>
      <c r="G52" t="s">
        <v>246</v>
      </c>
      <c r="H52" s="1">
        <v>1621</v>
      </c>
      <c r="J52">
        <v>3</v>
      </c>
      <c r="K52">
        <v>3.5</v>
      </c>
      <c r="M52" s="2" t="str">
        <f>HYPERLINK("http://www.windermere.com/index.cfm?fuseaction=Listing.MapPropertyInteractive&amp;ListingID=19345068&amp;resize=true&amp;windowWidth=800&amp;windowHeight=600","Map")</f>
        <v>Map</v>
      </c>
      <c r="O52" s="2" t="str">
        <f>HYPERLINK("http://www.windermere.com/index.cfm?fuseaction=Listing.MultiImageViewer&amp;ListingID=19345068&amp;ln=28022372&amp;pub_mls=1","More")</f>
        <v>More</v>
      </c>
      <c r="AI52" t="s">
        <v>66</v>
      </c>
      <c r="AJ52">
        <v>98133</v>
      </c>
      <c r="AS52" t="s">
        <v>437</v>
      </c>
      <c r="AT52">
        <v>19345068</v>
      </c>
      <c r="AU52" s="12">
        <v>39495</v>
      </c>
      <c r="BB52" t="s">
        <v>911</v>
      </c>
      <c r="BC52" s="7">
        <v>39486</v>
      </c>
      <c r="BG52">
        <v>9</v>
      </c>
      <c r="BH52" s="17">
        <f t="shared" ca="1" si="0"/>
        <v>63</v>
      </c>
      <c r="BI52" s="17"/>
      <c r="BJ52" s="17"/>
    </row>
    <row r="53" spans="1:63" hidden="1">
      <c r="A53">
        <v>28006035</v>
      </c>
      <c r="B53" s="2" t="str">
        <f>HYPERLINK("http://www.windermere.com/index.cfm?fuseaction=Listing.ListingDetail&amp;ListingID=19386011","Active")</f>
        <v>Active</v>
      </c>
      <c r="D53" t="s">
        <v>919</v>
      </c>
      <c r="E53" t="s">
        <v>1333</v>
      </c>
      <c r="F53" s="10">
        <v>340000</v>
      </c>
      <c r="G53" t="s">
        <v>156</v>
      </c>
      <c r="H53">
        <v>810</v>
      </c>
      <c r="I53">
        <v>6272</v>
      </c>
      <c r="J53">
        <v>2</v>
      </c>
      <c r="K53">
        <v>1</v>
      </c>
      <c r="M53" s="2" t="str">
        <f>HYPERLINK("http://www.windermere.com/index.cfm?fuseaction=Listing.MapPropertyInteractive&amp;ListingID=19386011&amp;resize=true&amp;windowWidth=800&amp;windowHeight=600","Map")</f>
        <v>Map</v>
      </c>
      <c r="O53" s="2" t="str">
        <f>HYPERLINK("http://www.windermere.com/index.cfm?fuseaction=Listing.MultiImageViewer&amp;ListingID=19386011&amp;ln=28006035&amp;pub_mls=1","More")</f>
        <v>More</v>
      </c>
      <c r="AI53" t="s">
        <v>66</v>
      </c>
      <c r="AJ53">
        <v>98125</v>
      </c>
      <c r="AS53" t="s">
        <v>1334</v>
      </c>
      <c r="AT53">
        <v>19386011</v>
      </c>
      <c r="AU53" s="7">
        <v>39496</v>
      </c>
      <c r="BB53" t="s">
        <v>911</v>
      </c>
      <c r="BC53" s="7">
        <v>39457</v>
      </c>
      <c r="BD53">
        <v>2</v>
      </c>
      <c r="BE53" t="s">
        <v>1347</v>
      </c>
      <c r="BG53">
        <v>39</v>
      </c>
      <c r="BH53" s="17">
        <f t="shared" ca="1" si="0"/>
        <v>92</v>
      </c>
      <c r="BI53" s="17"/>
      <c r="BJ53" s="17"/>
    </row>
    <row r="54" spans="1:63" hidden="1">
      <c r="A54">
        <v>28018855</v>
      </c>
      <c r="B54" s="2" t="str">
        <f>HYPERLINK("http://www.windermere.com/index.cfm?fuseaction=Listing.ListingDetail&amp;ListingID=19305143","Active")</f>
        <v>Active</v>
      </c>
      <c r="D54" t="s">
        <v>55</v>
      </c>
      <c r="E54" t="s">
        <v>446</v>
      </c>
      <c r="F54" s="10">
        <v>344000</v>
      </c>
      <c r="G54" t="s">
        <v>246</v>
      </c>
      <c r="H54" s="1">
        <v>1320</v>
      </c>
      <c r="J54">
        <v>2</v>
      </c>
      <c r="K54" s="19">
        <v>2.5</v>
      </c>
      <c r="M54" s="2" t="str">
        <f>HYPERLINK("http://www.windermere.com/index.cfm?fuseaction=Listing.MapPropertyInteractive&amp;ListingID=19305143&amp;resize=true&amp;windowWidth=800&amp;windowHeight=600","Map")</f>
        <v>Map</v>
      </c>
      <c r="O54" s="2" t="str">
        <f>HYPERLINK("http://www.windermere.com/index.cfm?fuseaction=Listing.MultiImageViewer&amp;ListingID=19305143&amp;ln=28018855&amp;pub_mls=1","More")</f>
        <v>More</v>
      </c>
      <c r="AI54" t="s">
        <v>66</v>
      </c>
      <c r="AJ54">
        <v>98133</v>
      </c>
      <c r="AS54" t="s">
        <v>447</v>
      </c>
      <c r="AT54">
        <v>19305143</v>
      </c>
      <c r="AU54" s="12">
        <v>39495</v>
      </c>
      <c r="BB54" t="s">
        <v>911</v>
      </c>
      <c r="BC54" s="7">
        <v>39478</v>
      </c>
      <c r="BG54">
        <v>17</v>
      </c>
      <c r="BH54" s="17">
        <f t="shared" ca="1" si="0"/>
        <v>71</v>
      </c>
      <c r="BI54" s="17"/>
      <c r="BJ54" s="17"/>
    </row>
    <row r="55" spans="1:63" hidden="1">
      <c r="A55">
        <v>27186885</v>
      </c>
      <c r="B55" s="15" t="str">
        <f>HYPERLINK("http://www.windermere.com/index.cfm?fuseaction=Listing.ListingDetail&amp;ListingID=18817082","Subject To Inspection")</f>
        <v>Subject To Inspection</v>
      </c>
      <c r="D55" t="s">
        <v>70</v>
      </c>
      <c r="E55" t="s">
        <v>448</v>
      </c>
      <c r="F55" s="10">
        <v>344888</v>
      </c>
      <c r="G55" t="s">
        <v>147</v>
      </c>
      <c r="H55" s="1">
        <v>1515</v>
      </c>
      <c r="J55">
        <v>3</v>
      </c>
      <c r="K55">
        <v>2.25</v>
      </c>
      <c r="M55" s="2" t="str">
        <f>HYPERLINK("http://www.windermere.com/index.cfm?fuseaction=Listing.MapPropertyInteractive&amp;ListingID=18817082&amp;resize=true&amp;windowWidth=800&amp;windowHeight=600","Map")</f>
        <v>Map</v>
      </c>
      <c r="O55" s="2" t="str">
        <f>HYPERLINK("http://www.windermere.com/index.cfm?fuseaction=Listing.MultiImageViewer&amp;ListingID=18817082&amp;ln=27186885&amp;pub_mls=1","More")</f>
        <v>More</v>
      </c>
      <c r="AI55" t="s">
        <v>66</v>
      </c>
      <c r="AJ55">
        <v>98133</v>
      </c>
      <c r="AS55" t="s">
        <v>449</v>
      </c>
      <c r="AT55">
        <v>18817082</v>
      </c>
      <c r="AU55" s="12">
        <v>39495</v>
      </c>
      <c r="BB55" t="s">
        <v>911</v>
      </c>
      <c r="BC55" s="7">
        <v>39371</v>
      </c>
      <c r="BE55" t="s">
        <v>1436</v>
      </c>
      <c r="BG55">
        <v>124</v>
      </c>
      <c r="BH55" s="17">
        <f t="shared" ca="1" si="0"/>
        <v>178</v>
      </c>
      <c r="BI55" s="17"/>
      <c r="BJ55" s="17"/>
    </row>
    <row r="56" spans="1:63" hidden="1">
      <c r="A56">
        <v>27187691</v>
      </c>
      <c r="B56" s="2" t="str">
        <f>HYPERLINK("http://www.windermere.com/index.cfm?fuseaction=Listing.ListingDetail&amp;ListingID=18826288","Active")</f>
        <v>Active</v>
      </c>
      <c r="D56" t="s">
        <v>70</v>
      </c>
      <c r="E56" t="s">
        <v>456</v>
      </c>
      <c r="F56" s="10">
        <v>344888</v>
      </c>
      <c r="G56" t="s">
        <v>147</v>
      </c>
      <c r="H56" s="1">
        <v>1413</v>
      </c>
      <c r="J56">
        <v>3</v>
      </c>
      <c r="K56">
        <v>2.25</v>
      </c>
      <c r="M56" s="2" t="str">
        <f>HYPERLINK("http://www.windermere.com/index.cfm?fuseaction=Listing.MapPropertyInteractive&amp;ListingID=18826288&amp;resize=true&amp;windowWidth=800&amp;windowHeight=600","Map")</f>
        <v>Map</v>
      </c>
      <c r="O56" s="2" t="str">
        <f>HYPERLINK("http://www.windermere.com/index.cfm?fuseaction=Listing.MultiImageViewer&amp;ListingID=18826288&amp;ln=27187691&amp;pub_mls=1","More")</f>
        <v>More</v>
      </c>
      <c r="AI56" t="s">
        <v>66</v>
      </c>
      <c r="AJ56">
        <v>98133</v>
      </c>
      <c r="AS56" t="s">
        <v>457</v>
      </c>
      <c r="AT56">
        <v>18826288</v>
      </c>
      <c r="AU56" s="12">
        <v>39495</v>
      </c>
      <c r="BB56" t="s">
        <v>911</v>
      </c>
      <c r="BC56" s="7">
        <v>39372</v>
      </c>
      <c r="BG56">
        <v>123</v>
      </c>
      <c r="BH56" s="17">
        <f t="shared" ca="1" si="0"/>
        <v>177</v>
      </c>
      <c r="BI56" s="17"/>
      <c r="BJ56" s="17"/>
    </row>
    <row r="57" spans="1:63" hidden="1">
      <c r="A57">
        <v>27193940</v>
      </c>
      <c r="B57" s="2" t="str">
        <f>HYPERLINK("http://www.windermere.com/index.cfm?fuseaction=Listing.ListingDetail&amp;ListingID=18883849","Active")</f>
        <v>Active</v>
      </c>
      <c r="D57" t="s">
        <v>70</v>
      </c>
      <c r="E57" t="s">
        <v>454</v>
      </c>
      <c r="F57" s="10">
        <v>344888</v>
      </c>
      <c r="G57" t="s">
        <v>147</v>
      </c>
      <c r="H57" s="1">
        <v>1413</v>
      </c>
      <c r="J57">
        <v>3</v>
      </c>
      <c r="K57">
        <v>2.25</v>
      </c>
      <c r="M57" s="2" t="str">
        <f>HYPERLINK("http://www.windermere.com/index.cfm?fuseaction=Listing.MapPropertyInteractive&amp;ListingID=18883849&amp;resize=true&amp;windowWidth=800&amp;windowHeight=600","Map")</f>
        <v>Map</v>
      </c>
      <c r="O57" s="2" t="str">
        <f>HYPERLINK("http://www.windermere.com/index.cfm?fuseaction=Listing.MultiImageViewer&amp;ListingID=18883849&amp;ln=27193940&amp;pub_mls=1","More")</f>
        <v>More</v>
      </c>
      <c r="AI57" t="s">
        <v>66</v>
      </c>
      <c r="AJ57">
        <v>98133</v>
      </c>
      <c r="AS57" t="s">
        <v>455</v>
      </c>
      <c r="AT57">
        <v>18883849</v>
      </c>
      <c r="AU57" s="12">
        <v>39495</v>
      </c>
      <c r="BB57" t="s">
        <v>911</v>
      </c>
      <c r="BC57" s="7">
        <v>39384</v>
      </c>
      <c r="BG57">
        <v>111</v>
      </c>
      <c r="BH57" s="17">
        <f t="shared" ca="1" si="0"/>
        <v>165</v>
      </c>
      <c r="BI57" s="17"/>
      <c r="BJ57" s="17"/>
    </row>
    <row r="58" spans="1:63" hidden="1">
      <c r="A58">
        <v>27193941</v>
      </c>
      <c r="B58" s="2" t="str">
        <f>HYPERLINK("http://www.windermere.com/index.cfm?fuseaction=Listing.ListingDetail&amp;ListingID=18883850","Active")</f>
        <v>Active</v>
      </c>
      <c r="D58" t="s">
        <v>70</v>
      </c>
      <c r="E58" t="s">
        <v>452</v>
      </c>
      <c r="F58" s="10">
        <v>344888</v>
      </c>
      <c r="G58" t="s">
        <v>147</v>
      </c>
      <c r="H58" s="1">
        <v>1450</v>
      </c>
      <c r="J58">
        <v>3</v>
      </c>
      <c r="K58">
        <v>2.25</v>
      </c>
      <c r="M58" s="2" t="str">
        <f>HYPERLINK("http://www.windermere.com/index.cfm?fuseaction=Listing.MapPropertyInteractive&amp;ListingID=18883850&amp;resize=true&amp;windowWidth=800&amp;windowHeight=600","Map")</f>
        <v>Map</v>
      </c>
      <c r="O58" s="2" t="str">
        <f>HYPERLINK("http://www.windermere.com/index.cfm?fuseaction=Listing.MultiImageViewer&amp;ListingID=18883850&amp;ln=27193941&amp;pub_mls=1","More")</f>
        <v>More</v>
      </c>
      <c r="AI58" t="s">
        <v>66</v>
      </c>
      <c r="AJ58">
        <v>98133</v>
      </c>
      <c r="AS58" t="s">
        <v>453</v>
      </c>
      <c r="AT58">
        <v>18883850</v>
      </c>
      <c r="AU58" s="12">
        <v>39495</v>
      </c>
      <c r="BB58" t="s">
        <v>911</v>
      </c>
      <c r="BC58" s="7">
        <v>39384</v>
      </c>
      <c r="BG58">
        <v>111</v>
      </c>
      <c r="BH58" s="17">
        <f t="shared" ca="1" si="0"/>
        <v>165</v>
      </c>
      <c r="BI58" s="17"/>
      <c r="BJ58" s="17"/>
    </row>
    <row r="59" spans="1:63" hidden="1">
      <c r="A59">
        <v>27193943</v>
      </c>
      <c r="B59" s="2" t="str">
        <f>HYPERLINK("http://www.windermere.com/index.cfm?fuseaction=Listing.ListingDetail&amp;ListingID=18883851","Subject To Inspection")</f>
        <v>Subject To Inspection</v>
      </c>
      <c r="D59" t="s">
        <v>70</v>
      </c>
      <c r="E59" t="s">
        <v>450</v>
      </c>
      <c r="F59" s="10">
        <v>344888</v>
      </c>
      <c r="G59" t="s">
        <v>147</v>
      </c>
      <c r="H59" s="1">
        <v>1479</v>
      </c>
      <c r="J59">
        <v>3</v>
      </c>
      <c r="K59">
        <v>2.25</v>
      </c>
      <c r="M59" s="2" t="str">
        <f>HYPERLINK("http://www.windermere.com/index.cfm?fuseaction=Listing.MapPropertyInteractive&amp;ListingID=18883851&amp;resize=true&amp;windowWidth=800&amp;windowHeight=600","Map")</f>
        <v>Map</v>
      </c>
      <c r="O59" s="2" t="str">
        <f>HYPERLINK("http://www.windermere.com/index.cfm?fuseaction=Listing.MultiImageViewer&amp;ListingID=18883851&amp;ln=27193943&amp;pub_mls=1","More")</f>
        <v>More</v>
      </c>
      <c r="AI59" t="s">
        <v>66</v>
      </c>
      <c r="AJ59">
        <v>98133</v>
      </c>
      <c r="AS59" t="s">
        <v>451</v>
      </c>
      <c r="AT59">
        <v>18883851</v>
      </c>
      <c r="AU59" s="12">
        <v>39495</v>
      </c>
      <c r="BB59" t="s">
        <v>911</v>
      </c>
      <c r="BC59" s="7">
        <v>39385</v>
      </c>
      <c r="BG59">
        <v>110</v>
      </c>
      <c r="BH59" s="17">
        <f t="shared" ca="1" si="0"/>
        <v>164</v>
      </c>
      <c r="BI59" s="17"/>
      <c r="BJ59" s="17"/>
      <c r="BK59" t="str">
        <f>B59</f>
        <v>Subject To Inspection</v>
      </c>
    </row>
    <row r="60" spans="1:63" hidden="1">
      <c r="A60">
        <v>28023714</v>
      </c>
      <c r="B60" s="2" t="str">
        <f>HYPERLINK("http://www.windermere.com/index.cfm?fuseaction=Listing.ListingDetail&amp;ListingID=19344609","Active")</f>
        <v>Active</v>
      </c>
      <c r="D60" t="s">
        <v>184</v>
      </c>
      <c r="E60" t="s">
        <v>458</v>
      </c>
      <c r="F60" s="10">
        <v>344888</v>
      </c>
      <c r="G60" t="s">
        <v>246</v>
      </c>
      <c r="H60" s="1">
        <v>1400</v>
      </c>
      <c r="J60">
        <v>3</v>
      </c>
      <c r="K60">
        <v>2</v>
      </c>
      <c r="M60" s="2" t="str">
        <f>HYPERLINK("http://www.windermere.com/index.cfm?fuseaction=Listing.MapPropertyInteractive&amp;ListingID=19344609&amp;resize=true&amp;windowWidth=800&amp;windowHeight=600","Map")</f>
        <v>Map</v>
      </c>
      <c r="O60" s="2" t="str">
        <f>HYPERLINK("http://www.windermere.com/index.cfm?fuseaction=Listing.MultiImageViewer&amp;ListingID=19344609&amp;ln=28023714&amp;pub_mls=1","More")</f>
        <v>More</v>
      </c>
      <c r="P60" t="s">
        <v>44</v>
      </c>
      <c r="AI60" t="s">
        <v>66</v>
      </c>
      <c r="AJ60">
        <v>98125</v>
      </c>
      <c r="AS60" t="s">
        <v>459</v>
      </c>
      <c r="AT60">
        <v>19344609</v>
      </c>
      <c r="AU60" s="12">
        <v>39495</v>
      </c>
      <c r="BB60" t="s">
        <v>911</v>
      </c>
      <c r="BC60" s="7">
        <v>39486</v>
      </c>
      <c r="BG60">
        <v>9</v>
      </c>
      <c r="BH60" s="17">
        <f t="shared" ca="1" si="0"/>
        <v>63</v>
      </c>
      <c r="BI60" s="17"/>
      <c r="BJ60" s="17"/>
    </row>
    <row r="61" spans="1:63" hidden="1">
      <c r="A61">
        <v>28006840</v>
      </c>
      <c r="B61" s="2" t="str">
        <f>HYPERLINK("http://www.windermere.com/index.cfm?fuseaction=Listing.ListingDetail&amp;ListingID=19200062","Active")</f>
        <v>Active</v>
      </c>
      <c r="D61" t="s">
        <v>60</v>
      </c>
      <c r="E61" t="s">
        <v>462</v>
      </c>
      <c r="F61" s="10">
        <v>345000</v>
      </c>
      <c r="G61" t="s">
        <v>128</v>
      </c>
      <c r="J61">
        <v>2</v>
      </c>
      <c r="K61">
        <v>1.5</v>
      </c>
      <c r="M61" s="2" t="str">
        <f>HYPERLINK("http://www.windermere.com/index.cfm?fuseaction=Listing.MapPropertyInteractive&amp;ListingID=19200062&amp;resize=true&amp;windowWidth=800&amp;windowHeight=600","Map")</f>
        <v>Map</v>
      </c>
      <c r="O61" s="2" t="str">
        <f>HYPERLINK("http://www.windermere.com/index.cfm?fuseaction=viewGallery.Home&amp;customTourID=204019&amp;wvt=0","More")</f>
        <v>More</v>
      </c>
      <c r="P61" t="s">
        <v>44</v>
      </c>
      <c r="AI61" t="s">
        <v>66</v>
      </c>
      <c r="AJ61">
        <v>98103</v>
      </c>
      <c r="AS61" t="s">
        <v>463</v>
      </c>
      <c r="AT61">
        <v>19200062</v>
      </c>
      <c r="AU61" s="12">
        <v>39495</v>
      </c>
      <c r="BB61" t="s">
        <v>911</v>
      </c>
      <c r="BC61" s="7">
        <v>39458</v>
      </c>
      <c r="BG61">
        <v>37</v>
      </c>
      <c r="BH61" s="17">
        <f t="shared" ca="1" si="0"/>
        <v>91</v>
      </c>
      <c r="BI61" s="17"/>
      <c r="BJ61" s="17"/>
    </row>
    <row r="62" spans="1:63" hidden="1">
      <c r="A62">
        <v>28018719</v>
      </c>
      <c r="B62" s="15" t="str">
        <f>HYPERLINK("http://www.windermere.com/index.cfm?fuseaction=Listing.ListingDetail&amp;ListingID=19304377","Subject To Inspection")</f>
        <v>Subject To Inspection</v>
      </c>
      <c r="D62" t="s">
        <v>66</v>
      </c>
      <c r="E62" t="s">
        <v>460</v>
      </c>
      <c r="F62" s="10">
        <v>345000</v>
      </c>
      <c r="G62" t="s">
        <v>130</v>
      </c>
      <c r="H62" s="1">
        <v>2060</v>
      </c>
      <c r="I62">
        <v>7200</v>
      </c>
      <c r="J62">
        <v>3</v>
      </c>
      <c r="K62">
        <v>1.5</v>
      </c>
      <c r="M62" s="2" t="str">
        <f>HYPERLINK("http://www.windermere.com/index.cfm?fuseaction=Listing.MapPropertyInteractive&amp;ListingID=19304377&amp;resize=true&amp;windowWidth=800&amp;windowHeight=600","Map")</f>
        <v>Map</v>
      </c>
      <c r="O62" s="2" t="str">
        <f>HYPERLINK("http://www.windermere.com/index.cfm?fuseaction=Listing.MultiImageViewer&amp;ListingID=19304377&amp;ln=28018719&amp;pub_mls=1","More")</f>
        <v>More</v>
      </c>
      <c r="AI62" t="s">
        <v>66</v>
      </c>
      <c r="AJ62">
        <v>98133</v>
      </c>
      <c r="AS62" t="s">
        <v>461</v>
      </c>
      <c r="AT62">
        <v>19304377</v>
      </c>
      <c r="AU62" s="12">
        <v>39495</v>
      </c>
      <c r="BB62" t="s">
        <v>911</v>
      </c>
      <c r="BC62" s="7">
        <v>39478</v>
      </c>
      <c r="BD62">
        <v>3</v>
      </c>
      <c r="BE62" t="s">
        <v>1437</v>
      </c>
      <c r="BG62">
        <v>17</v>
      </c>
      <c r="BH62" s="17">
        <f t="shared" ca="1" si="0"/>
        <v>71</v>
      </c>
      <c r="BI62" s="17"/>
      <c r="BJ62" s="17"/>
    </row>
    <row r="63" spans="1:63" hidden="1">
      <c r="A63">
        <v>28028259</v>
      </c>
      <c r="B63" s="15" t="str">
        <f>HYPERLINK("http://www.windermere.com/index.cfm?fuseaction=Listing.ListingDetail&amp;ListingID=19379302","Subject To Inspection")</f>
        <v>Subject To Inspection</v>
      </c>
      <c r="D63" t="s">
        <v>184</v>
      </c>
      <c r="E63" t="s">
        <v>468</v>
      </c>
      <c r="F63" s="10">
        <v>348888</v>
      </c>
      <c r="G63" t="s">
        <v>147</v>
      </c>
      <c r="H63" s="1">
        <v>1547</v>
      </c>
      <c r="J63">
        <v>3</v>
      </c>
      <c r="K63">
        <v>2.5</v>
      </c>
      <c r="M63" s="2" t="str">
        <f>HYPERLINK("http://www.windermere.com/index.cfm?fuseaction=Listing.MapPropertyInteractive&amp;ListingID=19379302&amp;resize=true&amp;windowWidth=800&amp;windowHeight=600","Map")</f>
        <v>Map</v>
      </c>
      <c r="O63" s="2" t="str">
        <f>HYPERLINK("http://www.windermere.com/index.cfm?fuseaction=Listing.MultiImageViewer&amp;ListingID=19379302&amp;ln=28028259&amp;pub_mls=1","More")</f>
        <v>More</v>
      </c>
      <c r="AI63" t="s">
        <v>66</v>
      </c>
      <c r="AJ63">
        <v>98125</v>
      </c>
      <c r="AS63" t="s">
        <v>469</v>
      </c>
      <c r="AT63">
        <v>19379302</v>
      </c>
      <c r="AU63" s="12">
        <v>39495</v>
      </c>
      <c r="BB63" t="s">
        <v>911</v>
      </c>
      <c r="BC63" s="7">
        <v>39493</v>
      </c>
      <c r="BG63">
        <v>2</v>
      </c>
      <c r="BH63" s="17">
        <f t="shared" ca="1" si="0"/>
        <v>56</v>
      </c>
      <c r="BI63" s="17"/>
      <c r="BJ63" s="17"/>
      <c r="BK63" t="str">
        <f>B63</f>
        <v>Subject To Inspection</v>
      </c>
    </row>
    <row r="64" spans="1:63" hidden="1">
      <c r="A64">
        <v>28028260</v>
      </c>
      <c r="B64" s="2" t="str">
        <f>HYPERLINK("http://www.windermere.com/index.cfm?fuseaction=Listing.ListingDetail&amp;ListingID=19379306","Active")</f>
        <v>Active</v>
      </c>
      <c r="D64" t="s">
        <v>184</v>
      </c>
      <c r="E64" t="s">
        <v>464</v>
      </c>
      <c r="F64" s="10">
        <v>348888</v>
      </c>
      <c r="G64" t="s">
        <v>147</v>
      </c>
      <c r="H64" s="1">
        <v>1547</v>
      </c>
      <c r="J64">
        <v>3</v>
      </c>
      <c r="K64">
        <v>2.5</v>
      </c>
      <c r="M64" s="2" t="str">
        <f>HYPERLINK("http://www.windermere.com/index.cfm?fuseaction=Listing.MapPropertyInteractive&amp;ListingID=19379306&amp;resize=true&amp;windowWidth=800&amp;windowHeight=600","Map")</f>
        <v>Map</v>
      </c>
      <c r="O64" s="2" t="str">
        <f>HYPERLINK("http://www.windermere.com/index.cfm?fuseaction=Listing.MultiImageViewer&amp;ListingID=19379306&amp;ln=28028260&amp;pub_mls=1","More")</f>
        <v>More</v>
      </c>
      <c r="AI64" t="s">
        <v>66</v>
      </c>
      <c r="AJ64">
        <v>98125</v>
      </c>
      <c r="AS64" t="s">
        <v>465</v>
      </c>
      <c r="AT64">
        <v>19379306</v>
      </c>
      <c r="AU64" s="12">
        <v>39495</v>
      </c>
      <c r="BB64" t="s">
        <v>911</v>
      </c>
      <c r="BC64" s="7">
        <v>39493</v>
      </c>
      <c r="BG64">
        <v>2</v>
      </c>
      <c r="BH64" s="17">
        <f t="shared" ca="1" si="0"/>
        <v>56</v>
      </c>
      <c r="BI64" s="17"/>
      <c r="BJ64" s="17"/>
    </row>
    <row r="65" spans="1:63" hidden="1">
      <c r="A65">
        <v>28028261</v>
      </c>
      <c r="B65" s="2" t="str">
        <f>HYPERLINK("http://www.windermere.com/index.cfm?fuseaction=Listing.ListingDetail&amp;ListingID=19379299","Active")</f>
        <v>Active</v>
      </c>
      <c r="D65" t="s">
        <v>184</v>
      </c>
      <c r="E65" t="s">
        <v>466</v>
      </c>
      <c r="F65" s="10">
        <v>348888</v>
      </c>
      <c r="G65" t="s">
        <v>147</v>
      </c>
      <c r="H65" s="1">
        <v>1547</v>
      </c>
      <c r="J65">
        <v>3</v>
      </c>
      <c r="K65">
        <v>2.5</v>
      </c>
      <c r="M65" s="2" t="str">
        <f>HYPERLINK("http://www.windermere.com/index.cfm?fuseaction=Listing.MapPropertyInteractive&amp;ListingID=19379299&amp;resize=true&amp;windowWidth=800&amp;windowHeight=600","Map")</f>
        <v>Map</v>
      </c>
      <c r="O65" s="2" t="str">
        <f>HYPERLINK("http://www.windermere.com/index.cfm?fuseaction=Listing.MultiImageViewer&amp;ListingID=19379299&amp;ln=28028261&amp;pub_mls=1","More")</f>
        <v>More</v>
      </c>
      <c r="AI65" t="s">
        <v>66</v>
      </c>
      <c r="AJ65">
        <v>98125</v>
      </c>
      <c r="AS65" t="s">
        <v>467</v>
      </c>
      <c r="AT65">
        <v>19379299</v>
      </c>
      <c r="AU65" s="12">
        <v>39495</v>
      </c>
      <c r="BB65" t="s">
        <v>911</v>
      </c>
      <c r="BC65" s="7">
        <v>39493</v>
      </c>
      <c r="BG65">
        <v>2</v>
      </c>
      <c r="BH65" s="17">
        <f t="shared" ca="1" si="0"/>
        <v>56</v>
      </c>
      <c r="BI65" s="17"/>
      <c r="BJ65" s="17"/>
    </row>
    <row r="66" spans="1:63" hidden="1">
      <c r="A66">
        <v>27193580</v>
      </c>
      <c r="B66" s="2" t="str">
        <f>HYPERLINK("http://www.windermere.com/index.cfm?fuseaction=Listing.ListingDetail&amp;ListingID=18914260","Active")</f>
        <v>Active</v>
      </c>
      <c r="D66" t="s">
        <v>60</v>
      </c>
      <c r="E66" t="s">
        <v>472</v>
      </c>
      <c r="F66" s="10">
        <v>349000</v>
      </c>
      <c r="G66" t="s">
        <v>403</v>
      </c>
      <c r="H66" s="1">
        <v>1260</v>
      </c>
      <c r="I66">
        <v>981</v>
      </c>
      <c r="J66">
        <v>3</v>
      </c>
      <c r="K66">
        <v>2.5</v>
      </c>
      <c r="M66" s="2" t="str">
        <f>HYPERLINK("http://www.windermere.com/index.cfm?fuseaction=Listing.MapPropertyInteractive&amp;ListingID=18914260&amp;resize=true&amp;windowWidth=800&amp;windowHeight=600","Map")</f>
        <v>Map</v>
      </c>
      <c r="O66" s="2" t="str">
        <f>HYPERLINK("http://www.windermere.com/index.cfm?fuseaction=viewGallery.Home&amp;customTourID=198927&amp;wvt=0","More")</f>
        <v>More</v>
      </c>
      <c r="P66" t="s">
        <v>44</v>
      </c>
      <c r="AI66" t="s">
        <v>66</v>
      </c>
      <c r="AJ66">
        <v>98103</v>
      </c>
      <c r="AS66" t="s">
        <v>473</v>
      </c>
      <c r="AT66">
        <v>18914260</v>
      </c>
      <c r="AU66" s="12">
        <v>39495</v>
      </c>
      <c r="BB66" t="s">
        <v>911</v>
      </c>
      <c r="BC66" s="7">
        <v>39390</v>
      </c>
      <c r="BG66">
        <v>105</v>
      </c>
      <c r="BH66" s="17">
        <f t="shared" ca="1" si="0"/>
        <v>159</v>
      </c>
      <c r="BI66" s="17"/>
      <c r="BJ66" s="17"/>
    </row>
    <row r="67" spans="1:63" hidden="1">
      <c r="A67">
        <v>28010742</v>
      </c>
      <c r="B67" s="15" t="str">
        <f>HYPERLINK("http://www.windermere.com/index.cfm?fuseaction=Listing.ListingDetail&amp;ListingID=19245355","Subject To Inspection")</f>
        <v>Subject To Inspection</v>
      </c>
      <c r="D67" t="s">
        <v>42</v>
      </c>
      <c r="E67" t="s">
        <v>470</v>
      </c>
      <c r="F67" s="10">
        <v>349000</v>
      </c>
      <c r="G67" t="s">
        <v>157</v>
      </c>
      <c r="I67">
        <v>5250</v>
      </c>
      <c r="J67">
        <v>2</v>
      </c>
      <c r="K67">
        <v>1</v>
      </c>
      <c r="M67" s="2" t="str">
        <f>HYPERLINK("http://www.windermere.com/index.cfm?fuseaction=Listing.MapPropertyInteractive&amp;ListingID=19245355&amp;resize=true&amp;windowWidth=800&amp;windowHeight=600","Map")</f>
        <v>Map</v>
      </c>
      <c r="O67" s="2" t="str">
        <f>HYPERLINK("http://www.windermere.com/index.cfm?fuseaction=Listing.MultiImageViewer&amp;ListingID=19245355&amp;ln=28010742&amp;pub_mls=1","More")</f>
        <v>More</v>
      </c>
      <c r="P67" t="s">
        <v>44</v>
      </c>
      <c r="AI67" t="s">
        <v>66</v>
      </c>
      <c r="AJ67">
        <v>98133</v>
      </c>
      <c r="AS67" t="s">
        <v>471</v>
      </c>
      <c r="AT67">
        <v>19245355</v>
      </c>
      <c r="AU67" s="12">
        <v>39495</v>
      </c>
      <c r="BB67" t="s">
        <v>911</v>
      </c>
      <c r="BC67" s="7">
        <v>39465</v>
      </c>
      <c r="BG67">
        <v>30</v>
      </c>
      <c r="BH67" s="17">
        <f t="shared" ref="BH67:BH130" ca="1" si="1">TODAY()-BC67</f>
        <v>84</v>
      </c>
      <c r="BI67" s="17"/>
      <c r="BJ67" s="17"/>
    </row>
    <row r="68" spans="1:63" hidden="1">
      <c r="A68">
        <v>27192998</v>
      </c>
      <c r="B68" s="2" t="str">
        <f>HYPERLINK("http://www.windermere.com/index.cfm?fuseaction=Listing.ListingDetail&amp;ListingID=18876585","Active")</f>
        <v>Active</v>
      </c>
      <c r="D68" t="s">
        <v>42</v>
      </c>
      <c r="E68" t="s">
        <v>123</v>
      </c>
      <c r="F68" s="10">
        <v>349500</v>
      </c>
      <c r="G68" t="s">
        <v>124</v>
      </c>
      <c r="I68">
        <v>6408</v>
      </c>
      <c r="J68">
        <v>2</v>
      </c>
      <c r="K68">
        <v>1</v>
      </c>
      <c r="M68" s="2" t="str">
        <f>HYPERLINK("http://www.windermere.com/index.cfm?fuseaction=Listing.MapPropertyInteractive&amp;ListingID=18876585&amp;resize=true&amp;windowWidth=800&amp;windowHeight=600","Map")</f>
        <v>Map</v>
      </c>
      <c r="O68" s="2" t="str">
        <f>HYPERLINK("http://www.windermere.com/index.cfm?fuseaction=Listing.MultiImageViewer&amp;ListingID=18876585&amp;ln=27192998&amp;pub_mls=1","More")</f>
        <v>More</v>
      </c>
      <c r="AI68" t="s">
        <v>66</v>
      </c>
      <c r="AJ68">
        <v>98133</v>
      </c>
      <c r="AS68" t="s">
        <v>474</v>
      </c>
      <c r="AT68">
        <v>18876585</v>
      </c>
      <c r="AU68" s="12">
        <v>39495</v>
      </c>
      <c r="BB68" t="s">
        <v>911</v>
      </c>
      <c r="BC68" s="7">
        <v>39382</v>
      </c>
      <c r="BG68">
        <v>113</v>
      </c>
      <c r="BH68" s="17">
        <f t="shared" ca="1" si="1"/>
        <v>167</v>
      </c>
      <c r="BI68" s="17"/>
      <c r="BJ68" s="17"/>
    </row>
    <row r="69" spans="1:63" hidden="1">
      <c r="A69">
        <v>27203216</v>
      </c>
      <c r="B69" s="2" t="str">
        <f>HYPERLINK("http://www.windermere.com/index.cfm?fuseaction=Listing.ListingDetail&amp;ListingID=19239109","Active")</f>
        <v>Active</v>
      </c>
      <c r="D69" t="s">
        <v>63</v>
      </c>
      <c r="E69" t="s">
        <v>326</v>
      </c>
      <c r="F69" s="10">
        <v>349500</v>
      </c>
      <c r="G69" t="s">
        <v>177</v>
      </c>
      <c r="H69">
        <v>840</v>
      </c>
      <c r="I69">
        <v>4800</v>
      </c>
      <c r="J69">
        <v>2</v>
      </c>
      <c r="K69">
        <v>1</v>
      </c>
      <c r="M69" s="2" t="str">
        <f>HYPERLINK("http://www.windermere.com/index.cfm?fuseaction=Listing.MapPropertyInteractive&amp;ListingID=19239109&amp;resize=true&amp;windowWidth=800&amp;windowHeight=600","Map")</f>
        <v>Map</v>
      </c>
      <c r="O69" s="2" t="str">
        <f>HYPERLINK("http://www.windermere.com/index.cfm?fuseaction=Listing.MultiImageViewer&amp;ListingID=19239109&amp;ln=27203216&amp;pub_mls=1","More")</f>
        <v>More</v>
      </c>
      <c r="P69" t="s">
        <v>44</v>
      </c>
      <c r="AI69" t="s">
        <v>66</v>
      </c>
      <c r="AJ69">
        <v>98117</v>
      </c>
      <c r="AS69" t="s">
        <v>327</v>
      </c>
      <c r="AT69">
        <v>19239109</v>
      </c>
      <c r="AU69" s="12">
        <v>39495</v>
      </c>
      <c r="BB69" t="s">
        <v>911</v>
      </c>
      <c r="BC69" s="7">
        <v>39402</v>
      </c>
      <c r="BG69">
        <v>93</v>
      </c>
      <c r="BH69" s="17">
        <f t="shared" ca="1" si="1"/>
        <v>147</v>
      </c>
      <c r="BI69" s="17"/>
      <c r="BJ69" s="17"/>
    </row>
    <row r="70" spans="1:63" hidden="1">
      <c r="A70">
        <v>28019576</v>
      </c>
      <c r="B70" s="2" t="str">
        <f>HYPERLINK("http://www.windermere.com/index.cfm?fuseaction=Listing.ListingDetail&amp;ListingID=19310679","Active")</f>
        <v>Active</v>
      </c>
      <c r="D70" t="s">
        <v>70</v>
      </c>
      <c r="E70" t="s">
        <v>477</v>
      </c>
      <c r="F70" s="13">
        <v>344888</v>
      </c>
      <c r="G70" t="s">
        <v>147</v>
      </c>
      <c r="H70" s="1">
        <v>1662</v>
      </c>
      <c r="J70">
        <v>3</v>
      </c>
      <c r="K70">
        <v>2.25</v>
      </c>
      <c r="M70" s="2" t="str">
        <f>HYPERLINK("http://www.windermere.com/index.cfm?fuseaction=Listing.MapPropertyInteractive&amp;ListingID=19310679&amp;resize=true&amp;windowWidth=800&amp;windowHeight=600","Map")</f>
        <v>Map</v>
      </c>
      <c r="O70" s="2" t="str">
        <f>HYPERLINK("http://www.windermere.com/index.cfm?fuseaction=Listing.MultiImageViewer&amp;ListingID=19310679&amp;ln=28019576&amp;pub_mls=1","More")</f>
        <v>More</v>
      </c>
      <c r="AI70" t="s">
        <v>66</v>
      </c>
      <c r="AJ70">
        <v>98133</v>
      </c>
      <c r="AS70" t="s">
        <v>478</v>
      </c>
      <c r="AT70">
        <v>19310679</v>
      </c>
      <c r="AU70" s="12">
        <v>39495</v>
      </c>
      <c r="BB70" t="s">
        <v>911</v>
      </c>
      <c r="BC70" s="7">
        <v>39479</v>
      </c>
      <c r="BG70">
        <v>16</v>
      </c>
      <c r="BH70" s="17">
        <f t="shared" ca="1" si="1"/>
        <v>70</v>
      </c>
      <c r="BI70" s="17"/>
      <c r="BJ70" s="17"/>
    </row>
    <row r="71" spans="1:63" hidden="1">
      <c r="A71">
        <v>28023734</v>
      </c>
      <c r="B71" s="4" t="str">
        <f>HYPERLINK("http://www.windermere.com/index.cfm?fuseaction=Listing.ListingDetail&amp;ListingID=19344675","Subject To Inspection")</f>
        <v>Subject To Inspection</v>
      </c>
      <c r="D71" t="s">
        <v>184</v>
      </c>
      <c r="E71" t="s">
        <v>475</v>
      </c>
      <c r="F71" s="10">
        <v>349888</v>
      </c>
      <c r="G71" t="s">
        <v>147</v>
      </c>
      <c r="H71" s="1">
        <v>1400</v>
      </c>
      <c r="J71">
        <v>3</v>
      </c>
      <c r="K71">
        <v>2</v>
      </c>
      <c r="M71" s="2" t="str">
        <f>HYPERLINK("http://www.windermere.com/index.cfm?fuseaction=Listing.MapPropertyInteractive&amp;ListingID=19344675&amp;resize=true&amp;windowWidth=800&amp;windowHeight=600","Map")</f>
        <v>Map</v>
      </c>
      <c r="O71" s="2" t="str">
        <f>HYPERLINK("http://www.windermere.com/index.cfm?fuseaction=Listing.MultiImageViewer&amp;ListingID=19344675&amp;ln=28023734&amp;pub_mls=1","More")</f>
        <v>More</v>
      </c>
      <c r="P71" t="s">
        <v>44</v>
      </c>
      <c r="AI71" t="s">
        <v>66</v>
      </c>
      <c r="AJ71">
        <v>98125</v>
      </c>
      <c r="AS71" t="s">
        <v>476</v>
      </c>
      <c r="AT71">
        <v>19344675</v>
      </c>
      <c r="AU71" s="12">
        <v>39495</v>
      </c>
      <c r="BB71" t="s">
        <v>911</v>
      </c>
      <c r="BC71" s="7">
        <v>39486</v>
      </c>
      <c r="BG71">
        <v>9</v>
      </c>
      <c r="BH71" s="17">
        <f t="shared" ca="1" si="1"/>
        <v>63</v>
      </c>
      <c r="BI71" s="17"/>
      <c r="BJ71" s="17"/>
    </row>
    <row r="72" spans="1:63" hidden="1">
      <c r="A72">
        <v>28018165</v>
      </c>
      <c r="B72" s="2" t="str">
        <f>HYPERLINK("http://www.windermere.com/index.cfm?fuseaction=Listing.ListingDetail&amp;ListingID=19336068","Active")</f>
        <v>Active</v>
      </c>
      <c r="C72">
        <v>705</v>
      </c>
      <c r="D72" t="s">
        <v>70</v>
      </c>
      <c r="E72" t="s">
        <v>479</v>
      </c>
      <c r="F72" s="13">
        <v>339900</v>
      </c>
      <c r="G72" t="s">
        <v>162</v>
      </c>
      <c r="H72">
        <v>870</v>
      </c>
      <c r="I72">
        <v>5950</v>
      </c>
      <c r="J72">
        <v>2</v>
      </c>
      <c r="K72">
        <v>1</v>
      </c>
      <c r="M72" s="2" t="str">
        <f>HYPERLINK("http://www.windermere.com/index.cfm?fuseaction=Listing.MapPropertyInteractive&amp;ListingID=19336068&amp;resize=true&amp;windowWidth=800&amp;windowHeight=600","Map")</f>
        <v>Map</v>
      </c>
      <c r="N72" s="2" t="str">
        <f>HYPERLINK("http://locmedia.nwmls.com/DO_NOT_LINK/bigphoto/165/28018165.jpg?tsp=20080207085957","Photo")</f>
        <v>Photo</v>
      </c>
      <c r="O72" s="2" t="str">
        <f>HYPERLINK("http://www.windermere.com/index.cfm?fuseaction=Listing.MultiImageViewer&amp;ListingID=19336068&amp;ln=28018165&amp;pub_mls=1","More")</f>
        <v>More</v>
      </c>
      <c r="P72" t="s">
        <v>44</v>
      </c>
      <c r="Q72" t="s">
        <v>56</v>
      </c>
      <c r="R72" t="s">
        <v>67</v>
      </c>
      <c r="S72" t="s">
        <v>104</v>
      </c>
      <c r="T72" t="s">
        <v>50</v>
      </c>
      <c r="X72" t="s">
        <v>47</v>
      </c>
      <c r="Y72" t="s">
        <v>48</v>
      </c>
      <c r="Z72" t="s">
        <v>102</v>
      </c>
      <c r="AB72">
        <v>2007</v>
      </c>
      <c r="AC72">
        <v>2325</v>
      </c>
      <c r="AD72" t="s">
        <v>916</v>
      </c>
      <c r="AF72" t="s">
        <v>917</v>
      </c>
      <c r="AG72">
        <v>47.729663000000002</v>
      </c>
      <c r="AH72">
        <v>-122.35689499999999</v>
      </c>
      <c r="AI72" t="s">
        <v>66</v>
      </c>
      <c r="AJ72">
        <v>98133</v>
      </c>
      <c r="AK72" t="s">
        <v>41</v>
      </c>
      <c r="AL72" t="s">
        <v>40</v>
      </c>
      <c r="AM72" t="s">
        <v>40</v>
      </c>
      <c r="AO72">
        <v>0.13700000000000001</v>
      </c>
      <c r="AP72" t="s">
        <v>918</v>
      </c>
      <c r="AQ72">
        <v>504</v>
      </c>
      <c r="AR72" t="s">
        <v>81</v>
      </c>
      <c r="AS72" t="s">
        <v>480</v>
      </c>
      <c r="AT72">
        <v>19336068</v>
      </c>
      <c r="AU72" s="12">
        <v>39495</v>
      </c>
      <c r="BA72" t="s">
        <v>911</v>
      </c>
      <c r="BB72" t="s">
        <v>911</v>
      </c>
      <c r="BC72" s="7">
        <v>39485</v>
      </c>
      <c r="BG72">
        <v>10</v>
      </c>
      <c r="BH72" s="17">
        <f t="shared" ca="1" si="1"/>
        <v>64</v>
      </c>
      <c r="BI72" s="17"/>
      <c r="BJ72" s="17"/>
    </row>
    <row r="73" spans="1:63" hidden="1">
      <c r="A73">
        <v>28028118</v>
      </c>
      <c r="B73" s="2" t="str">
        <f>HYPERLINK("http://www.windermere.com/index.cfm?fuseaction=Listing.ListingDetail&amp;ListingID=19378000","Active")</f>
        <v>Active</v>
      </c>
      <c r="D73" t="s">
        <v>63</v>
      </c>
      <c r="E73" t="s">
        <v>328</v>
      </c>
      <c r="F73" s="10">
        <v>349900</v>
      </c>
      <c r="G73" t="s">
        <v>246</v>
      </c>
      <c r="H73" s="1">
        <v>1030</v>
      </c>
      <c r="J73">
        <v>2</v>
      </c>
      <c r="K73">
        <v>1.5</v>
      </c>
      <c r="M73" s="2" t="str">
        <f>HYPERLINK("http://www.windermere.com/index.cfm?fuseaction=Listing.MapPropertyInteractive&amp;ListingID=19378000&amp;resize=true&amp;windowWidth=800&amp;windowHeight=600","Map")</f>
        <v>Map</v>
      </c>
      <c r="O73" s="2" t="str">
        <f>HYPERLINK("http://www.windermere.com/index.cfm?fuseaction=Listing.MultiImageViewer&amp;ListingID=19378000&amp;ln=28028118&amp;pub_mls=1","More")</f>
        <v>More</v>
      </c>
      <c r="AI73" t="s">
        <v>66</v>
      </c>
      <c r="AJ73">
        <v>98117</v>
      </c>
      <c r="AS73" t="s">
        <v>329</v>
      </c>
      <c r="AT73">
        <v>19378000</v>
      </c>
      <c r="AU73" s="12">
        <v>39495</v>
      </c>
      <c r="BB73" t="s">
        <v>911</v>
      </c>
      <c r="BC73" s="7">
        <v>39493</v>
      </c>
      <c r="BG73">
        <v>2</v>
      </c>
      <c r="BH73" s="17">
        <f t="shared" ca="1" si="1"/>
        <v>56</v>
      </c>
      <c r="BI73" s="17"/>
      <c r="BJ73" s="17"/>
    </row>
    <row r="74" spans="1:63" hidden="1">
      <c r="A74">
        <v>27186397</v>
      </c>
      <c r="B74" s="15" t="str">
        <f>HYPERLINK("http://www.windermere.com/index.cfm?fuseaction=Listing.ListingDetail&amp;ListingID=19155004","Subject To Inspection")</f>
        <v>Subject To Inspection</v>
      </c>
      <c r="D74" t="s">
        <v>188</v>
      </c>
      <c r="E74" t="s">
        <v>487</v>
      </c>
      <c r="F74" s="10">
        <v>349950</v>
      </c>
      <c r="G74" t="s">
        <v>130</v>
      </c>
      <c r="H74" s="1">
        <v>1410</v>
      </c>
      <c r="I74">
        <v>5775</v>
      </c>
      <c r="J74">
        <v>3</v>
      </c>
      <c r="K74">
        <v>1</v>
      </c>
      <c r="M74" s="2" t="str">
        <f>HYPERLINK("http://www.windermere.com/index.cfm?fuseaction=Listing.MapPropertyInteractive&amp;ListingID=19155004&amp;resize=true&amp;windowWidth=800&amp;windowHeight=600","Map")</f>
        <v>Map</v>
      </c>
      <c r="O74" s="2" t="str">
        <f>HYPERLINK("http://www.windermere.com/index.cfm?fuseaction=Listing.MultiImageViewer&amp;ListingID=19155004&amp;ln=27186397&amp;pub_mls=1","More")</f>
        <v>More</v>
      </c>
      <c r="AI74" t="s">
        <v>66</v>
      </c>
      <c r="AJ74">
        <v>98125</v>
      </c>
      <c r="AS74" t="s">
        <v>488</v>
      </c>
      <c r="AT74">
        <v>19155004</v>
      </c>
      <c r="AU74" s="12">
        <v>39495</v>
      </c>
      <c r="BB74" t="s">
        <v>911</v>
      </c>
      <c r="BC74" s="7">
        <v>39370</v>
      </c>
      <c r="BG74">
        <v>125</v>
      </c>
      <c r="BH74" s="17">
        <f t="shared" ca="1" si="1"/>
        <v>179</v>
      </c>
      <c r="BI74" s="17"/>
      <c r="BJ74" s="17"/>
    </row>
    <row r="75" spans="1:63" hidden="1">
      <c r="A75">
        <v>27213150</v>
      </c>
      <c r="B75" s="2" t="str">
        <f>HYPERLINK("http://www.windermere.com/index.cfm?fuseaction=Listing.ListingDetail&amp;ListingID=19098221","Active")</f>
        <v>Active</v>
      </c>
      <c r="D75" t="s">
        <v>99</v>
      </c>
      <c r="E75" t="s">
        <v>330</v>
      </c>
      <c r="F75" s="10">
        <v>349950</v>
      </c>
      <c r="G75" t="s">
        <v>331</v>
      </c>
      <c r="I75">
        <v>5000</v>
      </c>
      <c r="J75">
        <v>4</v>
      </c>
      <c r="K75">
        <v>1.5</v>
      </c>
      <c r="M75" s="2" t="str">
        <f>HYPERLINK("http://www.windermere.com/index.cfm?fuseaction=Listing.MapPropertyInteractive&amp;ListingID=19098221&amp;resize=true&amp;windowWidth=800&amp;windowHeight=600","Map")</f>
        <v>Map</v>
      </c>
      <c r="AI75" t="s">
        <v>66</v>
      </c>
      <c r="AJ75">
        <v>98117</v>
      </c>
      <c r="AS75" t="s">
        <v>332</v>
      </c>
      <c r="AT75">
        <v>19098221</v>
      </c>
      <c r="AU75" s="12">
        <v>39495</v>
      </c>
      <c r="BB75" t="s">
        <v>911</v>
      </c>
      <c r="BC75" s="7">
        <v>39430</v>
      </c>
      <c r="BG75">
        <v>65</v>
      </c>
      <c r="BH75" s="17">
        <f t="shared" ca="1" si="1"/>
        <v>119</v>
      </c>
      <c r="BI75" s="17"/>
      <c r="BJ75" s="17"/>
    </row>
    <row r="76" spans="1:63" hidden="1">
      <c r="A76">
        <v>28001207</v>
      </c>
      <c r="B76" s="2" t="str">
        <f>HYPERLINK("http://www.windermere.com/index.cfm?fuseaction=Listing.ListingDetail&amp;ListingID=19149402","Subject To Inspection")</f>
        <v>Subject To Inspection</v>
      </c>
      <c r="D76" t="s">
        <v>100</v>
      </c>
      <c r="E76" t="s">
        <v>481</v>
      </c>
      <c r="F76" s="10">
        <v>349950</v>
      </c>
      <c r="G76" t="s">
        <v>442</v>
      </c>
      <c r="J76">
        <v>2</v>
      </c>
      <c r="K76">
        <v>1</v>
      </c>
      <c r="M76" s="2" t="str">
        <f>HYPERLINK("http://www.windermere.com/index.cfm?fuseaction=Listing.MapPropertyInteractive&amp;ListingID=19149402&amp;resize=true&amp;windowWidth=800&amp;windowHeight=600","Map")</f>
        <v>Map</v>
      </c>
      <c r="O76" s="2" t="str">
        <f>HYPERLINK("http://www.windermere.com/index.cfm?fuseaction=Listing.MultiImageViewer&amp;ListingID=19149402&amp;ln=28001207&amp;pub_mls=1","More")</f>
        <v>More</v>
      </c>
      <c r="P76" t="s">
        <v>44</v>
      </c>
      <c r="AI76" t="s">
        <v>66</v>
      </c>
      <c r="AJ76">
        <v>98103</v>
      </c>
      <c r="AS76" t="s">
        <v>482</v>
      </c>
      <c r="AT76">
        <v>19149402</v>
      </c>
      <c r="AU76" s="12">
        <v>39495</v>
      </c>
      <c r="BB76" t="s">
        <v>911</v>
      </c>
      <c r="BC76" s="7">
        <v>39449</v>
      </c>
      <c r="BG76">
        <v>46</v>
      </c>
      <c r="BH76" s="17">
        <f t="shared" ca="1" si="1"/>
        <v>100</v>
      </c>
      <c r="BI76" s="17"/>
      <c r="BJ76" s="17"/>
      <c r="BK76" t="str">
        <f>B76</f>
        <v>Subject To Inspection</v>
      </c>
    </row>
    <row r="77" spans="1:63" hidden="1">
      <c r="A77">
        <v>28001764</v>
      </c>
      <c r="B77" s="2" t="str">
        <f>HYPERLINK("http://www.windermere.com/index.cfm?fuseaction=Listing.ListingDetail&amp;ListingID=19154257","Active")</f>
        <v>Active</v>
      </c>
      <c r="D77" t="s">
        <v>967</v>
      </c>
      <c r="E77" t="s">
        <v>1099</v>
      </c>
      <c r="F77" s="10">
        <v>349950</v>
      </c>
      <c r="G77" t="s">
        <v>147</v>
      </c>
      <c r="H77" s="1">
        <v>1762</v>
      </c>
      <c r="J77">
        <v>3</v>
      </c>
      <c r="K77">
        <v>2</v>
      </c>
      <c r="M77" s="2" t="str">
        <f>HYPERLINK("http://www.windermere.com/index.cfm?fuseaction=Listing.MapPropertyInteractive&amp;ListingID=19154257&amp;resize=true&amp;windowWidth=800&amp;windowHeight=600","Map")</f>
        <v>Map</v>
      </c>
      <c r="O77" s="2" t="str">
        <f>HYPERLINK("http://www.windermere.com/index.cfm?fuseaction=Listing.MultiImageViewer&amp;ListingID=19154257&amp;ln=28001764&amp;pub_mls=1","More")</f>
        <v>More</v>
      </c>
      <c r="AI77" t="s">
        <v>66</v>
      </c>
      <c r="AJ77">
        <v>98125</v>
      </c>
      <c r="AS77" t="s">
        <v>1100</v>
      </c>
      <c r="AT77">
        <v>19154257</v>
      </c>
      <c r="AU77" s="12">
        <v>39495</v>
      </c>
      <c r="BB77" t="s">
        <v>911</v>
      </c>
      <c r="BC77" s="7">
        <v>39450</v>
      </c>
      <c r="BG77">
        <v>45</v>
      </c>
      <c r="BH77" s="17">
        <f t="shared" ca="1" si="1"/>
        <v>99</v>
      </c>
      <c r="BI77" s="17"/>
      <c r="BJ77" s="17"/>
    </row>
    <row r="78" spans="1:63" hidden="1">
      <c r="A78">
        <v>28006116</v>
      </c>
      <c r="B78" s="15" t="str">
        <f>HYPERLINK("http://www.windermere.com/index.cfm?fuseaction=Listing.ListingDetail&amp;ListingID=19189952","Subject To Inspection")</f>
        <v>Subject To Inspection</v>
      </c>
      <c r="D78" t="s">
        <v>919</v>
      </c>
      <c r="E78" t="s">
        <v>485</v>
      </c>
      <c r="F78" s="10">
        <v>349950</v>
      </c>
      <c r="G78" t="s">
        <v>147</v>
      </c>
      <c r="H78" s="1">
        <v>1477</v>
      </c>
      <c r="J78">
        <v>3</v>
      </c>
      <c r="K78">
        <v>2.5</v>
      </c>
      <c r="M78" s="2" t="str">
        <f>HYPERLINK("http://www.windermere.com/index.cfm?fuseaction=Listing.MapPropertyInteractive&amp;ListingID=19189952&amp;resize=true&amp;windowWidth=800&amp;windowHeight=600","Map")</f>
        <v>Map</v>
      </c>
      <c r="O78" s="2" t="str">
        <f>HYPERLINK("http://www.windermere.com/index.cfm?fuseaction=Listing.MultiImageViewer&amp;ListingID=19189952&amp;ln=28006116&amp;pub_mls=1","More")</f>
        <v>More</v>
      </c>
      <c r="AI78" t="s">
        <v>66</v>
      </c>
      <c r="AJ78">
        <v>98133</v>
      </c>
      <c r="AS78" t="s">
        <v>486</v>
      </c>
      <c r="AT78">
        <v>19189952</v>
      </c>
      <c r="AU78" s="12">
        <v>39495</v>
      </c>
      <c r="BB78" t="s">
        <v>911</v>
      </c>
      <c r="BC78" s="7">
        <v>39456</v>
      </c>
      <c r="BG78">
        <v>39</v>
      </c>
      <c r="BH78" s="17">
        <f t="shared" ca="1" si="1"/>
        <v>93</v>
      </c>
      <c r="BI78" s="17"/>
      <c r="BJ78" s="17"/>
    </row>
    <row r="79" spans="1:63" hidden="1">
      <c r="A79">
        <v>28006458</v>
      </c>
      <c r="B79" s="2" t="str">
        <f>HYPERLINK("http://www.windermere.com/index.cfm?fuseaction=Listing.ListingDetail&amp;ListingID=19195065","Active")</f>
        <v>Active</v>
      </c>
      <c r="D79" t="s">
        <v>60</v>
      </c>
      <c r="E79" t="s">
        <v>483</v>
      </c>
      <c r="F79" s="10">
        <v>349950</v>
      </c>
      <c r="G79" t="s">
        <v>147</v>
      </c>
      <c r="H79" s="1">
        <v>1353</v>
      </c>
      <c r="J79">
        <v>3</v>
      </c>
      <c r="K79">
        <v>2.5</v>
      </c>
      <c r="M79" s="2" t="str">
        <f>HYPERLINK("http://www.windermere.com/index.cfm?fuseaction=Listing.MapPropertyInteractive&amp;ListingID=19195065&amp;resize=true&amp;windowWidth=800&amp;windowHeight=600","Map")</f>
        <v>Map</v>
      </c>
      <c r="O79" s="2" t="str">
        <f>HYPERLINK("http://www.windermere.com/index.cfm?fuseaction=viewGallery.Home&amp;customTourID=204136&amp;wvt=0","More")</f>
        <v>More</v>
      </c>
      <c r="AI79" t="s">
        <v>66</v>
      </c>
      <c r="AJ79">
        <v>98103</v>
      </c>
      <c r="AS79" t="s">
        <v>484</v>
      </c>
      <c r="AT79">
        <v>19195065</v>
      </c>
      <c r="AU79" s="12">
        <v>39495</v>
      </c>
      <c r="BB79" t="s">
        <v>911</v>
      </c>
      <c r="BC79" s="7">
        <v>39457</v>
      </c>
      <c r="BG79">
        <v>38</v>
      </c>
      <c r="BH79" s="17">
        <f t="shared" ca="1" si="1"/>
        <v>92</v>
      </c>
      <c r="BI79" s="17"/>
      <c r="BJ79" s="17"/>
    </row>
    <row r="80" spans="1:63" hidden="1">
      <c r="A80">
        <v>28011510</v>
      </c>
      <c r="B80" s="2" t="str">
        <f>HYPERLINK("http://www.windermere.com/index.cfm?fuseaction=Listing.ListingDetail&amp;ListingID=19246215","Active")</f>
        <v>Active</v>
      </c>
      <c r="D80" t="s">
        <v>99</v>
      </c>
      <c r="E80" t="s">
        <v>333</v>
      </c>
      <c r="F80" s="13">
        <v>335000</v>
      </c>
      <c r="G80" t="s">
        <v>137</v>
      </c>
      <c r="H80" s="1">
        <v>1020</v>
      </c>
      <c r="I80">
        <v>6120</v>
      </c>
      <c r="J80">
        <v>2</v>
      </c>
      <c r="K80">
        <v>1</v>
      </c>
      <c r="M80" s="2" t="str">
        <f>HYPERLINK("http://www.windermere.com/index.cfm?fuseaction=Listing.MapPropertyInteractive&amp;ListingID=19246215&amp;resize=true&amp;windowWidth=800&amp;windowHeight=600","Map")</f>
        <v>Map</v>
      </c>
      <c r="O80" s="2" t="str">
        <f>HYPERLINK("http://www.windermere.com/index.cfm?fuseaction=viewGallery.Home&amp;customTourID=204990&amp;wvt=0","More")</f>
        <v>More</v>
      </c>
      <c r="AI80" t="s">
        <v>66</v>
      </c>
      <c r="AJ80">
        <v>98117</v>
      </c>
      <c r="AS80" t="s">
        <v>334</v>
      </c>
      <c r="AT80">
        <v>19246215</v>
      </c>
      <c r="AU80" s="12">
        <v>39495</v>
      </c>
      <c r="BB80" t="s">
        <v>911</v>
      </c>
      <c r="BC80" s="7">
        <v>39465</v>
      </c>
      <c r="BD80">
        <v>4</v>
      </c>
      <c r="BE80" t="s">
        <v>1400</v>
      </c>
      <c r="BF80" t="s">
        <v>1344</v>
      </c>
      <c r="BG80">
        <v>30</v>
      </c>
      <c r="BH80" s="17">
        <f t="shared" ca="1" si="1"/>
        <v>84</v>
      </c>
      <c r="BI80" s="17"/>
      <c r="BJ80" s="17"/>
    </row>
    <row r="81" spans="1:63" hidden="1">
      <c r="A81">
        <v>28004194</v>
      </c>
      <c r="B81" s="2" t="str">
        <f>HYPERLINK("http://www.windermere.com/index.cfm?fuseaction=Listing.ListingDetail&amp;ListingID=19185353","Active")</f>
        <v>Active</v>
      </c>
      <c r="D81" t="s">
        <v>55</v>
      </c>
      <c r="E81" t="s">
        <v>489</v>
      </c>
      <c r="F81" s="10">
        <v>350000</v>
      </c>
      <c r="G81" t="s">
        <v>161</v>
      </c>
      <c r="H81">
        <v>740</v>
      </c>
      <c r="I81">
        <v>6350</v>
      </c>
      <c r="J81">
        <v>2</v>
      </c>
      <c r="K81">
        <v>1</v>
      </c>
      <c r="M81" s="2" t="str">
        <f>HYPERLINK("http://www.windermere.com/index.cfm?fuseaction=Listing.MapPropertyInteractive&amp;ListingID=19185353&amp;resize=true&amp;windowWidth=800&amp;windowHeight=600","Map")</f>
        <v>Map</v>
      </c>
      <c r="O81" s="2" t="str">
        <f>HYPERLINK("http://www.windermere.com/index.cfm?fuseaction=viewGallery.Home&amp;customTourID=203947&amp;wvt=0","More")</f>
        <v>More</v>
      </c>
      <c r="AI81" t="s">
        <v>66</v>
      </c>
      <c r="AJ81">
        <v>98103</v>
      </c>
      <c r="AS81" t="s">
        <v>490</v>
      </c>
      <c r="AT81">
        <v>19185353</v>
      </c>
      <c r="AU81" s="12">
        <v>39495</v>
      </c>
      <c r="BB81" t="s">
        <v>911</v>
      </c>
      <c r="BC81" s="7">
        <v>39456</v>
      </c>
      <c r="BG81">
        <v>39</v>
      </c>
      <c r="BH81" s="17">
        <f t="shared" ca="1" si="1"/>
        <v>93</v>
      </c>
      <c r="BI81" s="17"/>
      <c r="BJ81" s="17"/>
    </row>
    <row r="82" spans="1:63" hidden="1">
      <c r="A82">
        <v>28025026</v>
      </c>
      <c r="B82" s="2" t="str">
        <f>HYPERLINK("http://www.windermere.com/index.cfm?fuseaction=Listing.ListingDetail&amp;ListingID=19361620","Active")</f>
        <v>Active</v>
      </c>
      <c r="D82" t="s">
        <v>63</v>
      </c>
      <c r="E82" t="s">
        <v>335</v>
      </c>
      <c r="F82" s="10">
        <v>350000</v>
      </c>
      <c r="G82" t="s">
        <v>137</v>
      </c>
      <c r="H82" s="1">
        <v>1280</v>
      </c>
      <c r="I82">
        <v>4120</v>
      </c>
      <c r="J82">
        <v>2</v>
      </c>
      <c r="K82">
        <v>1</v>
      </c>
      <c r="M82" s="2" t="str">
        <f>HYPERLINK("http://www.windermere.com/index.cfm?fuseaction=Listing.MapPropertyInteractive&amp;ListingID=19361620&amp;resize=true&amp;windowWidth=800&amp;windowHeight=600","Map")</f>
        <v>Map</v>
      </c>
      <c r="O82" s="2" t="str">
        <f>HYPERLINK("http://www.windermere.com/index.cfm?fuseaction=viewGallery.Home&amp;customTourID=207030&amp;wvt=0","More")</f>
        <v>More</v>
      </c>
      <c r="AI82" t="s">
        <v>66</v>
      </c>
      <c r="AJ82">
        <v>98117</v>
      </c>
      <c r="AS82" t="s">
        <v>336</v>
      </c>
      <c r="AT82">
        <v>19361620</v>
      </c>
      <c r="AU82" s="12">
        <v>39495</v>
      </c>
      <c r="BB82" t="s">
        <v>911</v>
      </c>
      <c r="BC82" s="7">
        <v>39491</v>
      </c>
      <c r="BG82">
        <v>4</v>
      </c>
      <c r="BH82" s="17">
        <f t="shared" ca="1" si="1"/>
        <v>58</v>
      </c>
      <c r="BI82" s="17"/>
      <c r="BJ82" s="17"/>
    </row>
    <row r="83" spans="1:63" hidden="1">
      <c r="A83">
        <v>27183222</v>
      </c>
      <c r="B83" s="2" t="str">
        <f>HYPERLINK("http://www.windermere.com/index.cfm?fuseaction=Listing.ListingDetail&amp;ListingID=18789512","Contingent")</f>
        <v>Contingent</v>
      </c>
      <c r="D83" t="s">
        <v>55</v>
      </c>
      <c r="E83" t="s">
        <v>491</v>
      </c>
      <c r="F83" s="10">
        <v>351000</v>
      </c>
      <c r="G83" t="s">
        <v>144</v>
      </c>
      <c r="H83" s="1">
        <v>1020</v>
      </c>
      <c r="I83">
        <v>4133</v>
      </c>
      <c r="J83">
        <v>2</v>
      </c>
      <c r="K83">
        <v>1</v>
      </c>
      <c r="M83" s="2" t="str">
        <f>HYPERLINK("http://www.windermere.com/index.cfm?fuseaction=Listing.MapPropertyInteractive&amp;ListingID=18789512&amp;resize=true&amp;windowWidth=800&amp;windowHeight=600","Map")</f>
        <v>Map</v>
      </c>
      <c r="O83" s="2" t="str">
        <f>HYPERLINK("http://www.windermere.com/index.cfm?fuseaction=Listing.MultiImageViewer&amp;ListingID=18789512&amp;ln=27183222&amp;pub_mls=1","More")</f>
        <v>More</v>
      </c>
      <c r="AI83" t="s">
        <v>66</v>
      </c>
      <c r="AJ83">
        <v>98133</v>
      </c>
      <c r="AS83" t="s">
        <v>492</v>
      </c>
      <c r="AT83">
        <v>18789512</v>
      </c>
      <c r="AU83" s="12">
        <v>39495</v>
      </c>
      <c r="BB83" t="s">
        <v>911</v>
      </c>
      <c r="BC83" s="7">
        <v>39365</v>
      </c>
      <c r="BG83">
        <v>130</v>
      </c>
      <c r="BH83" s="17">
        <f t="shared" ca="1" si="1"/>
        <v>184</v>
      </c>
      <c r="BI83" s="17"/>
      <c r="BJ83" s="17"/>
      <c r="BK83" t="str">
        <f>B83</f>
        <v>Contingent</v>
      </c>
    </row>
    <row r="84" spans="1:63" hidden="1">
      <c r="A84">
        <v>27206666</v>
      </c>
      <c r="B84" s="2" t="str">
        <f>HYPERLINK("http://www.windermere.com/index.cfm?fuseaction=Listing.ListingDetail&amp;ListingID=19021437","Active")</f>
        <v>Active</v>
      </c>
      <c r="D84" t="s">
        <v>99</v>
      </c>
      <c r="E84" t="s">
        <v>337</v>
      </c>
      <c r="F84" s="10">
        <v>354950</v>
      </c>
      <c r="G84" t="s">
        <v>219</v>
      </c>
      <c r="H84">
        <v>975</v>
      </c>
      <c r="I84">
        <v>4000</v>
      </c>
      <c r="J84">
        <v>3</v>
      </c>
      <c r="K84">
        <v>1.5</v>
      </c>
      <c r="M84" s="2" t="str">
        <f>HYPERLINK("http://www.windermere.com/index.cfm?fuseaction=Listing.MapPropertyInteractive&amp;ListingID=19021437&amp;resize=true&amp;windowWidth=800&amp;windowHeight=600","Map")</f>
        <v>Map</v>
      </c>
      <c r="O84" s="2" t="str">
        <f>HYPERLINK("http://www.windermere.com/index.cfm?fuseaction=Listing.MultiImageViewer&amp;ListingID=19021437&amp;ln=27206666&amp;pub_mls=1","More")</f>
        <v>More</v>
      </c>
      <c r="AI84" t="s">
        <v>66</v>
      </c>
      <c r="AJ84">
        <v>98117</v>
      </c>
      <c r="AS84" t="s">
        <v>338</v>
      </c>
      <c r="AT84">
        <v>19021437</v>
      </c>
      <c r="AU84" s="12">
        <v>39495</v>
      </c>
      <c r="BB84" t="s">
        <v>911</v>
      </c>
      <c r="BC84" s="7">
        <v>39414</v>
      </c>
      <c r="BG84">
        <v>81</v>
      </c>
      <c r="BH84" s="17">
        <f t="shared" ca="1" si="1"/>
        <v>135</v>
      </c>
      <c r="BI84" s="17"/>
      <c r="BJ84" s="17"/>
    </row>
    <row r="85" spans="1:63" hidden="1">
      <c r="A85">
        <v>28023467</v>
      </c>
      <c r="B85" s="2" t="str">
        <f>HYPERLINK("http://www.windermere.com/index.cfm?fuseaction=Listing.ListingDetail&amp;ListingID=19342133","Active")</f>
        <v>Active</v>
      </c>
      <c r="D85" t="s">
        <v>55</v>
      </c>
      <c r="E85" t="s">
        <v>493</v>
      </c>
      <c r="F85" s="10">
        <v>355000</v>
      </c>
      <c r="G85" t="s">
        <v>494</v>
      </c>
      <c r="H85" s="1">
        <v>1460</v>
      </c>
      <c r="I85">
        <v>1376</v>
      </c>
      <c r="J85">
        <v>3</v>
      </c>
      <c r="K85">
        <v>2.25</v>
      </c>
      <c r="M85" s="2" t="str">
        <f>HYPERLINK("http://www.windermere.com/index.cfm?fuseaction=Listing.MapPropertyInteractive&amp;ListingID=19342133&amp;resize=true&amp;windowWidth=800&amp;windowHeight=600","Map")</f>
        <v>Map</v>
      </c>
      <c r="O85" s="2" t="str">
        <f>HYPERLINK("http://www.windermere.com/index.cfm?fuseaction=Listing.MultiImageViewer&amp;ListingID=19342133&amp;ln=28023467&amp;pub_mls=1","More")</f>
        <v>More</v>
      </c>
      <c r="P85" t="s">
        <v>44</v>
      </c>
      <c r="AI85" t="s">
        <v>66</v>
      </c>
      <c r="AJ85">
        <v>98103</v>
      </c>
      <c r="AS85" t="s">
        <v>495</v>
      </c>
      <c r="AT85">
        <v>19342133</v>
      </c>
      <c r="AU85" s="12">
        <v>39495</v>
      </c>
      <c r="BB85" t="s">
        <v>911</v>
      </c>
      <c r="BC85" s="7">
        <v>39486</v>
      </c>
      <c r="BG85">
        <v>9</v>
      </c>
      <c r="BH85" s="17">
        <f t="shared" ca="1" si="1"/>
        <v>63</v>
      </c>
      <c r="BI85" s="17"/>
      <c r="BJ85" s="17"/>
    </row>
    <row r="86" spans="1:63" hidden="1">
      <c r="A86">
        <v>27211523</v>
      </c>
      <c r="B86" s="2" t="str">
        <f>HYPERLINK("http://www.windermere.com/index.cfm?fuseaction=Listing.ListingDetail&amp;ListingID=19079640","Active")</f>
        <v>Active</v>
      </c>
      <c r="D86" t="s">
        <v>55</v>
      </c>
      <c r="E86" t="s">
        <v>496</v>
      </c>
      <c r="F86" s="10">
        <v>357999</v>
      </c>
      <c r="G86" t="s">
        <v>147</v>
      </c>
      <c r="J86">
        <v>3</v>
      </c>
      <c r="K86">
        <v>2</v>
      </c>
      <c r="M86" s="2" t="str">
        <f>HYPERLINK("http://www.windermere.com/index.cfm?fuseaction=Listing.MapPropertyInteractive&amp;ListingID=19079640&amp;resize=true&amp;windowWidth=800&amp;windowHeight=600","Map")</f>
        <v>Map</v>
      </c>
      <c r="O86" s="2" t="str">
        <f>HYPERLINK("http://www.windermere.com/index.cfm?fuseaction=Listing.MultiImageViewer&amp;ListingID=19079640&amp;ln=27211523&amp;pub_mls=1","More")</f>
        <v>More</v>
      </c>
      <c r="AI86" t="s">
        <v>66</v>
      </c>
      <c r="AJ86">
        <v>98177</v>
      </c>
      <c r="AS86" t="s">
        <v>497</v>
      </c>
      <c r="AT86">
        <v>19079640</v>
      </c>
      <c r="AU86" s="12">
        <v>39495</v>
      </c>
      <c r="BB86" t="s">
        <v>911</v>
      </c>
      <c r="BC86" s="7">
        <v>39427</v>
      </c>
      <c r="BG86">
        <v>68</v>
      </c>
      <c r="BH86" s="17">
        <f t="shared" ca="1" si="1"/>
        <v>122</v>
      </c>
      <c r="BI86" s="17"/>
      <c r="BJ86" s="17"/>
    </row>
    <row r="87" spans="1:63" hidden="1">
      <c r="A87">
        <v>27160848</v>
      </c>
      <c r="B87" s="2" t="str">
        <f>HYPERLINK("http://www.windermere.com/index.cfm?fuseaction=Listing.ListingDetail&amp;ListingID=18557407","Active")</f>
        <v>Active</v>
      </c>
      <c r="D87" t="s">
        <v>55</v>
      </c>
      <c r="E87" t="s">
        <v>500</v>
      </c>
      <c r="F87" s="10">
        <v>359950</v>
      </c>
      <c r="G87" t="s">
        <v>147</v>
      </c>
      <c r="H87" s="1">
        <v>1350</v>
      </c>
      <c r="J87">
        <v>2</v>
      </c>
      <c r="K87">
        <v>1.5</v>
      </c>
      <c r="M87" s="2" t="str">
        <f>HYPERLINK("http://www.windermere.com/index.cfm?fuseaction=Listing.MapPropertyInteractive&amp;ListingID=18557407&amp;resize=true&amp;windowWidth=800&amp;windowHeight=600","Map")</f>
        <v>Map</v>
      </c>
      <c r="O87" s="2" t="str">
        <f>HYPERLINK("http://www.windermere.com/index.cfm?fuseaction=Listing.MultiImageViewer&amp;ListingID=18557407&amp;ln=27160848&amp;pub_mls=1","More")</f>
        <v>More</v>
      </c>
      <c r="P87" t="s">
        <v>44</v>
      </c>
      <c r="AI87" t="s">
        <v>66</v>
      </c>
      <c r="AJ87">
        <v>98103</v>
      </c>
      <c r="AS87" t="s">
        <v>501</v>
      </c>
      <c r="AT87">
        <v>18557407</v>
      </c>
      <c r="AU87" s="12">
        <v>39495</v>
      </c>
      <c r="BB87" t="s">
        <v>911</v>
      </c>
      <c r="BC87" s="7">
        <v>39327</v>
      </c>
      <c r="BD87">
        <v>3</v>
      </c>
      <c r="BE87" s="6" t="s">
        <v>1326</v>
      </c>
      <c r="BG87">
        <v>168</v>
      </c>
      <c r="BH87" s="17">
        <f t="shared" ca="1" si="1"/>
        <v>222</v>
      </c>
      <c r="BI87" s="17"/>
      <c r="BJ87" s="17"/>
    </row>
    <row r="88" spans="1:63" hidden="1">
      <c r="A88">
        <v>28014694</v>
      </c>
      <c r="B88" s="15" t="str">
        <f>HYPERLINK("http://www.windermere.com/index.cfm?fuseaction=Listing.ListingDetail&amp;ListingID=19269794","Subject To Inspection")</f>
        <v>Subject To Inspection</v>
      </c>
      <c r="D88" t="s">
        <v>919</v>
      </c>
      <c r="E88" t="s">
        <v>498</v>
      </c>
      <c r="F88" s="10">
        <v>359950</v>
      </c>
      <c r="G88" t="s">
        <v>147</v>
      </c>
      <c r="H88" s="1">
        <v>1477</v>
      </c>
      <c r="J88">
        <v>3</v>
      </c>
      <c r="K88">
        <v>2.5</v>
      </c>
      <c r="M88" s="2" t="str">
        <f>HYPERLINK("http://www.windermere.com/index.cfm?fuseaction=Listing.MapPropertyInteractive&amp;ListingID=19269794&amp;resize=true&amp;windowWidth=800&amp;windowHeight=600","Map")</f>
        <v>Map</v>
      </c>
      <c r="O88" s="2" t="str">
        <f>HYPERLINK("http://www.windermere.com/index.cfm?fuseaction=Listing.MultiImageViewer&amp;ListingID=19269794&amp;ln=28014694&amp;pub_mls=1","More")</f>
        <v>More</v>
      </c>
      <c r="AI88" t="s">
        <v>66</v>
      </c>
      <c r="AJ88">
        <v>98133</v>
      </c>
      <c r="AS88" t="s">
        <v>499</v>
      </c>
      <c r="AT88">
        <v>19269794</v>
      </c>
      <c r="AU88" s="12">
        <v>39495</v>
      </c>
      <c r="BB88" t="s">
        <v>911</v>
      </c>
      <c r="BC88" s="7">
        <v>39470</v>
      </c>
      <c r="BG88">
        <v>25</v>
      </c>
      <c r="BH88" s="17">
        <f t="shared" ca="1" si="1"/>
        <v>79</v>
      </c>
      <c r="BI88" s="17"/>
      <c r="BJ88" s="17"/>
    </row>
    <row r="89" spans="1:63" hidden="1">
      <c r="A89">
        <v>28017976</v>
      </c>
      <c r="B89" s="15" t="str">
        <f>HYPERLINK("http://www.windermere.com/index.cfm?fuseaction=Listing.ListingDetail&amp;ListingID=19310131","Subject To Inspection")</f>
        <v>Subject To Inspection</v>
      </c>
      <c r="D89" t="s">
        <v>60</v>
      </c>
      <c r="E89" t="s">
        <v>502</v>
      </c>
      <c r="F89" s="10">
        <v>359950</v>
      </c>
      <c r="G89" t="s">
        <v>255</v>
      </c>
      <c r="H89" s="1">
        <v>1540</v>
      </c>
      <c r="I89">
        <v>1340</v>
      </c>
      <c r="J89">
        <v>3</v>
      </c>
      <c r="K89">
        <v>2</v>
      </c>
      <c r="M89" s="2" t="str">
        <f>HYPERLINK("http://www.windermere.com/index.cfm?fuseaction=Listing.MapPropertyInteractive&amp;ListingID=19310131&amp;resize=true&amp;windowWidth=800&amp;windowHeight=600","Map")</f>
        <v>Map</v>
      </c>
      <c r="O89" s="2" t="str">
        <f>HYPERLINK("http://www.windermere.com/index.cfm?fuseaction=Listing.MultiImageViewer&amp;ListingID=19310131&amp;ln=28017976&amp;pub_mls=1","More")</f>
        <v>More</v>
      </c>
      <c r="AI89" t="s">
        <v>66</v>
      </c>
      <c r="AJ89">
        <v>98103</v>
      </c>
      <c r="AS89" t="s">
        <v>503</v>
      </c>
      <c r="AT89">
        <v>19310131</v>
      </c>
      <c r="AU89" s="12">
        <v>39495</v>
      </c>
      <c r="BB89" t="s">
        <v>911</v>
      </c>
      <c r="BC89" s="7">
        <v>39479</v>
      </c>
      <c r="BD89">
        <v>3</v>
      </c>
      <c r="BE89" t="s">
        <v>1401</v>
      </c>
      <c r="BG89">
        <v>16</v>
      </c>
      <c r="BH89" s="17">
        <f t="shared" ca="1" si="1"/>
        <v>70</v>
      </c>
      <c r="BI89" s="17"/>
      <c r="BJ89" s="17"/>
    </row>
    <row r="90" spans="1:63" hidden="1">
      <c r="A90">
        <v>28025060</v>
      </c>
      <c r="B90" s="2" t="str">
        <f>HYPERLINK("http://www.windermere.com/index.cfm?fuseaction=Listing.ListingDetail&amp;ListingID=19386709","Active")</f>
        <v>Active</v>
      </c>
      <c r="D90" t="s">
        <v>55</v>
      </c>
      <c r="E90" t="s">
        <v>1335</v>
      </c>
      <c r="F90" s="13">
        <v>349950</v>
      </c>
      <c r="G90" t="s">
        <v>730</v>
      </c>
      <c r="H90">
        <v>860</v>
      </c>
      <c r="I90">
        <v>6900</v>
      </c>
      <c r="J90">
        <v>3</v>
      </c>
      <c r="K90">
        <v>1</v>
      </c>
      <c r="M90" s="2" t="str">
        <f>HYPERLINK("http://www.windermere.com/index.cfm?fuseaction=Listing.MapPropertyInteractive&amp;ListingID=19386709&amp;resize=true&amp;windowWidth=800&amp;windowHeight=600","Map")</f>
        <v>Map</v>
      </c>
      <c r="O90" s="2" t="str">
        <f>HYPERLINK("http://www.windermere.com/index.cfm?fuseaction=Listing.MultiImageViewer&amp;ListingID=19386709&amp;ln=28025060&amp;pub_mls=1","More")</f>
        <v>More</v>
      </c>
      <c r="AI90" t="s">
        <v>66</v>
      </c>
      <c r="AJ90">
        <v>98117</v>
      </c>
      <c r="AS90" t="s">
        <v>1336</v>
      </c>
      <c r="AT90">
        <v>19386709</v>
      </c>
      <c r="AU90" s="7">
        <v>39496</v>
      </c>
      <c r="BB90" t="s">
        <v>911</v>
      </c>
      <c r="BC90" s="7">
        <v>39495</v>
      </c>
      <c r="BD90">
        <v>2</v>
      </c>
      <c r="BE90" t="s">
        <v>1345</v>
      </c>
      <c r="BF90" t="s">
        <v>1344</v>
      </c>
      <c r="BG90">
        <v>1</v>
      </c>
      <c r="BH90" s="17">
        <f t="shared" ca="1" si="1"/>
        <v>54</v>
      </c>
      <c r="BI90" s="17"/>
      <c r="BJ90" s="17"/>
    </row>
    <row r="91" spans="1:63" hidden="1">
      <c r="A91">
        <v>27144530</v>
      </c>
      <c r="B91" s="2" t="str">
        <f>HYPERLINK("http://www.windermere.com/index.cfm?fuseaction=Listing.ListingDetail&amp;ListingID=18424718","Subject To Inspection")</f>
        <v>Subject To Inspection</v>
      </c>
      <c r="D91" t="s">
        <v>55</v>
      </c>
      <c r="E91" t="s">
        <v>504</v>
      </c>
      <c r="F91" s="10">
        <v>360000</v>
      </c>
      <c r="G91" t="s">
        <v>137</v>
      </c>
      <c r="H91" s="1">
        <v>1050</v>
      </c>
      <c r="I91">
        <v>5100</v>
      </c>
      <c r="J91">
        <v>3</v>
      </c>
      <c r="K91">
        <v>1</v>
      </c>
      <c r="M91" s="2" t="str">
        <f>HYPERLINK("http://www.windermere.com/index.cfm?fuseaction=Listing.MapPropertyInteractive&amp;ListingID=18424718&amp;resize=true&amp;windowWidth=800&amp;windowHeight=600","Map")</f>
        <v>Map</v>
      </c>
      <c r="O91" s="2" t="str">
        <f>HYPERLINK("http://www.windermere.com/index.cfm?fuseaction=Listing.MultiImageViewer&amp;ListingID=18424718&amp;ln=27144530&amp;pub_mls=1","More")</f>
        <v>More</v>
      </c>
      <c r="AI91" t="s">
        <v>66</v>
      </c>
      <c r="AJ91">
        <v>98103</v>
      </c>
      <c r="AS91" t="s">
        <v>505</v>
      </c>
      <c r="AT91">
        <v>18424718</v>
      </c>
      <c r="AU91" s="12">
        <v>39495</v>
      </c>
      <c r="BB91" t="s">
        <v>911</v>
      </c>
      <c r="BC91" s="7">
        <v>39301</v>
      </c>
      <c r="BD91">
        <v>-2</v>
      </c>
      <c r="BE91" s="6" t="s">
        <v>1320</v>
      </c>
      <c r="BG91">
        <v>194</v>
      </c>
      <c r="BH91" s="17">
        <f t="shared" ca="1" si="1"/>
        <v>248</v>
      </c>
      <c r="BI91" s="17"/>
      <c r="BJ91" s="17"/>
      <c r="BK91" t="str">
        <f>B91</f>
        <v>Subject To Inspection</v>
      </c>
    </row>
    <row r="92" spans="1:63" hidden="1">
      <c r="A92">
        <v>27173221</v>
      </c>
      <c r="B92" s="2" t="str">
        <f>HYPERLINK("http://www.windermere.com/index.cfm?fuseaction=Listing.ListingDetail&amp;ListingID=18678127","Active")</f>
        <v>Active</v>
      </c>
      <c r="D92" t="s">
        <v>184</v>
      </c>
      <c r="E92" t="s">
        <v>506</v>
      </c>
      <c r="F92" s="10">
        <v>360000</v>
      </c>
      <c r="G92" t="s">
        <v>130</v>
      </c>
      <c r="H92" s="1">
        <v>2040</v>
      </c>
      <c r="I92">
        <v>6000</v>
      </c>
      <c r="J92">
        <v>4</v>
      </c>
      <c r="K92">
        <v>2</v>
      </c>
      <c r="M92" s="2" t="str">
        <f>HYPERLINK("http://www.windermere.com/index.cfm?fuseaction=Listing.MapPropertyInteractive&amp;ListingID=18678127&amp;resize=true&amp;windowWidth=800&amp;windowHeight=600","Map")</f>
        <v>Map</v>
      </c>
      <c r="O92" s="2" t="str">
        <f>HYPERLINK("http://www.windermere.com/index.cfm?fuseaction=Listing.MultiImageViewer&amp;ListingID=18678127&amp;ln=27173221&amp;pub_mls=1","More")</f>
        <v>More</v>
      </c>
      <c r="AI92" t="s">
        <v>66</v>
      </c>
      <c r="AJ92">
        <v>98125</v>
      </c>
      <c r="AS92" t="s">
        <v>507</v>
      </c>
      <c r="AT92">
        <v>18678127</v>
      </c>
      <c r="AU92" s="12">
        <v>39495</v>
      </c>
      <c r="BB92" t="s">
        <v>911</v>
      </c>
      <c r="BC92" s="7">
        <v>39346</v>
      </c>
      <c r="BG92">
        <v>149</v>
      </c>
      <c r="BH92" s="17">
        <f t="shared" ca="1" si="1"/>
        <v>203</v>
      </c>
      <c r="BI92" s="17"/>
      <c r="BJ92" s="17"/>
    </row>
    <row r="93" spans="1:63" hidden="1">
      <c r="A93">
        <v>27203636</v>
      </c>
      <c r="B93" s="2" t="str">
        <f>HYPERLINK("http://www.windermere.com/index.cfm?fuseaction=Listing.ListingDetail&amp;ListingID=18991624","Active")</f>
        <v>Active</v>
      </c>
      <c r="D93" t="s">
        <v>60</v>
      </c>
      <c r="E93" t="s">
        <v>549</v>
      </c>
      <c r="F93" s="13">
        <v>362000</v>
      </c>
      <c r="G93" t="s">
        <v>191</v>
      </c>
      <c r="I93">
        <v>4203</v>
      </c>
      <c r="J93">
        <v>3</v>
      </c>
      <c r="K93">
        <v>1</v>
      </c>
      <c r="M93" s="2" t="str">
        <f>HYPERLINK("http://www.windermere.com/index.cfm?fuseaction=Listing.MapPropertyInteractive&amp;ListingID=18991624&amp;resize=true&amp;windowWidth=800&amp;windowHeight=600","Map")</f>
        <v>Map</v>
      </c>
      <c r="O93" s="2" t="str">
        <f>HYPERLINK("http://www.windermere.com/index.cfm?fuseaction=Listing.MultiImageViewer&amp;ListingID=18991624&amp;ln=27203636&amp;pub_mls=1","More")</f>
        <v>More</v>
      </c>
      <c r="AI93" t="s">
        <v>66</v>
      </c>
      <c r="AJ93">
        <v>98103</v>
      </c>
      <c r="AS93" t="s">
        <v>550</v>
      </c>
      <c r="AT93">
        <v>18991624</v>
      </c>
      <c r="AU93" s="12">
        <v>39495</v>
      </c>
      <c r="BB93" t="s">
        <v>911</v>
      </c>
      <c r="BC93" s="7">
        <v>39404</v>
      </c>
      <c r="BG93">
        <v>91</v>
      </c>
      <c r="BH93" s="17">
        <f t="shared" ca="1" si="1"/>
        <v>145</v>
      </c>
      <c r="BI93" s="17"/>
      <c r="BJ93" s="17"/>
    </row>
    <row r="94" spans="1:63" hidden="1">
      <c r="A94">
        <v>27191568</v>
      </c>
      <c r="B94" s="2" t="str">
        <f>HYPERLINK("http://www.windermere.com/index.cfm?fuseaction=Listing.ListingDetail&amp;ListingID=18858794","Active")</f>
        <v>Active</v>
      </c>
      <c r="D94" t="s">
        <v>60</v>
      </c>
      <c r="E94" t="s">
        <v>127</v>
      </c>
      <c r="F94" s="10">
        <v>363500</v>
      </c>
      <c r="G94" t="s">
        <v>128</v>
      </c>
      <c r="H94" s="1">
        <v>1175</v>
      </c>
      <c r="I94">
        <v>1366</v>
      </c>
      <c r="J94">
        <v>2</v>
      </c>
      <c r="K94">
        <v>2.5</v>
      </c>
      <c r="M94" s="2" t="str">
        <f>HYPERLINK("http://www.windermere.com/index.cfm?fuseaction=Listing.MapPropertyInteractive&amp;ListingID=18858794&amp;resize=true&amp;windowWidth=800&amp;windowHeight=600","Map")</f>
        <v>Map</v>
      </c>
      <c r="O94" s="2" t="str">
        <f>HYPERLINK("http://www.windermere.com/index.cfm?fuseaction=Listing.MultiImageViewer&amp;ListingID=18858794&amp;ln=27191568&amp;pub_mls=1","More")</f>
        <v>More</v>
      </c>
      <c r="P94" t="s">
        <v>44</v>
      </c>
      <c r="AI94" t="s">
        <v>66</v>
      </c>
      <c r="AJ94">
        <v>98103</v>
      </c>
      <c r="AS94" t="s">
        <v>508</v>
      </c>
      <c r="AT94">
        <v>18858794</v>
      </c>
      <c r="AU94" s="12">
        <v>39495</v>
      </c>
      <c r="BB94" t="s">
        <v>911</v>
      </c>
      <c r="BC94" s="7">
        <v>39379</v>
      </c>
      <c r="BG94">
        <v>116</v>
      </c>
      <c r="BH94" s="17">
        <f t="shared" ca="1" si="1"/>
        <v>170</v>
      </c>
      <c r="BI94" s="17"/>
      <c r="BJ94" s="17"/>
    </row>
    <row r="95" spans="1:63" hidden="1">
      <c r="A95">
        <v>28006638</v>
      </c>
      <c r="B95" s="2" t="str">
        <f>HYPERLINK("http://www.windermere.com/index.cfm?fuseaction=Listing.ListingDetail&amp;ListingID=19194788","Active")</f>
        <v>Active</v>
      </c>
      <c r="D95" t="s">
        <v>60</v>
      </c>
      <c r="E95" t="s">
        <v>509</v>
      </c>
      <c r="F95" s="10">
        <v>364500</v>
      </c>
      <c r="G95" t="s">
        <v>128</v>
      </c>
      <c r="H95" s="1">
        <v>1300</v>
      </c>
      <c r="J95">
        <v>3</v>
      </c>
      <c r="K95">
        <v>2.5</v>
      </c>
      <c r="M95" s="2" t="str">
        <f>HYPERLINK("http://www.windermere.com/index.cfm?fuseaction=Listing.MapPropertyInteractive&amp;ListingID=19194788&amp;resize=true&amp;windowWidth=800&amp;windowHeight=600","Map")</f>
        <v>Map</v>
      </c>
      <c r="O95" s="2" t="str">
        <f>HYPERLINK("http://www.windermere.com/index.cfm?fuseaction=viewGallery.Home&amp;customTourID=202453&amp;wvt=0","More")</f>
        <v>More</v>
      </c>
      <c r="P95" t="s">
        <v>44</v>
      </c>
      <c r="AI95" t="s">
        <v>66</v>
      </c>
      <c r="AJ95">
        <v>98103</v>
      </c>
      <c r="AS95" t="s">
        <v>510</v>
      </c>
      <c r="AT95">
        <v>19194788</v>
      </c>
      <c r="AU95" s="12">
        <v>39495</v>
      </c>
      <c r="BB95" t="s">
        <v>911</v>
      </c>
      <c r="BC95" s="7">
        <v>39457</v>
      </c>
      <c r="BG95">
        <v>38</v>
      </c>
      <c r="BH95" s="17">
        <f t="shared" ca="1" si="1"/>
        <v>92</v>
      </c>
      <c r="BI95" s="17"/>
      <c r="BJ95" s="17"/>
    </row>
    <row r="96" spans="1:63" hidden="1">
      <c r="A96">
        <v>27191720</v>
      </c>
      <c r="B96" s="2" t="str">
        <f>HYPERLINK("http://www.windermere.com/index.cfm?fuseaction=Listing.ListingDetail&amp;ListingID=18859931","Active")</f>
        <v>Active</v>
      </c>
      <c r="D96" t="s">
        <v>63</v>
      </c>
      <c r="E96" t="s">
        <v>341</v>
      </c>
      <c r="F96" s="10">
        <v>364888</v>
      </c>
      <c r="G96" t="s">
        <v>147</v>
      </c>
      <c r="H96" s="1">
        <v>1338</v>
      </c>
      <c r="J96">
        <v>3</v>
      </c>
      <c r="K96">
        <v>2.5</v>
      </c>
      <c r="M96" s="2" t="str">
        <f>HYPERLINK("http://www.windermere.com/index.cfm?fuseaction=Listing.MapPropertyInteractive&amp;ListingID=18859931&amp;resize=true&amp;windowWidth=800&amp;windowHeight=600","Map")</f>
        <v>Map</v>
      </c>
      <c r="O96" s="2" t="str">
        <f>HYPERLINK("http://www.windermere.com/index.cfm?fuseaction=Listing.MultiImageViewer&amp;ListingID=18859931&amp;ln=27191720&amp;pub_mls=1","More")</f>
        <v>More</v>
      </c>
      <c r="AI96" t="s">
        <v>66</v>
      </c>
      <c r="AJ96">
        <v>98117</v>
      </c>
      <c r="AS96" t="s">
        <v>342</v>
      </c>
      <c r="AT96">
        <v>18859931</v>
      </c>
      <c r="AU96" s="12">
        <v>39495</v>
      </c>
      <c r="BB96" t="s">
        <v>911</v>
      </c>
      <c r="BC96" s="7">
        <v>39379</v>
      </c>
      <c r="BG96">
        <v>116</v>
      </c>
      <c r="BH96" s="17">
        <f t="shared" ca="1" si="1"/>
        <v>170</v>
      </c>
      <c r="BI96" s="17"/>
      <c r="BJ96" s="17"/>
    </row>
    <row r="97" spans="1:63" hidden="1">
      <c r="A97">
        <v>27191728</v>
      </c>
      <c r="B97" s="2" t="str">
        <f>HYPERLINK("http://www.windermere.com/index.cfm?fuseaction=Listing.ListingDetail&amp;ListingID=18860071","Active")</f>
        <v>Active</v>
      </c>
      <c r="D97" t="s">
        <v>63</v>
      </c>
      <c r="E97" t="s">
        <v>339</v>
      </c>
      <c r="F97" s="10">
        <v>364888</v>
      </c>
      <c r="G97" t="s">
        <v>147</v>
      </c>
      <c r="H97" s="1">
        <v>1338</v>
      </c>
      <c r="J97">
        <v>3</v>
      </c>
      <c r="K97">
        <v>2.5</v>
      </c>
      <c r="M97" s="2" t="str">
        <f>HYPERLINK("http://www.windermere.com/index.cfm?fuseaction=Listing.MapPropertyInteractive&amp;ListingID=18860071&amp;resize=true&amp;windowWidth=800&amp;windowHeight=600","Map")</f>
        <v>Map</v>
      </c>
      <c r="O97" s="2" t="str">
        <f>HYPERLINK("http://www.windermere.com/index.cfm?fuseaction=Listing.MultiImageViewer&amp;ListingID=18860071&amp;ln=27191728&amp;pub_mls=1","More")</f>
        <v>More</v>
      </c>
      <c r="AI97" t="s">
        <v>66</v>
      </c>
      <c r="AJ97">
        <v>98117</v>
      </c>
      <c r="AS97" t="s">
        <v>340</v>
      </c>
      <c r="AT97">
        <v>18860071</v>
      </c>
      <c r="AU97" s="12">
        <v>39495</v>
      </c>
      <c r="BB97" t="s">
        <v>911</v>
      </c>
      <c r="BC97" s="7">
        <v>39379</v>
      </c>
      <c r="BG97">
        <v>116</v>
      </c>
      <c r="BH97" s="17">
        <f t="shared" ca="1" si="1"/>
        <v>170</v>
      </c>
      <c r="BI97" s="17"/>
      <c r="BJ97" s="17"/>
    </row>
    <row r="98" spans="1:63" hidden="1">
      <c r="A98">
        <v>27191729</v>
      </c>
      <c r="B98" s="2" t="str">
        <f>HYPERLINK("http://www.windermere.com/index.cfm?fuseaction=Listing.ListingDetail&amp;ListingID=18860069","Active")</f>
        <v>Active</v>
      </c>
      <c r="D98" t="s">
        <v>63</v>
      </c>
      <c r="E98" t="s">
        <v>343</v>
      </c>
      <c r="F98" s="10">
        <v>364888</v>
      </c>
      <c r="G98" t="s">
        <v>147</v>
      </c>
      <c r="H98" s="1">
        <v>1338</v>
      </c>
      <c r="J98">
        <v>3</v>
      </c>
      <c r="K98">
        <v>2.5</v>
      </c>
      <c r="M98" s="2" t="str">
        <f>HYPERLINK("http://www.windermere.com/index.cfm?fuseaction=Listing.MapPropertyInteractive&amp;ListingID=18860069&amp;resize=true&amp;windowWidth=800&amp;windowHeight=600","Map")</f>
        <v>Map</v>
      </c>
      <c r="O98" s="2" t="str">
        <f>HYPERLINK("http://www.windermere.com/index.cfm?fuseaction=Listing.MultiImageViewer&amp;ListingID=18860069&amp;ln=27191729&amp;pub_mls=1","More")</f>
        <v>More</v>
      </c>
      <c r="AI98" t="s">
        <v>66</v>
      </c>
      <c r="AJ98">
        <v>98117</v>
      </c>
      <c r="AS98" t="s">
        <v>344</v>
      </c>
      <c r="AT98">
        <v>18860069</v>
      </c>
      <c r="AU98" s="12">
        <v>39495</v>
      </c>
      <c r="BB98" t="s">
        <v>911</v>
      </c>
      <c r="BC98" s="7">
        <v>39379</v>
      </c>
      <c r="BG98">
        <v>116</v>
      </c>
      <c r="BH98" s="17">
        <f t="shared" ca="1" si="1"/>
        <v>170</v>
      </c>
      <c r="BI98" s="17"/>
      <c r="BJ98" s="17"/>
    </row>
    <row r="99" spans="1:63" hidden="1">
      <c r="A99">
        <v>27191731</v>
      </c>
      <c r="B99" s="2" t="str">
        <f>HYPERLINK("http://www.windermere.com/index.cfm?fuseaction=Listing.ListingDetail&amp;ListingID=18860070","Active")</f>
        <v>Active</v>
      </c>
      <c r="D99" t="s">
        <v>63</v>
      </c>
      <c r="E99" t="s">
        <v>345</v>
      </c>
      <c r="F99" s="10">
        <v>364888</v>
      </c>
      <c r="G99" t="s">
        <v>147</v>
      </c>
      <c r="H99" s="1">
        <v>1338</v>
      </c>
      <c r="J99">
        <v>3</v>
      </c>
      <c r="K99">
        <v>2.5</v>
      </c>
      <c r="M99" s="2" t="str">
        <f>HYPERLINK("http://www.windermere.com/index.cfm?fuseaction=Listing.MapPropertyInteractive&amp;ListingID=18860070&amp;resize=true&amp;windowWidth=800&amp;windowHeight=600","Map")</f>
        <v>Map</v>
      </c>
      <c r="O99" s="2" t="str">
        <f>HYPERLINK("http://www.windermere.com/index.cfm?fuseaction=Listing.MultiImageViewer&amp;ListingID=18860070&amp;ln=27191731&amp;pub_mls=1","More")</f>
        <v>More</v>
      </c>
      <c r="AI99" t="s">
        <v>66</v>
      </c>
      <c r="AJ99">
        <v>98117</v>
      </c>
      <c r="AS99" t="s">
        <v>346</v>
      </c>
      <c r="AT99">
        <v>18860070</v>
      </c>
      <c r="AU99" s="12">
        <v>39495</v>
      </c>
      <c r="BB99" t="s">
        <v>911</v>
      </c>
      <c r="BC99" s="7">
        <v>39379</v>
      </c>
      <c r="BG99">
        <v>116</v>
      </c>
      <c r="BH99" s="17">
        <f t="shared" ca="1" si="1"/>
        <v>170</v>
      </c>
      <c r="BI99" s="17"/>
      <c r="BJ99" s="17"/>
    </row>
    <row r="100" spans="1:63" hidden="1">
      <c r="A100">
        <v>28026528</v>
      </c>
      <c r="B100" s="15" t="str">
        <f>HYPERLINK("http://www.windermere.com/index.cfm?fuseaction=Listing.ListingDetail&amp;ListingID=19365753","Subject To Inspection")</f>
        <v>Subject To Inspection</v>
      </c>
      <c r="D100" t="s">
        <v>70</v>
      </c>
      <c r="E100" t="s">
        <v>511</v>
      </c>
      <c r="F100" s="10">
        <v>364888</v>
      </c>
      <c r="G100" t="s">
        <v>147</v>
      </c>
      <c r="H100" s="1">
        <v>1530</v>
      </c>
      <c r="J100">
        <v>3</v>
      </c>
      <c r="K100">
        <v>2.25</v>
      </c>
      <c r="M100" s="2" t="str">
        <f>HYPERLINK("http://www.windermere.com/index.cfm?fuseaction=Listing.MapPropertyInteractive&amp;ListingID=19365753&amp;resize=true&amp;windowWidth=800&amp;windowHeight=600","Map")</f>
        <v>Map</v>
      </c>
      <c r="O100" s="2" t="str">
        <f>HYPERLINK("http://www.windermere.com/index.cfm?fuseaction=Listing.MultiImageViewer&amp;ListingID=19365753&amp;ln=28026528&amp;pub_mls=1","More")</f>
        <v>More</v>
      </c>
      <c r="AI100" t="s">
        <v>66</v>
      </c>
      <c r="AJ100">
        <v>98133</v>
      </c>
      <c r="AS100" t="s">
        <v>512</v>
      </c>
      <c r="AT100">
        <v>19365753</v>
      </c>
      <c r="AU100" s="12">
        <v>39495</v>
      </c>
      <c r="BB100" t="s">
        <v>911</v>
      </c>
      <c r="BC100" s="7">
        <v>39491</v>
      </c>
      <c r="BD100">
        <v>-4</v>
      </c>
      <c r="BE100" t="s">
        <v>1402</v>
      </c>
      <c r="BG100">
        <v>4</v>
      </c>
      <c r="BH100" s="17">
        <f t="shared" ca="1" si="1"/>
        <v>58</v>
      </c>
      <c r="BI100" s="17"/>
      <c r="BJ100" s="17"/>
    </row>
    <row r="101" spans="1:63" hidden="1">
      <c r="A101">
        <v>27160841</v>
      </c>
      <c r="B101" s="2" t="str">
        <f>HYPERLINK("http://www.windermere.com/index.cfm?fuseaction=Listing.ListingDetail&amp;ListingID=19060032","Active")</f>
        <v>Active</v>
      </c>
      <c r="D101" t="s">
        <v>55</v>
      </c>
      <c r="E101" t="s">
        <v>520</v>
      </c>
      <c r="F101" s="10">
        <v>364950</v>
      </c>
      <c r="G101" t="s">
        <v>147</v>
      </c>
      <c r="H101" s="1">
        <v>1325</v>
      </c>
      <c r="J101">
        <v>2</v>
      </c>
      <c r="K101">
        <v>1.5</v>
      </c>
      <c r="M101" s="2" t="str">
        <f>HYPERLINK("http://www.windermere.com/index.cfm?fuseaction=Listing.MapPropertyInteractive&amp;ListingID=19060032&amp;resize=true&amp;windowWidth=800&amp;windowHeight=600","Map")</f>
        <v>Map</v>
      </c>
      <c r="O101" s="2" t="str">
        <f>HYPERLINK("http://www.windermere.com/index.cfm?fuseaction=Listing.MultiImageViewer&amp;ListingID=19060032&amp;ln=27160841&amp;pub_mls=1","More")</f>
        <v>More</v>
      </c>
      <c r="P101" t="s">
        <v>44</v>
      </c>
      <c r="AI101" t="s">
        <v>66</v>
      </c>
      <c r="AJ101">
        <v>98103</v>
      </c>
      <c r="AS101" t="s">
        <v>521</v>
      </c>
      <c r="AT101">
        <v>19060032</v>
      </c>
      <c r="AU101" s="12">
        <v>39495</v>
      </c>
      <c r="BB101" t="s">
        <v>911</v>
      </c>
      <c r="BC101" s="7">
        <v>39327</v>
      </c>
      <c r="BD101">
        <v>3</v>
      </c>
      <c r="BE101" s="6" t="s">
        <v>1326</v>
      </c>
      <c r="BG101">
        <v>168</v>
      </c>
      <c r="BH101" s="17">
        <f t="shared" ca="1" si="1"/>
        <v>222</v>
      </c>
      <c r="BI101" s="17"/>
      <c r="BJ101" s="17"/>
    </row>
    <row r="102" spans="1:63" hidden="1">
      <c r="A102">
        <v>27194391</v>
      </c>
      <c r="B102" s="2" t="str">
        <f>HYPERLINK("http://www.windermere.com/index.cfm?fuseaction=Listing.ListingDetail&amp;ListingID=18898996","Active")</f>
        <v>Active</v>
      </c>
      <c r="D102" t="s">
        <v>66</v>
      </c>
      <c r="E102" t="s">
        <v>518</v>
      </c>
      <c r="F102" s="10">
        <v>364950</v>
      </c>
      <c r="G102" t="s">
        <v>403</v>
      </c>
      <c r="H102" s="1">
        <v>1580</v>
      </c>
      <c r="I102">
        <v>1200</v>
      </c>
      <c r="J102">
        <v>3</v>
      </c>
      <c r="K102">
        <v>2.5</v>
      </c>
      <c r="M102" s="2" t="str">
        <f>HYPERLINK("http://www.windermere.com/index.cfm?fuseaction=Listing.MapPropertyInteractive&amp;ListingID=18898996&amp;resize=true&amp;windowWidth=800&amp;windowHeight=600","Map")</f>
        <v>Map</v>
      </c>
      <c r="AI102" t="s">
        <v>66</v>
      </c>
      <c r="AJ102">
        <v>98133</v>
      </c>
      <c r="AS102" t="s">
        <v>519</v>
      </c>
      <c r="AT102">
        <v>18898996</v>
      </c>
      <c r="AU102" s="12">
        <v>39495</v>
      </c>
      <c r="BB102" t="s">
        <v>911</v>
      </c>
      <c r="BC102" s="7">
        <v>39387</v>
      </c>
      <c r="BG102">
        <v>108</v>
      </c>
      <c r="BH102" s="17">
        <f t="shared" ca="1" si="1"/>
        <v>162</v>
      </c>
      <c r="BI102" s="17"/>
      <c r="BJ102" s="17"/>
    </row>
    <row r="103" spans="1:63" hidden="1">
      <c r="A103">
        <v>27199578</v>
      </c>
      <c r="B103" s="2" t="str">
        <f>HYPERLINK("http://www.windermere.com/index.cfm?fuseaction=Listing.ListingDetail&amp;ListingID=18938966","Contingent")</f>
        <v>Contingent</v>
      </c>
      <c r="D103" t="s">
        <v>967</v>
      </c>
      <c r="E103" t="s">
        <v>1101</v>
      </c>
      <c r="F103" s="10">
        <v>364950</v>
      </c>
      <c r="G103" t="s">
        <v>147</v>
      </c>
      <c r="H103" s="1">
        <v>1951</v>
      </c>
      <c r="I103">
        <v>1631</v>
      </c>
      <c r="J103">
        <v>3</v>
      </c>
      <c r="K103">
        <v>3.25</v>
      </c>
      <c r="M103" s="2" t="str">
        <f>HYPERLINK("http://www.windermere.com/index.cfm?fuseaction=Listing.MapPropertyInteractive&amp;ListingID=18938966&amp;resize=true&amp;windowWidth=800&amp;windowHeight=600","Map")</f>
        <v>Map</v>
      </c>
      <c r="O103" s="2" t="str">
        <f>HYPERLINK("http://www.windermere.com/index.cfm?fuseaction=Listing.MultiImageViewer&amp;ListingID=18938966&amp;ln=27199578&amp;pub_mls=1","More")</f>
        <v>More</v>
      </c>
      <c r="P103" t="s">
        <v>44</v>
      </c>
      <c r="AI103" t="s">
        <v>395</v>
      </c>
      <c r="AJ103">
        <v>98155</v>
      </c>
      <c r="AS103" t="s">
        <v>1102</v>
      </c>
      <c r="AT103">
        <v>18938966</v>
      </c>
      <c r="AU103" s="12">
        <v>39495</v>
      </c>
      <c r="BB103" t="s">
        <v>911</v>
      </c>
      <c r="BC103" s="7">
        <v>39395</v>
      </c>
      <c r="BG103">
        <v>100</v>
      </c>
      <c r="BH103" s="17">
        <f t="shared" ca="1" si="1"/>
        <v>154</v>
      </c>
      <c r="BI103" s="17"/>
      <c r="BJ103" s="17"/>
      <c r="BK103" t="str">
        <f>B103</f>
        <v>Contingent</v>
      </c>
    </row>
    <row r="104" spans="1:63" hidden="1">
      <c r="A104">
        <v>28013775</v>
      </c>
      <c r="B104" s="2" t="str">
        <f>HYPERLINK("http://www.windermere.com/index.cfm?fuseaction=Listing.ListingDetail&amp;ListingID=19280728","Active")</f>
        <v>Active</v>
      </c>
      <c r="D104" t="s">
        <v>70</v>
      </c>
      <c r="E104" t="s">
        <v>513</v>
      </c>
      <c r="F104" s="13">
        <v>354950</v>
      </c>
      <c r="G104" t="s">
        <v>246</v>
      </c>
      <c r="H104" s="1">
        <v>1518</v>
      </c>
      <c r="J104">
        <v>3</v>
      </c>
      <c r="K104">
        <v>3.5</v>
      </c>
      <c r="M104" s="2" t="str">
        <f>HYPERLINK("http://www.windermere.com/index.cfm?fuseaction=Listing.MapPropertyInteractive&amp;ListingID=19280728&amp;resize=true&amp;windowWidth=800&amp;windowHeight=600","Map")</f>
        <v>Map</v>
      </c>
      <c r="O104" s="2" t="str">
        <f>HYPERLINK("http://www.windermere.com/index.cfm?fuseaction=Listing.MultiImageViewer&amp;ListingID=19280728&amp;ln=28013775&amp;pub_mls=1","More")</f>
        <v>More</v>
      </c>
      <c r="P104" t="s">
        <v>44</v>
      </c>
      <c r="AI104" t="s">
        <v>66</v>
      </c>
      <c r="AJ104">
        <v>98133</v>
      </c>
      <c r="AS104" t="s">
        <v>514</v>
      </c>
      <c r="AT104">
        <v>19280728</v>
      </c>
      <c r="AU104" s="12">
        <v>39495</v>
      </c>
      <c r="BB104" t="s">
        <v>911</v>
      </c>
      <c r="BC104" s="7">
        <v>39472</v>
      </c>
      <c r="BG104">
        <v>23</v>
      </c>
      <c r="BH104" s="17">
        <f t="shared" ca="1" si="1"/>
        <v>77</v>
      </c>
      <c r="BI104" s="17"/>
      <c r="BJ104" s="17"/>
    </row>
    <row r="105" spans="1:63" hidden="1">
      <c r="A105">
        <v>28023084</v>
      </c>
      <c r="B105" s="2" t="str">
        <f>HYPERLINK("http://www.windermere.com/index.cfm?fuseaction=Listing.ListingDetail&amp;ListingID=19340741","Subject To Inspection")</f>
        <v>Subject To Inspection</v>
      </c>
      <c r="C105">
        <v>710</v>
      </c>
      <c r="D105" t="s">
        <v>199</v>
      </c>
      <c r="E105" t="s">
        <v>515</v>
      </c>
      <c r="F105" s="10">
        <v>364950</v>
      </c>
      <c r="G105" t="s">
        <v>516</v>
      </c>
      <c r="H105">
        <v>940</v>
      </c>
      <c r="I105">
        <v>8364</v>
      </c>
      <c r="J105">
        <v>3</v>
      </c>
      <c r="K105">
        <v>1</v>
      </c>
      <c r="L105">
        <v>1</v>
      </c>
      <c r="M105" s="2" t="str">
        <f>HYPERLINK("http://www.windermere.com/index.cfm?fuseaction=Listing.MapPropertyInteractive&amp;ListingID=19340741&amp;resize=true&amp;windowWidth=800&amp;windowHeight=600","Map")</f>
        <v>Map</v>
      </c>
      <c r="N105" s="2" t="str">
        <f>HYPERLINK("http://locmedia.nwmls.com/DO_NOT_LINK/bigphoto/084/28023084.jpg?tsp=20080208063946","Photo")</f>
        <v>Photo</v>
      </c>
      <c r="O105" s="2" t="str">
        <f>HYPERLINK("http://www.windermere.com/index.cfm?fuseaction=Listing.MultiImageViewer&amp;ListingID=19340741&amp;ln=28023084&amp;pub_mls=1","More")</f>
        <v>More</v>
      </c>
      <c r="Q105" t="s">
        <v>56</v>
      </c>
      <c r="R105" t="s">
        <v>67</v>
      </c>
      <c r="S105" t="s">
        <v>49</v>
      </c>
      <c r="T105" t="s">
        <v>50</v>
      </c>
      <c r="U105" t="s">
        <v>44</v>
      </c>
      <c r="X105" t="s">
        <v>47</v>
      </c>
      <c r="Y105" t="s">
        <v>48</v>
      </c>
      <c r="Z105" t="s">
        <v>1010</v>
      </c>
      <c r="AB105">
        <v>2007</v>
      </c>
      <c r="AC105">
        <v>2548</v>
      </c>
      <c r="AD105" t="s">
        <v>1011</v>
      </c>
      <c r="AE105" t="s">
        <v>74</v>
      </c>
      <c r="AF105" t="s">
        <v>1012</v>
      </c>
      <c r="AG105">
        <v>47.724395999999999</v>
      </c>
      <c r="AH105">
        <v>-122.29774999999999</v>
      </c>
      <c r="AI105" t="s">
        <v>66</v>
      </c>
      <c r="AJ105">
        <v>98125</v>
      </c>
      <c r="AK105" t="s">
        <v>41</v>
      </c>
      <c r="AL105" t="s">
        <v>40</v>
      </c>
      <c r="AM105" t="s">
        <v>40</v>
      </c>
      <c r="AO105">
        <v>0.192</v>
      </c>
      <c r="AP105" t="s">
        <v>1013</v>
      </c>
      <c r="AQ105">
        <v>505</v>
      </c>
      <c r="AR105" t="s">
        <v>105</v>
      </c>
      <c r="AS105" t="s">
        <v>517</v>
      </c>
      <c r="AT105">
        <v>19340741</v>
      </c>
      <c r="AU105" s="12">
        <v>39495</v>
      </c>
      <c r="BA105" t="s">
        <v>911</v>
      </c>
      <c r="BB105" t="s">
        <v>911</v>
      </c>
      <c r="BC105" s="7">
        <v>39486</v>
      </c>
      <c r="BG105">
        <v>9</v>
      </c>
      <c r="BH105" s="17">
        <f t="shared" ca="1" si="1"/>
        <v>63</v>
      </c>
      <c r="BI105" s="17"/>
      <c r="BJ105" s="17"/>
      <c r="BK105" t="str">
        <f>B105</f>
        <v>Subject To Inspection</v>
      </c>
    </row>
    <row r="106" spans="1:63" hidden="1">
      <c r="A106">
        <v>27208748</v>
      </c>
      <c r="B106" s="2" t="str">
        <f>HYPERLINK("http://www.windermere.com/index.cfm?fuseaction=Listing.ListingDetail&amp;ListingID=19048334","Active")</f>
        <v>Active</v>
      </c>
      <c r="D106" t="s">
        <v>99</v>
      </c>
      <c r="E106" t="s">
        <v>347</v>
      </c>
      <c r="F106" s="13">
        <v>355000</v>
      </c>
      <c r="G106" t="s">
        <v>151</v>
      </c>
      <c r="H106" s="1">
        <v>1220</v>
      </c>
      <c r="J106">
        <v>2</v>
      </c>
      <c r="K106">
        <v>2</v>
      </c>
      <c r="M106" s="2" t="str">
        <f>HYPERLINK("http://www.windermere.com/index.cfm?fuseaction=Listing.MapPropertyInteractive&amp;ListingID=19048334&amp;resize=true&amp;windowWidth=800&amp;windowHeight=600","Map")</f>
        <v>Map</v>
      </c>
      <c r="O106" s="2" t="str">
        <f>HYPERLINK("http://www.windermere.com/index.cfm?fuseaction=viewGallery.Home&amp;customTourID=201679&amp;wvt=0","More")</f>
        <v>More</v>
      </c>
      <c r="AI106" t="s">
        <v>66</v>
      </c>
      <c r="AJ106">
        <v>98117</v>
      </c>
      <c r="AS106" t="s">
        <v>348</v>
      </c>
      <c r="AT106">
        <v>19048334</v>
      </c>
      <c r="AU106" s="12">
        <v>39495</v>
      </c>
      <c r="BB106" t="s">
        <v>911</v>
      </c>
      <c r="BC106" s="7">
        <v>39420</v>
      </c>
      <c r="BD106">
        <v>2</v>
      </c>
      <c r="BE106" t="s">
        <v>1373</v>
      </c>
      <c r="BG106">
        <v>75</v>
      </c>
      <c r="BH106" s="17">
        <f t="shared" ca="1" si="1"/>
        <v>129</v>
      </c>
      <c r="BI106" s="17"/>
      <c r="BJ106" s="17"/>
    </row>
    <row r="107" spans="1:63" hidden="1">
      <c r="A107">
        <v>28007328</v>
      </c>
      <c r="B107" s="2" t="str">
        <f>HYPERLINK("http://www.windermere.com/index.cfm?fuseaction=Listing.ListingDetail&amp;ListingID=19206316","Active")</f>
        <v>Active</v>
      </c>
      <c r="D107" t="s">
        <v>55</v>
      </c>
      <c r="E107" t="s">
        <v>524</v>
      </c>
      <c r="F107" s="10">
        <v>365000</v>
      </c>
      <c r="G107" t="s">
        <v>191</v>
      </c>
      <c r="H107" s="1">
        <v>2060</v>
      </c>
      <c r="I107">
        <v>4120</v>
      </c>
      <c r="J107">
        <v>3</v>
      </c>
      <c r="K107">
        <v>1.25</v>
      </c>
      <c r="M107" s="2" t="str">
        <f>HYPERLINK("http://www.windermere.com/index.cfm?fuseaction=Listing.MapPropertyInteractive&amp;ListingID=19206316&amp;resize=true&amp;windowWidth=800&amp;windowHeight=600","Map")</f>
        <v>Map</v>
      </c>
      <c r="O107" s="2" t="str">
        <f>HYPERLINK("http://www.windermere.com/index.cfm?fuseaction=Listing.MultiImageViewer&amp;ListingID=19206316&amp;ln=28007328&amp;pub_mls=1","More")</f>
        <v>More</v>
      </c>
      <c r="AI107" t="s">
        <v>66</v>
      </c>
      <c r="AJ107">
        <v>98103</v>
      </c>
      <c r="AS107" t="s">
        <v>525</v>
      </c>
      <c r="AT107">
        <v>19206316</v>
      </c>
      <c r="AU107" s="12">
        <v>39495</v>
      </c>
      <c r="BB107" t="s">
        <v>911</v>
      </c>
      <c r="BC107" s="7">
        <v>39458</v>
      </c>
      <c r="BG107">
        <v>37</v>
      </c>
      <c r="BH107" s="17">
        <f t="shared" ca="1" si="1"/>
        <v>91</v>
      </c>
      <c r="BI107" s="17"/>
      <c r="BJ107" s="17"/>
    </row>
    <row r="108" spans="1:63" hidden="1">
      <c r="A108">
        <v>28008635</v>
      </c>
      <c r="B108" s="2" t="str">
        <f>HYPERLINK("http://www.windermere.com/index.cfm?fuseaction=Listing.ListingDetail&amp;ListingID=19226990","Active")</f>
        <v>Active</v>
      </c>
      <c r="D108" t="s">
        <v>60</v>
      </c>
      <c r="E108" t="s">
        <v>522</v>
      </c>
      <c r="F108" s="13">
        <v>348075</v>
      </c>
      <c r="G108" t="s">
        <v>373</v>
      </c>
      <c r="H108" s="1">
        <v>1500</v>
      </c>
      <c r="J108">
        <v>3</v>
      </c>
      <c r="K108">
        <v>2.5</v>
      </c>
      <c r="M108" s="2" t="str">
        <f>HYPERLINK("http://www.windermere.com/index.cfm?fuseaction=Listing.MapPropertyInteractive&amp;ListingID=19226990&amp;resize=true&amp;windowWidth=800&amp;windowHeight=600","Map")</f>
        <v>Map</v>
      </c>
      <c r="O108" s="2" t="str">
        <f>HYPERLINK("http://www.windermere.com/index.cfm?fuseaction=Listing.MultiImageViewer&amp;ListingID=19226990&amp;ln=28008635&amp;pub_mls=1","More")</f>
        <v>More</v>
      </c>
      <c r="P108" t="s">
        <v>44</v>
      </c>
      <c r="AI108" t="s">
        <v>66</v>
      </c>
      <c r="AJ108">
        <v>98103</v>
      </c>
      <c r="AS108" t="s">
        <v>523</v>
      </c>
      <c r="AT108">
        <v>19226990</v>
      </c>
      <c r="AU108" s="12">
        <v>39495</v>
      </c>
      <c r="BB108" t="s">
        <v>911</v>
      </c>
      <c r="BC108" s="7">
        <v>39462</v>
      </c>
      <c r="BD108">
        <v>-3</v>
      </c>
      <c r="BE108" t="s">
        <v>1438</v>
      </c>
      <c r="BG108">
        <v>33</v>
      </c>
      <c r="BH108" s="17">
        <f t="shared" ca="1" si="1"/>
        <v>87</v>
      </c>
      <c r="BI108" s="17"/>
      <c r="BJ108" s="17"/>
    </row>
    <row r="109" spans="1:63" hidden="1">
      <c r="A109">
        <v>28017810</v>
      </c>
      <c r="B109" s="2" t="str">
        <f>HYPERLINK("http://www.windermere.com/index.cfm?fuseaction=Listing.ListingDetail&amp;ListingID=19299939","Active")</f>
        <v>Active</v>
      </c>
      <c r="D109" t="s">
        <v>42</v>
      </c>
      <c r="E109" t="s">
        <v>526</v>
      </c>
      <c r="F109" s="13">
        <v>355000</v>
      </c>
      <c r="G109" t="s">
        <v>137</v>
      </c>
      <c r="H109" s="1">
        <v>1460</v>
      </c>
      <c r="I109">
        <v>6500</v>
      </c>
      <c r="J109">
        <v>3</v>
      </c>
      <c r="K109">
        <v>1</v>
      </c>
      <c r="M109" s="2" t="str">
        <f>HYPERLINK("http://www.windermere.com/index.cfm?fuseaction=Listing.MapPropertyInteractive&amp;ListingID=19299939&amp;resize=true&amp;windowWidth=800&amp;windowHeight=600","Map")</f>
        <v>Map</v>
      </c>
      <c r="O109" s="2" t="str">
        <f>HYPERLINK("http://www.windermere.com/index.cfm?fuseaction=Listing.MultiImageViewer&amp;ListingID=19299939&amp;ln=28017810&amp;pub_mls=1","More")</f>
        <v>More</v>
      </c>
      <c r="AI109" t="s">
        <v>66</v>
      </c>
      <c r="AJ109">
        <v>98133</v>
      </c>
      <c r="AS109" t="s">
        <v>527</v>
      </c>
      <c r="AT109">
        <v>19299939</v>
      </c>
      <c r="AU109" s="12">
        <v>39495</v>
      </c>
      <c r="BB109" t="s">
        <v>911</v>
      </c>
      <c r="BC109" s="7">
        <v>39477</v>
      </c>
      <c r="BG109">
        <v>18</v>
      </c>
      <c r="BH109" s="17">
        <f t="shared" ca="1" si="1"/>
        <v>72</v>
      </c>
      <c r="BI109" s="17"/>
      <c r="BJ109" s="17"/>
    </row>
    <row r="110" spans="1:63" hidden="1">
      <c r="A110">
        <v>28023500</v>
      </c>
      <c r="B110" s="15" t="str">
        <f>HYPERLINK("http://www.windermere.com/index.cfm?fuseaction=Listing.ListingDetail&amp;ListingID=19342899","Subject To Inspection")</f>
        <v>Subject To Inspection</v>
      </c>
      <c r="C110">
        <v>710</v>
      </c>
      <c r="D110" t="s">
        <v>967</v>
      </c>
      <c r="E110" t="s">
        <v>528</v>
      </c>
      <c r="F110" s="10">
        <v>365000</v>
      </c>
      <c r="G110" t="s">
        <v>529</v>
      </c>
      <c r="H110" s="1">
        <v>1500</v>
      </c>
      <c r="I110">
        <v>8880</v>
      </c>
      <c r="J110">
        <v>3</v>
      </c>
      <c r="K110">
        <v>2</v>
      </c>
      <c r="L110">
        <v>1</v>
      </c>
      <c r="M110" s="2" t="str">
        <f>HYPERLINK("http://www.windermere.com/index.cfm?fuseaction=Listing.MapPropertyInteractive&amp;ListingID=19342899&amp;resize=true&amp;windowWidth=800&amp;windowHeight=600","Map")</f>
        <v>Map</v>
      </c>
      <c r="N110" s="2" t="str">
        <f>HYPERLINK("http://locmedia.nwmls.com/DO_NOT_LINK/bigphoto/500/28023500.jpg?tsp=20080208143254","Photo")</f>
        <v>Photo</v>
      </c>
      <c r="O110" s="2" t="str">
        <f>HYPERLINK("http://www.windermere.com/index.cfm?fuseaction=Listing.MultiImageViewer&amp;ListingID=19342899&amp;ln=28023500&amp;pub_mls=1","More")</f>
        <v>More</v>
      </c>
      <c r="Q110" t="s">
        <v>56</v>
      </c>
      <c r="R110" t="s">
        <v>72</v>
      </c>
      <c r="S110" t="s">
        <v>968</v>
      </c>
      <c r="T110" t="s">
        <v>95</v>
      </c>
      <c r="U110" t="s">
        <v>44</v>
      </c>
      <c r="X110" t="s">
        <v>47</v>
      </c>
      <c r="Y110" t="s">
        <v>48</v>
      </c>
      <c r="Z110" t="s">
        <v>969</v>
      </c>
      <c r="AA110" t="s">
        <v>96</v>
      </c>
      <c r="AB110">
        <v>2007</v>
      </c>
      <c r="AC110">
        <v>3289</v>
      </c>
      <c r="AD110" t="s">
        <v>970</v>
      </c>
      <c r="AE110" t="s">
        <v>971</v>
      </c>
      <c r="AF110" t="s">
        <v>972</v>
      </c>
      <c r="AG110">
        <v>47.714790999999998</v>
      </c>
      <c r="AH110">
        <v>-122.30027800000001</v>
      </c>
      <c r="AI110" t="s">
        <v>66</v>
      </c>
      <c r="AJ110">
        <v>98125</v>
      </c>
      <c r="AK110" t="s">
        <v>41</v>
      </c>
      <c r="AL110" t="s">
        <v>40</v>
      </c>
      <c r="AM110" t="s">
        <v>40</v>
      </c>
      <c r="AO110">
        <v>0.20399999999999999</v>
      </c>
      <c r="AP110" t="s">
        <v>973</v>
      </c>
      <c r="AQ110">
        <v>505</v>
      </c>
      <c r="AR110" t="s">
        <v>203</v>
      </c>
      <c r="AS110" t="s">
        <v>530</v>
      </c>
      <c r="AT110">
        <v>19342899</v>
      </c>
      <c r="AU110" s="12">
        <v>39495</v>
      </c>
      <c r="BA110" t="s">
        <v>911</v>
      </c>
      <c r="BB110" t="s">
        <v>911</v>
      </c>
      <c r="BC110" s="7">
        <v>39486</v>
      </c>
      <c r="BG110">
        <v>9</v>
      </c>
      <c r="BH110" s="17">
        <f t="shared" ca="1" si="1"/>
        <v>63</v>
      </c>
      <c r="BI110" s="17"/>
      <c r="BJ110" s="17"/>
    </row>
    <row r="111" spans="1:63" hidden="1">
      <c r="A111">
        <v>27115984</v>
      </c>
      <c r="B111" s="2" t="str">
        <f>HYPERLINK("http://www.windermere.com/index.cfm?fuseaction=Listing.ListingDetail&amp;ListingID=18779519","Active")</f>
        <v>Active</v>
      </c>
      <c r="D111" t="s">
        <v>194</v>
      </c>
      <c r="E111" t="s">
        <v>531</v>
      </c>
      <c r="F111" s="10">
        <v>366000</v>
      </c>
      <c r="G111" t="s">
        <v>147</v>
      </c>
      <c r="H111" s="1">
        <v>1710</v>
      </c>
      <c r="J111">
        <v>3</v>
      </c>
      <c r="K111">
        <v>3</v>
      </c>
      <c r="M111" s="2" t="str">
        <f>HYPERLINK("http://www.windermere.com/index.cfm?fuseaction=Listing.MapPropertyInteractive&amp;ListingID=18779519&amp;resize=true&amp;windowWidth=800&amp;windowHeight=600","Map")</f>
        <v>Map</v>
      </c>
      <c r="O111" s="2" t="str">
        <f>HYPERLINK("http://www.windermere.com/index.cfm?fuseaction=Listing.MultiImageViewer&amp;ListingID=18779519&amp;ln=27115984&amp;pub_mls=1","More")</f>
        <v>More</v>
      </c>
      <c r="AI111" t="s">
        <v>66</v>
      </c>
      <c r="AJ111">
        <v>98115</v>
      </c>
      <c r="AS111" t="s">
        <v>532</v>
      </c>
      <c r="AT111">
        <v>18779519</v>
      </c>
      <c r="AU111" s="12">
        <v>39495</v>
      </c>
      <c r="BB111" t="s">
        <v>911</v>
      </c>
      <c r="BC111" s="7">
        <v>39260</v>
      </c>
      <c r="BD111">
        <v>1</v>
      </c>
      <c r="BE111" s="6" t="s">
        <v>1313</v>
      </c>
      <c r="BG111">
        <v>235</v>
      </c>
      <c r="BH111" s="17">
        <f t="shared" ca="1" si="1"/>
        <v>289</v>
      </c>
      <c r="BI111" s="17"/>
      <c r="BJ111" s="17"/>
    </row>
    <row r="112" spans="1:63" hidden="1">
      <c r="A112">
        <v>27207911</v>
      </c>
      <c r="B112" s="2" t="str">
        <f>HYPERLINK("http://www.windermere.com/index.cfm?fuseaction=Listing.ListingDetail&amp;ListingID=19039296","Active")</f>
        <v>Active</v>
      </c>
      <c r="D112" t="s">
        <v>60</v>
      </c>
      <c r="E112" t="s">
        <v>533</v>
      </c>
      <c r="F112" s="10">
        <v>367500</v>
      </c>
      <c r="G112" t="s">
        <v>247</v>
      </c>
      <c r="H112" s="1">
        <v>1530</v>
      </c>
      <c r="I112">
        <v>1291</v>
      </c>
      <c r="J112">
        <v>3</v>
      </c>
      <c r="K112">
        <v>2.25</v>
      </c>
      <c r="M112" s="2" t="str">
        <f>HYPERLINK("http://www.windermere.com/index.cfm?fuseaction=Listing.MapPropertyInteractive&amp;ListingID=19039296&amp;resize=true&amp;windowWidth=800&amp;windowHeight=600","Map")</f>
        <v>Map</v>
      </c>
      <c r="O112" s="2" t="str">
        <f>HYPERLINK("http://www.windermere.com/index.cfm?fuseaction=viewGallery.Home&amp;customTourID=201606&amp;wvt=0","More")</f>
        <v>More</v>
      </c>
      <c r="AI112" t="s">
        <v>66</v>
      </c>
      <c r="AJ112">
        <v>98103</v>
      </c>
      <c r="AS112" t="s">
        <v>534</v>
      </c>
      <c r="AT112">
        <v>19039296</v>
      </c>
      <c r="AU112" s="12">
        <v>39495</v>
      </c>
      <c r="BB112" t="s">
        <v>911</v>
      </c>
      <c r="BC112" s="7">
        <v>39417</v>
      </c>
      <c r="BG112">
        <v>78</v>
      </c>
      <c r="BH112" s="17">
        <f t="shared" ca="1" si="1"/>
        <v>132</v>
      </c>
      <c r="BI112" s="17"/>
      <c r="BJ112" s="17"/>
    </row>
    <row r="113" spans="1:63" hidden="1">
      <c r="A113">
        <v>28018884</v>
      </c>
      <c r="B113" s="2" t="str">
        <f>HYPERLINK("http://www.windermere.com/index.cfm?fuseaction=Listing.ListingDetail&amp;ListingID=19305266","Active")</f>
        <v>Active</v>
      </c>
      <c r="D113" t="s">
        <v>55</v>
      </c>
      <c r="E113" t="s">
        <v>535</v>
      </c>
      <c r="F113" s="13">
        <v>359000</v>
      </c>
      <c r="G113" t="s">
        <v>246</v>
      </c>
      <c r="H113" s="1">
        <v>1409</v>
      </c>
      <c r="J113">
        <v>3</v>
      </c>
      <c r="K113" s="19">
        <v>3.25</v>
      </c>
      <c r="M113" s="2" t="str">
        <f>HYPERLINK("http://www.windermere.com/index.cfm?fuseaction=Listing.MapPropertyInteractive&amp;ListingID=19305266&amp;resize=true&amp;windowWidth=800&amp;windowHeight=600","Map")</f>
        <v>Map</v>
      </c>
      <c r="O113" s="2" t="str">
        <f>HYPERLINK("http://www.windermere.com/index.cfm?fuseaction=Listing.MultiImageViewer&amp;ListingID=19305266&amp;ln=28018884&amp;pub_mls=1","More")</f>
        <v>More</v>
      </c>
      <c r="AI113" t="s">
        <v>66</v>
      </c>
      <c r="AJ113">
        <v>98133</v>
      </c>
      <c r="AS113" t="s">
        <v>536</v>
      </c>
      <c r="AT113">
        <v>19305266</v>
      </c>
      <c r="AU113" s="12">
        <v>39495</v>
      </c>
      <c r="BB113" t="s">
        <v>911</v>
      </c>
      <c r="BC113" s="7">
        <v>39478</v>
      </c>
      <c r="BD113">
        <v>-4</v>
      </c>
      <c r="BE113" t="s">
        <v>1403</v>
      </c>
      <c r="BG113">
        <v>17</v>
      </c>
      <c r="BH113" s="17">
        <f t="shared" ca="1" si="1"/>
        <v>71</v>
      </c>
      <c r="BI113" s="17"/>
      <c r="BJ113" s="17"/>
    </row>
    <row r="114" spans="1:63" hidden="1">
      <c r="A114">
        <v>28028262</v>
      </c>
      <c r="B114" s="2" t="str">
        <f>HYPERLINK("http://www.windermere.com/index.cfm?fuseaction=Listing.ListingDetail&amp;ListingID=19379300","Active")</f>
        <v>Active</v>
      </c>
      <c r="D114" t="s">
        <v>184</v>
      </c>
      <c r="E114" t="s">
        <v>537</v>
      </c>
      <c r="F114" s="10">
        <v>368888</v>
      </c>
      <c r="G114" t="s">
        <v>147</v>
      </c>
      <c r="H114" s="1">
        <v>1800</v>
      </c>
      <c r="J114">
        <v>3</v>
      </c>
      <c r="K114">
        <v>2.5</v>
      </c>
      <c r="M114" s="2" t="str">
        <f>HYPERLINK("http://www.windermere.com/index.cfm?fuseaction=Listing.MapPropertyInteractive&amp;ListingID=19379300&amp;resize=true&amp;windowWidth=800&amp;windowHeight=600","Map")</f>
        <v>Map</v>
      </c>
      <c r="O114" s="2" t="str">
        <f>HYPERLINK("http://www.windermere.com/index.cfm?fuseaction=Listing.MultiImageViewer&amp;ListingID=19379300&amp;ln=28028262&amp;pub_mls=1","More")</f>
        <v>More</v>
      </c>
      <c r="AI114" t="s">
        <v>66</v>
      </c>
      <c r="AJ114">
        <v>98125</v>
      </c>
      <c r="AS114" t="s">
        <v>538</v>
      </c>
      <c r="AT114">
        <v>19379300</v>
      </c>
      <c r="AU114" s="12">
        <v>39495</v>
      </c>
      <c r="BB114" t="s">
        <v>911</v>
      </c>
      <c r="BC114" s="7">
        <v>39493</v>
      </c>
      <c r="BG114">
        <v>2</v>
      </c>
      <c r="BH114" s="17">
        <f t="shared" ca="1" si="1"/>
        <v>56</v>
      </c>
      <c r="BI114" s="17"/>
      <c r="BJ114" s="17"/>
    </row>
    <row r="115" spans="1:63" hidden="1">
      <c r="A115">
        <v>28028263</v>
      </c>
      <c r="B115" s="2" t="str">
        <f>HYPERLINK("http://www.windermere.com/index.cfm?fuseaction=Listing.ListingDetail&amp;ListingID=19379301","Subject To Inspection")</f>
        <v>Subject To Inspection</v>
      </c>
      <c r="D115" t="s">
        <v>184</v>
      </c>
      <c r="E115" t="s">
        <v>539</v>
      </c>
      <c r="F115" s="10">
        <v>368888</v>
      </c>
      <c r="G115" t="s">
        <v>147</v>
      </c>
      <c r="H115" s="1">
        <v>1800</v>
      </c>
      <c r="J115">
        <v>3</v>
      </c>
      <c r="K115">
        <v>2.5</v>
      </c>
      <c r="M115" s="2" t="str">
        <f>HYPERLINK("http://www.windermere.com/index.cfm?fuseaction=Listing.MapPropertyInteractive&amp;ListingID=19379301&amp;resize=true&amp;windowWidth=800&amp;windowHeight=600","Map")</f>
        <v>Map</v>
      </c>
      <c r="O115" s="2" t="str">
        <f>HYPERLINK("http://www.windermere.com/index.cfm?fuseaction=Listing.MultiImageViewer&amp;ListingID=19379301&amp;ln=28028263&amp;pub_mls=1","More")</f>
        <v>More</v>
      </c>
      <c r="AI115" t="s">
        <v>66</v>
      </c>
      <c r="AJ115">
        <v>98125</v>
      </c>
      <c r="AS115" t="s">
        <v>540</v>
      </c>
      <c r="AT115">
        <v>19379301</v>
      </c>
      <c r="AU115" s="12">
        <v>39495</v>
      </c>
      <c r="BB115" t="s">
        <v>911</v>
      </c>
      <c r="BC115" s="7">
        <v>39494</v>
      </c>
      <c r="BG115">
        <v>1</v>
      </c>
      <c r="BH115" s="17">
        <f t="shared" ca="1" si="1"/>
        <v>55</v>
      </c>
      <c r="BI115" s="17"/>
      <c r="BJ115" s="17"/>
      <c r="BK115" t="str">
        <f>B115</f>
        <v>Subject To Inspection</v>
      </c>
    </row>
    <row r="116" spans="1:63" hidden="1">
      <c r="A116">
        <v>28026168</v>
      </c>
      <c r="B116" s="15" t="str">
        <f>HYPERLINK("http://www.windermere.com/index.cfm?fuseaction=Listing.ListingDetail&amp;ListingID=19371247","Active")</f>
        <v>Active</v>
      </c>
      <c r="D116" t="s">
        <v>55</v>
      </c>
      <c r="E116" t="s">
        <v>541</v>
      </c>
      <c r="F116" s="10">
        <v>369500</v>
      </c>
      <c r="G116" t="s">
        <v>143</v>
      </c>
      <c r="H116" s="1">
        <v>1360</v>
      </c>
      <c r="I116">
        <v>2204</v>
      </c>
      <c r="J116">
        <v>3</v>
      </c>
      <c r="K116">
        <v>2</v>
      </c>
      <c r="M116" s="2" t="str">
        <f>HYPERLINK("http://www.windermere.com/index.cfm?fuseaction=Listing.MapPropertyInteractive&amp;ListingID=19371247&amp;resize=true&amp;windowWidth=800&amp;windowHeight=600","Map")</f>
        <v>Map</v>
      </c>
      <c r="O116" s="2" t="str">
        <f>HYPERLINK("http://www.windermere.com/index.cfm?fuseaction=Listing.MultiImageViewer&amp;ListingID=19371247&amp;ln=28026168&amp;pub_mls=1","More")</f>
        <v>More</v>
      </c>
      <c r="P116" t="s">
        <v>44</v>
      </c>
      <c r="AI116" t="s">
        <v>66</v>
      </c>
      <c r="AJ116">
        <v>98103</v>
      </c>
      <c r="AS116" t="s">
        <v>542</v>
      </c>
      <c r="AT116">
        <v>19371247</v>
      </c>
      <c r="AU116" s="12">
        <v>39495</v>
      </c>
      <c r="BB116" t="s">
        <v>911</v>
      </c>
      <c r="BC116" s="7">
        <v>39492</v>
      </c>
      <c r="BD116">
        <v>2</v>
      </c>
      <c r="BE116" t="s">
        <v>1374</v>
      </c>
      <c r="BG116">
        <v>3</v>
      </c>
      <c r="BH116" s="17">
        <f t="shared" ca="1" si="1"/>
        <v>57</v>
      </c>
      <c r="BI116" s="17"/>
      <c r="BJ116" s="17"/>
    </row>
    <row r="117" spans="1:63" hidden="1">
      <c r="A117">
        <v>27192829</v>
      </c>
      <c r="B117" s="2" t="str">
        <f>HYPERLINK("http://www.windermere.com/index.cfm?fuseaction=Listing.ListingDetail&amp;ListingID=19322811","Active")</f>
        <v>Active</v>
      </c>
      <c r="D117" t="s">
        <v>42</v>
      </c>
      <c r="E117" t="s">
        <v>543</v>
      </c>
      <c r="F117" s="13">
        <v>364950</v>
      </c>
      <c r="G117" t="s">
        <v>130</v>
      </c>
      <c r="I117">
        <v>4680</v>
      </c>
      <c r="J117">
        <v>2</v>
      </c>
      <c r="K117">
        <v>1</v>
      </c>
      <c r="M117" s="2" t="str">
        <f>HYPERLINK("http://www.windermere.com/index.cfm?fuseaction=Listing.MapPropertyInteractive&amp;ListingID=19322811&amp;resize=true&amp;windowWidth=800&amp;windowHeight=600","Map")</f>
        <v>Map</v>
      </c>
      <c r="O117" s="2" t="str">
        <f>HYPERLINK("http://www.windermere.com/index.cfm?fuseaction=Listing.MultiImageViewer&amp;ListingID=19322811&amp;ln=27192829&amp;pub_mls=1","More")</f>
        <v>More</v>
      </c>
      <c r="AI117" t="s">
        <v>66</v>
      </c>
      <c r="AJ117">
        <v>98133</v>
      </c>
      <c r="AS117" t="s">
        <v>544</v>
      </c>
      <c r="AT117">
        <v>19322811</v>
      </c>
      <c r="AU117" s="12">
        <v>39495</v>
      </c>
      <c r="BB117" t="s">
        <v>911</v>
      </c>
      <c r="BC117" s="7">
        <v>39381</v>
      </c>
      <c r="BG117">
        <v>114</v>
      </c>
      <c r="BH117" s="17">
        <f t="shared" ca="1" si="1"/>
        <v>168</v>
      </c>
      <c r="BI117" s="17"/>
      <c r="BJ117" s="17"/>
    </row>
    <row r="118" spans="1:63" hidden="1">
      <c r="A118">
        <v>27208202</v>
      </c>
      <c r="B118" s="2" t="str">
        <f>HYPERLINK("http://www.windermere.com/index.cfm?fuseaction=Listing.ListingDetail&amp;ListingID=19036976","Active")</f>
        <v>Active</v>
      </c>
      <c r="D118" t="s">
        <v>1022</v>
      </c>
      <c r="E118" t="s">
        <v>349</v>
      </c>
      <c r="F118" s="10">
        <v>369950</v>
      </c>
      <c r="G118" t="s">
        <v>147</v>
      </c>
      <c r="H118" s="1">
        <v>1272</v>
      </c>
      <c r="J118">
        <v>3</v>
      </c>
      <c r="K118">
        <v>2.5</v>
      </c>
      <c r="M118" s="2" t="str">
        <f>HYPERLINK("http://www.windermere.com/index.cfm?fuseaction=Listing.MapPropertyInteractive&amp;ListingID=19036976&amp;resize=true&amp;windowWidth=800&amp;windowHeight=600","Map")</f>
        <v>Map</v>
      </c>
      <c r="O118" s="2" t="str">
        <f>HYPERLINK("http://www.windermere.com/index.cfm?fuseaction=viewGallery.Home&amp;customTourID=201700&amp;wvt=0","More")</f>
        <v>More</v>
      </c>
      <c r="P118" t="s">
        <v>44</v>
      </c>
      <c r="AI118" t="s">
        <v>66</v>
      </c>
      <c r="AJ118">
        <v>98117</v>
      </c>
      <c r="AS118" t="s">
        <v>350</v>
      </c>
      <c r="AT118">
        <v>19036976</v>
      </c>
      <c r="AU118" s="12">
        <v>39495</v>
      </c>
      <c r="BB118" t="s">
        <v>911</v>
      </c>
      <c r="BC118" s="7">
        <v>39416</v>
      </c>
      <c r="BG118">
        <v>79</v>
      </c>
      <c r="BH118" s="17">
        <f t="shared" ca="1" si="1"/>
        <v>133</v>
      </c>
      <c r="BI118" s="17"/>
      <c r="BJ118" s="17"/>
    </row>
    <row r="119" spans="1:63" hidden="1">
      <c r="A119">
        <v>27209523</v>
      </c>
      <c r="B119" s="2" t="str">
        <f>HYPERLINK("http://www.windermere.com/index.cfm?fuseaction=Listing.ListingDetail&amp;ListingID=19050830","Active")</f>
        <v>Active</v>
      </c>
      <c r="D119" t="s">
        <v>1022</v>
      </c>
      <c r="E119" t="s">
        <v>353</v>
      </c>
      <c r="F119" s="10">
        <v>369950</v>
      </c>
      <c r="G119" t="s">
        <v>147</v>
      </c>
      <c r="H119" s="1">
        <v>1272</v>
      </c>
      <c r="J119">
        <v>3</v>
      </c>
      <c r="K119">
        <v>2.5</v>
      </c>
      <c r="M119" s="2" t="str">
        <f>HYPERLINK("http://www.windermere.com/index.cfm?fuseaction=Listing.MapPropertyInteractive&amp;ListingID=19050830&amp;resize=true&amp;windowWidth=800&amp;windowHeight=600","Map")</f>
        <v>Map</v>
      </c>
      <c r="O119" s="2" t="str">
        <f>HYPERLINK("http://www.windermere.com/index.cfm?fuseaction=viewGallery.Home&amp;customTourID=201966&amp;wvt=0","More")</f>
        <v>More</v>
      </c>
      <c r="P119" t="s">
        <v>44</v>
      </c>
      <c r="AI119" t="s">
        <v>66</v>
      </c>
      <c r="AJ119">
        <v>98117</v>
      </c>
      <c r="AS119" t="s">
        <v>354</v>
      </c>
      <c r="AT119">
        <v>19050830</v>
      </c>
      <c r="AU119" s="12">
        <v>39495</v>
      </c>
      <c r="BB119" t="s">
        <v>911</v>
      </c>
      <c r="BC119" s="7">
        <v>39420</v>
      </c>
      <c r="BG119">
        <v>75</v>
      </c>
      <c r="BH119" s="17">
        <f t="shared" ca="1" si="1"/>
        <v>129</v>
      </c>
      <c r="BI119" s="17"/>
      <c r="BJ119" s="17"/>
    </row>
    <row r="120" spans="1:63" hidden="1">
      <c r="A120">
        <v>28014975</v>
      </c>
      <c r="B120" s="2" t="str">
        <f>HYPERLINK("http://www.windermere.com/index.cfm?fuseaction=Listing.ListingDetail&amp;ListingID=19273242","Active")</f>
        <v>Active</v>
      </c>
      <c r="D120" t="s">
        <v>1022</v>
      </c>
      <c r="E120" t="s">
        <v>351</v>
      </c>
      <c r="F120" s="10">
        <v>369950</v>
      </c>
      <c r="G120" t="s">
        <v>147</v>
      </c>
      <c r="H120" s="1">
        <v>1272</v>
      </c>
      <c r="J120">
        <v>3</v>
      </c>
      <c r="K120">
        <v>2.5</v>
      </c>
      <c r="M120" s="2" t="str">
        <f>HYPERLINK("http://www.windermere.com/index.cfm?fuseaction=Listing.MapPropertyInteractive&amp;ListingID=19273242&amp;resize=true&amp;windowWidth=800&amp;windowHeight=600","Map")</f>
        <v>Map</v>
      </c>
      <c r="O120" s="2" t="str">
        <f>HYPERLINK("http://www.windermere.com/index.cfm?fuseaction=viewGallery.Home&amp;customTourID=205637&amp;wvt=0","More")</f>
        <v>More</v>
      </c>
      <c r="P120" t="s">
        <v>44</v>
      </c>
      <c r="AI120" t="s">
        <v>66</v>
      </c>
      <c r="AJ120">
        <v>98117</v>
      </c>
      <c r="AS120" t="s">
        <v>352</v>
      </c>
      <c r="AT120">
        <v>19273242</v>
      </c>
      <c r="AU120" s="12">
        <v>39495</v>
      </c>
      <c r="BB120" t="s">
        <v>911</v>
      </c>
      <c r="BC120" s="7">
        <v>39471</v>
      </c>
      <c r="BG120">
        <v>24</v>
      </c>
      <c r="BH120" s="17">
        <f t="shared" ca="1" si="1"/>
        <v>78</v>
      </c>
      <c r="BI120" s="17"/>
      <c r="BJ120" s="17"/>
    </row>
    <row r="121" spans="1:63" hidden="1">
      <c r="A121">
        <v>28026581</v>
      </c>
      <c r="B121" s="2" t="str">
        <f>HYPERLINK("http://www.windermere.com/index.cfm?fuseaction=Listing.ListingDetail&amp;ListingID=19366086","Active")</f>
        <v>Active</v>
      </c>
      <c r="D121" t="s">
        <v>1022</v>
      </c>
      <c r="E121" t="s">
        <v>355</v>
      </c>
      <c r="F121" s="10">
        <v>369950</v>
      </c>
      <c r="G121" t="s">
        <v>147</v>
      </c>
      <c r="H121" s="1">
        <v>1272</v>
      </c>
      <c r="J121">
        <v>3</v>
      </c>
      <c r="K121">
        <v>2.5</v>
      </c>
      <c r="M121" s="2" t="str">
        <f>HYPERLINK("http://www.windermere.com/index.cfm?fuseaction=Listing.MapPropertyInteractive&amp;ListingID=19366086&amp;resize=true&amp;windowWidth=800&amp;windowHeight=600","Map")</f>
        <v>Map</v>
      </c>
      <c r="O121" s="2" t="str">
        <f>HYPERLINK("http://www.windermere.com/index.cfm?fuseaction=viewGallery.Home&amp;customTourID=207551&amp;wvt=0","More")</f>
        <v>More</v>
      </c>
      <c r="AI121" t="s">
        <v>66</v>
      </c>
      <c r="AJ121">
        <v>98117</v>
      </c>
      <c r="AS121" t="s">
        <v>356</v>
      </c>
      <c r="AT121">
        <v>19366086</v>
      </c>
      <c r="AU121" s="12">
        <v>39495</v>
      </c>
      <c r="BB121" t="s">
        <v>911</v>
      </c>
      <c r="BC121" s="7">
        <v>39491</v>
      </c>
      <c r="BG121">
        <v>4</v>
      </c>
      <c r="BH121" s="17">
        <f t="shared" ca="1" si="1"/>
        <v>58</v>
      </c>
      <c r="BI121" s="17"/>
      <c r="BJ121" s="17"/>
    </row>
    <row r="122" spans="1:63" hidden="1">
      <c r="A122">
        <v>28027078</v>
      </c>
      <c r="B122" s="15" t="str">
        <f>HYPERLINK("http://www.windermere.com/index.cfm?fuseaction=Listing.ListingDetail&amp;ListingID=19370571","Subject To Inspection")</f>
        <v>Subject To Inspection</v>
      </c>
      <c r="D122" t="s">
        <v>55</v>
      </c>
      <c r="E122" t="s">
        <v>545</v>
      </c>
      <c r="F122" s="10">
        <v>369950</v>
      </c>
      <c r="G122" t="s">
        <v>135</v>
      </c>
      <c r="H122" s="1">
        <v>1620</v>
      </c>
      <c r="J122">
        <v>3</v>
      </c>
      <c r="K122">
        <v>1.75</v>
      </c>
      <c r="M122" s="2" t="str">
        <f>HYPERLINK("http://www.windermere.com/index.cfm?fuseaction=Listing.MapPropertyInteractive&amp;ListingID=19370571&amp;resize=true&amp;windowWidth=800&amp;windowHeight=600","Map")</f>
        <v>Map</v>
      </c>
      <c r="O122" s="2" t="str">
        <f>HYPERLINK("http://www.windermere.com/index.cfm?fuseaction=Listing.MultiImageViewer&amp;ListingID=19370571&amp;ln=28027078&amp;pub_mls=1","More")</f>
        <v>More</v>
      </c>
      <c r="AI122" t="s">
        <v>66</v>
      </c>
      <c r="AJ122">
        <v>98133</v>
      </c>
      <c r="AS122" t="s">
        <v>546</v>
      </c>
      <c r="AT122">
        <v>19370571</v>
      </c>
      <c r="AU122" s="12">
        <v>39495</v>
      </c>
      <c r="BB122" t="s">
        <v>911</v>
      </c>
      <c r="BC122" s="7">
        <v>39492</v>
      </c>
      <c r="BG122">
        <v>3</v>
      </c>
      <c r="BH122" s="17">
        <f t="shared" ca="1" si="1"/>
        <v>57</v>
      </c>
      <c r="BI122" s="17"/>
      <c r="BJ122" s="17"/>
    </row>
    <row r="123" spans="1:63" hidden="1">
      <c r="A123">
        <v>28024150</v>
      </c>
      <c r="B123" s="2" t="str">
        <f>HYPERLINK("http://www.windermere.com/index.cfm?fuseaction=Listing.ListingDetail&amp;ListingID=19344098","Active")</f>
        <v>Active</v>
      </c>
      <c r="D123" t="s">
        <v>184</v>
      </c>
      <c r="E123" t="s">
        <v>547</v>
      </c>
      <c r="F123" s="10">
        <v>369999</v>
      </c>
      <c r="G123" t="s">
        <v>124</v>
      </c>
      <c r="J123">
        <v>3</v>
      </c>
      <c r="K123">
        <v>1</v>
      </c>
      <c r="M123" s="2" t="str">
        <f>HYPERLINK("http://www.windermere.com/index.cfm?fuseaction=Listing.MapPropertyInteractive&amp;ListingID=19344098&amp;resize=true&amp;windowWidth=800&amp;windowHeight=600","Map")</f>
        <v>Map</v>
      </c>
      <c r="AI123" t="s">
        <v>66</v>
      </c>
      <c r="AJ123">
        <v>98125</v>
      </c>
      <c r="AS123" t="s">
        <v>548</v>
      </c>
      <c r="AT123">
        <v>19344098</v>
      </c>
      <c r="AU123" s="12">
        <v>39495</v>
      </c>
      <c r="BB123" t="s">
        <v>911</v>
      </c>
      <c r="BC123" s="7">
        <v>39486</v>
      </c>
      <c r="BG123">
        <v>9</v>
      </c>
      <c r="BH123" s="17">
        <f t="shared" ca="1" si="1"/>
        <v>63</v>
      </c>
      <c r="BI123" s="17"/>
      <c r="BJ123" s="17"/>
    </row>
    <row r="124" spans="1:63" hidden="1">
      <c r="A124">
        <v>28000562</v>
      </c>
      <c r="B124" s="2" t="str">
        <f>HYPERLINK("http://www.windermere.com/index.cfm?fuseaction=Listing.ListingDetail&amp;ListingID=19169349","Active")</f>
        <v>Active</v>
      </c>
      <c r="D124" t="s">
        <v>63</v>
      </c>
      <c r="E124" t="s">
        <v>367</v>
      </c>
      <c r="F124" s="13">
        <v>370000</v>
      </c>
      <c r="G124" t="s">
        <v>149</v>
      </c>
      <c r="I124">
        <v>4000</v>
      </c>
      <c r="J124">
        <v>2</v>
      </c>
      <c r="K124">
        <v>1</v>
      </c>
      <c r="M124" s="2" t="str">
        <f>HYPERLINK("http://www.windermere.com/index.cfm?fuseaction=Listing.MapPropertyInteractive&amp;ListingID=19169349&amp;resize=true&amp;windowWidth=800&amp;windowHeight=600","Map")</f>
        <v>Map</v>
      </c>
      <c r="O124" s="2" t="str">
        <f>HYPERLINK("http://www.windermere.com/index.cfm?fuseaction=Listing.MultiImageViewer&amp;ListingID=19169349&amp;ln=28000562&amp;pub_mls=1","More")</f>
        <v>More</v>
      </c>
      <c r="AI124" t="s">
        <v>66</v>
      </c>
      <c r="AJ124">
        <v>98117</v>
      </c>
      <c r="AS124" t="s">
        <v>368</v>
      </c>
      <c r="AT124">
        <v>19169349</v>
      </c>
      <c r="AU124" s="12">
        <v>39495</v>
      </c>
      <c r="BB124" t="s">
        <v>911</v>
      </c>
      <c r="BC124" s="7">
        <v>39452</v>
      </c>
      <c r="BG124">
        <v>43</v>
      </c>
      <c r="BH124" s="17">
        <f t="shared" ca="1" si="1"/>
        <v>97</v>
      </c>
      <c r="BI124" s="17"/>
      <c r="BJ124" s="17"/>
    </row>
    <row r="125" spans="1:63" hidden="1">
      <c r="A125">
        <v>28020117</v>
      </c>
      <c r="B125" s="2" t="str">
        <f>HYPERLINK("http://www.windermere.com/index.cfm?fuseaction=Listing.ListingDetail&amp;ListingID=19315288","Active")</f>
        <v>Active</v>
      </c>
      <c r="C125">
        <v>710</v>
      </c>
      <c r="D125" t="s">
        <v>194</v>
      </c>
      <c r="E125" t="s">
        <v>974</v>
      </c>
      <c r="F125" s="10">
        <v>370000</v>
      </c>
      <c r="G125" t="s">
        <v>125</v>
      </c>
      <c r="I125">
        <v>6120</v>
      </c>
      <c r="J125">
        <v>2</v>
      </c>
      <c r="K125">
        <v>1</v>
      </c>
      <c r="L125">
        <v>1</v>
      </c>
      <c r="M125" s="2" t="str">
        <f>HYPERLINK("http://www.windermere.com/index.cfm?fuseaction=Listing.MapPropertyInteractive&amp;ListingID=19315288&amp;resize=true&amp;windowWidth=800&amp;windowHeight=600","Map")</f>
        <v>Map</v>
      </c>
      <c r="N125" s="2" t="str">
        <f>HYPERLINK("http://locmedia.nwmls.com/DO_NOT_LINK/bigphoto/117/28020117.jpg?tsp=20080202102512","Photo")</f>
        <v>Photo</v>
      </c>
      <c r="O125" s="2" t="str">
        <f>HYPERLINK("http://www.windermere.com/index.cfm?fuseaction=Listing.MultiImageViewer&amp;ListingID=19315288&amp;ln=28020117&amp;pub_mls=1","More")</f>
        <v>More</v>
      </c>
      <c r="P125" t="s">
        <v>44</v>
      </c>
      <c r="Q125" t="s">
        <v>56</v>
      </c>
      <c r="R125" t="s">
        <v>67</v>
      </c>
      <c r="S125" t="s">
        <v>106</v>
      </c>
      <c r="T125" t="s">
        <v>50</v>
      </c>
      <c r="U125" t="s">
        <v>44</v>
      </c>
      <c r="X125" t="s">
        <v>47</v>
      </c>
      <c r="Y125" t="s">
        <v>48</v>
      </c>
      <c r="Z125" t="s">
        <v>103</v>
      </c>
      <c r="AB125">
        <v>2007</v>
      </c>
      <c r="AC125">
        <v>465</v>
      </c>
      <c r="AD125" t="s">
        <v>975</v>
      </c>
      <c r="AE125" t="s">
        <v>74</v>
      </c>
      <c r="AF125" t="s">
        <v>195</v>
      </c>
      <c r="AG125">
        <v>47.690925999999997</v>
      </c>
      <c r="AH125">
        <v>-122.292162</v>
      </c>
      <c r="AI125" t="s">
        <v>66</v>
      </c>
      <c r="AJ125">
        <v>98115</v>
      </c>
      <c r="AK125" t="s">
        <v>41</v>
      </c>
      <c r="AL125" t="s">
        <v>40</v>
      </c>
      <c r="AM125" t="s">
        <v>40</v>
      </c>
      <c r="AO125">
        <v>0.14000000000000001</v>
      </c>
      <c r="AP125" t="s">
        <v>976</v>
      </c>
      <c r="AQ125">
        <v>535</v>
      </c>
      <c r="AR125" t="s">
        <v>89</v>
      </c>
      <c r="AS125" t="s">
        <v>1103</v>
      </c>
      <c r="AT125">
        <v>19315288</v>
      </c>
      <c r="AU125" s="12">
        <v>39495</v>
      </c>
      <c r="BA125" t="s">
        <v>911</v>
      </c>
      <c r="BB125" t="s">
        <v>911</v>
      </c>
      <c r="BC125" s="7">
        <v>39480</v>
      </c>
      <c r="BG125">
        <v>15</v>
      </c>
      <c r="BH125" s="17">
        <f t="shared" ca="1" si="1"/>
        <v>69</v>
      </c>
      <c r="BI125" s="17"/>
      <c r="BJ125" s="17"/>
    </row>
    <row r="126" spans="1:63" hidden="1">
      <c r="A126">
        <v>28002001</v>
      </c>
      <c r="B126" s="2" t="str">
        <f>HYPERLINK("http://www.windermere.com/index.cfm?fuseaction=Listing.ListingDetail&amp;ListingID=19156147","Active")</f>
        <v>Active</v>
      </c>
      <c r="D126" t="s">
        <v>199</v>
      </c>
      <c r="E126" t="s">
        <v>551</v>
      </c>
      <c r="F126" s="10">
        <v>374950</v>
      </c>
      <c r="G126" t="s">
        <v>200</v>
      </c>
      <c r="H126" s="1">
        <v>1040</v>
      </c>
      <c r="I126">
        <v>7287</v>
      </c>
      <c r="J126">
        <v>3</v>
      </c>
      <c r="K126">
        <v>1</v>
      </c>
      <c r="M126" s="2" t="str">
        <f>HYPERLINK("http://www.windermere.com/index.cfm?fuseaction=Listing.MapPropertyInteractive&amp;ListingID=19156147&amp;resize=true&amp;windowWidth=800&amp;windowHeight=600","Map")</f>
        <v>Map</v>
      </c>
      <c r="O126" s="2" t="str">
        <f>HYPERLINK("http://www.windermere.com/index.cfm?fuseaction=Listing.MultiImageViewer&amp;ListingID=19156147&amp;ln=28002001&amp;pub_mls=1","More")</f>
        <v>More</v>
      </c>
      <c r="AI126" t="s">
        <v>66</v>
      </c>
      <c r="AJ126">
        <v>98125</v>
      </c>
      <c r="AS126" t="s">
        <v>552</v>
      </c>
      <c r="AT126">
        <v>19156147</v>
      </c>
      <c r="AU126" s="12">
        <v>39495</v>
      </c>
      <c r="BB126" t="s">
        <v>911</v>
      </c>
      <c r="BC126" s="7">
        <v>39450</v>
      </c>
      <c r="BG126">
        <v>45</v>
      </c>
      <c r="BH126" s="17">
        <f t="shared" ca="1" si="1"/>
        <v>99</v>
      </c>
      <c r="BI126" s="17"/>
      <c r="BJ126" s="17"/>
    </row>
    <row r="127" spans="1:63" hidden="1">
      <c r="A127">
        <v>28020638</v>
      </c>
      <c r="B127" s="4" t="str">
        <f>HYPERLINK("http://www.windermere.com/index.cfm?fuseaction=Listing.ListingDetail&amp;ListingID=19319974","Subject To Inspection")</f>
        <v>Subject To Inspection</v>
      </c>
      <c r="D127" t="s">
        <v>60</v>
      </c>
      <c r="E127" t="s">
        <v>553</v>
      </c>
      <c r="F127" s="13">
        <v>357000</v>
      </c>
      <c r="G127" t="s">
        <v>177</v>
      </c>
      <c r="H127" s="1">
        <v>1320</v>
      </c>
      <c r="I127">
        <v>3000</v>
      </c>
      <c r="J127">
        <v>2</v>
      </c>
      <c r="K127">
        <v>1</v>
      </c>
      <c r="M127" s="2" t="str">
        <f>HYPERLINK("http://www.windermere.com/index.cfm?fuseaction=Listing.MapPropertyInteractive&amp;ListingID=19319974&amp;resize=true&amp;windowWidth=800&amp;windowHeight=600","Map")</f>
        <v>Map</v>
      </c>
      <c r="O127" s="2" t="str">
        <f>HYPERLINK("http://www.windermere.com/index.cfm?fuseaction=viewGallery.Home&amp;customTourID=199647&amp;wvt=0","More")</f>
        <v>More</v>
      </c>
      <c r="AI127" t="s">
        <v>66</v>
      </c>
      <c r="AJ127">
        <v>98105</v>
      </c>
      <c r="AS127" t="s">
        <v>554</v>
      </c>
      <c r="AT127">
        <v>19319974</v>
      </c>
      <c r="AU127" s="12">
        <v>39495</v>
      </c>
      <c r="BB127" t="s">
        <v>911</v>
      </c>
      <c r="BC127" s="7">
        <v>39482</v>
      </c>
      <c r="BG127">
        <v>13</v>
      </c>
      <c r="BH127" s="17">
        <f t="shared" ca="1" si="1"/>
        <v>67</v>
      </c>
      <c r="BI127" s="17"/>
      <c r="BJ127" s="17"/>
    </row>
    <row r="128" spans="1:63" hidden="1">
      <c r="A128">
        <v>27206229</v>
      </c>
      <c r="B128" s="2" t="str">
        <f>HYPERLINK("http://www.windermere.com/index.cfm?fuseaction=Listing.ListingDetail&amp;ListingID=19023075","Active")</f>
        <v>Active</v>
      </c>
      <c r="D128" t="s">
        <v>63</v>
      </c>
      <c r="E128" t="s">
        <v>555</v>
      </c>
      <c r="F128" s="10">
        <v>375000</v>
      </c>
      <c r="G128" t="s">
        <v>146</v>
      </c>
      <c r="H128">
        <v>930</v>
      </c>
      <c r="I128">
        <v>2410</v>
      </c>
      <c r="J128">
        <v>2</v>
      </c>
      <c r="K128">
        <v>1</v>
      </c>
      <c r="M128" s="2" t="str">
        <f>HYPERLINK("http://www.windermere.com/index.cfm?fuseaction=Listing.MapPropertyInteractive&amp;ListingID=19023075&amp;resize=true&amp;windowWidth=800&amp;windowHeight=600","Map")</f>
        <v>Map</v>
      </c>
      <c r="O128" s="2" t="str">
        <f>HYPERLINK("http://www.windermere.com/index.cfm?fuseaction=Listing.MultiImageViewer&amp;ListingID=19023075&amp;ln=27206229&amp;pub_mls=1","More")</f>
        <v>More</v>
      </c>
      <c r="P128" t="s">
        <v>44</v>
      </c>
      <c r="AI128" t="s">
        <v>66</v>
      </c>
      <c r="AJ128">
        <v>98107</v>
      </c>
      <c r="AS128" t="s">
        <v>556</v>
      </c>
      <c r="AT128">
        <v>19023075</v>
      </c>
      <c r="AU128" s="12">
        <v>39495</v>
      </c>
      <c r="BB128" t="s">
        <v>911</v>
      </c>
      <c r="BC128" s="7">
        <v>39414</v>
      </c>
      <c r="BG128">
        <v>81</v>
      </c>
      <c r="BH128" s="17">
        <f t="shared" ca="1" si="1"/>
        <v>135</v>
      </c>
      <c r="BI128" s="17"/>
      <c r="BJ128" s="17"/>
    </row>
    <row r="129" spans="1:63" hidden="1">
      <c r="A129">
        <v>28016368</v>
      </c>
      <c r="B129" s="2" t="str">
        <f>HYPERLINK("http://www.windermere.com/index.cfm?fuseaction=Listing.ListingDetail&amp;ListingID=19286628","Active")</f>
        <v>Active</v>
      </c>
      <c r="D129" t="s">
        <v>192</v>
      </c>
      <c r="E129" t="s">
        <v>559</v>
      </c>
      <c r="F129" s="10">
        <v>375000</v>
      </c>
      <c r="G129" t="s">
        <v>180</v>
      </c>
      <c r="H129" s="1">
        <v>1400</v>
      </c>
      <c r="I129">
        <v>2679</v>
      </c>
      <c r="J129">
        <v>2</v>
      </c>
      <c r="K129">
        <v>1</v>
      </c>
      <c r="M129" s="2" t="str">
        <f>HYPERLINK("http://www.windermere.com/index.cfm?fuseaction=Listing.MapPropertyInteractive&amp;ListingID=19286628&amp;resize=true&amp;windowWidth=800&amp;windowHeight=600","Map")</f>
        <v>Map</v>
      </c>
      <c r="O129" s="2" t="str">
        <f>HYPERLINK("http://www.windermere.com/index.cfm?fuseaction=Listing.MultiImageViewer&amp;ListingID=19286628&amp;ln=28016368&amp;pub_mls=1","More")</f>
        <v>More</v>
      </c>
      <c r="AI129" t="s">
        <v>66</v>
      </c>
      <c r="AJ129">
        <v>98115</v>
      </c>
      <c r="AS129" t="s">
        <v>560</v>
      </c>
      <c r="AT129">
        <v>19286628</v>
      </c>
      <c r="AU129" s="12">
        <v>39495</v>
      </c>
      <c r="BB129" t="s">
        <v>911</v>
      </c>
      <c r="BC129" s="7">
        <v>39474</v>
      </c>
      <c r="BG129">
        <v>21</v>
      </c>
      <c r="BH129" s="17">
        <f t="shared" ca="1" si="1"/>
        <v>75</v>
      </c>
      <c r="BI129" s="17"/>
      <c r="BJ129" s="17"/>
    </row>
    <row r="130" spans="1:63" hidden="1">
      <c r="A130">
        <v>28018832</v>
      </c>
      <c r="B130" s="15" t="str">
        <f>HYPERLINK("http://www.windermere.com/index.cfm?fuseaction=Listing.ListingDetail&amp;ListingID=19319599","Active")</f>
        <v>Active</v>
      </c>
      <c r="C130">
        <v>710</v>
      </c>
      <c r="D130" t="s">
        <v>188</v>
      </c>
      <c r="E130" t="s">
        <v>557</v>
      </c>
      <c r="F130" s="10">
        <v>375000</v>
      </c>
      <c r="G130" t="s">
        <v>180</v>
      </c>
      <c r="H130" s="1">
        <v>1374</v>
      </c>
      <c r="I130">
        <v>7245</v>
      </c>
      <c r="J130">
        <v>2</v>
      </c>
      <c r="K130">
        <v>1</v>
      </c>
      <c r="M130" s="2" t="str">
        <f>HYPERLINK("http://www.windermere.com/index.cfm?fuseaction=Listing.MapPropertyInteractive&amp;ListingID=19319599&amp;resize=true&amp;windowWidth=800&amp;windowHeight=600","Map")</f>
        <v>Map</v>
      </c>
      <c r="N130" s="2" t="str">
        <f>HYPERLINK("http://locmedia.nwmls.com/DO_NOT_LINK/bigphoto/832/28018832.jpg?tsp=20080204001046","Photo")</f>
        <v>Photo</v>
      </c>
      <c r="O130" s="2" t="str">
        <f>HYPERLINK("http://www.windermere.com/index.cfm?fuseaction=viewGallery.Home&amp;customTourID=206434&amp;wvt=0","More")</f>
        <v>More</v>
      </c>
      <c r="Q130" t="s">
        <v>56</v>
      </c>
      <c r="R130" t="s">
        <v>67</v>
      </c>
      <c r="S130" t="s">
        <v>84</v>
      </c>
      <c r="T130" t="s">
        <v>95</v>
      </c>
      <c r="U130" t="s">
        <v>44</v>
      </c>
      <c r="X130" t="s">
        <v>47</v>
      </c>
      <c r="Y130" t="s">
        <v>48</v>
      </c>
      <c r="Z130" t="s">
        <v>1014</v>
      </c>
      <c r="AA130" t="s">
        <v>1015</v>
      </c>
      <c r="AB130">
        <v>2008</v>
      </c>
      <c r="AC130">
        <v>2533</v>
      </c>
      <c r="AD130" t="s">
        <v>1016</v>
      </c>
      <c r="AE130" t="s">
        <v>1017</v>
      </c>
      <c r="AF130" t="s">
        <v>1018</v>
      </c>
      <c r="AG130">
        <v>47.707067000000002</v>
      </c>
      <c r="AH130">
        <v>-122.297923</v>
      </c>
      <c r="AI130" t="s">
        <v>66</v>
      </c>
      <c r="AJ130">
        <v>98125</v>
      </c>
      <c r="AK130" t="s">
        <v>41</v>
      </c>
      <c r="AL130" t="s">
        <v>40</v>
      </c>
      <c r="AM130" t="s">
        <v>40</v>
      </c>
      <c r="AO130">
        <v>0.16600000000000001</v>
      </c>
      <c r="AP130" t="s">
        <v>1019</v>
      </c>
      <c r="AQ130">
        <v>505</v>
      </c>
      <c r="AR130" t="s">
        <v>1020</v>
      </c>
      <c r="AS130" t="s">
        <v>558</v>
      </c>
      <c r="AT130">
        <v>19319599</v>
      </c>
      <c r="AU130" s="12">
        <v>39495</v>
      </c>
      <c r="BA130" t="s">
        <v>911</v>
      </c>
      <c r="BB130" t="s">
        <v>911</v>
      </c>
      <c r="BC130" s="7">
        <v>39482</v>
      </c>
      <c r="BD130">
        <v>4</v>
      </c>
      <c r="BE130" t="s">
        <v>1404</v>
      </c>
      <c r="BF130" t="s">
        <v>1344</v>
      </c>
      <c r="BG130">
        <v>13</v>
      </c>
      <c r="BH130" s="17">
        <f t="shared" ca="1" si="1"/>
        <v>67</v>
      </c>
      <c r="BI130" s="17"/>
      <c r="BJ130" s="17"/>
      <c r="BK130" t="str">
        <f>B130</f>
        <v>Active</v>
      </c>
    </row>
    <row r="131" spans="1:63" hidden="1">
      <c r="A131">
        <v>27173474</v>
      </c>
      <c r="B131" s="2" t="str">
        <f>HYPERLINK("http://www.windermere.com/index.cfm?fuseaction=Listing.ListingDetail&amp;ListingID=18679666","Active")</f>
        <v>Active</v>
      </c>
      <c r="D131" t="s">
        <v>919</v>
      </c>
      <c r="E131" t="s">
        <v>563</v>
      </c>
      <c r="F131" s="10">
        <v>376900</v>
      </c>
      <c r="G131" t="s">
        <v>246</v>
      </c>
      <c r="H131" s="1">
        <v>1680</v>
      </c>
      <c r="J131">
        <v>3</v>
      </c>
      <c r="K131">
        <v>3.5</v>
      </c>
      <c r="M131" s="2" t="str">
        <f>HYPERLINK("http://www.windermere.com/index.cfm?fuseaction=Listing.MapPropertyInteractive&amp;ListingID=18679666&amp;resize=true&amp;windowWidth=800&amp;windowHeight=600","Map")</f>
        <v>Map</v>
      </c>
      <c r="O131" s="2" t="str">
        <f>HYPERLINK("http://www.windermere.com/index.cfm?fuseaction=Listing.MultiImageViewer&amp;ListingID=18679666&amp;ln=27173474&amp;pub_mls=1","More")</f>
        <v>More</v>
      </c>
      <c r="AI131" t="s">
        <v>66</v>
      </c>
      <c r="AJ131">
        <v>98125</v>
      </c>
      <c r="AS131" t="s">
        <v>564</v>
      </c>
      <c r="AT131">
        <v>18679666</v>
      </c>
      <c r="AU131" s="12">
        <v>39495</v>
      </c>
      <c r="BB131" t="s">
        <v>911</v>
      </c>
      <c r="BC131" s="7">
        <v>39346</v>
      </c>
      <c r="BG131">
        <v>149</v>
      </c>
      <c r="BH131" s="17">
        <f t="shared" ref="BH131:BH194" ca="1" si="2">TODAY()-BC131</f>
        <v>203</v>
      </c>
      <c r="BI131" s="17"/>
      <c r="BJ131" s="17"/>
    </row>
    <row r="132" spans="1:63" hidden="1">
      <c r="A132">
        <v>28002900</v>
      </c>
      <c r="B132" s="2" t="str">
        <f>HYPERLINK("http://www.windermere.com/index.cfm?fuseaction=Listing.ListingDetail&amp;ListingID=19164242","Active")</f>
        <v>Active</v>
      </c>
      <c r="D132" t="s">
        <v>919</v>
      </c>
      <c r="E132" t="s">
        <v>561</v>
      </c>
      <c r="F132" s="10">
        <v>376900</v>
      </c>
      <c r="G132" t="s">
        <v>246</v>
      </c>
      <c r="H132" s="1">
        <v>1845</v>
      </c>
      <c r="J132">
        <v>3</v>
      </c>
      <c r="K132">
        <v>3.5</v>
      </c>
      <c r="M132" s="2" t="str">
        <f>HYPERLINK("http://www.windermere.com/index.cfm?fuseaction=Listing.MapPropertyInteractive&amp;ListingID=19164242&amp;resize=true&amp;windowWidth=800&amp;windowHeight=600","Map")</f>
        <v>Map</v>
      </c>
      <c r="O132" s="2" t="str">
        <f>HYPERLINK("http://www.windermere.com/index.cfm?fuseaction=Listing.MultiImageViewer&amp;ListingID=19164242&amp;ln=28002900&amp;pub_mls=1","More")</f>
        <v>More</v>
      </c>
      <c r="AI132" t="s">
        <v>66</v>
      </c>
      <c r="AJ132">
        <v>98125</v>
      </c>
      <c r="AS132" t="s">
        <v>562</v>
      </c>
      <c r="AT132">
        <v>19164242</v>
      </c>
      <c r="AU132" s="12">
        <v>39495</v>
      </c>
      <c r="BB132" t="s">
        <v>911</v>
      </c>
      <c r="BC132" s="7">
        <v>39451</v>
      </c>
      <c r="BG132">
        <v>44</v>
      </c>
      <c r="BH132" s="17">
        <f t="shared" ca="1" si="2"/>
        <v>98</v>
      </c>
      <c r="BI132" s="17"/>
      <c r="BJ132" s="17"/>
    </row>
    <row r="133" spans="1:63" hidden="1">
      <c r="A133">
        <v>27150683</v>
      </c>
      <c r="B133" s="2" t="str">
        <f>HYPERLINK("http://www.windermere.com/index.cfm?fuseaction=Listing.ListingDetail&amp;ListingID=18468108","Subject To Inspection")</f>
        <v>Subject To Inspection</v>
      </c>
      <c r="D133" t="s">
        <v>184</v>
      </c>
      <c r="E133" t="s">
        <v>565</v>
      </c>
      <c r="F133" s="10">
        <v>378888</v>
      </c>
      <c r="G133" t="s">
        <v>147</v>
      </c>
      <c r="H133" s="1">
        <v>1800</v>
      </c>
      <c r="J133">
        <v>3</v>
      </c>
      <c r="K133">
        <v>2.5</v>
      </c>
      <c r="M133" s="2" t="str">
        <f>HYPERLINK("http://www.windermere.com/index.cfm?fuseaction=Listing.MapPropertyInteractive&amp;ListingID=18468108&amp;resize=true&amp;windowWidth=800&amp;windowHeight=600","Map")</f>
        <v>Map</v>
      </c>
      <c r="O133" s="2" t="str">
        <f>HYPERLINK("http://www.windermere.com/index.cfm?fuseaction=Listing.MultiImageViewer&amp;ListingID=18468108&amp;ln=27150683&amp;pub_mls=1","More")</f>
        <v>More</v>
      </c>
      <c r="AI133" t="s">
        <v>66</v>
      </c>
      <c r="AJ133">
        <v>98125</v>
      </c>
      <c r="AS133" t="s">
        <v>566</v>
      </c>
      <c r="AT133">
        <v>18468108</v>
      </c>
      <c r="AU133" s="12">
        <v>39495</v>
      </c>
      <c r="BB133" t="s">
        <v>911</v>
      </c>
      <c r="BC133" s="7">
        <v>39482</v>
      </c>
      <c r="BD133">
        <v>-2</v>
      </c>
      <c r="BE133" s="6" t="s">
        <v>1321</v>
      </c>
      <c r="BG133">
        <v>13</v>
      </c>
      <c r="BH133" s="17">
        <f t="shared" ca="1" si="2"/>
        <v>67</v>
      </c>
      <c r="BI133" s="17"/>
      <c r="BJ133" s="17"/>
      <c r="BK133" t="str">
        <f>B133</f>
        <v>Subject To Inspection</v>
      </c>
    </row>
    <row r="134" spans="1:63" hidden="1">
      <c r="A134">
        <v>28023405</v>
      </c>
      <c r="B134" s="2" t="str">
        <f>HYPERLINK("http://www.windermere.com/index.cfm?fuseaction=Listing.ListingDetail&amp;ListingID=19340346","Active")</f>
        <v>Active</v>
      </c>
      <c r="C134">
        <v>710</v>
      </c>
      <c r="D134" t="s">
        <v>184</v>
      </c>
      <c r="E134" t="s">
        <v>567</v>
      </c>
      <c r="F134" s="10">
        <v>379000</v>
      </c>
      <c r="G134" t="s">
        <v>156</v>
      </c>
      <c r="I134">
        <v>6229</v>
      </c>
      <c r="J134">
        <v>3</v>
      </c>
      <c r="K134">
        <v>1</v>
      </c>
      <c r="L134">
        <v>1</v>
      </c>
      <c r="M134" s="2" t="str">
        <f>HYPERLINK("http://www.windermere.com/index.cfm?fuseaction=Listing.MapPropertyInteractive&amp;ListingID=19340346&amp;resize=true&amp;windowWidth=800&amp;windowHeight=600","Map")</f>
        <v>Map</v>
      </c>
      <c r="N134" s="2" t="str">
        <f>HYPERLINK("http://locmedia.nwmls.com/DO_NOT_LINK/bigphoto/405/28023405.jpg?tsp=20080208012058","Photo")</f>
        <v>Photo</v>
      </c>
      <c r="O134" s="2" t="str">
        <f>HYPERLINK("http://www.windermere.com/index.cfm?fuseaction=Listing.MultiImageViewer&amp;ListingID=19340346&amp;ln=28023405&amp;pub_mls=1","More")</f>
        <v>More</v>
      </c>
      <c r="P134" t="s">
        <v>44</v>
      </c>
      <c r="Q134" t="s">
        <v>45</v>
      </c>
      <c r="R134" t="s">
        <v>65</v>
      </c>
      <c r="S134" t="s">
        <v>977</v>
      </c>
      <c r="U134" t="s">
        <v>44</v>
      </c>
      <c r="X134" t="s">
        <v>47</v>
      </c>
      <c r="Y134" t="s">
        <v>48</v>
      </c>
      <c r="Z134" t="s">
        <v>73</v>
      </c>
      <c r="AA134" t="s">
        <v>978</v>
      </c>
      <c r="AB134">
        <v>2007</v>
      </c>
      <c r="AC134">
        <v>2102</v>
      </c>
      <c r="AD134" t="s">
        <v>979</v>
      </c>
      <c r="AE134" t="s">
        <v>965</v>
      </c>
      <c r="AF134" t="s">
        <v>980</v>
      </c>
      <c r="AG134">
        <v>47.719371000000002</v>
      </c>
      <c r="AH134">
        <v>-122.308064</v>
      </c>
      <c r="AI134" t="s">
        <v>66</v>
      </c>
      <c r="AJ134">
        <v>98125</v>
      </c>
      <c r="AK134" t="s">
        <v>41</v>
      </c>
      <c r="AL134" t="s">
        <v>981</v>
      </c>
      <c r="AM134" t="s">
        <v>40</v>
      </c>
      <c r="AO134">
        <v>0.14299999999999999</v>
      </c>
      <c r="AP134" t="s">
        <v>982</v>
      </c>
      <c r="AQ134">
        <v>505</v>
      </c>
      <c r="AR134" t="s">
        <v>187</v>
      </c>
      <c r="AS134" t="s">
        <v>568</v>
      </c>
      <c r="AT134">
        <v>19340346</v>
      </c>
      <c r="AU134" s="12">
        <v>39495</v>
      </c>
      <c r="BA134" t="s">
        <v>911</v>
      </c>
      <c r="BB134" t="s">
        <v>911</v>
      </c>
      <c r="BC134" s="7">
        <v>39486</v>
      </c>
      <c r="BG134">
        <v>9</v>
      </c>
      <c r="BH134" s="17">
        <f t="shared" ca="1" si="2"/>
        <v>63</v>
      </c>
      <c r="BI134" s="17"/>
      <c r="BJ134" s="17"/>
    </row>
    <row r="135" spans="1:63" hidden="1">
      <c r="A135">
        <v>28024018</v>
      </c>
      <c r="B135" s="2" t="str">
        <f>HYPERLINK("http://www.windermere.com/index.cfm?fuseaction=Listing.ListingDetail&amp;ListingID=19343365","Active")</f>
        <v>Active</v>
      </c>
      <c r="D135" t="s">
        <v>55</v>
      </c>
      <c r="E135" t="s">
        <v>357</v>
      </c>
      <c r="F135" s="10">
        <v>379000</v>
      </c>
      <c r="G135" t="s">
        <v>358</v>
      </c>
      <c r="H135" s="1">
        <v>1300</v>
      </c>
      <c r="I135">
        <v>2751</v>
      </c>
      <c r="J135">
        <v>3</v>
      </c>
      <c r="K135">
        <v>2</v>
      </c>
      <c r="M135" s="2" t="str">
        <f>HYPERLINK("http://www.windermere.com/index.cfm?fuseaction=Listing.MapPropertyInteractive&amp;ListingID=19343365&amp;resize=true&amp;windowWidth=800&amp;windowHeight=600","Map")</f>
        <v>Map</v>
      </c>
      <c r="O135" s="2" t="str">
        <f>HYPERLINK("http://www.windermere.com/index.cfm?fuseaction=Listing.MultiImageViewer&amp;ListingID=19343365&amp;ln=28024018&amp;pub_mls=1","More")</f>
        <v>More</v>
      </c>
      <c r="AI135" t="s">
        <v>66</v>
      </c>
      <c r="AJ135">
        <v>98117</v>
      </c>
      <c r="AS135" t="s">
        <v>359</v>
      </c>
      <c r="AT135">
        <v>19343365</v>
      </c>
      <c r="AU135" s="12">
        <v>39495</v>
      </c>
      <c r="BB135" t="s">
        <v>911</v>
      </c>
      <c r="BC135" s="7">
        <v>39486</v>
      </c>
      <c r="BG135">
        <v>9</v>
      </c>
      <c r="BH135" s="17">
        <f t="shared" ca="1" si="2"/>
        <v>63</v>
      </c>
      <c r="BI135" s="17"/>
      <c r="BJ135" s="17"/>
    </row>
    <row r="136" spans="1:63" hidden="1">
      <c r="A136">
        <v>27208138</v>
      </c>
      <c r="B136" s="2" t="str">
        <f>HYPERLINK("http://www.windermere.com/index.cfm?fuseaction=Listing.ListingDetail&amp;ListingID=19036477","Active")</f>
        <v>Active</v>
      </c>
      <c r="D136" t="s">
        <v>66</v>
      </c>
      <c r="E136" t="s">
        <v>571</v>
      </c>
      <c r="F136" s="10">
        <v>379900</v>
      </c>
      <c r="G136" t="s">
        <v>246</v>
      </c>
      <c r="H136" s="1">
        <v>1470</v>
      </c>
      <c r="J136">
        <v>3</v>
      </c>
      <c r="K136">
        <v>2.5</v>
      </c>
      <c r="M136" s="2" t="str">
        <f>HYPERLINK("http://www.windermere.com/index.cfm?fuseaction=Listing.MapPropertyInteractive&amp;ListingID=19036477&amp;resize=true&amp;windowWidth=800&amp;windowHeight=600","Map")</f>
        <v>Map</v>
      </c>
      <c r="AI136" t="s">
        <v>66</v>
      </c>
      <c r="AJ136">
        <v>98133</v>
      </c>
      <c r="AS136" t="s">
        <v>572</v>
      </c>
      <c r="AT136">
        <v>19036477</v>
      </c>
      <c r="AU136" s="12">
        <v>39495</v>
      </c>
      <c r="BB136" t="s">
        <v>911</v>
      </c>
      <c r="BC136" s="7">
        <v>39416</v>
      </c>
      <c r="BG136">
        <v>79</v>
      </c>
      <c r="BH136" s="17">
        <f t="shared" ca="1" si="2"/>
        <v>133</v>
      </c>
      <c r="BI136" s="17"/>
      <c r="BJ136" s="17"/>
    </row>
    <row r="137" spans="1:63" hidden="1">
      <c r="A137">
        <v>28007827</v>
      </c>
      <c r="B137" s="2" t="str">
        <f>HYPERLINK("http://www.windermere.com/index.cfm?fuseaction=Listing.ListingDetail&amp;ListingID=19216135","Active")</f>
        <v>Active</v>
      </c>
      <c r="D137" t="s">
        <v>194</v>
      </c>
      <c r="E137" t="s">
        <v>569</v>
      </c>
      <c r="F137" s="10">
        <v>379900</v>
      </c>
      <c r="G137" t="s">
        <v>161</v>
      </c>
      <c r="H137" s="1">
        <v>1940</v>
      </c>
      <c r="I137">
        <v>4600</v>
      </c>
      <c r="J137">
        <v>3</v>
      </c>
      <c r="K137">
        <v>1.5</v>
      </c>
      <c r="M137" s="2" t="str">
        <f>HYPERLINK("http://www.windermere.com/index.cfm?fuseaction=Listing.MapPropertyInteractive&amp;ListingID=19216135&amp;resize=true&amp;windowWidth=800&amp;windowHeight=600","Map")</f>
        <v>Map</v>
      </c>
      <c r="O137" s="2" t="str">
        <f>HYPERLINK("http://www.windermere.com/index.cfm?fuseaction=Listing.MultiImageViewer&amp;ListingID=19216135&amp;ln=28007827&amp;pub_mls=1","More")</f>
        <v>More</v>
      </c>
      <c r="AI137" t="s">
        <v>66</v>
      </c>
      <c r="AJ137">
        <v>98115</v>
      </c>
      <c r="AS137" t="s">
        <v>570</v>
      </c>
      <c r="AT137">
        <v>19216135</v>
      </c>
      <c r="AU137" s="12">
        <v>39495</v>
      </c>
      <c r="BB137" t="s">
        <v>911</v>
      </c>
      <c r="BC137" s="7">
        <v>39459</v>
      </c>
      <c r="BG137">
        <v>36</v>
      </c>
      <c r="BH137" s="17">
        <f t="shared" ca="1" si="2"/>
        <v>90</v>
      </c>
      <c r="BI137" s="17"/>
      <c r="BJ137" s="17"/>
    </row>
    <row r="138" spans="1:63" hidden="1">
      <c r="A138">
        <v>27201170</v>
      </c>
      <c r="B138" s="2" t="str">
        <f>HYPERLINK("http://www.windermere.com/index.cfm?fuseaction=Listing.ListingDetail&amp;ListingID=18953287","Subject To Inspection")</f>
        <v>Subject To Inspection</v>
      </c>
      <c r="D138" t="s">
        <v>967</v>
      </c>
      <c r="E138" t="s">
        <v>1104</v>
      </c>
      <c r="F138" s="10">
        <v>379950</v>
      </c>
      <c r="G138" t="s">
        <v>147</v>
      </c>
      <c r="H138" s="1">
        <v>1951</v>
      </c>
      <c r="I138">
        <v>1550</v>
      </c>
      <c r="J138">
        <v>3</v>
      </c>
      <c r="K138">
        <v>3.25</v>
      </c>
      <c r="M138" s="2" t="str">
        <f>HYPERLINK("http://www.windermere.com/index.cfm?fuseaction=Listing.MapPropertyInteractive&amp;ListingID=18953287&amp;resize=true&amp;windowWidth=800&amp;windowHeight=600","Map")</f>
        <v>Map</v>
      </c>
      <c r="O138" s="2" t="str">
        <f>HYPERLINK("http://www.windermere.com/index.cfm?fuseaction=Listing.MultiImageViewer&amp;ListingID=18953287&amp;ln=27201170&amp;pub_mls=1","More")</f>
        <v>More</v>
      </c>
      <c r="AI138" t="s">
        <v>395</v>
      </c>
      <c r="AJ138">
        <v>98155</v>
      </c>
      <c r="AS138" t="s">
        <v>1105</v>
      </c>
      <c r="AT138">
        <v>18953287</v>
      </c>
      <c r="AU138" s="12">
        <v>39495</v>
      </c>
      <c r="BB138" t="s">
        <v>911</v>
      </c>
      <c r="BC138" s="7">
        <v>39399</v>
      </c>
      <c r="BG138">
        <v>96</v>
      </c>
      <c r="BH138" s="17">
        <f t="shared" ca="1" si="2"/>
        <v>150</v>
      </c>
      <c r="BI138" s="17"/>
      <c r="BJ138" s="17"/>
      <c r="BK138" t="str">
        <f>B138</f>
        <v>Subject To Inspection</v>
      </c>
    </row>
    <row r="139" spans="1:63" hidden="1">
      <c r="A139">
        <v>27211999</v>
      </c>
      <c r="B139" s="2" t="str">
        <f>HYPERLINK("http://www.windermere.com/index.cfm?fuseaction=Listing.ListingDetail&amp;ListingID=19083952","Subject To Inspection")</f>
        <v>Subject To Inspection</v>
      </c>
      <c r="D139" t="s">
        <v>66</v>
      </c>
      <c r="E139" t="s">
        <v>1106</v>
      </c>
      <c r="F139" s="10">
        <v>379950</v>
      </c>
      <c r="G139" t="s">
        <v>147</v>
      </c>
      <c r="H139" s="1">
        <v>1951</v>
      </c>
      <c r="I139">
        <v>1560</v>
      </c>
      <c r="J139">
        <v>3</v>
      </c>
      <c r="K139">
        <v>3.25</v>
      </c>
      <c r="M139" s="2" t="str">
        <f>HYPERLINK("http://www.windermere.com/index.cfm?fuseaction=Listing.MapPropertyInteractive&amp;ListingID=19083952&amp;resize=true&amp;windowWidth=800&amp;windowHeight=600","Map")</f>
        <v>Map</v>
      </c>
      <c r="O139" s="2" t="str">
        <f>HYPERLINK("http://www.windermere.com/index.cfm?fuseaction=Listing.MultiImageViewer&amp;ListingID=19083952&amp;ln=27211999&amp;pub_mls=1","More")</f>
        <v>More</v>
      </c>
      <c r="AI139" t="s">
        <v>395</v>
      </c>
      <c r="AJ139">
        <v>98155</v>
      </c>
      <c r="AS139" t="s">
        <v>1107</v>
      </c>
      <c r="AT139">
        <v>19083952</v>
      </c>
      <c r="AU139" s="12">
        <v>39495</v>
      </c>
      <c r="BB139" t="s">
        <v>911</v>
      </c>
      <c r="BC139" s="7">
        <v>39427</v>
      </c>
      <c r="BG139">
        <v>68</v>
      </c>
      <c r="BH139" s="17">
        <f t="shared" ca="1" si="2"/>
        <v>122</v>
      </c>
      <c r="BI139" s="17"/>
      <c r="BJ139" s="17"/>
      <c r="BK139" t="str">
        <f>B139</f>
        <v>Subject To Inspection</v>
      </c>
    </row>
    <row r="140" spans="1:63" hidden="1">
      <c r="A140">
        <v>28019593</v>
      </c>
      <c r="B140" s="2" t="str">
        <f>HYPERLINK("http://www.windermere.com/index.cfm?fuseaction=Listing.ListingDetail&amp;ListingID=19310678","Active")</f>
        <v>Active</v>
      </c>
      <c r="D140" t="s">
        <v>60</v>
      </c>
      <c r="E140" t="s">
        <v>573</v>
      </c>
      <c r="F140" s="10">
        <v>379950</v>
      </c>
      <c r="G140" t="s">
        <v>246</v>
      </c>
      <c r="H140" s="1">
        <v>1470</v>
      </c>
      <c r="J140">
        <v>3</v>
      </c>
      <c r="K140">
        <v>2.75</v>
      </c>
      <c r="M140" s="2" t="str">
        <f>HYPERLINK("http://www.windermere.com/index.cfm?fuseaction=Listing.MapPropertyInteractive&amp;ListingID=19310678&amp;resize=true&amp;windowWidth=800&amp;windowHeight=600","Map")</f>
        <v>Map</v>
      </c>
      <c r="AI140" t="s">
        <v>66</v>
      </c>
      <c r="AJ140">
        <v>98103</v>
      </c>
      <c r="AS140" t="s">
        <v>574</v>
      </c>
      <c r="AT140">
        <v>19310678</v>
      </c>
      <c r="AU140" s="12">
        <v>39495</v>
      </c>
      <c r="BB140" t="s">
        <v>911</v>
      </c>
      <c r="BC140" s="7">
        <v>39479</v>
      </c>
      <c r="BG140">
        <v>16</v>
      </c>
      <c r="BH140" s="17">
        <f t="shared" ca="1" si="2"/>
        <v>70</v>
      </c>
      <c r="BI140" s="17"/>
      <c r="BJ140" s="17"/>
    </row>
    <row r="141" spans="1:63" hidden="1">
      <c r="A141">
        <v>28028005</v>
      </c>
      <c r="B141" s="2" t="str">
        <f>HYPERLINK("http://www.windermere.com/index.cfm?fuseaction=Listing.ListingDetail&amp;ListingID=19382507","Active")</f>
        <v>Active</v>
      </c>
      <c r="D141" t="s">
        <v>109</v>
      </c>
      <c r="E141" t="s">
        <v>575</v>
      </c>
      <c r="F141" s="10">
        <v>379950</v>
      </c>
      <c r="G141" t="s">
        <v>246</v>
      </c>
      <c r="H141" s="1">
        <v>1017</v>
      </c>
      <c r="I141">
        <v>980</v>
      </c>
      <c r="J141">
        <v>2</v>
      </c>
      <c r="K141">
        <v>1.5</v>
      </c>
      <c r="M141" s="2" t="str">
        <f>HYPERLINK("http://www.windermere.com/index.cfm?fuseaction=Listing.MapPropertyInteractive&amp;ListingID=19382507&amp;resize=true&amp;windowWidth=800&amp;windowHeight=600","Map")</f>
        <v>Map</v>
      </c>
      <c r="O141" s="2" t="str">
        <f>HYPERLINK("http://www.windermere.com/index.cfm?fuseaction=Listing.MultiImageViewer&amp;ListingID=19382507&amp;ln=28028005&amp;pub_mls=1","More")</f>
        <v>More</v>
      </c>
      <c r="AI141" t="s">
        <v>66</v>
      </c>
      <c r="AJ141">
        <v>98103</v>
      </c>
      <c r="AS141" t="s">
        <v>576</v>
      </c>
      <c r="AT141">
        <v>19382507</v>
      </c>
      <c r="AU141" s="12">
        <v>39495</v>
      </c>
      <c r="BB141" t="s">
        <v>911</v>
      </c>
      <c r="BC141" s="7">
        <v>39494</v>
      </c>
      <c r="BG141">
        <v>1</v>
      </c>
      <c r="BH141" s="17">
        <f t="shared" ca="1" si="2"/>
        <v>55</v>
      </c>
      <c r="BI141" s="17"/>
      <c r="BJ141" s="17"/>
    </row>
    <row r="142" spans="1:63" hidden="1">
      <c r="A142">
        <v>28005633</v>
      </c>
      <c r="B142" s="15" t="str">
        <f>HYPERLINK("http://www.windermere.com/index.cfm?fuseaction=Listing.ListingDetail&amp;ListingID=19193863","Subject To Inspection")</f>
        <v>Subject To Inspection</v>
      </c>
      <c r="D142" t="s">
        <v>88</v>
      </c>
      <c r="E142" t="s">
        <v>360</v>
      </c>
      <c r="F142" s="10">
        <v>380000</v>
      </c>
      <c r="G142" t="s">
        <v>129</v>
      </c>
      <c r="H142" s="1">
        <v>1620</v>
      </c>
      <c r="J142">
        <v>2</v>
      </c>
      <c r="K142">
        <v>1</v>
      </c>
      <c r="M142" s="2" t="str">
        <f>HYPERLINK("http://www.windermere.com/index.cfm?fuseaction=Listing.MapPropertyInteractive&amp;ListingID=19193863&amp;resize=true&amp;windowWidth=800&amp;windowHeight=600","Map")</f>
        <v>Map</v>
      </c>
      <c r="O142" s="2" t="str">
        <f>HYPERLINK("http://www.windermere.com/index.cfm?fuseaction=Listing.MultiImageViewer&amp;ListingID=19193863&amp;ln=28005633&amp;pub_mls=1","More")</f>
        <v>More</v>
      </c>
      <c r="AI142" t="s">
        <v>66</v>
      </c>
      <c r="AJ142">
        <v>98117</v>
      </c>
      <c r="AS142" t="s">
        <v>361</v>
      </c>
      <c r="AT142">
        <v>19193863</v>
      </c>
      <c r="AU142" s="12">
        <v>39495</v>
      </c>
      <c r="BB142" t="s">
        <v>911</v>
      </c>
      <c r="BC142" s="7">
        <v>39457</v>
      </c>
      <c r="BG142">
        <v>38</v>
      </c>
      <c r="BH142" s="17">
        <f t="shared" ca="1" si="2"/>
        <v>92</v>
      </c>
      <c r="BI142" s="17"/>
      <c r="BJ142" s="17"/>
    </row>
    <row r="143" spans="1:63" hidden="1">
      <c r="A143">
        <v>28012841</v>
      </c>
      <c r="B143" s="2" t="str">
        <f>HYPERLINK("http://www.windermere.com/index.cfm?fuseaction=Listing.ListingDetail&amp;ListingID=19257593","Subject To Inspection")</f>
        <v>Subject To Inspection</v>
      </c>
      <c r="D143" t="s">
        <v>218</v>
      </c>
      <c r="E143" t="s">
        <v>577</v>
      </c>
      <c r="F143" s="10">
        <v>380000</v>
      </c>
      <c r="G143" t="s">
        <v>176</v>
      </c>
      <c r="H143">
        <v>870</v>
      </c>
      <c r="I143">
        <v>7128</v>
      </c>
      <c r="J143">
        <v>2</v>
      </c>
      <c r="K143">
        <v>1</v>
      </c>
      <c r="M143" s="2" t="str">
        <f>HYPERLINK("http://www.windermere.com/index.cfm?fuseaction=Listing.MapPropertyInteractive&amp;ListingID=19257593&amp;resize=true&amp;windowWidth=800&amp;windowHeight=600","Map")</f>
        <v>Map</v>
      </c>
      <c r="O143" s="2" t="str">
        <f>HYPERLINK("http://www.windermere.com/index.cfm?fuseaction=Listing.MultiImageViewer&amp;ListingID=19257593&amp;ln=28012841&amp;pub_mls=1","More")</f>
        <v>More</v>
      </c>
      <c r="AI143" t="s">
        <v>66</v>
      </c>
      <c r="AJ143">
        <v>98115</v>
      </c>
      <c r="AS143" t="s">
        <v>578</v>
      </c>
      <c r="AT143">
        <v>19257593</v>
      </c>
      <c r="AU143" s="12">
        <v>39495</v>
      </c>
      <c r="BB143" t="s">
        <v>911</v>
      </c>
      <c r="BC143" s="7">
        <v>39468</v>
      </c>
      <c r="BG143">
        <v>27</v>
      </c>
      <c r="BH143" s="17">
        <f t="shared" ca="1" si="2"/>
        <v>81</v>
      </c>
      <c r="BI143" s="17"/>
      <c r="BJ143" s="17"/>
      <c r="BK143" t="str">
        <f>B143</f>
        <v>Subject To Inspection</v>
      </c>
    </row>
    <row r="144" spans="1:63" hidden="1">
      <c r="A144">
        <v>27173473</v>
      </c>
      <c r="B144" s="2" t="str">
        <f>HYPERLINK("http://www.windermere.com/index.cfm?fuseaction=Listing.ListingDetail&amp;ListingID=18679639","Subject To Inspection")</f>
        <v>Subject To Inspection</v>
      </c>
      <c r="D144" t="s">
        <v>919</v>
      </c>
      <c r="E144" t="s">
        <v>579</v>
      </c>
      <c r="F144" s="10">
        <v>383900</v>
      </c>
      <c r="G144" t="s">
        <v>147</v>
      </c>
      <c r="H144" s="1">
        <v>1680</v>
      </c>
      <c r="J144">
        <v>3</v>
      </c>
      <c r="K144">
        <v>3.5</v>
      </c>
      <c r="M144" s="2" t="str">
        <f>HYPERLINK("http://www.windermere.com/index.cfm?fuseaction=Listing.MapPropertyInteractive&amp;ListingID=18679639&amp;resize=true&amp;windowWidth=800&amp;windowHeight=600","Map")</f>
        <v>Map</v>
      </c>
      <c r="AI144" t="s">
        <v>66</v>
      </c>
      <c r="AJ144">
        <v>98125</v>
      </c>
      <c r="AS144" t="s">
        <v>580</v>
      </c>
      <c r="AT144">
        <v>18679639</v>
      </c>
      <c r="AU144" s="12">
        <v>39495</v>
      </c>
      <c r="BB144" t="s">
        <v>911</v>
      </c>
      <c r="BC144" s="7">
        <v>39346</v>
      </c>
      <c r="BG144">
        <v>149</v>
      </c>
      <c r="BH144" s="17">
        <f t="shared" ca="1" si="2"/>
        <v>203</v>
      </c>
      <c r="BI144" s="17"/>
      <c r="BJ144" s="17"/>
      <c r="BK144" t="str">
        <f>B144</f>
        <v>Subject To Inspection</v>
      </c>
    </row>
    <row r="145" spans="1:63" hidden="1">
      <c r="A145">
        <v>28013863</v>
      </c>
      <c r="B145" s="2" t="str">
        <f>HYPERLINK("http://www.windermere.com/index.cfm?fuseaction=Listing.ListingDetail&amp;ListingID=19264129","Subject To Inspection")</f>
        <v>Subject To Inspection</v>
      </c>
      <c r="D145" t="s">
        <v>919</v>
      </c>
      <c r="E145" t="s">
        <v>581</v>
      </c>
      <c r="F145" s="10">
        <v>383900</v>
      </c>
      <c r="G145" t="s">
        <v>147</v>
      </c>
      <c r="H145" s="1">
        <v>1680</v>
      </c>
      <c r="J145">
        <v>3</v>
      </c>
      <c r="K145">
        <v>3.5</v>
      </c>
      <c r="M145" s="2" t="str">
        <f>HYPERLINK("http://www.windermere.com/index.cfm?fuseaction=Listing.MapPropertyInteractive&amp;ListingID=19264129&amp;resize=true&amp;windowWidth=800&amp;windowHeight=600","Map")</f>
        <v>Map</v>
      </c>
      <c r="AI145" t="s">
        <v>66</v>
      </c>
      <c r="AJ145">
        <v>98125</v>
      </c>
      <c r="AS145" t="s">
        <v>582</v>
      </c>
      <c r="AT145">
        <v>19264129</v>
      </c>
      <c r="AU145" s="12">
        <v>39495</v>
      </c>
      <c r="BB145" t="s">
        <v>911</v>
      </c>
      <c r="BC145" s="7">
        <v>39469</v>
      </c>
      <c r="BG145">
        <v>26</v>
      </c>
      <c r="BH145" s="17">
        <f t="shared" ca="1" si="2"/>
        <v>80</v>
      </c>
      <c r="BI145" s="17"/>
      <c r="BJ145" s="17"/>
      <c r="BK145" t="str">
        <f>B145</f>
        <v>Subject To Inspection</v>
      </c>
    </row>
    <row r="146" spans="1:63" hidden="1">
      <c r="A146">
        <v>28015881</v>
      </c>
      <c r="B146" s="2" t="str">
        <f>HYPERLINK("http://www.windermere.com/index.cfm?fuseaction=Listing.ListingDetail&amp;ListingID=19280440","Active")</f>
        <v>Active</v>
      </c>
      <c r="D146" t="s">
        <v>919</v>
      </c>
      <c r="E146" t="s">
        <v>587</v>
      </c>
      <c r="F146" s="10">
        <v>383900</v>
      </c>
      <c r="G146" t="s">
        <v>246</v>
      </c>
      <c r="H146" s="1">
        <v>1845</v>
      </c>
      <c r="J146">
        <v>3</v>
      </c>
      <c r="K146">
        <v>3.5</v>
      </c>
      <c r="M146" s="2" t="str">
        <f>HYPERLINK("http://www.windermere.com/index.cfm?fuseaction=Listing.MapPropertyInteractive&amp;ListingID=19280440&amp;resize=true&amp;windowWidth=800&amp;windowHeight=600","Map")</f>
        <v>Map</v>
      </c>
      <c r="O146" s="2" t="str">
        <f>HYPERLINK("http://www.windermere.com/index.cfm?fuseaction=Listing.MultiImageViewer&amp;ListingID=19280440&amp;ln=28015881&amp;pub_mls=1","More")</f>
        <v>More</v>
      </c>
      <c r="AI146" t="s">
        <v>66</v>
      </c>
      <c r="AJ146">
        <v>98125</v>
      </c>
      <c r="AS146" t="s">
        <v>588</v>
      </c>
      <c r="AT146">
        <v>19280440</v>
      </c>
      <c r="AU146" s="12">
        <v>39495</v>
      </c>
      <c r="BB146" t="s">
        <v>911</v>
      </c>
      <c r="BC146" s="7">
        <v>39472</v>
      </c>
      <c r="BG146">
        <v>23</v>
      </c>
      <c r="BH146" s="17">
        <f t="shared" ca="1" si="2"/>
        <v>77</v>
      </c>
      <c r="BI146" s="17"/>
      <c r="BJ146" s="17"/>
    </row>
    <row r="147" spans="1:63" hidden="1">
      <c r="A147">
        <v>28015892</v>
      </c>
      <c r="B147" s="2" t="str">
        <f>HYPERLINK("http://www.windermere.com/index.cfm?fuseaction=Listing.ListingDetail&amp;ListingID=19280441","Active")</f>
        <v>Active</v>
      </c>
      <c r="D147" t="s">
        <v>919</v>
      </c>
      <c r="E147" t="s">
        <v>589</v>
      </c>
      <c r="F147" s="10">
        <v>383900</v>
      </c>
      <c r="G147" t="s">
        <v>246</v>
      </c>
      <c r="H147" s="1">
        <v>1845</v>
      </c>
      <c r="J147">
        <v>3</v>
      </c>
      <c r="K147">
        <v>3.5</v>
      </c>
      <c r="M147" s="2" t="str">
        <f>HYPERLINK("http://www.windermere.com/index.cfm?fuseaction=Listing.MapPropertyInteractive&amp;ListingID=19280441&amp;resize=true&amp;windowWidth=800&amp;windowHeight=600","Map")</f>
        <v>Map</v>
      </c>
      <c r="O147" s="2" t="str">
        <f>HYPERLINK("http://www.windermere.com/index.cfm?fuseaction=Listing.MultiImageViewer&amp;ListingID=19280441&amp;ln=28015892&amp;pub_mls=1","More")</f>
        <v>More</v>
      </c>
      <c r="AI147" t="s">
        <v>66</v>
      </c>
      <c r="AJ147">
        <v>98125</v>
      </c>
      <c r="AS147" t="s">
        <v>590</v>
      </c>
      <c r="AT147">
        <v>19280441</v>
      </c>
      <c r="AU147" s="12">
        <v>39495</v>
      </c>
      <c r="BB147" t="s">
        <v>911</v>
      </c>
      <c r="BC147" s="7">
        <v>39472</v>
      </c>
      <c r="BG147">
        <v>23</v>
      </c>
      <c r="BH147" s="17">
        <f t="shared" ca="1" si="2"/>
        <v>77</v>
      </c>
      <c r="BI147" s="17"/>
      <c r="BJ147" s="17"/>
    </row>
    <row r="148" spans="1:63" hidden="1">
      <c r="A148">
        <v>28021767</v>
      </c>
      <c r="B148" s="2" t="str">
        <f>HYPERLINK("http://www.windermere.com/index.cfm?fuseaction=Listing.ListingDetail&amp;ListingID=19327123","Active")</f>
        <v>Active</v>
      </c>
      <c r="D148" t="s">
        <v>919</v>
      </c>
      <c r="E148" t="s">
        <v>583</v>
      </c>
      <c r="F148" s="10">
        <v>383900</v>
      </c>
      <c r="G148" t="s">
        <v>147</v>
      </c>
      <c r="H148" s="1">
        <v>1680</v>
      </c>
      <c r="J148">
        <v>3</v>
      </c>
      <c r="K148">
        <v>3.5</v>
      </c>
      <c r="M148" s="2" t="str">
        <f>HYPERLINK("http://www.windermere.com/index.cfm?fuseaction=Listing.MapPropertyInteractive&amp;ListingID=19327123&amp;resize=true&amp;windowWidth=800&amp;windowHeight=600","Map")</f>
        <v>Map</v>
      </c>
      <c r="O148" s="2" t="str">
        <f>HYPERLINK("http://www.windermere.com/index.cfm?fuseaction=Listing.MultiImageViewer&amp;ListingID=19327123&amp;ln=28021767&amp;pub_mls=1","More")</f>
        <v>More</v>
      </c>
      <c r="AI148" t="s">
        <v>66</v>
      </c>
      <c r="AJ148">
        <v>98125</v>
      </c>
      <c r="AS148" t="s">
        <v>584</v>
      </c>
      <c r="AT148">
        <v>19327123</v>
      </c>
      <c r="AU148" s="12">
        <v>39495</v>
      </c>
      <c r="BB148" t="s">
        <v>911</v>
      </c>
      <c r="BC148" s="7">
        <v>39483</v>
      </c>
      <c r="BG148">
        <v>12</v>
      </c>
      <c r="BH148" s="17">
        <f t="shared" ca="1" si="2"/>
        <v>66</v>
      </c>
      <c r="BI148" s="17"/>
      <c r="BJ148" s="17"/>
    </row>
    <row r="149" spans="1:63" hidden="1">
      <c r="A149">
        <v>28021867</v>
      </c>
      <c r="B149" s="2" t="str">
        <f>HYPERLINK("http://www.windermere.com/index.cfm?fuseaction=Listing.ListingDetail&amp;ListingID=19327718","Active")</f>
        <v>Active</v>
      </c>
      <c r="D149" t="s">
        <v>919</v>
      </c>
      <c r="E149" t="s">
        <v>585</v>
      </c>
      <c r="F149" s="10">
        <v>383900</v>
      </c>
      <c r="G149" t="s">
        <v>147</v>
      </c>
      <c r="H149" s="1">
        <v>1680</v>
      </c>
      <c r="J149">
        <v>3</v>
      </c>
      <c r="K149">
        <v>3.5</v>
      </c>
      <c r="M149" s="2" t="str">
        <f>HYPERLINK("http://www.windermere.com/index.cfm?fuseaction=Listing.MapPropertyInteractive&amp;ListingID=19327718&amp;resize=true&amp;windowWidth=800&amp;windowHeight=600","Map")</f>
        <v>Map</v>
      </c>
      <c r="O149" s="2" t="str">
        <f>HYPERLINK("http://www.windermere.com/index.cfm?fuseaction=Listing.MultiImageViewer&amp;ListingID=19327718&amp;ln=28021867&amp;pub_mls=1","More")</f>
        <v>More</v>
      </c>
      <c r="AI149" t="s">
        <v>66</v>
      </c>
      <c r="AJ149">
        <v>98125</v>
      </c>
      <c r="AS149" t="s">
        <v>586</v>
      </c>
      <c r="AT149">
        <v>19327718</v>
      </c>
      <c r="AU149" s="12">
        <v>39495</v>
      </c>
      <c r="BB149" t="s">
        <v>911</v>
      </c>
      <c r="BC149" s="7">
        <v>39483</v>
      </c>
      <c r="BG149">
        <v>12</v>
      </c>
      <c r="BH149" s="17">
        <f t="shared" ca="1" si="2"/>
        <v>66</v>
      </c>
      <c r="BI149" s="17"/>
      <c r="BJ149" s="17"/>
    </row>
    <row r="150" spans="1:63" hidden="1">
      <c r="A150">
        <v>28000694</v>
      </c>
      <c r="B150" s="2" t="str">
        <f>HYPERLINK("http://www.windermere.com/index.cfm?fuseaction=Listing.ListingDetail&amp;ListingID=19147164","Active")</f>
        <v>Active</v>
      </c>
      <c r="D150" t="s">
        <v>1108</v>
      </c>
      <c r="E150" t="s">
        <v>591</v>
      </c>
      <c r="F150" s="10">
        <v>384950</v>
      </c>
      <c r="G150" t="s">
        <v>247</v>
      </c>
      <c r="H150" s="1">
        <v>1720</v>
      </c>
      <c r="I150">
        <v>3247</v>
      </c>
      <c r="J150">
        <v>3</v>
      </c>
      <c r="K150">
        <v>2.5</v>
      </c>
      <c r="M150" s="2" t="str">
        <f>HYPERLINK("http://www.windermere.com/index.cfm?fuseaction=Listing.MapPropertyInteractive&amp;ListingID=19147164&amp;resize=true&amp;windowWidth=800&amp;windowHeight=600","Map")</f>
        <v>Map</v>
      </c>
      <c r="O150" s="2" t="str">
        <f>HYPERLINK("http://www.windermere.com/index.cfm?fuseaction=viewGallery.Home&amp;customTourID=196131&amp;wvt=0","More")</f>
        <v>More</v>
      </c>
      <c r="AI150" t="s">
        <v>66</v>
      </c>
      <c r="AJ150">
        <v>98177</v>
      </c>
      <c r="AS150" t="s">
        <v>592</v>
      </c>
      <c r="AT150">
        <v>19147164</v>
      </c>
      <c r="AU150" s="12">
        <v>39495</v>
      </c>
      <c r="BB150" t="s">
        <v>911</v>
      </c>
      <c r="BC150" s="7">
        <v>39449</v>
      </c>
      <c r="BG150">
        <v>46</v>
      </c>
      <c r="BH150" s="17">
        <f t="shared" ca="1" si="2"/>
        <v>100</v>
      </c>
      <c r="BI150" s="17"/>
      <c r="BJ150" s="17"/>
    </row>
    <row r="151" spans="1:63" hidden="1">
      <c r="A151">
        <v>28028536</v>
      </c>
      <c r="B151" s="2" t="str">
        <f>HYPERLINK("http://www.windermere.com/index.cfm?fuseaction=Listing.ListingDetail&amp;ListingID=19382798","Active")</f>
        <v>Active</v>
      </c>
      <c r="D151" t="s">
        <v>109</v>
      </c>
      <c r="E151" t="s">
        <v>593</v>
      </c>
      <c r="F151" s="10">
        <v>384950</v>
      </c>
      <c r="G151" t="s">
        <v>246</v>
      </c>
      <c r="H151" s="1">
        <v>1045</v>
      </c>
      <c r="I151">
        <v>1000</v>
      </c>
      <c r="J151">
        <v>2</v>
      </c>
      <c r="K151">
        <v>1.5</v>
      </c>
      <c r="M151" s="2" t="str">
        <f>HYPERLINK("http://www.windermere.com/index.cfm?fuseaction=Listing.MapPropertyInteractive&amp;ListingID=19382798&amp;resize=true&amp;windowWidth=800&amp;windowHeight=600","Map")</f>
        <v>Map</v>
      </c>
      <c r="O151" s="2" t="str">
        <f>HYPERLINK("http://www.windermere.com/index.cfm?fuseaction=Listing.MultiImageViewer&amp;ListingID=19382798&amp;ln=28028536&amp;pub_mls=1","More")</f>
        <v>More</v>
      </c>
      <c r="AI151" t="s">
        <v>66</v>
      </c>
      <c r="AJ151">
        <v>98103</v>
      </c>
      <c r="AS151" t="s">
        <v>594</v>
      </c>
      <c r="AT151">
        <v>19382798</v>
      </c>
      <c r="AU151" s="12">
        <v>39495</v>
      </c>
      <c r="BB151" t="s">
        <v>911</v>
      </c>
      <c r="BC151" s="7">
        <v>39494</v>
      </c>
      <c r="BG151">
        <v>1</v>
      </c>
      <c r="BH151" s="17">
        <f t="shared" ca="1" si="2"/>
        <v>55</v>
      </c>
      <c r="BI151" s="17"/>
      <c r="BJ151" s="17"/>
    </row>
    <row r="152" spans="1:63" hidden="1">
      <c r="A152">
        <v>27194397</v>
      </c>
      <c r="B152" s="2" t="str">
        <f>HYPERLINK("http://www.windermere.com/index.cfm?fuseaction=Listing.ListingDetail&amp;ListingID=18891692","Active")</f>
        <v>Active</v>
      </c>
      <c r="D152" t="s">
        <v>60</v>
      </c>
      <c r="E152" t="s">
        <v>597</v>
      </c>
      <c r="F152" s="10">
        <v>385000</v>
      </c>
      <c r="G152" t="s">
        <v>598</v>
      </c>
      <c r="H152" s="1">
        <v>1466</v>
      </c>
      <c r="J152">
        <v>3</v>
      </c>
      <c r="K152">
        <v>2.75</v>
      </c>
      <c r="M152" s="2" t="str">
        <f>HYPERLINK("http://www.windermere.com/index.cfm?fuseaction=Listing.MapPropertyInteractive&amp;ListingID=18891692&amp;resize=true&amp;windowWidth=800&amp;windowHeight=600","Map")</f>
        <v>Map</v>
      </c>
      <c r="O152" s="2" t="str">
        <f>HYPERLINK("http://www.windermere.com/index.cfm?fuseaction=Listing.MultiImageViewer&amp;ListingID=18891692&amp;ln=27194397&amp;pub_mls=1","More")</f>
        <v>More</v>
      </c>
      <c r="AI152" t="s">
        <v>66</v>
      </c>
      <c r="AJ152">
        <v>98103</v>
      </c>
      <c r="AS152" t="s">
        <v>599</v>
      </c>
      <c r="AT152">
        <v>18891692</v>
      </c>
      <c r="AU152" s="12">
        <v>39495</v>
      </c>
      <c r="BB152" t="s">
        <v>911</v>
      </c>
      <c r="BC152" s="7">
        <v>39386</v>
      </c>
      <c r="BG152">
        <v>109</v>
      </c>
      <c r="BH152" s="17">
        <f t="shared" ca="1" si="2"/>
        <v>163</v>
      </c>
      <c r="BI152" s="17"/>
      <c r="BJ152" s="17"/>
    </row>
    <row r="153" spans="1:63" hidden="1">
      <c r="A153">
        <v>28007321</v>
      </c>
      <c r="B153" s="2" t="str">
        <f>HYPERLINK("http://www.windermere.com/index.cfm?fuseaction=Listing.ListingDetail&amp;ListingID=19206266","Active")</f>
        <v>Active</v>
      </c>
      <c r="D153" t="s">
        <v>78</v>
      </c>
      <c r="E153" t="s">
        <v>362</v>
      </c>
      <c r="F153" s="10">
        <v>385000</v>
      </c>
      <c r="G153" t="s">
        <v>255</v>
      </c>
      <c r="H153" s="1">
        <v>1330</v>
      </c>
      <c r="J153">
        <v>3</v>
      </c>
      <c r="K153">
        <v>2.5</v>
      </c>
      <c r="M153" s="2" t="str">
        <f>HYPERLINK("http://www.windermere.com/index.cfm?fuseaction=Listing.MapPropertyInteractive&amp;ListingID=19206266&amp;resize=true&amp;windowWidth=800&amp;windowHeight=600","Map")</f>
        <v>Map</v>
      </c>
      <c r="O153" s="2" t="str">
        <f>HYPERLINK("http://www.windermere.com/index.cfm?fuseaction=Listing.MultiImageViewer&amp;ListingID=19206266&amp;ln=28007321&amp;pub_mls=1","More")</f>
        <v>More</v>
      </c>
      <c r="AI153" t="s">
        <v>66</v>
      </c>
      <c r="AJ153">
        <v>98117</v>
      </c>
      <c r="AS153" t="s">
        <v>363</v>
      </c>
      <c r="AT153">
        <v>19206266</v>
      </c>
      <c r="AU153" s="12">
        <v>39495</v>
      </c>
      <c r="BB153" t="s">
        <v>911</v>
      </c>
      <c r="BC153" s="7">
        <v>39458</v>
      </c>
      <c r="BG153">
        <v>37</v>
      </c>
      <c r="BH153" s="17">
        <f t="shared" ca="1" si="2"/>
        <v>91</v>
      </c>
      <c r="BI153" s="17"/>
      <c r="BJ153" s="17"/>
    </row>
    <row r="154" spans="1:63" hidden="1">
      <c r="A154">
        <v>28022095</v>
      </c>
      <c r="B154" s="2" t="str">
        <f>HYPERLINK("http://www.windermere.com/index.cfm?fuseaction=Listing.ListingDetail&amp;ListingID=19332676","Active")</f>
        <v>Active</v>
      </c>
      <c r="C154">
        <v>705</v>
      </c>
      <c r="D154" t="s">
        <v>919</v>
      </c>
      <c r="E154" t="s">
        <v>595</v>
      </c>
      <c r="F154" s="10">
        <v>385000</v>
      </c>
      <c r="G154" t="s">
        <v>146</v>
      </c>
      <c r="H154" s="1">
        <v>1060</v>
      </c>
      <c r="I154">
        <v>6000</v>
      </c>
      <c r="J154">
        <v>2</v>
      </c>
      <c r="K154">
        <v>1</v>
      </c>
      <c r="L154">
        <v>1</v>
      </c>
      <c r="M154" s="2" t="str">
        <f>HYPERLINK("http://www.windermere.com/index.cfm?fuseaction=Listing.MapPropertyInteractive&amp;ListingID=19332676&amp;resize=true&amp;windowWidth=800&amp;windowHeight=600","Map")</f>
        <v>Map</v>
      </c>
      <c r="N154" s="2" t="str">
        <f>HYPERLINK("http://locmedia.nwmls.com/DO_NOT_LINK/bigphoto/095/28022095.jpg?tsp=20080207091702","Photo")</f>
        <v>Photo</v>
      </c>
      <c r="O154" s="2" t="str">
        <f>HYPERLINK("http://www.windermere.com/index.cfm?fuseaction=Listing.MultiImageViewer&amp;ListingID=19332676&amp;ln=28022095&amp;pub_mls=1","More")</f>
        <v>More</v>
      </c>
      <c r="Q154" t="s">
        <v>56</v>
      </c>
      <c r="R154" t="s">
        <v>67</v>
      </c>
      <c r="S154" t="s">
        <v>58</v>
      </c>
      <c r="X154" t="s">
        <v>47</v>
      </c>
      <c r="Y154" t="s">
        <v>48</v>
      </c>
      <c r="Z154" t="s">
        <v>87</v>
      </c>
      <c r="AB154">
        <v>2007</v>
      </c>
      <c r="AC154">
        <v>2863</v>
      </c>
      <c r="AD154" t="s">
        <v>920</v>
      </c>
      <c r="AE154" t="s">
        <v>921</v>
      </c>
      <c r="AF154" t="s">
        <v>922</v>
      </c>
      <c r="AG154">
        <v>47.706873999999999</v>
      </c>
      <c r="AH154">
        <v>-122.338292</v>
      </c>
      <c r="AI154" t="s">
        <v>66</v>
      </c>
      <c r="AJ154">
        <v>98133</v>
      </c>
      <c r="AK154" t="s">
        <v>41</v>
      </c>
      <c r="AL154" t="s">
        <v>40</v>
      </c>
      <c r="AM154" t="s">
        <v>40</v>
      </c>
      <c r="AO154">
        <v>0.13800000000000001</v>
      </c>
      <c r="AP154" t="s">
        <v>923</v>
      </c>
      <c r="AQ154">
        <v>505</v>
      </c>
      <c r="AR154" t="s">
        <v>924</v>
      </c>
      <c r="AS154" t="s">
        <v>596</v>
      </c>
      <c r="AT154">
        <v>19332676</v>
      </c>
      <c r="AU154" s="12">
        <v>39495</v>
      </c>
      <c r="BA154" t="s">
        <v>911</v>
      </c>
      <c r="BB154" t="s">
        <v>911</v>
      </c>
      <c r="BC154" s="7">
        <v>39484</v>
      </c>
      <c r="BG154">
        <v>11</v>
      </c>
      <c r="BH154" s="17">
        <f t="shared" ca="1" si="2"/>
        <v>65</v>
      </c>
      <c r="BI154" s="17"/>
      <c r="BJ154" s="17"/>
    </row>
    <row r="155" spans="1:63" hidden="1">
      <c r="A155">
        <v>27160662</v>
      </c>
      <c r="B155" s="2" t="str">
        <f>HYPERLINK("http://www.windermere.com/index.cfm?fuseaction=Listing.ListingDetail&amp;ListingID=18555463","Active")</f>
        <v>Active</v>
      </c>
      <c r="D155" t="s">
        <v>63</v>
      </c>
      <c r="E155" t="s">
        <v>600</v>
      </c>
      <c r="F155" s="10">
        <v>389950</v>
      </c>
      <c r="G155" t="s">
        <v>147</v>
      </c>
      <c r="H155" s="1">
        <v>1320</v>
      </c>
      <c r="J155">
        <v>2</v>
      </c>
      <c r="K155">
        <v>2.5</v>
      </c>
      <c r="M155" s="2" t="str">
        <f>HYPERLINK("http://www.windermere.com/index.cfm?fuseaction=Listing.MapPropertyInteractive&amp;ListingID=18555463&amp;resize=true&amp;windowWidth=800&amp;windowHeight=600","Map")</f>
        <v>Map</v>
      </c>
      <c r="O155" s="2" t="str">
        <f>HYPERLINK("http://www.windermere.com/index.cfm?fuseaction=Listing.MultiImageViewer&amp;ListingID=18555463&amp;ln=27160662&amp;pub_mls=1","More")</f>
        <v>More</v>
      </c>
      <c r="P155" t="s">
        <v>44</v>
      </c>
      <c r="AI155" t="s">
        <v>66</v>
      </c>
      <c r="AJ155">
        <v>98107</v>
      </c>
      <c r="AS155" t="s">
        <v>601</v>
      </c>
      <c r="AT155">
        <v>18555463</v>
      </c>
      <c r="AU155" s="12">
        <v>39495</v>
      </c>
      <c r="BB155" t="s">
        <v>911</v>
      </c>
      <c r="BC155" s="7">
        <v>39326</v>
      </c>
      <c r="BD155">
        <v>3</v>
      </c>
      <c r="BE155" s="6" t="s">
        <v>1325</v>
      </c>
      <c r="BG155">
        <v>169</v>
      </c>
      <c r="BH155" s="17">
        <f t="shared" ca="1" si="2"/>
        <v>223</v>
      </c>
      <c r="BI155" s="17"/>
      <c r="BJ155" s="17"/>
    </row>
    <row r="156" spans="1:63" hidden="1">
      <c r="A156">
        <v>27169915</v>
      </c>
      <c r="B156" s="2" t="str">
        <f>HYPERLINK("http://www.windermere.com/index.cfm?fuseaction=Listing.ListingDetail&amp;ListingID=19358299","Active")</f>
        <v>Active</v>
      </c>
      <c r="D156" t="s">
        <v>967</v>
      </c>
      <c r="E156" t="s">
        <v>1109</v>
      </c>
      <c r="F156" s="10">
        <v>389950</v>
      </c>
      <c r="G156" t="s">
        <v>180</v>
      </c>
      <c r="H156" s="1">
        <v>1780</v>
      </c>
      <c r="I156">
        <v>5815</v>
      </c>
      <c r="J156">
        <v>3</v>
      </c>
      <c r="K156">
        <v>1.75</v>
      </c>
      <c r="M156" s="2" t="str">
        <f>HYPERLINK("http://www.windermere.com/index.cfm?fuseaction=Listing.MapPropertyInteractive&amp;ListingID=19358299&amp;resize=true&amp;windowWidth=800&amp;windowHeight=600","Map")</f>
        <v>Map</v>
      </c>
      <c r="O156" s="2" t="str">
        <f>HYPERLINK("http://www.windermere.com/index.cfm?fuseaction=Listing.MultiImageViewer&amp;ListingID=19358299&amp;ln=27169915&amp;pub_mls=1","More")</f>
        <v>More</v>
      </c>
      <c r="AI156" t="s">
        <v>66</v>
      </c>
      <c r="AJ156">
        <v>98125</v>
      </c>
      <c r="AS156" t="s">
        <v>1110</v>
      </c>
      <c r="AT156">
        <v>19358299</v>
      </c>
      <c r="AU156" s="12">
        <v>39495</v>
      </c>
      <c r="BB156" t="s">
        <v>911</v>
      </c>
      <c r="BC156" s="7">
        <v>39342</v>
      </c>
      <c r="BG156">
        <v>153</v>
      </c>
      <c r="BH156" s="17">
        <f t="shared" ca="1" si="2"/>
        <v>207</v>
      </c>
      <c r="BI156" s="17"/>
      <c r="BJ156" s="17"/>
    </row>
    <row r="157" spans="1:63" hidden="1">
      <c r="A157">
        <v>27195521</v>
      </c>
      <c r="B157" s="2" t="str">
        <f>HYPERLINK("http://www.windermere.com/index.cfm?fuseaction=Listing.ListingDetail&amp;ListingID=18898391","Active")</f>
        <v>Active</v>
      </c>
      <c r="D157" t="s">
        <v>63</v>
      </c>
      <c r="E157" t="s">
        <v>365</v>
      </c>
      <c r="F157" s="10">
        <v>389950</v>
      </c>
      <c r="G157" t="s">
        <v>134</v>
      </c>
      <c r="H157">
        <v>980</v>
      </c>
      <c r="I157">
        <v>3200</v>
      </c>
      <c r="J157">
        <v>2</v>
      </c>
      <c r="K157">
        <v>1</v>
      </c>
      <c r="M157" s="2" t="str">
        <f>HYPERLINK("http://www.windermere.com/index.cfm?fuseaction=Listing.MapPropertyInteractive&amp;ListingID=18898391&amp;resize=true&amp;windowWidth=800&amp;windowHeight=600","Map")</f>
        <v>Map</v>
      </c>
      <c r="O157" s="2" t="str">
        <f>HYPERLINK("http://www.windermere.com/index.cfm?fuseaction=Listing.MultiImageViewer&amp;ListingID=18898391&amp;ln=27195521&amp;pub_mls=1","More")</f>
        <v>More</v>
      </c>
      <c r="AI157" t="s">
        <v>66</v>
      </c>
      <c r="AJ157">
        <v>98117</v>
      </c>
      <c r="AS157" t="s">
        <v>366</v>
      </c>
      <c r="AT157">
        <v>18898391</v>
      </c>
      <c r="AU157" s="12">
        <v>39495</v>
      </c>
      <c r="BB157" t="s">
        <v>911</v>
      </c>
      <c r="BC157" s="7">
        <v>39387</v>
      </c>
      <c r="BG157">
        <v>108</v>
      </c>
      <c r="BH157" s="17">
        <f t="shared" ca="1" si="2"/>
        <v>162</v>
      </c>
      <c r="BI157" s="17"/>
      <c r="BJ157" s="17"/>
    </row>
    <row r="158" spans="1:63" hidden="1">
      <c r="A158">
        <v>28020840</v>
      </c>
      <c r="B158" s="15" t="str">
        <f>HYPERLINK("http://www.windermere.com/index.cfm?fuseaction=Listing.ListingDetail&amp;ListingID=19330920","Subject To Inspection")</f>
        <v>Subject To Inspection</v>
      </c>
      <c r="C158">
        <v>705</v>
      </c>
      <c r="D158" t="s">
        <v>78</v>
      </c>
      <c r="E158" t="s">
        <v>136</v>
      </c>
      <c r="F158" s="10">
        <v>389950</v>
      </c>
      <c r="G158" t="s">
        <v>137</v>
      </c>
      <c r="H158">
        <v>800</v>
      </c>
      <c r="I158">
        <v>2880</v>
      </c>
      <c r="J158">
        <v>2</v>
      </c>
      <c r="K158">
        <v>1</v>
      </c>
      <c r="L158">
        <v>1</v>
      </c>
      <c r="M158" s="2" t="str">
        <f>HYPERLINK("http://www.windermere.com/index.cfm?fuseaction=Listing.MapPropertyInteractive&amp;ListingID=19330920&amp;resize=true&amp;windowWidth=800&amp;windowHeight=600","Map")</f>
        <v>Map</v>
      </c>
      <c r="N158" s="2" t="str">
        <f>HYPERLINK("http://locmedia.nwmls.com/DO_NOT_LINK/bigphoto/840/28020840.jpg?tsp=20080206092356","Photo")</f>
        <v>Photo</v>
      </c>
      <c r="O158" s="2" t="str">
        <f>HYPERLINK("http://www.windermere.com/index.cfm?fuseaction=viewGallery.Home&amp;customTourID=197620&amp;wvt=0","More")</f>
        <v>More</v>
      </c>
      <c r="Q158" t="s">
        <v>56</v>
      </c>
      <c r="R158" t="s">
        <v>72</v>
      </c>
      <c r="S158" t="s">
        <v>53</v>
      </c>
      <c r="U158" t="s">
        <v>44</v>
      </c>
      <c r="X158" t="s">
        <v>47</v>
      </c>
      <c r="Y158" t="s">
        <v>48</v>
      </c>
      <c r="Z158" t="s">
        <v>80</v>
      </c>
      <c r="AB158">
        <v>2007</v>
      </c>
      <c r="AC158">
        <v>3215</v>
      </c>
      <c r="AD158" t="s">
        <v>925</v>
      </c>
      <c r="AG158">
        <v>47.686762999999999</v>
      </c>
      <c r="AH158">
        <v>-122.394105</v>
      </c>
      <c r="AI158" t="s">
        <v>66</v>
      </c>
      <c r="AJ158">
        <v>98117</v>
      </c>
      <c r="AK158" t="s">
        <v>41</v>
      </c>
      <c r="AL158" t="s">
        <v>40</v>
      </c>
      <c r="AM158" t="s">
        <v>40</v>
      </c>
      <c r="AO158">
        <v>6.6000000000000003E-2</v>
      </c>
      <c r="AP158" t="s">
        <v>926</v>
      </c>
      <c r="AQ158">
        <v>534</v>
      </c>
      <c r="AR158" t="s">
        <v>79</v>
      </c>
      <c r="AS158" t="s">
        <v>364</v>
      </c>
      <c r="AT158">
        <v>19330920</v>
      </c>
      <c r="AU158" s="12">
        <v>39495</v>
      </c>
      <c r="BA158" t="s">
        <v>911</v>
      </c>
      <c r="BB158" t="s">
        <v>911</v>
      </c>
      <c r="BC158" s="7">
        <v>39484</v>
      </c>
      <c r="BG158">
        <v>11</v>
      </c>
      <c r="BH158" s="17">
        <f t="shared" ca="1" si="2"/>
        <v>65</v>
      </c>
      <c r="BI158" s="17"/>
      <c r="BJ158" s="17"/>
    </row>
    <row r="159" spans="1:63" hidden="1">
      <c r="A159">
        <v>27201655</v>
      </c>
      <c r="B159" s="2" t="str">
        <f>HYPERLINK("http://www.windermere.com/index.cfm?fuseaction=Listing.ListingDetail&amp;ListingID=18955854","Active")</f>
        <v>Active</v>
      </c>
      <c r="D159" t="s">
        <v>70</v>
      </c>
      <c r="E159" t="s">
        <v>133</v>
      </c>
      <c r="F159" s="10">
        <v>394950</v>
      </c>
      <c r="G159" t="s">
        <v>134</v>
      </c>
      <c r="H159" s="1">
        <v>1800</v>
      </c>
      <c r="I159">
        <v>5040</v>
      </c>
      <c r="J159">
        <v>4</v>
      </c>
      <c r="K159">
        <v>1.75</v>
      </c>
      <c r="M159" s="2" t="str">
        <f>HYPERLINK("http://www.windermere.com/index.cfm?fuseaction=Listing.MapPropertyInteractive&amp;ListingID=18955854&amp;resize=true&amp;windowWidth=800&amp;windowHeight=600","Map")</f>
        <v>Map</v>
      </c>
      <c r="O159" s="2" t="str">
        <f>HYPERLINK("http://www.windermere.com/index.cfm?fuseaction=Listing.MultiImageViewer&amp;ListingID=18955854&amp;ln=27201655&amp;pub_mls=1","More")</f>
        <v>More</v>
      </c>
      <c r="AI159" t="s">
        <v>66</v>
      </c>
      <c r="AJ159">
        <v>98133</v>
      </c>
      <c r="AS159" t="s">
        <v>602</v>
      </c>
      <c r="AT159">
        <v>18955854</v>
      </c>
      <c r="AU159" s="12">
        <v>39495</v>
      </c>
      <c r="BB159" t="s">
        <v>911</v>
      </c>
      <c r="BC159" s="7">
        <v>39399</v>
      </c>
      <c r="BG159">
        <v>96</v>
      </c>
      <c r="BH159" s="17">
        <f t="shared" ca="1" si="2"/>
        <v>150</v>
      </c>
      <c r="BI159" s="17"/>
      <c r="BJ159" s="17"/>
    </row>
    <row r="160" spans="1:63" hidden="1">
      <c r="A160">
        <v>27096757</v>
      </c>
      <c r="B160" s="2" t="str">
        <f>HYPERLINK("http://www.windermere.com/index.cfm?fuseaction=Listing.ListingDetail&amp;ListingID=18006149","Active")</f>
        <v>Active</v>
      </c>
      <c r="D160" t="s">
        <v>63</v>
      </c>
      <c r="E160" t="s">
        <v>603</v>
      </c>
      <c r="F160" s="10">
        <v>394990</v>
      </c>
      <c r="G160" t="s">
        <v>246</v>
      </c>
      <c r="H160" s="1">
        <v>1620</v>
      </c>
      <c r="J160">
        <v>3</v>
      </c>
      <c r="K160">
        <v>2.5</v>
      </c>
      <c r="M160" s="2" t="str">
        <f>HYPERLINK("http://www.windermere.com/index.cfm?fuseaction=Listing.MapPropertyInteractive&amp;ListingID=18006149&amp;resize=true&amp;windowWidth=800&amp;windowHeight=600","Map")</f>
        <v>Map</v>
      </c>
      <c r="O160" s="2" t="str">
        <f>HYPERLINK("http://www.windermere.com/index.cfm?fuseaction=Listing.MultiImageViewer&amp;ListingID=18006149&amp;ln=27096757&amp;pub_mls=1","More")</f>
        <v>More</v>
      </c>
      <c r="AI160" t="s">
        <v>66</v>
      </c>
      <c r="AJ160">
        <v>98107</v>
      </c>
      <c r="AS160" t="s">
        <v>604</v>
      </c>
      <c r="AT160">
        <v>18006149</v>
      </c>
      <c r="AU160" s="12">
        <v>39495</v>
      </c>
      <c r="BB160" t="s">
        <v>911</v>
      </c>
      <c r="BC160" s="7">
        <v>39233</v>
      </c>
      <c r="BD160">
        <v>1</v>
      </c>
      <c r="BG160">
        <v>262</v>
      </c>
      <c r="BH160" s="17">
        <f t="shared" ca="1" si="2"/>
        <v>316</v>
      </c>
      <c r="BI160" s="17"/>
      <c r="BJ160" s="17"/>
    </row>
    <row r="161" spans="1:63" hidden="1">
      <c r="A161">
        <v>27115725</v>
      </c>
      <c r="B161" s="2" t="str">
        <f>HYPERLINK("http://www.windermere.com/index.cfm?fuseaction=Listing.ListingDetail&amp;ListingID=18156528","Subject To Inspection")</f>
        <v>Subject To Inspection</v>
      </c>
      <c r="D161" t="s">
        <v>63</v>
      </c>
      <c r="E161" t="s">
        <v>605</v>
      </c>
      <c r="F161" s="10">
        <v>394990</v>
      </c>
      <c r="G161" t="s">
        <v>246</v>
      </c>
      <c r="H161" s="1">
        <v>1441</v>
      </c>
      <c r="J161">
        <v>3</v>
      </c>
      <c r="K161">
        <v>2.5</v>
      </c>
      <c r="M161" s="2" t="str">
        <f>HYPERLINK("http://www.windermere.com/index.cfm?fuseaction=Listing.MapPropertyInteractive&amp;ListingID=18156528&amp;resize=true&amp;windowWidth=800&amp;windowHeight=600","Map")</f>
        <v>Map</v>
      </c>
      <c r="O161" s="2" t="str">
        <f>HYPERLINK("http://www.windermere.com/index.cfm?fuseaction=Listing.MultiImageViewer&amp;ListingID=18156528&amp;ln=27115725&amp;pub_mls=1","More")</f>
        <v>More</v>
      </c>
      <c r="AI161" t="s">
        <v>66</v>
      </c>
      <c r="AJ161">
        <v>98107</v>
      </c>
      <c r="AS161" t="s">
        <v>606</v>
      </c>
      <c r="AT161">
        <v>18156528</v>
      </c>
      <c r="AU161" s="12">
        <v>39495</v>
      </c>
      <c r="BB161" t="s">
        <v>911</v>
      </c>
      <c r="BC161" s="7">
        <v>39259</v>
      </c>
      <c r="BD161">
        <v>1</v>
      </c>
      <c r="BG161">
        <v>236</v>
      </c>
      <c r="BH161" s="17">
        <f t="shared" ca="1" si="2"/>
        <v>290</v>
      </c>
      <c r="BI161" s="17"/>
      <c r="BJ161" s="17"/>
      <c r="BK161" t="str">
        <f>B161</f>
        <v>Subject To Inspection</v>
      </c>
    </row>
    <row r="162" spans="1:63" hidden="1">
      <c r="A162">
        <v>27194183</v>
      </c>
      <c r="B162" s="2" t="str">
        <f>HYPERLINK("http://www.windermere.com/index.cfm?fuseaction=Listing.ListingDetail&amp;ListingID=18887114","Active")</f>
        <v>Active</v>
      </c>
      <c r="D162" t="s">
        <v>109</v>
      </c>
      <c r="E162" t="s">
        <v>607</v>
      </c>
      <c r="F162" s="10">
        <v>395000</v>
      </c>
      <c r="G162" t="s">
        <v>186</v>
      </c>
      <c r="H162" s="1">
        <v>1740</v>
      </c>
      <c r="I162">
        <v>4000</v>
      </c>
      <c r="J162">
        <v>3</v>
      </c>
      <c r="K162">
        <v>1.5</v>
      </c>
      <c r="M162" s="2" t="str">
        <f>HYPERLINK("http://www.windermere.com/index.cfm?fuseaction=Listing.MapPropertyInteractive&amp;ListingID=18887114&amp;resize=true&amp;windowWidth=800&amp;windowHeight=600","Map")</f>
        <v>Map</v>
      </c>
      <c r="O162" s="2" t="str">
        <f>HYPERLINK("http://www.windermere.com/index.cfm?fuseaction=Listing.MultiImageViewer&amp;ListingID=18887114&amp;ln=27194183&amp;pub_mls=1","More")</f>
        <v>More</v>
      </c>
      <c r="P162" t="s">
        <v>44</v>
      </c>
      <c r="AI162" t="s">
        <v>66</v>
      </c>
      <c r="AJ162">
        <v>98105</v>
      </c>
      <c r="AS162" t="s">
        <v>608</v>
      </c>
      <c r="AT162">
        <v>18887114</v>
      </c>
      <c r="AU162" s="12">
        <v>39495</v>
      </c>
      <c r="BB162" t="s">
        <v>911</v>
      </c>
      <c r="BC162" s="7">
        <v>39385</v>
      </c>
      <c r="BG162">
        <v>110</v>
      </c>
      <c r="BH162" s="17">
        <f t="shared" ca="1" si="2"/>
        <v>164</v>
      </c>
      <c r="BI162" s="17"/>
      <c r="BJ162" s="17"/>
    </row>
    <row r="163" spans="1:63" hidden="1">
      <c r="A163">
        <v>28008808</v>
      </c>
      <c r="B163" s="2" t="str">
        <f>HYPERLINK("http://www.windermere.com/index.cfm?fuseaction=Listing.ListingDetail&amp;ListingID=19246786","Active")</f>
        <v>Active</v>
      </c>
      <c r="D163" t="s">
        <v>60</v>
      </c>
      <c r="E163" t="s">
        <v>609</v>
      </c>
      <c r="F163" s="13">
        <v>379000</v>
      </c>
      <c r="G163" t="s">
        <v>598</v>
      </c>
      <c r="H163" s="1">
        <v>1520</v>
      </c>
      <c r="J163">
        <v>3</v>
      </c>
      <c r="K163">
        <v>2.5</v>
      </c>
      <c r="M163" s="2" t="str">
        <f>HYPERLINK("http://www.windermere.com/index.cfm?fuseaction=Listing.MapPropertyInteractive&amp;ListingID=19246786&amp;resize=true&amp;windowWidth=800&amp;windowHeight=600","Map")</f>
        <v>Map</v>
      </c>
      <c r="O163" s="2" t="str">
        <f>HYPERLINK("http://www.windermere.com/index.cfm?fuseaction=viewGallery.Home&amp;customTourID=204794&amp;wvt=0","More")</f>
        <v>More</v>
      </c>
      <c r="AI163" t="s">
        <v>66</v>
      </c>
      <c r="AJ163">
        <v>98133</v>
      </c>
      <c r="AS163" t="s">
        <v>610</v>
      </c>
      <c r="AT163">
        <v>19246786</v>
      </c>
      <c r="AU163" s="12">
        <v>39495</v>
      </c>
      <c r="BB163" t="s">
        <v>911</v>
      </c>
      <c r="BC163" s="7">
        <v>39465</v>
      </c>
      <c r="BG163">
        <v>30</v>
      </c>
      <c r="BH163" s="17">
        <f t="shared" ca="1" si="2"/>
        <v>84</v>
      </c>
      <c r="BI163" s="17"/>
      <c r="BJ163" s="17"/>
    </row>
    <row r="164" spans="1:63" hidden="1">
      <c r="A164">
        <v>28021819</v>
      </c>
      <c r="B164" s="2" t="str">
        <f>HYPERLINK("http://www.windermere.com/index.cfm?fuseaction=Listing.ListingDetail&amp;ListingID=19327601","Active")</f>
        <v>Active</v>
      </c>
      <c r="C164">
        <v>710</v>
      </c>
      <c r="D164" t="s">
        <v>983</v>
      </c>
      <c r="E164" t="s">
        <v>984</v>
      </c>
      <c r="F164" s="10">
        <v>395500</v>
      </c>
      <c r="G164" t="s">
        <v>795</v>
      </c>
      <c r="H164" s="1">
        <v>1220</v>
      </c>
      <c r="I164">
        <v>3400</v>
      </c>
      <c r="J164">
        <v>3</v>
      </c>
      <c r="K164">
        <v>1.75</v>
      </c>
      <c r="L164">
        <v>1</v>
      </c>
      <c r="M164" s="2" t="str">
        <f>HYPERLINK("http://www.windermere.com/index.cfm?fuseaction=Listing.MapPropertyInteractive&amp;ListingID=19327601&amp;resize=true&amp;windowWidth=800&amp;windowHeight=600","Map")</f>
        <v>Map</v>
      </c>
      <c r="N164" s="2" t="str">
        <f>HYPERLINK("http://locmedia.nwmls.com/DO_NOT_LINK/bigphoto/819/28021819.jpg?tsp=20080205151528","Photo")</f>
        <v>Photo</v>
      </c>
      <c r="O164" s="2" t="str">
        <f>HYPERLINK("http://www.windermere.com/index.cfm?fuseaction=Listing.MultiImageViewer&amp;ListingID=19327601&amp;ln=28021819&amp;pub_mls=1","More")</f>
        <v>More</v>
      </c>
      <c r="Q164" t="s">
        <v>52</v>
      </c>
      <c r="R164" t="s">
        <v>46</v>
      </c>
      <c r="S164" t="s">
        <v>86</v>
      </c>
      <c r="U164" t="s">
        <v>44</v>
      </c>
      <c r="X164" t="s">
        <v>47</v>
      </c>
      <c r="Y164" t="s">
        <v>48</v>
      </c>
      <c r="Z164" t="s">
        <v>69</v>
      </c>
      <c r="AA164" t="s">
        <v>985</v>
      </c>
      <c r="AB164">
        <v>2007</v>
      </c>
      <c r="AC164">
        <v>2343</v>
      </c>
      <c r="AD164" t="s">
        <v>986</v>
      </c>
      <c r="AE164" t="s">
        <v>987</v>
      </c>
      <c r="AF164" t="s">
        <v>113</v>
      </c>
      <c r="AG164">
        <v>47.697977000000002</v>
      </c>
      <c r="AH164">
        <v>-122.27777399999999</v>
      </c>
      <c r="AI164" t="s">
        <v>66</v>
      </c>
      <c r="AJ164">
        <v>98115</v>
      </c>
      <c r="AK164" t="s">
        <v>41</v>
      </c>
      <c r="AL164">
        <v>16</v>
      </c>
      <c r="AM164" t="s">
        <v>40</v>
      </c>
      <c r="AO164">
        <v>7.8E-2</v>
      </c>
      <c r="AP164" t="s">
        <v>988</v>
      </c>
      <c r="AQ164">
        <v>505</v>
      </c>
      <c r="AR164" t="s">
        <v>216</v>
      </c>
      <c r="AS164" t="s">
        <v>1111</v>
      </c>
      <c r="AT164">
        <v>19327601</v>
      </c>
      <c r="AU164" s="12">
        <v>39495</v>
      </c>
      <c r="BA164" t="s">
        <v>911</v>
      </c>
      <c r="BB164" t="s">
        <v>911</v>
      </c>
      <c r="BC164" s="7">
        <v>39483</v>
      </c>
      <c r="BG164">
        <v>12</v>
      </c>
      <c r="BH164" s="17">
        <f t="shared" ca="1" si="2"/>
        <v>66</v>
      </c>
      <c r="BI164" s="17"/>
      <c r="BJ164" s="17"/>
    </row>
    <row r="165" spans="1:63" hidden="1">
      <c r="A165">
        <v>28026258</v>
      </c>
      <c r="B165" s="15" t="str">
        <f>HYPERLINK("http://www.windermere.com/index.cfm?fuseaction=Listing.ListingDetail&amp;ListingID=19385109","Subject To Inspection")</f>
        <v>Subject To Inspection</v>
      </c>
      <c r="D165" t="s">
        <v>60</v>
      </c>
      <c r="E165" t="s">
        <v>1337</v>
      </c>
      <c r="F165" s="10">
        <v>398000</v>
      </c>
      <c r="G165" t="s">
        <v>616</v>
      </c>
      <c r="H165" s="1">
        <v>1290</v>
      </c>
      <c r="I165">
        <v>6397</v>
      </c>
      <c r="J165">
        <v>3</v>
      </c>
      <c r="K165">
        <v>1.5</v>
      </c>
      <c r="M165" s="2" t="str">
        <f>HYPERLINK("http://www.windermere.com/index.cfm?fuseaction=Listing.MapPropertyInteractive&amp;ListingID=19385109&amp;resize=true&amp;windowWidth=800&amp;windowHeight=600","Map")</f>
        <v>Map</v>
      </c>
      <c r="O165" s="2" t="str">
        <f>HYPERLINK("http://www.windermere.com/index.cfm?fuseaction=Listing.MultiImageViewer&amp;ListingID=19385109&amp;ln=28026258&amp;pub_mls=1","More")</f>
        <v>More</v>
      </c>
      <c r="AI165" t="s">
        <v>66</v>
      </c>
      <c r="AJ165">
        <v>98103</v>
      </c>
      <c r="AS165" t="s">
        <v>1338</v>
      </c>
      <c r="AT165">
        <v>19385109</v>
      </c>
      <c r="AU165" s="7">
        <v>39496</v>
      </c>
      <c r="BB165" t="s">
        <v>911</v>
      </c>
      <c r="BC165" s="7">
        <v>39495</v>
      </c>
      <c r="BD165">
        <v>3</v>
      </c>
      <c r="BE165" t="s">
        <v>1346</v>
      </c>
      <c r="BF165" t="s">
        <v>1344</v>
      </c>
      <c r="BG165">
        <v>1</v>
      </c>
      <c r="BH165" s="17">
        <f t="shared" ca="1" si="2"/>
        <v>54</v>
      </c>
      <c r="BI165" s="17"/>
      <c r="BJ165" s="17"/>
    </row>
    <row r="166" spans="1:63" hidden="1">
      <c r="A166">
        <v>28026322</v>
      </c>
      <c r="B166" s="2" t="str">
        <f>HYPERLINK("http://www.windermere.com/index.cfm?fuseaction=Listing.ListingDetail&amp;ListingID=19376193","Active")</f>
        <v>Active</v>
      </c>
      <c r="D166" t="s">
        <v>184</v>
      </c>
      <c r="E166" t="s">
        <v>611</v>
      </c>
      <c r="F166" s="10">
        <v>398500</v>
      </c>
      <c r="G166" t="s">
        <v>137</v>
      </c>
      <c r="H166" s="1">
        <v>1390</v>
      </c>
      <c r="I166">
        <v>7000</v>
      </c>
      <c r="J166">
        <v>3</v>
      </c>
      <c r="K166">
        <v>1</v>
      </c>
      <c r="M166" s="2" t="str">
        <f>HYPERLINK("http://www.windermere.com/index.cfm?fuseaction=Listing.MapPropertyInteractive&amp;ListingID=19376193&amp;resize=true&amp;windowWidth=800&amp;windowHeight=600","Map")</f>
        <v>Map</v>
      </c>
      <c r="O166" s="2" t="str">
        <f>HYPERLINK("http://www.windermere.com/index.cfm?fuseaction=Listing.MultiImageViewer&amp;ListingID=19376193&amp;ln=28026322&amp;pub_mls=1","More")</f>
        <v>More</v>
      </c>
      <c r="P166" t="s">
        <v>44</v>
      </c>
      <c r="AI166" t="s">
        <v>66</v>
      </c>
      <c r="AJ166">
        <v>98125</v>
      </c>
      <c r="AS166" t="s">
        <v>612</v>
      </c>
      <c r="AT166">
        <v>19376193</v>
      </c>
      <c r="AU166" s="12">
        <v>39495</v>
      </c>
      <c r="BB166" t="s">
        <v>911</v>
      </c>
      <c r="BC166" s="7">
        <v>39493</v>
      </c>
      <c r="BG166">
        <v>2</v>
      </c>
      <c r="BH166" s="17">
        <f t="shared" ca="1" si="2"/>
        <v>56</v>
      </c>
      <c r="BI166" s="17"/>
      <c r="BJ166" s="17"/>
    </row>
    <row r="167" spans="1:63" hidden="1">
      <c r="A167">
        <v>27132490</v>
      </c>
      <c r="B167" s="2" t="str">
        <f>HYPERLINK("http://www.windermere.com/index.cfm?fuseaction=Listing.ListingDetail&amp;ListingID=18331929","Active")</f>
        <v>Active</v>
      </c>
      <c r="D167" t="s">
        <v>184</v>
      </c>
      <c r="E167" t="s">
        <v>185</v>
      </c>
      <c r="F167" s="10">
        <v>399000</v>
      </c>
      <c r="G167" t="s">
        <v>186</v>
      </c>
      <c r="H167" s="1">
        <v>1850</v>
      </c>
      <c r="I167">
        <v>9804</v>
      </c>
      <c r="J167">
        <v>3</v>
      </c>
      <c r="K167">
        <v>1</v>
      </c>
      <c r="M167" s="2" t="str">
        <f>HYPERLINK("http://www.windermere.com/index.cfm?fuseaction=Listing.MapPropertyInteractive&amp;ListingID=18331929&amp;resize=true&amp;windowWidth=800&amp;windowHeight=600","Map")</f>
        <v>Map</v>
      </c>
      <c r="O167" s="2" t="str">
        <f>HYPERLINK("http://www.windermere.com/index.cfm?fuseaction=Listing.MultiImageViewer&amp;ListingID=18331929&amp;ln=27132490&amp;pub_mls=1","More")</f>
        <v>More</v>
      </c>
      <c r="P167" t="s">
        <v>44</v>
      </c>
      <c r="AI167" t="s">
        <v>66</v>
      </c>
      <c r="AJ167">
        <v>98125</v>
      </c>
      <c r="AS167" t="s">
        <v>613</v>
      </c>
      <c r="AT167">
        <v>18331929</v>
      </c>
      <c r="AU167" s="12">
        <v>39495</v>
      </c>
      <c r="BB167" t="s">
        <v>911</v>
      </c>
      <c r="BC167" s="7">
        <v>39283</v>
      </c>
      <c r="BD167">
        <v>2</v>
      </c>
      <c r="BE167" s="6" t="s">
        <v>1316</v>
      </c>
      <c r="BG167">
        <v>212</v>
      </c>
      <c r="BH167" s="17">
        <f t="shared" ca="1" si="2"/>
        <v>266</v>
      </c>
      <c r="BI167" s="17"/>
      <c r="BJ167" s="17"/>
    </row>
    <row r="168" spans="1:63" hidden="1">
      <c r="A168">
        <v>27133411</v>
      </c>
      <c r="B168" s="2" t="str">
        <f>HYPERLINK("http://www.windermere.com/index.cfm?fuseaction=Listing.ListingDetail&amp;ListingID=18343551","Active")</f>
        <v>Active</v>
      </c>
      <c r="D168" t="s">
        <v>188</v>
      </c>
      <c r="E168" t="s">
        <v>189</v>
      </c>
      <c r="F168" s="10">
        <v>399000</v>
      </c>
      <c r="G168" t="s">
        <v>135</v>
      </c>
      <c r="H168" s="1">
        <v>1030</v>
      </c>
      <c r="I168">
        <v>8385</v>
      </c>
      <c r="J168">
        <v>3</v>
      </c>
      <c r="K168">
        <v>1</v>
      </c>
      <c r="M168" s="2" t="str">
        <f>HYPERLINK("http://www.windermere.com/index.cfm?fuseaction=Listing.MapPropertyInteractive&amp;ListingID=18343551&amp;resize=true&amp;windowWidth=800&amp;windowHeight=600","Map")</f>
        <v>Map</v>
      </c>
      <c r="O168" s="2" t="str">
        <f>HYPERLINK("http://www.windermere.com/index.cfm?fuseaction=Listing.MultiImageViewer&amp;ListingID=18343551&amp;ln=27133411&amp;pub_mls=1","More")</f>
        <v>More</v>
      </c>
      <c r="P168" t="s">
        <v>44</v>
      </c>
      <c r="AI168" t="s">
        <v>66</v>
      </c>
      <c r="AJ168">
        <v>98125</v>
      </c>
      <c r="AS168" t="s">
        <v>1112</v>
      </c>
      <c r="AT168">
        <v>18343551</v>
      </c>
      <c r="AU168" s="12">
        <v>39495</v>
      </c>
      <c r="BB168" t="s">
        <v>911</v>
      </c>
      <c r="BC168" s="7">
        <v>39286</v>
      </c>
      <c r="BD168">
        <v>2</v>
      </c>
      <c r="BE168" s="6" t="s">
        <v>1317</v>
      </c>
      <c r="BG168">
        <v>209</v>
      </c>
      <c r="BH168" s="17">
        <f t="shared" ca="1" si="2"/>
        <v>263</v>
      </c>
      <c r="BI168" s="17"/>
      <c r="BJ168" s="17"/>
    </row>
    <row r="169" spans="1:63" hidden="1">
      <c r="A169">
        <v>27184907</v>
      </c>
      <c r="B169" s="2" t="str">
        <f>HYPERLINK("http://www.windermere.com/index.cfm?fuseaction=Listing.ListingDetail&amp;ListingID=18799514","Subject To Inspection")</f>
        <v>Subject To Inspection</v>
      </c>
      <c r="D169" t="s">
        <v>55</v>
      </c>
      <c r="E169" t="s">
        <v>617</v>
      </c>
      <c r="F169" s="10">
        <v>399000</v>
      </c>
      <c r="G169" t="s">
        <v>147</v>
      </c>
      <c r="H169" s="1">
        <v>1654</v>
      </c>
      <c r="J169">
        <v>3</v>
      </c>
      <c r="K169">
        <v>3.5</v>
      </c>
      <c r="M169" s="2" t="str">
        <f>HYPERLINK("http://www.windermere.com/index.cfm?fuseaction=Listing.MapPropertyInteractive&amp;ListingID=18799514&amp;resize=true&amp;windowWidth=800&amp;windowHeight=600","Map")</f>
        <v>Map</v>
      </c>
      <c r="O169" s="2" t="str">
        <f>HYPERLINK("http://www.windermere.com/index.cfm?fuseaction=viewGallery.Home&amp;customTourID=196827&amp;wvt=0","More")</f>
        <v>More</v>
      </c>
      <c r="P169" t="s">
        <v>44</v>
      </c>
      <c r="AI169" t="s">
        <v>66</v>
      </c>
      <c r="AJ169">
        <v>98133</v>
      </c>
      <c r="AS169" t="s">
        <v>618</v>
      </c>
      <c r="AT169">
        <v>18799514</v>
      </c>
      <c r="AU169" s="12">
        <v>39495</v>
      </c>
      <c r="BB169" t="s">
        <v>911</v>
      </c>
      <c r="BC169" s="7">
        <v>39367</v>
      </c>
      <c r="BG169">
        <v>128</v>
      </c>
      <c r="BH169" s="17">
        <f t="shared" ca="1" si="2"/>
        <v>182</v>
      </c>
      <c r="BI169" s="17"/>
      <c r="BJ169" s="17"/>
      <c r="BK169" t="str">
        <f>B169</f>
        <v>Subject To Inspection</v>
      </c>
    </row>
    <row r="170" spans="1:63" hidden="1">
      <c r="A170">
        <v>28018456</v>
      </c>
      <c r="B170" s="2" t="str">
        <f>HYPERLINK("http://www.windermere.com/index.cfm?fuseaction=Listing.ListingDetail&amp;ListingID=19302977","Active")</f>
        <v>Active</v>
      </c>
      <c r="D170" t="s">
        <v>919</v>
      </c>
      <c r="E170" t="s">
        <v>614</v>
      </c>
      <c r="F170" s="13">
        <v>389000</v>
      </c>
      <c r="G170" t="s">
        <v>529</v>
      </c>
      <c r="H170" s="1">
        <v>1260</v>
      </c>
      <c r="I170">
        <v>9500</v>
      </c>
      <c r="J170">
        <v>3</v>
      </c>
      <c r="K170">
        <v>2</v>
      </c>
      <c r="M170" s="2" t="str">
        <f>HYPERLINK("http://www.windermere.com/index.cfm?fuseaction=Listing.MapPropertyInteractive&amp;ListingID=19302977&amp;resize=true&amp;windowWidth=800&amp;windowHeight=600","Map")</f>
        <v>Map</v>
      </c>
      <c r="O170" s="2" t="str">
        <f>HYPERLINK("http://www.windermere.com/index.cfm?fuseaction=Listing.MultiImageViewer&amp;ListingID=19302977&amp;ln=28018456&amp;pub_mls=1","More")</f>
        <v>More</v>
      </c>
      <c r="AI170" t="s">
        <v>66</v>
      </c>
      <c r="AJ170">
        <v>98125</v>
      </c>
      <c r="AS170" t="s">
        <v>615</v>
      </c>
      <c r="AT170">
        <v>19302977</v>
      </c>
      <c r="AU170" s="12">
        <v>39495</v>
      </c>
      <c r="BB170" t="s">
        <v>911</v>
      </c>
      <c r="BC170" s="7">
        <v>39478</v>
      </c>
      <c r="BG170">
        <v>17</v>
      </c>
      <c r="BH170" s="17">
        <f t="shared" ca="1" si="2"/>
        <v>71</v>
      </c>
      <c r="BI170" s="17"/>
      <c r="BJ170" s="17"/>
    </row>
    <row r="171" spans="1:63" hidden="1">
      <c r="A171">
        <v>27163660</v>
      </c>
      <c r="B171" s="2" t="str">
        <f>HYPERLINK("http://www.windermere.com/index.cfm?fuseaction=Listing.ListingDetail&amp;ListingID=18577293","Subject To Inspection")</f>
        <v>Subject To Inspection</v>
      </c>
      <c r="D171" t="s">
        <v>919</v>
      </c>
      <c r="E171" t="s">
        <v>621</v>
      </c>
      <c r="F171" s="10">
        <v>399500</v>
      </c>
      <c r="G171" t="s">
        <v>622</v>
      </c>
      <c r="H171" s="1">
        <v>1155</v>
      </c>
      <c r="I171">
        <v>13000</v>
      </c>
      <c r="J171">
        <v>3</v>
      </c>
      <c r="K171">
        <v>1</v>
      </c>
      <c r="M171" s="2" t="str">
        <f>HYPERLINK("http://www.windermere.com/index.cfm?fuseaction=Listing.MapPropertyInteractive&amp;ListingID=18577293&amp;resize=true&amp;windowWidth=800&amp;windowHeight=600","Map")</f>
        <v>Map</v>
      </c>
      <c r="O171" s="2" t="str">
        <f>HYPERLINK("http://www.windermere.com/index.cfm?fuseaction=Listing.MultiImageViewer&amp;ListingID=18577293&amp;ln=27163660&amp;pub_mls=1","More")</f>
        <v>More</v>
      </c>
      <c r="AI171" t="s">
        <v>66</v>
      </c>
      <c r="AJ171">
        <v>98125</v>
      </c>
      <c r="AS171" t="s">
        <v>623</v>
      </c>
      <c r="AT171">
        <v>18577293</v>
      </c>
      <c r="AU171" s="12">
        <v>39495</v>
      </c>
      <c r="BB171" t="s">
        <v>911</v>
      </c>
      <c r="BC171" s="7">
        <v>39331</v>
      </c>
      <c r="BD171">
        <v>1</v>
      </c>
      <c r="BE171" s="6" t="s">
        <v>1328</v>
      </c>
      <c r="BG171">
        <v>164</v>
      </c>
      <c r="BH171" s="17">
        <f t="shared" ca="1" si="2"/>
        <v>218</v>
      </c>
      <c r="BI171" s="17"/>
      <c r="BJ171" s="17"/>
      <c r="BK171" t="str">
        <f>B171</f>
        <v>Subject To Inspection</v>
      </c>
    </row>
    <row r="172" spans="1:63" hidden="1">
      <c r="A172">
        <v>28011168</v>
      </c>
      <c r="B172" s="2" t="str">
        <f>HYPERLINK("http://www.windermere.com/index.cfm?fuseaction=Listing.ListingDetail&amp;ListingID=19243145","Active")</f>
        <v>Active</v>
      </c>
      <c r="D172" t="s">
        <v>66</v>
      </c>
      <c r="E172" t="s">
        <v>619</v>
      </c>
      <c r="F172" s="10">
        <v>399500</v>
      </c>
      <c r="G172" t="s">
        <v>171</v>
      </c>
      <c r="H172" s="1">
        <v>1290</v>
      </c>
      <c r="I172">
        <v>7202</v>
      </c>
      <c r="J172">
        <v>3</v>
      </c>
      <c r="K172">
        <v>2</v>
      </c>
      <c r="M172" s="2" t="str">
        <f>HYPERLINK("http://www.windermere.com/index.cfm?fuseaction=Listing.MapPropertyInteractive&amp;ListingID=19243145&amp;resize=true&amp;windowWidth=800&amp;windowHeight=600","Map")</f>
        <v>Map</v>
      </c>
      <c r="O172" s="2" t="str">
        <f>HYPERLINK("http://www.windermere.com/index.cfm?fuseaction=Listing.MultiImageViewer&amp;ListingID=19243145&amp;ln=28011168&amp;pub_mls=1","More")</f>
        <v>More</v>
      </c>
      <c r="P172" t="s">
        <v>44</v>
      </c>
      <c r="AI172" t="s">
        <v>66</v>
      </c>
      <c r="AJ172">
        <v>98133</v>
      </c>
      <c r="AS172" t="s">
        <v>620</v>
      </c>
      <c r="AT172">
        <v>19243145</v>
      </c>
      <c r="AU172" s="12">
        <v>39495</v>
      </c>
      <c r="BB172" t="s">
        <v>911</v>
      </c>
      <c r="BC172" t="s">
        <v>1412</v>
      </c>
      <c r="BD172">
        <v>1</v>
      </c>
      <c r="BG172">
        <v>0</v>
      </c>
      <c r="BH172" s="17" t="e">
        <f t="shared" ca="1" si="2"/>
        <v>#VALUE!</v>
      </c>
      <c r="BI172" s="17"/>
      <c r="BJ172" s="17"/>
    </row>
    <row r="173" spans="1:63" hidden="1">
      <c r="A173">
        <v>28017296</v>
      </c>
      <c r="B173" s="2" t="str">
        <f>HYPERLINK("http://www.windermere.com/index.cfm?fuseaction=Listing.ListingDetail&amp;ListingID=19330852","Subject To Inspection")</f>
        <v>Subject To Inspection</v>
      </c>
      <c r="D173" t="s">
        <v>626</v>
      </c>
      <c r="E173" t="s">
        <v>624</v>
      </c>
      <c r="F173" s="10">
        <v>399900</v>
      </c>
      <c r="G173" t="s">
        <v>130</v>
      </c>
      <c r="I173">
        <v>8100</v>
      </c>
      <c r="J173">
        <v>3</v>
      </c>
      <c r="K173">
        <v>1</v>
      </c>
      <c r="M173" s="2" t="str">
        <f>HYPERLINK("http://www.windermere.com/index.cfm?fuseaction=Listing.MapPropertyInteractive&amp;ListingID=19330852&amp;resize=true&amp;windowWidth=800&amp;windowHeight=600","Map")</f>
        <v>Map</v>
      </c>
      <c r="O173" s="2" t="str">
        <f>HYPERLINK("http://www.windermere.com/index.cfm?fuseaction=viewGallery.Home&amp;customTourID=206911&amp;wvt=0","More")</f>
        <v>More</v>
      </c>
      <c r="AI173" t="s">
        <v>66</v>
      </c>
      <c r="AJ173">
        <v>98177</v>
      </c>
      <c r="AS173" t="s">
        <v>625</v>
      </c>
      <c r="AT173">
        <v>19330852</v>
      </c>
      <c r="AU173" s="12">
        <v>39495</v>
      </c>
      <c r="BB173" t="s">
        <v>911</v>
      </c>
      <c r="BC173" s="7">
        <v>39484</v>
      </c>
      <c r="BG173">
        <v>11</v>
      </c>
      <c r="BH173" s="17">
        <f t="shared" ca="1" si="2"/>
        <v>65</v>
      </c>
      <c r="BI173" s="17"/>
      <c r="BJ173" s="17"/>
      <c r="BK173" t="str">
        <f>B173</f>
        <v>Subject To Inspection</v>
      </c>
    </row>
    <row r="174" spans="1:63" hidden="1">
      <c r="A174">
        <v>27159884</v>
      </c>
      <c r="B174" s="2" t="str">
        <f>HYPERLINK("http://www.windermere.com/index.cfm?fuseaction=Listing.ListingDetail&amp;ListingID=19060033","Subject To Inspection")</f>
        <v>Subject To Inspection</v>
      </c>
      <c r="D174" t="s">
        <v>55</v>
      </c>
      <c r="E174" t="s">
        <v>647</v>
      </c>
      <c r="F174" s="10">
        <v>399950</v>
      </c>
      <c r="G174" t="s">
        <v>147</v>
      </c>
      <c r="J174">
        <v>3</v>
      </c>
      <c r="K174">
        <v>2.5</v>
      </c>
      <c r="M174" s="2" t="str">
        <f>HYPERLINK("http://www.windermere.com/index.cfm?fuseaction=Listing.MapPropertyInteractive&amp;ListingID=19060033&amp;resize=true&amp;windowWidth=800&amp;windowHeight=600","Map")</f>
        <v>Map</v>
      </c>
      <c r="O174" s="2" t="str">
        <f>HYPERLINK("http://www.windermere.com/index.cfm?fuseaction=Listing.MultiImageViewer&amp;ListingID=19060033&amp;ln=27159884&amp;pub_mls=1","More")</f>
        <v>More</v>
      </c>
      <c r="P174" t="s">
        <v>44</v>
      </c>
      <c r="AI174" t="s">
        <v>66</v>
      </c>
      <c r="AJ174">
        <v>98103</v>
      </c>
      <c r="AS174" t="s">
        <v>648</v>
      </c>
      <c r="AT174">
        <v>19060033</v>
      </c>
      <c r="AU174" s="12">
        <v>39495</v>
      </c>
      <c r="BB174" t="s">
        <v>911</v>
      </c>
      <c r="BC174" s="7">
        <v>39325</v>
      </c>
      <c r="BD174">
        <v>3</v>
      </c>
      <c r="BE174" s="6" t="s">
        <v>1324</v>
      </c>
      <c r="BG174">
        <v>170</v>
      </c>
      <c r="BH174" s="17">
        <f t="shared" ca="1" si="2"/>
        <v>224</v>
      </c>
      <c r="BI174" s="17"/>
      <c r="BJ174" s="17"/>
      <c r="BK174" t="str">
        <f>B174</f>
        <v>Subject To Inspection</v>
      </c>
    </row>
    <row r="175" spans="1:63" hidden="1">
      <c r="A175">
        <v>27172694</v>
      </c>
      <c r="B175" s="2" t="str">
        <f>HYPERLINK("http://www.windermere.com/index.cfm?fuseaction=Listing.ListingDetail&amp;ListingID=18672447","Active")</f>
        <v>Active</v>
      </c>
      <c r="D175" t="s">
        <v>100</v>
      </c>
      <c r="E175" t="s">
        <v>629</v>
      </c>
      <c r="F175" s="13">
        <v>375000</v>
      </c>
      <c r="G175" t="s">
        <v>147</v>
      </c>
      <c r="H175" s="1">
        <v>1165</v>
      </c>
      <c r="J175">
        <v>2</v>
      </c>
      <c r="K175">
        <v>1.75</v>
      </c>
      <c r="M175" s="2" t="str">
        <f>HYPERLINK("http://www.windermere.com/index.cfm?fuseaction=Listing.MapPropertyInteractive&amp;ListingID=18672447&amp;resize=true&amp;windowWidth=800&amp;windowHeight=600","Map")</f>
        <v>Map</v>
      </c>
      <c r="O175" s="2" t="str">
        <f>HYPERLINK("http://www.windermere.com/index.cfm?fuseaction=Listing.MultiImageViewer&amp;ListingID=18672447&amp;ln=27172694&amp;pub_mls=1","More")</f>
        <v>More</v>
      </c>
      <c r="P175" t="s">
        <v>44</v>
      </c>
      <c r="AI175" t="s">
        <v>66</v>
      </c>
      <c r="AJ175">
        <v>98103</v>
      </c>
      <c r="AS175" t="s">
        <v>630</v>
      </c>
      <c r="AT175">
        <v>18672447</v>
      </c>
      <c r="AU175" s="12">
        <v>39495</v>
      </c>
      <c r="BB175" t="s">
        <v>911</v>
      </c>
      <c r="BC175" s="7">
        <v>39345</v>
      </c>
      <c r="BG175">
        <v>150</v>
      </c>
      <c r="BH175" s="17">
        <f t="shared" ca="1" si="2"/>
        <v>204</v>
      </c>
      <c r="BI175" s="17"/>
      <c r="BJ175" s="17"/>
    </row>
    <row r="176" spans="1:63" hidden="1">
      <c r="A176">
        <v>27172700</v>
      </c>
      <c r="B176" s="2" t="str">
        <f>HYPERLINK("http://www.windermere.com/index.cfm?fuseaction=Listing.ListingDetail&amp;ListingID=18672543","Active")</f>
        <v>Active</v>
      </c>
      <c r="D176" t="s">
        <v>100</v>
      </c>
      <c r="E176" t="s">
        <v>631</v>
      </c>
      <c r="F176" s="13">
        <v>375000</v>
      </c>
      <c r="G176" t="s">
        <v>147</v>
      </c>
      <c r="H176" s="1">
        <v>1165</v>
      </c>
      <c r="J176">
        <v>2</v>
      </c>
      <c r="K176">
        <v>1.75</v>
      </c>
      <c r="M176" s="2" t="str">
        <f>HYPERLINK("http://www.windermere.com/index.cfm?fuseaction=Listing.MapPropertyInteractive&amp;ListingID=18672543&amp;resize=true&amp;windowWidth=800&amp;windowHeight=600","Map")</f>
        <v>Map</v>
      </c>
      <c r="O176" s="2" t="str">
        <f>HYPERLINK("http://www.windermere.com/index.cfm?fuseaction=Listing.MultiImageViewer&amp;ListingID=18672543&amp;ln=27172700&amp;pub_mls=1","More")</f>
        <v>More</v>
      </c>
      <c r="P176" t="s">
        <v>44</v>
      </c>
      <c r="AI176" t="s">
        <v>66</v>
      </c>
      <c r="AJ176">
        <v>98103</v>
      </c>
      <c r="AS176" t="s">
        <v>632</v>
      </c>
      <c r="AT176">
        <v>18672543</v>
      </c>
      <c r="AU176" s="12">
        <v>39495</v>
      </c>
      <c r="BB176" t="s">
        <v>911</v>
      </c>
      <c r="BC176" s="7">
        <v>39345</v>
      </c>
      <c r="BG176">
        <v>150</v>
      </c>
      <c r="BH176" s="17">
        <f t="shared" ca="1" si="2"/>
        <v>204</v>
      </c>
      <c r="BI176" s="17"/>
      <c r="BJ176" s="17"/>
    </row>
    <row r="177" spans="1:63" hidden="1">
      <c r="A177">
        <v>27211153</v>
      </c>
      <c r="B177" s="2" t="str">
        <f>HYPERLINK("http://www.windermere.com/index.cfm?fuseaction=Listing.ListingDetail&amp;ListingID=19074895","Active")</f>
        <v>Active</v>
      </c>
      <c r="D177" t="s">
        <v>218</v>
      </c>
      <c r="E177" t="s">
        <v>639</v>
      </c>
      <c r="F177" s="10">
        <v>399950</v>
      </c>
      <c r="G177" t="s">
        <v>640</v>
      </c>
      <c r="H177" s="1">
        <v>1520</v>
      </c>
      <c r="J177">
        <v>3</v>
      </c>
      <c r="K177">
        <v>1.5</v>
      </c>
      <c r="M177" s="2" t="str">
        <f>HYPERLINK("http://www.windermere.com/index.cfm?fuseaction=Listing.MapPropertyInteractive&amp;ListingID=19074895&amp;resize=true&amp;windowWidth=800&amp;windowHeight=600","Map")</f>
        <v>Map</v>
      </c>
      <c r="O177" s="2" t="str">
        <f>HYPERLINK("http://www.windermere.com/index.cfm?fuseaction=Listing.MultiImageViewer&amp;ListingID=19074895&amp;ln=27211153&amp;pub_mls=1","More")</f>
        <v>More</v>
      </c>
      <c r="P177" t="s">
        <v>44</v>
      </c>
      <c r="AI177" t="s">
        <v>66</v>
      </c>
      <c r="AJ177">
        <v>98115</v>
      </c>
      <c r="AS177" t="s">
        <v>641</v>
      </c>
      <c r="AT177">
        <v>19074895</v>
      </c>
      <c r="AU177" s="12">
        <v>39495</v>
      </c>
      <c r="BB177" t="s">
        <v>911</v>
      </c>
      <c r="BC177" s="7">
        <v>39426</v>
      </c>
      <c r="BG177">
        <v>69</v>
      </c>
      <c r="BH177" s="17">
        <f t="shared" ca="1" si="2"/>
        <v>123</v>
      </c>
      <c r="BI177" s="17"/>
      <c r="BJ177" s="17"/>
    </row>
    <row r="178" spans="1:63" hidden="1">
      <c r="A178">
        <v>27212459</v>
      </c>
      <c r="B178" s="2" t="str">
        <f>HYPERLINK("http://www.windermere.com/index.cfm?fuseaction=Listing.ListingDetail&amp;ListingID=19088653","Active")</f>
        <v>Active</v>
      </c>
      <c r="D178" t="s">
        <v>100</v>
      </c>
      <c r="E178" t="s">
        <v>633</v>
      </c>
      <c r="F178" s="10">
        <v>399950</v>
      </c>
      <c r="G178" t="s">
        <v>147</v>
      </c>
      <c r="J178">
        <v>2</v>
      </c>
      <c r="K178">
        <v>1.5</v>
      </c>
      <c r="M178" s="2" t="str">
        <f>HYPERLINK("http://www.windermere.com/index.cfm?fuseaction=Listing.MapPropertyInteractive&amp;ListingID=19088653&amp;resize=true&amp;windowWidth=800&amp;windowHeight=600","Map")</f>
        <v>Map</v>
      </c>
      <c r="O178" s="2" t="str">
        <f>HYPERLINK("http://www.windermere.com/index.cfm?fuseaction=Listing.MultiImageViewer&amp;ListingID=19088653&amp;ln=27212459&amp;pub_mls=1","More")</f>
        <v>More</v>
      </c>
      <c r="AI178" t="s">
        <v>66</v>
      </c>
      <c r="AJ178">
        <v>98103</v>
      </c>
      <c r="AS178" t="s">
        <v>634</v>
      </c>
      <c r="AT178">
        <v>19088653</v>
      </c>
      <c r="AU178" s="12">
        <v>39495</v>
      </c>
      <c r="BB178" t="s">
        <v>911</v>
      </c>
      <c r="BC178" s="7">
        <v>39428</v>
      </c>
      <c r="BG178">
        <v>67</v>
      </c>
      <c r="BH178" s="17">
        <f t="shared" ca="1" si="2"/>
        <v>121</v>
      </c>
      <c r="BI178" s="17"/>
      <c r="BJ178" s="17"/>
    </row>
    <row r="179" spans="1:63" hidden="1">
      <c r="A179">
        <v>28005258</v>
      </c>
      <c r="B179" s="2" t="str">
        <f>HYPERLINK("http://www.windermere.com/index.cfm?fuseaction=Listing.ListingDetail&amp;ListingID=19190230","Active")</f>
        <v>Active</v>
      </c>
      <c r="D179" t="s">
        <v>55</v>
      </c>
      <c r="E179" t="s">
        <v>645</v>
      </c>
      <c r="F179" s="10">
        <v>399950</v>
      </c>
      <c r="G179" t="s">
        <v>146</v>
      </c>
      <c r="H179" s="1">
        <v>1650</v>
      </c>
      <c r="I179">
        <v>5528</v>
      </c>
      <c r="J179">
        <v>3</v>
      </c>
      <c r="K179">
        <v>1</v>
      </c>
      <c r="M179" s="2" t="str">
        <f>HYPERLINK("http://www.windermere.com/index.cfm?fuseaction=Listing.MapPropertyInteractive&amp;ListingID=19190230&amp;resize=true&amp;windowWidth=800&amp;windowHeight=600","Map")</f>
        <v>Map</v>
      </c>
      <c r="O179" s="2" t="str">
        <f>HYPERLINK("http://www.windermere.com/index.cfm?fuseaction=Listing.MultiImageViewer&amp;ListingID=19190230&amp;ln=28005258&amp;pub_mls=1","More")</f>
        <v>More</v>
      </c>
      <c r="AI179" t="s">
        <v>66</v>
      </c>
      <c r="AJ179">
        <v>98177</v>
      </c>
      <c r="AS179" t="s">
        <v>646</v>
      </c>
      <c r="AT179">
        <v>19190230</v>
      </c>
      <c r="AU179" s="12">
        <v>39495</v>
      </c>
      <c r="BB179" t="s">
        <v>911</v>
      </c>
      <c r="BC179" s="7">
        <v>39456</v>
      </c>
      <c r="BG179">
        <v>39</v>
      </c>
      <c r="BH179" s="17">
        <f t="shared" ca="1" si="2"/>
        <v>93</v>
      </c>
      <c r="BI179" s="17"/>
      <c r="BJ179" s="17"/>
    </row>
    <row r="180" spans="1:63" hidden="1">
      <c r="A180">
        <v>28011718</v>
      </c>
      <c r="B180" s="2" t="str">
        <f>HYPERLINK("http://www.windermere.com/index.cfm?fuseaction=Listing.ListingDetail&amp;ListingID=19252030","Active")</f>
        <v>Active</v>
      </c>
      <c r="D180" t="s">
        <v>192</v>
      </c>
      <c r="E180" t="s">
        <v>649</v>
      </c>
      <c r="F180" s="10">
        <v>399950</v>
      </c>
      <c r="G180" t="s">
        <v>137</v>
      </c>
      <c r="H180" s="1">
        <v>2210</v>
      </c>
      <c r="I180">
        <v>8560</v>
      </c>
      <c r="J180">
        <v>3</v>
      </c>
      <c r="K180">
        <v>1.75</v>
      </c>
      <c r="M180" s="2" t="str">
        <f>HYPERLINK("http://www.windermere.com/index.cfm?fuseaction=Listing.MapPropertyInteractive&amp;ListingID=19252030&amp;resize=true&amp;windowWidth=800&amp;windowHeight=600","Map")</f>
        <v>Map</v>
      </c>
      <c r="O180" s="2" t="str">
        <f>HYPERLINK("http://www.windermere.com/index.cfm?fuseaction=viewGallery.Home&amp;customTourID=204985&amp;wvt=0","More")</f>
        <v>More</v>
      </c>
      <c r="P180" t="s">
        <v>44</v>
      </c>
      <c r="AI180" t="s">
        <v>66</v>
      </c>
      <c r="AJ180">
        <v>98115</v>
      </c>
      <c r="AS180" t="s">
        <v>650</v>
      </c>
      <c r="AT180">
        <v>19252030</v>
      </c>
      <c r="AU180" s="12">
        <v>39495</v>
      </c>
      <c r="BB180" t="s">
        <v>911</v>
      </c>
      <c r="BC180" s="7">
        <v>39466</v>
      </c>
      <c r="BG180">
        <v>29</v>
      </c>
      <c r="BH180" s="17">
        <f t="shared" ca="1" si="2"/>
        <v>83</v>
      </c>
      <c r="BI180" s="17"/>
      <c r="BJ180" s="17"/>
    </row>
    <row r="181" spans="1:63" hidden="1">
      <c r="A181">
        <v>28014797</v>
      </c>
      <c r="B181" s="2" t="str">
        <f>HYPERLINK("http://www.windermere.com/index.cfm?fuseaction=Listing.ListingDetail&amp;ListingID=19283285","Subject To Inspection")</f>
        <v>Subject To Inspection</v>
      </c>
      <c r="D181" t="s">
        <v>55</v>
      </c>
      <c r="E181" t="s">
        <v>642</v>
      </c>
      <c r="F181" s="10">
        <v>399950</v>
      </c>
      <c r="G181" t="s">
        <v>643</v>
      </c>
      <c r="H181" s="1">
        <v>1870</v>
      </c>
      <c r="I181">
        <v>3396</v>
      </c>
      <c r="J181">
        <v>4</v>
      </c>
      <c r="K181">
        <v>2.75</v>
      </c>
      <c r="M181" s="2" t="str">
        <f>HYPERLINK("http://www.windermere.com/index.cfm?fuseaction=Listing.MapPropertyInteractive&amp;ListingID=19283285&amp;resize=true&amp;windowWidth=800&amp;windowHeight=600","Map")</f>
        <v>Map</v>
      </c>
      <c r="O181" s="2" t="str">
        <f>HYPERLINK("http://www.windermere.com/index.cfm?fuseaction=Listing.MultiImageViewer&amp;ListingID=19283285&amp;ln=28014797&amp;pub_mls=1","More")</f>
        <v>More</v>
      </c>
      <c r="P181" t="s">
        <v>44</v>
      </c>
      <c r="AI181" t="s">
        <v>66</v>
      </c>
      <c r="AJ181">
        <v>98133</v>
      </c>
      <c r="AS181" t="s">
        <v>644</v>
      </c>
      <c r="AT181">
        <v>19283285</v>
      </c>
      <c r="AU181" s="12">
        <v>39495</v>
      </c>
      <c r="BB181" t="s">
        <v>911</v>
      </c>
      <c r="BC181" s="7">
        <v>39473</v>
      </c>
      <c r="BG181">
        <v>22</v>
      </c>
      <c r="BH181" s="17">
        <f t="shared" ca="1" si="2"/>
        <v>76</v>
      </c>
      <c r="BI181" s="17"/>
      <c r="BJ181" s="17"/>
      <c r="BK181" t="str">
        <f>B181</f>
        <v>Subject To Inspection</v>
      </c>
    </row>
    <row r="182" spans="1:63" hidden="1">
      <c r="A182">
        <v>28016312</v>
      </c>
      <c r="B182" s="2" t="str">
        <f>HYPERLINK("http://www.windermere.com/index.cfm?fuseaction=Listing.ListingDetail&amp;ListingID=19285694","Subject To Inspection")</f>
        <v>Subject To Inspection</v>
      </c>
      <c r="D182" t="s">
        <v>184</v>
      </c>
      <c r="E182" t="s">
        <v>627</v>
      </c>
      <c r="F182" s="10">
        <v>399950</v>
      </c>
      <c r="G182" t="s">
        <v>147</v>
      </c>
      <c r="H182" s="1">
        <v>1860</v>
      </c>
      <c r="J182">
        <v>3</v>
      </c>
      <c r="K182">
        <v>2.5</v>
      </c>
      <c r="M182" s="2" t="str">
        <f>HYPERLINK("http://www.windermere.com/index.cfm?fuseaction=Listing.MapPropertyInteractive&amp;ListingID=19285694&amp;resize=true&amp;windowWidth=800&amp;windowHeight=600","Map")</f>
        <v>Map</v>
      </c>
      <c r="O182" s="2" t="str">
        <f>HYPERLINK("http://www.windermere.com/index.cfm?fuseaction=viewGallery.Home&amp;customTourID=191417&amp;wvt=0","More")</f>
        <v>More</v>
      </c>
      <c r="AI182" t="s">
        <v>66</v>
      </c>
      <c r="AJ182">
        <v>98125</v>
      </c>
      <c r="AS182" t="s">
        <v>628</v>
      </c>
      <c r="AT182">
        <v>19285694</v>
      </c>
      <c r="AU182" s="12">
        <v>39495</v>
      </c>
      <c r="BB182" t="s">
        <v>911</v>
      </c>
      <c r="BC182" s="7">
        <v>39474</v>
      </c>
      <c r="BG182">
        <v>21</v>
      </c>
      <c r="BH182" s="17">
        <f t="shared" ca="1" si="2"/>
        <v>75</v>
      </c>
      <c r="BI182" s="17"/>
      <c r="BJ182" s="17"/>
      <c r="BK182" t="str">
        <f>B182</f>
        <v>Subject To Inspection</v>
      </c>
    </row>
    <row r="183" spans="1:63" hidden="1">
      <c r="A183">
        <v>28023200</v>
      </c>
      <c r="B183" s="2" t="str">
        <f>HYPERLINK("http://www.windermere.com/index.cfm?fuseaction=Listing.ListingDetail&amp;ListingID=19338013","Active")</f>
        <v>Active</v>
      </c>
      <c r="D183" t="s">
        <v>63</v>
      </c>
      <c r="E183" t="s">
        <v>635</v>
      </c>
      <c r="F183" s="10">
        <v>399950</v>
      </c>
      <c r="G183" t="s">
        <v>246</v>
      </c>
      <c r="H183" s="1">
        <v>1250</v>
      </c>
      <c r="J183">
        <v>2</v>
      </c>
      <c r="K183">
        <v>2.5</v>
      </c>
      <c r="M183" s="2" t="str">
        <f>HYPERLINK("http://www.windermere.com/index.cfm?fuseaction=Listing.MapPropertyInteractive&amp;ListingID=19338013&amp;resize=true&amp;windowWidth=800&amp;windowHeight=600","Map")</f>
        <v>Map</v>
      </c>
      <c r="O183" s="2" t="str">
        <f>HYPERLINK("http://www.windermere.com/index.cfm?fuseaction=Listing.MultiImageViewer&amp;ListingID=19338013&amp;ln=28023200&amp;pub_mls=1","More")</f>
        <v>More</v>
      </c>
      <c r="P183" t="s">
        <v>44</v>
      </c>
      <c r="AI183" t="s">
        <v>66</v>
      </c>
      <c r="AJ183">
        <v>98107</v>
      </c>
      <c r="AS183" t="s">
        <v>636</v>
      </c>
      <c r="AT183">
        <v>19338013</v>
      </c>
      <c r="AU183" s="12">
        <v>39495</v>
      </c>
      <c r="BB183" t="s">
        <v>911</v>
      </c>
      <c r="BC183" s="7">
        <v>39485</v>
      </c>
      <c r="BG183">
        <v>10</v>
      </c>
      <c r="BH183" s="17">
        <f t="shared" ca="1" si="2"/>
        <v>64</v>
      </c>
      <c r="BI183" s="17"/>
      <c r="BJ183" s="17"/>
    </row>
    <row r="184" spans="1:63" hidden="1">
      <c r="A184">
        <v>28024806</v>
      </c>
      <c r="B184" s="2" t="str">
        <f>HYPERLINK("http://www.windermere.com/index.cfm?fuseaction=Listing.ListingDetail&amp;ListingID=19350453","Subject To Inspection")</f>
        <v>Subject To Inspection</v>
      </c>
      <c r="D184" t="s">
        <v>60</v>
      </c>
      <c r="E184" t="s">
        <v>637</v>
      </c>
      <c r="F184" s="10">
        <v>399950</v>
      </c>
      <c r="G184" t="s">
        <v>393</v>
      </c>
      <c r="H184" s="1">
        <v>2160</v>
      </c>
      <c r="J184">
        <v>3</v>
      </c>
      <c r="K184">
        <v>1</v>
      </c>
      <c r="M184" s="2" t="str">
        <f>HYPERLINK("http://www.windermere.com/index.cfm?fuseaction=Listing.MapPropertyInteractive&amp;ListingID=19350453&amp;resize=true&amp;windowWidth=800&amp;windowHeight=600","Map")</f>
        <v>Map</v>
      </c>
      <c r="P184" t="s">
        <v>44</v>
      </c>
      <c r="AI184" t="s">
        <v>66</v>
      </c>
      <c r="AJ184">
        <v>98105</v>
      </c>
      <c r="AS184" t="s">
        <v>638</v>
      </c>
      <c r="AT184">
        <v>19350453</v>
      </c>
      <c r="AU184" s="12">
        <v>39495</v>
      </c>
      <c r="BB184" t="s">
        <v>911</v>
      </c>
      <c r="BC184" s="7">
        <v>39489</v>
      </c>
      <c r="BG184">
        <v>6</v>
      </c>
      <c r="BH184" s="17">
        <f t="shared" ca="1" si="2"/>
        <v>60</v>
      </c>
      <c r="BI184" s="17"/>
      <c r="BJ184" s="17"/>
      <c r="BK184" t="str">
        <f>B184</f>
        <v>Subject To Inspection</v>
      </c>
    </row>
    <row r="185" spans="1:63" hidden="1">
      <c r="A185">
        <v>27173156</v>
      </c>
      <c r="B185" s="2" t="str">
        <f>HYPERLINK("http://www.windermere.com/index.cfm?fuseaction=Listing.ListingDetail&amp;ListingID=19104551","Active")</f>
        <v>Active</v>
      </c>
      <c r="D185" t="s">
        <v>184</v>
      </c>
      <c r="E185" t="s">
        <v>651</v>
      </c>
      <c r="F185" s="10">
        <v>399975</v>
      </c>
      <c r="G185" t="s">
        <v>652</v>
      </c>
      <c r="H185" s="1">
        <v>2012</v>
      </c>
      <c r="I185">
        <v>8160</v>
      </c>
      <c r="J185">
        <v>4</v>
      </c>
      <c r="K185">
        <v>1.5</v>
      </c>
      <c r="M185" s="2" t="str">
        <f>HYPERLINK("http://www.windermere.com/index.cfm?fuseaction=Listing.MapPropertyInteractive&amp;ListingID=19104551&amp;resize=true&amp;windowWidth=800&amp;windowHeight=600","Map")</f>
        <v>Map</v>
      </c>
      <c r="O185" s="2" t="str">
        <f>HYPERLINK("http://www.windermere.com/index.cfm?fuseaction=Listing.MultiImageViewer&amp;ListingID=19104551&amp;ln=27173156&amp;pub_mls=1","More")</f>
        <v>More</v>
      </c>
      <c r="AI185" t="s">
        <v>66</v>
      </c>
      <c r="AJ185">
        <v>98125</v>
      </c>
      <c r="AS185" t="s">
        <v>653</v>
      </c>
      <c r="AT185">
        <v>19104551</v>
      </c>
      <c r="AU185" s="12">
        <v>39495</v>
      </c>
      <c r="BB185" t="s">
        <v>911</v>
      </c>
      <c r="BC185" s="7">
        <v>39346</v>
      </c>
      <c r="BG185">
        <v>149</v>
      </c>
      <c r="BH185" s="17">
        <f t="shared" ca="1" si="2"/>
        <v>203</v>
      </c>
      <c r="BI185" s="17"/>
      <c r="BJ185" s="17"/>
    </row>
    <row r="186" spans="1:63" hidden="1">
      <c r="A186">
        <v>27167243</v>
      </c>
      <c r="B186" s="2" t="str">
        <f>HYPERLINK("http://www.windermere.com/index.cfm?fuseaction=Listing.ListingDetail&amp;ListingID=18621558","Active")</f>
        <v>Active</v>
      </c>
      <c r="D186" t="s">
        <v>63</v>
      </c>
      <c r="E186" t="s">
        <v>654</v>
      </c>
      <c r="F186" s="10">
        <v>399990</v>
      </c>
      <c r="G186" t="s">
        <v>147</v>
      </c>
      <c r="H186" s="1">
        <v>1349</v>
      </c>
      <c r="J186">
        <v>2</v>
      </c>
      <c r="K186">
        <v>2.5</v>
      </c>
      <c r="M186" s="2" t="str">
        <f>HYPERLINK("http://www.windermere.com/index.cfm?fuseaction=Listing.MapPropertyInteractive&amp;ListingID=18621558&amp;resize=true&amp;windowWidth=800&amp;windowHeight=600","Map")</f>
        <v>Map</v>
      </c>
      <c r="O186" s="2" t="str">
        <f>HYPERLINK("http://www.windermere.com/index.cfm?fuseaction=Listing.MultiImageViewer&amp;ListingID=18621558&amp;ln=27167243&amp;pub_mls=1","More")</f>
        <v>More</v>
      </c>
      <c r="AI186" t="s">
        <v>66</v>
      </c>
      <c r="AJ186">
        <v>98107</v>
      </c>
      <c r="AS186" t="s">
        <v>655</v>
      </c>
      <c r="AT186">
        <v>18621558</v>
      </c>
      <c r="AU186" s="12">
        <v>39495</v>
      </c>
      <c r="BB186" t="s">
        <v>911</v>
      </c>
      <c r="BC186" s="7">
        <v>39337</v>
      </c>
      <c r="BG186">
        <v>158</v>
      </c>
      <c r="BH186" s="17">
        <f t="shared" ca="1" si="2"/>
        <v>212</v>
      </c>
      <c r="BI186" s="17"/>
      <c r="BJ186" s="17"/>
    </row>
    <row r="187" spans="1:63" hidden="1">
      <c r="A187">
        <v>27100755</v>
      </c>
      <c r="B187" s="2" t="str">
        <f>HYPERLINK("http://www.windermere.com/index.cfm?fuseaction=Listing.ListingDetail&amp;ListingID=18039221","")</f>
        <v/>
      </c>
      <c r="D187" t="s">
        <v>1115</v>
      </c>
      <c r="E187" t="s">
        <v>1116</v>
      </c>
      <c r="F187" s="10">
        <v>399999</v>
      </c>
      <c r="G187" t="s">
        <v>176</v>
      </c>
      <c r="I187">
        <v>6052</v>
      </c>
      <c r="J187">
        <v>2</v>
      </c>
      <c r="K187">
        <v>1</v>
      </c>
      <c r="M187" s="2" t="str">
        <f>HYPERLINK("http://www.windermere.com/index.cfm?fuseaction=Listing.MapPropertyInteractive&amp;ListingID=18039221&amp;resize=true&amp;windowWidth=800&amp;windowHeight=600","Map")</f>
        <v>Map</v>
      </c>
      <c r="O187" s="2" t="str">
        <f>HYPERLINK("http://www.windermere.com/index.cfm?fuseaction=Listing.MultiImageViewer&amp;ListingID=18039221&amp;ln=27100755&amp;pub_mls=1","More")</f>
        <v>More</v>
      </c>
      <c r="AI187" t="s">
        <v>66</v>
      </c>
      <c r="AJ187">
        <v>98115</v>
      </c>
      <c r="AS187" t="s">
        <v>1117</v>
      </c>
      <c r="AT187">
        <v>18039221</v>
      </c>
      <c r="AU187" s="12">
        <v>39495</v>
      </c>
      <c r="BB187" t="s">
        <v>911</v>
      </c>
      <c r="BC187" t="s">
        <v>1412</v>
      </c>
      <c r="BD187">
        <v>1</v>
      </c>
      <c r="BG187">
        <v>0</v>
      </c>
      <c r="BH187" s="17" t="e">
        <f t="shared" ca="1" si="2"/>
        <v>#VALUE!</v>
      </c>
      <c r="BI187" s="17"/>
      <c r="BJ187" s="17"/>
      <c r="BK187" t="str">
        <f>B187</f>
        <v/>
      </c>
    </row>
    <row r="188" spans="1:63" hidden="1">
      <c r="A188">
        <v>28015518</v>
      </c>
      <c r="B188" s="2" t="str">
        <f>HYPERLINK("http://www.windermere.com/index.cfm?fuseaction=Listing.ListingDetail&amp;ListingID=19278247","Subject To Inspection")</f>
        <v>Subject To Inspection</v>
      </c>
      <c r="D188" t="s">
        <v>194</v>
      </c>
      <c r="E188" t="s">
        <v>1113</v>
      </c>
      <c r="F188" s="10">
        <v>399999</v>
      </c>
      <c r="G188" t="s">
        <v>125</v>
      </c>
      <c r="H188" s="1">
        <v>1020</v>
      </c>
      <c r="I188">
        <v>6000</v>
      </c>
      <c r="J188">
        <v>2</v>
      </c>
      <c r="K188">
        <v>1</v>
      </c>
      <c r="M188" s="2" t="str">
        <f>HYPERLINK("http://www.windermere.com/index.cfm?fuseaction=Listing.MapPropertyInteractive&amp;ListingID=19278247&amp;resize=true&amp;windowWidth=800&amp;windowHeight=600","Map")</f>
        <v>Map</v>
      </c>
      <c r="O188" s="2" t="str">
        <f>HYPERLINK("http://www.windermere.com/index.cfm?fuseaction=Listing.MultiImageViewer&amp;ListingID=19278247&amp;ln=28015518&amp;pub_mls=1","More")</f>
        <v>More</v>
      </c>
      <c r="P188" t="s">
        <v>44</v>
      </c>
      <c r="AI188" t="s">
        <v>66</v>
      </c>
      <c r="AJ188">
        <v>98115</v>
      </c>
      <c r="AS188" t="s">
        <v>1114</v>
      </c>
      <c r="AT188">
        <v>19278247</v>
      </c>
      <c r="AU188" s="12">
        <v>39495</v>
      </c>
      <c r="BB188" t="s">
        <v>911</v>
      </c>
      <c r="BC188" s="7">
        <v>39472</v>
      </c>
      <c r="BG188">
        <v>23</v>
      </c>
      <c r="BH188" s="17">
        <f t="shared" ca="1" si="2"/>
        <v>77</v>
      </c>
      <c r="BI188" s="17"/>
      <c r="BJ188" s="17"/>
      <c r="BK188" t="str">
        <f>B188</f>
        <v>Subject To Inspection</v>
      </c>
    </row>
    <row r="189" spans="1:63" hidden="1">
      <c r="A189">
        <v>28018523</v>
      </c>
      <c r="B189" s="2" t="str">
        <f>HYPERLINK("http://www.windermere.com/index.cfm?fuseaction=Listing.ListingDetail&amp;ListingID=19303929","Active")</f>
        <v>Active</v>
      </c>
      <c r="D189" t="s">
        <v>919</v>
      </c>
      <c r="E189" t="s">
        <v>664</v>
      </c>
      <c r="F189" s="13">
        <v>350000</v>
      </c>
      <c r="G189" t="s">
        <v>616</v>
      </c>
      <c r="H189" s="1">
        <v>2440</v>
      </c>
      <c r="I189">
        <v>7395</v>
      </c>
      <c r="J189">
        <v>4</v>
      </c>
      <c r="K189">
        <v>2.25</v>
      </c>
      <c r="M189" s="2" t="str">
        <f>HYPERLINK("http://www.windermere.com/index.cfm?fuseaction=Listing.MapPropertyInteractive&amp;ListingID=19303929&amp;resize=true&amp;windowWidth=800&amp;windowHeight=600","Map")</f>
        <v>Map</v>
      </c>
      <c r="O189" s="2" t="str">
        <f>HYPERLINK("http://www.windermere.com/index.cfm?fuseaction=Listing.MultiImageViewer&amp;ListingID=19303929&amp;ln=28018523&amp;pub_mls=1","More")</f>
        <v>More</v>
      </c>
      <c r="P189" t="s">
        <v>44</v>
      </c>
      <c r="AI189" t="s">
        <v>66</v>
      </c>
      <c r="AJ189">
        <v>98133</v>
      </c>
      <c r="AS189" t="s">
        <v>665</v>
      </c>
      <c r="AT189">
        <v>19303929</v>
      </c>
      <c r="AU189" s="12">
        <v>39495</v>
      </c>
      <c r="BB189" t="s">
        <v>911</v>
      </c>
      <c r="BC189" s="7">
        <v>39478</v>
      </c>
      <c r="BG189">
        <v>17</v>
      </c>
      <c r="BH189" s="17">
        <f t="shared" ca="1" si="2"/>
        <v>71</v>
      </c>
      <c r="BI189" s="17"/>
      <c r="BJ189" s="17"/>
    </row>
    <row r="190" spans="1:63" hidden="1">
      <c r="A190">
        <v>28021013</v>
      </c>
      <c r="B190" s="2" t="str">
        <f>HYPERLINK("http://www.windermere.com/index.cfm?fuseaction=Listing.ListingDetail&amp;ListingID=19326790","Active")</f>
        <v>Active</v>
      </c>
      <c r="C190">
        <v>705</v>
      </c>
      <c r="D190" t="s">
        <v>63</v>
      </c>
      <c r="E190" t="s">
        <v>234</v>
      </c>
      <c r="F190" s="10">
        <v>400000</v>
      </c>
      <c r="G190" t="s">
        <v>124</v>
      </c>
      <c r="I190">
        <v>3000</v>
      </c>
      <c r="J190">
        <v>2</v>
      </c>
      <c r="K190">
        <v>1</v>
      </c>
      <c r="M190" s="2" t="str">
        <f>HYPERLINK("http://www.windermere.com/index.cfm?fuseaction=Listing.MapPropertyInteractive&amp;ListingID=19326790&amp;resize=true&amp;windowWidth=800&amp;windowHeight=600","Map")</f>
        <v>Map</v>
      </c>
      <c r="N190" s="2" t="str">
        <f>HYPERLINK("http://locmedia.nwmls.com/DO_NOT_LINK/bigphoto/013/28021013.jpg?tsp=20080205132648","Photo")</f>
        <v>Photo</v>
      </c>
      <c r="O190" s="2" t="str">
        <f>HYPERLINK("http://www.windermere.com/index.cfm?fuseaction=Listing.MultiImageViewer&amp;ListingID=19326790&amp;ln=28021013&amp;pub_mls=1","More")</f>
        <v>More</v>
      </c>
      <c r="Q190" t="s">
        <v>45</v>
      </c>
      <c r="R190" t="s">
        <v>46</v>
      </c>
      <c r="S190" t="s">
        <v>53</v>
      </c>
      <c r="T190" t="s">
        <v>50</v>
      </c>
      <c r="U190" t="s">
        <v>44</v>
      </c>
      <c r="X190" t="s">
        <v>47</v>
      </c>
      <c r="Y190" t="s">
        <v>48</v>
      </c>
      <c r="Z190" t="s">
        <v>930</v>
      </c>
      <c r="AA190" t="s">
        <v>931</v>
      </c>
      <c r="AB190">
        <v>2007</v>
      </c>
      <c r="AC190">
        <v>2613</v>
      </c>
      <c r="AD190" t="s">
        <v>932</v>
      </c>
      <c r="AF190" t="s">
        <v>59</v>
      </c>
      <c r="AG190">
        <v>47.680506999999999</v>
      </c>
      <c r="AH190">
        <v>-122.367285</v>
      </c>
      <c r="AI190" t="s">
        <v>66</v>
      </c>
      <c r="AJ190">
        <v>98117</v>
      </c>
      <c r="AK190" t="s">
        <v>41</v>
      </c>
      <c r="AL190" t="s">
        <v>40</v>
      </c>
      <c r="AM190" t="s">
        <v>40</v>
      </c>
      <c r="AO190">
        <v>6.9000000000000006E-2</v>
      </c>
      <c r="AP190" t="s">
        <v>933</v>
      </c>
      <c r="AQ190">
        <v>534</v>
      </c>
      <c r="AR190" t="s">
        <v>92</v>
      </c>
      <c r="AS190" t="s">
        <v>299</v>
      </c>
      <c r="AT190">
        <v>19326790</v>
      </c>
      <c r="AU190" s="12">
        <v>39495</v>
      </c>
      <c r="BA190" t="s">
        <v>911</v>
      </c>
      <c r="BB190" t="s">
        <v>911</v>
      </c>
      <c r="BC190" s="7">
        <v>39483</v>
      </c>
      <c r="BG190">
        <v>12</v>
      </c>
      <c r="BH190" s="17">
        <f t="shared" ca="1" si="2"/>
        <v>66</v>
      </c>
      <c r="BI190" s="17"/>
      <c r="BJ190" s="17"/>
    </row>
    <row r="191" spans="1:63" hidden="1">
      <c r="A191">
        <v>28021123</v>
      </c>
      <c r="B191" s="2" t="str">
        <f>HYPERLINK("http://www.windermere.com/index.cfm?fuseaction=Listing.ListingDetail&amp;ListingID=19322649","Active")</f>
        <v>Active</v>
      </c>
      <c r="C191">
        <v>705</v>
      </c>
      <c r="D191" t="s">
        <v>63</v>
      </c>
      <c r="E191" t="s">
        <v>656</v>
      </c>
      <c r="F191" s="10">
        <v>400000</v>
      </c>
      <c r="G191" t="s">
        <v>439</v>
      </c>
      <c r="H191" s="1">
        <v>1340</v>
      </c>
      <c r="I191">
        <v>3000</v>
      </c>
      <c r="J191">
        <v>2</v>
      </c>
      <c r="K191">
        <v>1</v>
      </c>
      <c r="M191" s="2" t="str">
        <f>HYPERLINK("http://www.windermere.com/index.cfm?fuseaction=Listing.MapPropertyInteractive&amp;ListingID=19322649&amp;resize=true&amp;windowWidth=800&amp;windowHeight=600","Map")</f>
        <v>Map</v>
      </c>
      <c r="N191" s="2" t="str">
        <f>HYPERLINK("http://locmedia.nwmls.com/DO_NOT_LINK/bigphoto/123/28021123.jpg?tsp=20080204155025","Photo")</f>
        <v>Photo</v>
      </c>
      <c r="O191" s="2" t="str">
        <f>HYPERLINK("http://www.windermere.com/index.cfm?fuseaction=Listing.MultiImageViewer&amp;ListingID=19322649&amp;ln=28021123&amp;pub_mls=1","More")</f>
        <v>More</v>
      </c>
      <c r="Q191" t="s">
        <v>56</v>
      </c>
      <c r="R191" t="s">
        <v>72</v>
      </c>
      <c r="S191" t="s">
        <v>58</v>
      </c>
      <c r="T191" t="s">
        <v>77</v>
      </c>
      <c r="U191" t="s">
        <v>44</v>
      </c>
      <c r="X191" t="s">
        <v>47</v>
      </c>
      <c r="Y191" t="s">
        <v>48</v>
      </c>
      <c r="Z191" t="s">
        <v>225</v>
      </c>
      <c r="AB191">
        <v>2007</v>
      </c>
      <c r="AC191">
        <v>2937</v>
      </c>
      <c r="AD191" t="s">
        <v>927</v>
      </c>
      <c r="AE191" t="s">
        <v>110</v>
      </c>
      <c r="AG191">
        <v>47.660032000000001</v>
      </c>
      <c r="AH191">
        <v>-122.361898</v>
      </c>
      <c r="AI191" t="s">
        <v>66</v>
      </c>
      <c r="AJ191">
        <v>98107</v>
      </c>
      <c r="AK191" t="s">
        <v>41</v>
      </c>
      <c r="AL191" t="s">
        <v>40</v>
      </c>
      <c r="AM191" t="s">
        <v>40</v>
      </c>
      <c r="AO191">
        <v>6.9000000000000006E-2</v>
      </c>
      <c r="AP191" t="s">
        <v>928</v>
      </c>
      <c r="AQ191">
        <v>534</v>
      </c>
      <c r="AR191" t="s">
        <v>929</v>
      </c>
      <c r="AS191" t="s">
        <v>657</v>
      </c>
      <c r="AT191">
        <v>19322649</v>
      </c>
      <c r="AU191" s="12">
        <v>39495</v>
      </c>
      <c r="BA191" t="s">
        <v>911</v>
      </c>
      <c r="BB191" t="s">
        <v>911</v>
      </c>
      <c r="BC191" s="7">
        <v>39482</v>
      </c>
      <c r="BG191">
        <v>13</v>
      </c>
      <c r="BH191" s="17">
        <f t="shared" ca="1" si="2"/>
        <v>67</v>
      </c>
      <c r="BI191" s="17"/>
      <c r="BJ191" s="17"/>
    </row>
    <row r="192" spans="1:63" hidden="1">
      <c r="A192">
        <v>28023330</v>
      </c>
      <c r="B192" s="2" t="str">
        <f>HYPERLINK("http://www.windermere.com/index.cfm?fuseaction=Listing.ListingDetail&amp;ListingID=19342125","Active")</f>
        <v>Active</v>
      </c>
      <c r="C192">
        <v>705</v>
      </c>
      <c r="D192" t="s">
        <v>70</v>
      </c>
      <c r="E192" t="s">
        <v>666</v>
      </c>
      <c r="F192" s="10">
        <v>400000</v>
      </c>
      <c r="G192" t="s">
        <v>126</v>
      </c>
      <c r="H192" s="1">
        <v>1110</v>
      </c>
      <c r="I192">
        <v>7943</v>
      </c>
      <c r="J192">
        <v>3</v>
      </c>
      <c r="K192">
        <v>1</v>
      </c>
      <c r="L192">
        <v>1</v>
      </c>
      <c r="M192" s="2" t="str">
        <f>HYPERLINK("http://www.windermere.com/index.cfm?fuseaction=Listing.MapPropertyInteractive&amp;ListingID=19342125&amp;resize=true&amp;windowWidth=800&amp;windowHeight=600","Map")</f>
        <v>Map</v>
      </c>
      <c r="N192" s="2" t="str">
        <f>HYPERLINK("http://locmedia.nwmls.com/DO_NOT_LINK/bigphoto/330/28023330.jpg?tsp=20080208115857","Photo")</f>
        <v>Photo</v>
      </c>
      <c r="O192" s="2" t="str">
        <f>HYPERLINK("http://www.windermere.com/index.cfm?fuseaction=Listing.MultiImageViewer&amp;ListingID=19342125&amp;ln=28023330&amp;pub_mls=1","More")</f>
        <v>More</v>
      </c>
      <c r="Q192" t="s">
        <v>56</v>
      </c>
      <c r="R192" t="s">
        <v>67</v>
      </c>
      <c r="S192" t="s">
        <v>58</v>
      </c>
      <c r="T192" t="s">
        <v>77</v>
      </c>
      <c r="U192" t="s">
        <v>44</v>
      </c>
      <c r="X192" t="s">
        <v>47</v>
      </c>
      <c r="Y192" t="s">
        <v>48</v>
      </c>
      <c r="Z192" t="s">
        <v>103</v>
      </c>
      <c r="AA192" t="s">
        <v>224</v>
      </c>
      <c r="AB192">
        <v>2007</v>
      </c>
      <c r="AC192">
        <v>3049</v>
      </c>
      <c r="AD192" t="s">
        <v>934</v>
      </c>
      <c r="AE192" t="s">
        <v>110</v>
      </c>
      <c r="AF192" t="s">
        <v>935</v>
      </c>
      <c r="AG192">
        <v>47.714644</v>
      </c>
      <c r="AH192">
        <v>-122.350216</v>
      </c>
      <c r="AI192" t="s">
        <v>66</v>
      </c>
      <c r="AJ192">
        <v>98133</v>
      </c>
      <c r="AK192" t="s">
        <v>41</v>
      </c>
      <c r="AL192" t="s">
        <v>40</v>
      </c>
      <c r="AM192" t="s">
        <v>40</v>
      </c>
      <c r="AO192">
        <v>0.182</v>
      </c>
      <c r="AP192" t="s">
        <v>936</v>
      </c>
      <c r="AQ192">
        <v>504</v>
      </c>
      <c r="AR192" t="s">
        <v>71</v>
      </c>
      <c r="AS192" t="s">
        <v>667</v>
      </c>
      <c r="AT192">
        <v>19342125</v>
      </c>
      <c r="AU192" s="12">
        <v>39495</v>
      </c>
      <c r="BA192" t="s">
        <v>911</v>
      </c>
      <c r="BB192" t="s">
        <v>911</v>
      </c>
      <c r="BC192" s="7">
        <v>39486</v>
      </c>
      <c r="BG192">
        <v>9</v>
      </c>
      <c r="BH192" s="17">
        <f t="shared" ca="1" si="2"/>
        <v>63</v>
      </c>
      <c r="BI192" s="17"/>
      <c r="BJ192" s="17"/>
    </row>
    <row r="193" spans="1:62" hidden="1">
      <c r="A193">
        <v>28026262</v>
      </c>
      <c r="B193" s="15" t="str">
        <f>HYPERLINK("http://www.windermere.com/index.cfm?fuseaction=Listing.ListingDetail&amp;ListingID=19360801","Subject To Inspection")</f>
        <v>Subject To Inspection</v>
      </c>
      <c r="D193" t="s">
        <v>109</v>
      </c>
      <c r="E193" t="s">
        <v>658</v>
      </c>
      <c r="F193" s="10">
        <v>400000</v>
      </c>
      <c r="G193" t="s">
        <v>659</v>
      </c>
      <c r="H193" s="1">
        <v>1450</v>
      </c>
      <c r="I193">
        <v>3354</v>
      </c>
      <c r="J193">
        <v>3</v>
      </c>
      <c r="M193" s="2" t="str">
        <f>HYPERLINK("http://www.windermere.com/index.cfm?fuseaction=Listing.MapPropertyInteractive&amp;ListingID=19360801&amp;resize=true&amp;windowWidth=800&amp;windowHeight=600","Map")</f>
        <v>Map</v>
      </c>
      <c r="P193" t="s">
        <v>44</v>
      </c>
      <c r="AI193" t="s">
        <v>66</v>
      </c>
      <c r="AJ193">
        <v>98103</v>
      </c>
      <c r="AS193" t="s">
        <v>660</v>
      </c>
      <c r="AT193">
        <v>19360801</v>
      </c>
      <c r="AU193" s="12">
        <v>39495</v>
      </c>
      <c r="BB193" t="s">
        <v>911</v>
      </c>
      <c r="BC193" s="7">
        <v>39491</v>
      </c>
      <c r="BG193">
        <v>4</v>
      </c>
      <c r="BH193" s="17">
        <f t="shared" ca="1" si="2"/>
        <v>58</v>
      </c>
      <c r="BI193" s="17"/>
      <c r="BJ193" s="17"/>
    </row>
    <row r="194" spans="1:62" hidden="1">
      <c r="A194">
        <v>28026361</v>
      </c>
      <c r="B194" s="2" t="str">
        <f>HYPERLINK("http://www.windermere.com/index.cfm?fuseaction=Listing.ListingDetail&amp;ListingID=19362856","Active")</f>
        <v>Active</v>
      </c>
      <c r="D194" t="s">
        <v>192</v>
      </c>
      <c r="E194" t="s">
        <v>661</v>
      </c>
      <c r="F194" s="10">
        <v>400000</v>
      </c>
      <c r="G194" t="s">
        <v>662</v>
      </c>
      <c r="H194" s="1">
        <v>2370</v>
      </c>
      <c r="I194">
        <v>6361</v>
      </c>
      <c r="J194">
        <v>3</v>
      </c>
      <c r="K194">
        <v>2.5</v>
      </c>
      <c r="M194" s="2" t="str">
        <f>HYPERLINK("http://www.windermere.com/index.cfm?fuseaction=Listing.MapPropertyInteractive&amp;ListingID=19362856&amp;resize=true&amp;windowWidth=800&amp;windowHeight=600","Map")</f>
        <v>Map</v>
      </c>
      <c r="AI194" t="s">
        <v>66</v>
      </c>
      <c r="AJ194">
        <v>98125</v>
      </c>
      <c r="AS194" t="s">
        <v>663</v>
      </c>
      <c r="AT194">
        <v>19362856</v>
      </c>
      <c r="AU194" s="12">
        <v>39495</v>
      </c>
      <c r="BB194" t="s">
        <v>911</v>
      </c>
      <c r="BC194" s="7">
        <v>39491</v>
      </c>
      <c r="BG194">
        <v>4</v>
      </c>
      <c r="BH194" s="17">
        <f t="shared" ca="1" si="2"/>
        <v>58</v>
      </c>
      <c r="BI194" s="17"/>
      <c r="BJ194" s="17"/>
    </row>
    <row r="195" spans="1:62" hidden="1">
      <c r="A195">
        <v>27164890</v>
      </c>
      <c r="B195" s="2" t="str">
        <f>HYPERLINK("http://www.windermere.com/index.cfm?fuseaction=Listing.ListingDetail&amp;ListingID=18588767","Active")</f>
        <v>Active</v>
      </c>
      <c r="D195" t="s">
        <v>190</v>
      </c>
      <c r="E195" t="s">
        <v>672</v>
      </c>
      <c r="F195" s="10">
        <v>405000</v>
      </c>
      <c r="G195" t="s">
        <v>673</v>
      </c>
      <c r="H195" s="1">
        <v>1350</v>
      </c>
      <c r="J195">
        <v>3</v>
      </c>
      <c r="K195">
        <v>2.25</v>
      </c>
      <c r="M195" s="2" t="str">
        <f>HYPERLINK("http://www.windermere.com/index.cfm?fuseaction=Listing.MapPropertyInteractive&amp;ListingID=18588767&amp;resize=true&amp;windowWidth=800&amp;windowHeight=600","Map")</f>
        <v>Map</v>
      </c>
      <c r="O195" s="2" t="str">
        <f>HYPERLINK("http://www.windermere.com/index.cfm?fuseaction=Listing.MultiImageViewer&amp;ListingID=18588767&amp;ln=27164890&amp;pub_mls=1","More")</f>
        <v>More</v>
      </c>
      <c r="AI195" t="s">
        <v>66</v>
      </c>
      <c r="AJ195">
        <v>98115</v>
      </c>
      <c r="AS195" t="s">
        <v>674</v>
      </c>
      <c r="AT195">
        <v>18588767</v>
      </c>
      <c r="AU195" s="12">
        <v>39495</v>
      </c>
      <c r="BB195" t="s">
        <v>911</v>
      </c>
      <c r="BC195" s="7">
        <v>39333</v>
      </c>
      <c r="BD195">
        <v>-2</v>
      </c>
      <c r="BE195" s="6" t="s">
        <v>1329</v>
      </c>
      <c r="BG195">
        <v>162</v>
      </c>
      <c r="BH195" s="17">
        <f t="shared" ref="BH195:BH258" ca="1" si="3">TODAY()-BC195</f>
        <v>216</v>
      </c>
      <c r="BI195" s="17"/>
      <c r="BJ195" s="17"/>
    </row>
    <row r="196" spans="1:62" hidden="1">
      <c r="A196">
        <v>27189674</v>
      </c>
      <c r="B196" s="2" t="str">
        <f>HYPERLINK("http://www.windermere.com/index.cfm?fuseaction=Listing.ListingDetail&amp;ListingID=18844703","Active")</f>
        <v>Active</v>
      </c>
      <c r="D196" t="s">
        <v>99</v>
      </c>
      <c r="E196" t="s">
        <v>297</v>
      </c>
      <c r="F196" s="10">
        <v>405000</v>
      </c>
      <c r="G196" t="s">
        <v>247</v>
      </c>
      <c r="H196" s="1">
        <v>1600</v>
      </c>
      <c r="J196">
        <v>3</v>
      </c>
      <c r="K196">
        <v>3.25</v>
      </c>
      <c r="M196" s="2" t="str">
        <f>HYPERLINK("http://www.windermere.com/index.cfm?fuseaction=Listing.MapPropertyInteractive&amp;ListingID=18844703&amp;resize=true&amp;windowWidth=800&amp;windowHeight=600","Map")</f>
        <v>Map</v>
      </c>
      <c r="O196" s="2" t="str">
        <f>HYPERLINK("http://www.windermere.com/index.cfm?fuseaction=Listing.MultiImageViewer&amp;ListingID=18844703&amp;ln=27189674&amp;pub_mls=1","More")</f>
        <v>More</v>
      </c>
      <c r="P196" t="s">
        <v>44</v>
      </c>
      <c r="AI196" t="s">
        <v>66</v>
      </c>
      <c r="AJ196">
        <v>98117</v>
      </c>
      <c r="AS196" t="s">
        <v>298</v>
      </c>
      <c r="AT196">
        <v>18844703</v>
      </c>
      <c r="AU196" s="12">
        <v>39495</v>
      </c>
      <c r="BB196" t="s">
        <v>911</v>
      </c>
      <c r="BC196" s="7">
        <v>39375</v>
      </c>
      <c r="BG196">
        <v>120</v>
      </c>
      <c r="BH196" s="17">
        <f t="shared" ca="1" si="3"/>
        <v>174</v>
      </c>
      <c r="BI196" s="17"/>
      <c r="BJ196" s="17"/>
    </row>
    <row r="197" spans="1:62" hidden="1">
      <c r="A197">
        <v>27214047</v>
      </c>
      <c r="B197" s="2" t="str">
        <f>HYPERLINK("http://www.windermere.com/index.cfm?fuseaction=Listing.ListingDetail&amp;ListingID=19106819","Active")</f>
        <v>Active</v>
      </c>
      <c r="D197" t="s">
        <v>226</v>
      </c>
      <c r="E197" t="s">
        <v>668</v>
      </c>
      <c r="F197" s="13">
        <v>399000</v>
      </c>
      <c r="G197" t="s">
        <v>147</v>
      </c>
      <c r="H197" s="1">
        <v>1258</v>
      </c>
      <c r="J197">
        <v>2</v>
      </c>
      <c r="K197">
        <v>1.5</v>
      </c>
      <c r="M197" s="2" t="str">
        <f>HYPERLINK("http://www.windermere.com/index.cfm?fuseaction=Listing.MapPropertyInteractive&amp;ListingID=19106819&amp;resize=true&amp;windowWidth=800&amp;windowHeight=600","Map")</f>
        <v>Map</v>
      </c>
      <c r="O197" s="2" t="str">
        <f>HYPERLINK("http://www.windermere.com/index.cfm?fuseaction=Listing.MultiImageViewer&amp;ListingID=19106819&amp;ln=27214047&amp;pub_mls=1","More")</f>
        <v>More</v>
      </c>
      <c r="P197" t="s">
        <v>44</v>
      </c>
      <c r="AI197" t="s">
        <v>66</v>
      </c>
      <c r="AJ197">
        <v>98105</v>
      </c>
      <c r="AS197" t="s">
        <v>669</v>
      </c>
      <c r="AT197">
        <v>19106819</v>
      </c>
      <c r="AU197" s="12">
        <v>39495</v>
      </c>
      <c r="BB197" t="s">
        <v>911</v>
      </c>
      <c r="BC197" s="7">
        <v>39434</v>
      </c>
      <c r="BG197">
        <v>61</v>
      </c>
      <c r="BH197" s="17">
        <f t="shared" ca="1" si="3"/>
        <v>115</v>
      </c>
      <c r="BI197" s="17"/>
      <c r="BJ197" s="17"/>
    </row>
    <row r="198" spans="1:62" hidden="1">
      <c r="A198">
        <v>28012494</v>
      </c>
      <c r="B198" s="2" t="str">
        <f>HYPERLINK("http://www.windermere.com/index.cfm?fuseaction=Listing.ListingDetail&amp;ListingID=19254875","Active")</f>
        <v>Active</v>
      </c>
      <c r="D198" t="s">
        <v>226</v>
      </c>
      <c r="E198" t="s">
        <v>670</v>
      </c>
      <c r="F198" s="10">
        <v>405000</v>
      </c>
      <c r="G198" t="s">
        <v>147</v>
      </c>
      <c r="H198" s="1">
        <v>1326</v>
      </c>
      <c r="J198">
        <v>2</v>
      </c>
      <c r="K198">
        <v>1.5</v>
      </c>
      <c r="M198" s="2" t="str">
        <f>HYPERLINK("http://www.windermere.com/index.cfm?fuseaction=Listing.MapPropertyInteractive&amp;ListingID=19254875&amp;resize=true&amp;windowWidth=800&amp;windowHeight=600","Map")</f>
        <v>Map</v>
      </c>
      <c r="O198" s="2" t="str">
        <f>HYPERLINK("http://www.windermere.com/index.cfm?fuseaction=Listing.MultiImageViewer&amp;ListingID=19254875&amp;ln=28012494&amp;pub_mls=1","More")</f>
        <v>More</v>
      </c>
      <c r="P198" t="s">
        <v>44</v>
      </c>
      <c r="AI198" t="s">
        <v>66</v>
      </c>
      <c r="AJ198">
        <v>98105</v>
      </c>
      <c r="AS198" t="s">
        <v>671</v>
      </c>
      <c r="AT198">
        <v>19254875</v>
      </c>
      <c r="AU198" s="12">
        <v>39495</v>
      </c>
      <c r="BB198" t="s">
        <v>911</v>
      </c>
      <c r="BC198" s="7">
        <v>39467</v>
      </c>
      <c r="BG198">
        <v>28</v>
      </c>
      <c r="BH198" s="17">
        <f t="shared" ca="1" si="3"/>
        <v>82</v>
      </c>
      <c r="BI198" s="17"/>
      <c r="BJ198" s="17"/>
    </row>
    <row r="199" spans="1:62" hidden="1">
      <c r="A199">
        <v>27105286</v>
      </c>
      <c r="B199" s="2" t="str">
        <f>HYPERLINK("http://www.windermere.com/index.cfm?fuseaction=Listing.ListingDetail&amp;ListingID=18076483","Active")</f>
        <v>Active</v>
      </c>
      <c r="D199" t="s">
        <v>63</v>
      </c>
      <c r="E199" t="s">
        <v>295</v>
      </c>
      <c r="F199" s="10">
        <v>409000</v>
      </c>
      <c r="G199" t="s">
        <v>287</v>
      </c>
      <c r="I199">
        <v>3311</v>
      </c>
      <c r="J199">
        <v>4</v>
      </c>
      <c r="K199">
        <v>1</v>
      </c>
      <c r="M199" s="2" t="str">
        <f>HYPERLINK("http://www.windermere.com/index.cfm?fuseaction=Listing.MapPropertyInteractive&amp;ListingID=18076483&amp;resize=true&amp;windowWidth=800&amp;windowHeight=600","Map")</f>
        <v>Map</v>
      </c>
      <c r="O199" s="2" t="str">
        <f>HYPERLINK("http://www.windermere.com/index.cfm?fuseaction=Listing.MultiImageViewer&amp;ListingID=18076483&amp;ln=27105286&amp;pub_mls=1","More")</f>
        <v>More</v>
      </c>
      <c r="P199" t="s">
        <v>44</v>
      </c>
      <c r="AI199" t="s">
        <v>66</v>
      </c>
      <c r="AJ199">
        <v>98117</v>
      </c>
      <c r="AS199" t="s">
        <v>296</v>
      </c>
      <c r="AT199">
        <v>18076483</v>
      </c>
      <c r="AU199" s="12">
        <v>39495</v>
      </c>
      <c r="BB199" t="s">
        <v>911</v>
      </c>
      <c r="BC199" s="7">
        <v>39245</v>
      </c>
      <c r="BD199">
        <v>-2</v>
      </c>
      <c r="BE199" s="6" t="s">
        <v>1312</v>
      </c>
      <c r="BG199">
        <v>250</v>
      </c>
      <c r="BH199" s="17">
        <f t="shared" ca="1" si="3"/>
        <v>304</v>
      </c>
      <c r="BI199" s="17"/>
      <c r="BJ199" s="17"/>
    </row>
    <row r="200" spans="1:62" hidden="1">
      <c r="A200">
        <v>27215720</v>
      </c>
      <c r="B200" s="2" t="str">
        <f>HYPERLINK("http://www.windermere.com/index.cfm?fuseaction=Listing.ListingDetail&amp;ListingID=19128158","Active")</f>
        <v>Active</v>
      </c>
      <c r="D200" t="s">
        <v>55</v>
      </c>
      <c r="E200" t="s">
        <v>677</v>
      </c>
      <c r="F200" s="10">
        <v>409000</v>
      </c>
      <c r="G200" t="s">
        <v>172</v>
      </c>
      <c r="H200" s="1">
        <v>1000</v>
      </c>
      <c r="I200">
        <v>3060</v>
      </c>
      <c r="J200">
        <v>2</v>
      </c>
      <c r="K200">
        <v>1</v>
      </c>
      <c r="M200" s="2" t="str">
        <f>HYPERLINK("http://www.windermere.com/index.cfm?fuseaction=Listing.MapPropertyInteractive&amp;ListingID=19128158&amp;resize=true&amp;windowWidth=800&amp;windowHeight=600","Map")</f>
        <v>Map</v>
      </c>
      <c r="O200" s="2" t="str">
        <f>HYPERLINK("http://www.windermere.com/index.cfm?fuseaction=Listing.MultiImageViewer&amp;ListingID=19128158&amp;ln=27215720&amp;pub_mls=1","More")</f>
        <v>More</v>
      </c>
      <c r="AI200" t="s">
        <v>66</v>
      </c>
      <c r="AJ200">
        <v>98103</v>
      </c>
      <c r="AS200" t="s">
        <v>678</v>
      </c>
      <c r="AT200">
        <v>19128158</v>
      </c>
      <c r="AU200" s="12">
        <v>39495</v>
      </c>
      <c r="BB200" t="s">
        <v>911</v>
      </c>
      <c r="BC200" s="7">
        <v>39442</v>
      </c>
      <c r="BG200">
        <v>53</v>
      </c>
      <c r="BH200" s="17">
        <f t="shared" ca="1" si="3"/>
        <v>107</v>
      </c>
      <c r="BI200" s="17"/>
      <c r="BJ200" s="17"/>
    </row>
    <row r="201" spans="1:62" hidden="1">
      <c r="A201">
        <v>28025815</v>
      </c>
      <c r="B201" s="2" t="str">
        <f>HYPERLINK("http://www.windermere.com/index.cfm?fuseaction=Listing.ListingDetail&amp;ListingID=19365708","Active")</f>
        <v>Active</v>
      </c>
      <c r="D201" t="s">
        <v>218</v>
      </c>
      <c r="E201" t="s">
        <v>675</v>
      </c>
      <c r="F201" s="10">
        <v>409000</v>
      </c>
      <c r="G201" t="s">
        <v>130</v>
      </c>
      <c r="H201" s="1">
        <v>1093</v>
      </c>
      <c r="I201">
        <v>4794</v>
      </c>
      <c r="J201">
        <v>3</v>
      </c>
      <c r="K201">
        <v>1</v>
      </c>
      <c r="M201" s="2" t="str">
        <f>HYPERLINK("http://www.windermere.com/index.cfm?fuseaction=Listing.MapPropertyInteractive&amp;ListingID=19365708&amp;resize=true&amp;windowWidth=800&amp;windowHeight=600","Map")</f>
        <v>Map</v>
      </c>
      <c r="O201" s="2" t="str">
        <f>HYPERLINK("http://www.windermere.com/index.cfm?fuseaction=Listing.MultiImageViewer&amp;ListingID=19365708&amp;ln=28025815&amp;pub_mls=1","More")</f>
        <v>More</v>
      </c>
      <c r="AI201" t="s">
        <v>66</v>
      </c>
      <c r="AJ201">
        <v>98115</v>
      </c>
      <c r="AS201" t="s">
        <v>676</v>
      </c>
      <c r="AT201">
        <v>19365708</v>
      </c>
      <c r="AU201" s="12">
        <v>39495</v>
      </c>
      <c r="BB201" t="s">
        <v>911</v>
      </c>
      <c r="BC201" s="7">
        <v>39491</v>
      </c>
      <c r="BG201">
        <v>4</v>
      </c>
      <c r="BH201" s="17">
        <f t="shared" ca="1" si="3"/>
        <v>58</v>
      </c>
      <c r="BI201" s="17"/>
      <c r="BJ201" s="17"/>
    </row>
    <row r="202" spans="1:62" hidden="1">
      <c r="A202">
        <v>27179196</v>
      </c>
      <c r="B202" s="2" t="str">
        <f>HYPERLINK("http://www.windermere.com/index.cfm?fuseaction=Listing.ListingDetail&amp;ListingID=18761619","Active")</f>
        <v>Active</v>
      </c>
      <c r="D202" t="s">
        <v>63</v>
      </c>
      <c r="E202" t="s">
        <v>683</v>
      </c>
      <c r="F202" s="10">
        <v>409950</v>
      </c>
      <c r="G202" t="s">
        <v>147</v>
      </c>
      <c r="J202">
        <v>3</v>
      </c>
      <c r="K202">
        <v>3</v>
      </c>
      <c r="M202" s="2" t="str">
        <f>HYPERLINK("http://www.windermere.com/index.cfm?fuseaction=Listing.MapPropertyInteractive&amp;ListingID=18761619&amp;resize=true&amp;windowWidth=800&amp;windowHeight=600","Map")</f>
        <v>Map</v>
      </c>
      <c r="O202" s="2" t="str">
        <f>HYPERLINK("http://www.windermere.com/index.cfm?fuseaction=Listing.MultiImageViewer&amp;ListingID=18761619&amp;ln=27179196&amp;pub_mls=1","More")</f>
        <v>More</v>
      </c>
      <c r="P202" t="s">
        <v>44</v>
      </c>
      <c r="AI202" t="s">
        <v>66</v>
      </c>
      <c r="AJ202">
        <v>98107</v>
      </c>
      <c r="AS202" t="s">
        <v>684</v>
      </c>
      <c r="AT202">
        <v>18761619</v>
      </c>
      <c r="AU202" s="12">
        <v>39495</v>
      </c>
      <c r="BB202" t="s">
        <v>911</v>
      </c>
      <c r="BC202" s="7">
        <v>39359</v>
      </c>
      <c r="BG202">
        <v>136</v>
      </c>
      <c r="BH202" s="17">
        <f t="shared" ca="1" si="3"/>
        <v>190</v>
      </c>
      <c r="BI202" s="17"/>
      <c r="BJ202" s="17"/>
    </row>
    <row r="203" spans="1:62" hidden="1">
      <c r="A203">
        <v>27196500</v>
      </c>
      <c r="B203" s="2" t="str">
        <f>HYPERLINK("http://www.windermere.com/index.cfm?fuseaction=Listing.ListingDetail&amp;ListingID=18907358","Active")</f>
        <v>Active</v>
      </c>
      <c r="D203" t="s">
        <v>60</v>
      </c>
      <c r="E203" t="s">
        <v>679</v>
      </c>
      <c r="F203" s="10">
        <v>409950</v>
      </c>
      <c r="G203" t="s">
        <v>147</v>
      </c>
      <c r="H203" s="1">
        <v>1295</v>
      </c>
      <c r="J203">
        <v>2</v>
      </c>
      <c r="K203">
        <v>1.5</v>
      </c>
      <c r="M203" s="2" t="str">
        <f>HYPERLINK("http://www.windermere.com/index.cfm?fuseaction=Listing.MapPropertyInteractive&amp;ListingID=18907358&amp;resize=true&amp;windowWidth=800&amp;windowHeight=600","Map")</f>
        <v>Map</v>
      </c>
      <c r="O203" s="2" t="str">
        <f>HYPERLINK("http://www.windermere.com/index.cfm?fuseaction=Listing.MultiImageViewer&amp;ListingID=18907358&amp;ln=27196500&amp;pub_mls=1","More")</f>
        <v>More</v>
      </c>
      <c r="P203" t="s">
        <v>44</v>
      </c>
      <c r="AI203" t="s">
        <v>66</v>
      </c>
      <c r="AJ203">
        <v>98115</v>
      </c>
      <c r="AS203" t="s">
        <v>680</v>
      </c>
      <c r="AT203">
        <v>18907358</v>
      </c>
      <c r="AU203" s="12">
        <v>39495</v>
      </c>
      <c r="BB203" t="s">
        <v>911</v>
      </c>
      <c r="BC203" s="7">
        <v>39388</v>
      </c>
      <c r="BG203">
        <v>107</v>
      </c>
      <c r="BH203" s="17">
        <f t="shared" ca="1" si="3"/>
        <v>161</v>
      </c>
      <c r="BI203" s="17"/>
      <c r="BJ203" s="17"/>
    </row>
    <row r="204" spans="1:62" hidden="1">
      <c r="A204">
        <v>27210417</v>
      </c>
      <c r="B204" s="2" t="str">
        <f>HYPERLINK("http://www.windermere.com/index.cfm?fuseaction=Listing.ListingDetail&amp;ListingID=19065829","Active")</f>
        <v>Active</v>
      </c>
      <c r="D204" t="s">
        <v>100</v>
      </c>
      <c r="E204" t="s">
        <v>685</v>
      </c>
      <c r="F204" s="13">
        <v>399950</v>
      </c>
      <c r="G204" t="s">
        <v>191</v>
      </c>
      <c r="H204">
        <v>800</v>
      </c>
      <c r="I204">
        <v>3880</v>
      </c>
      <c r="J204">
        <v>2</v>
      </c>
      <c r="K204">
        <v>1</v>
      </c>
      <c r="M204" s="2" t="str">
        <f>HYPERLINK("http://www.windermere.com/index.cfm?fuseaction=Listing.MapPropertyInteractive&amp;ListingID=19065829&amp;resize=true&amp;windowWidth=800&amp;windowHeight=600","Map")</f>
        <v>Map</v>
      </c>
      <c r="O204" s="2" t="str">
        <f>HYPERLINK("http://www.windermere.com/index.cfm?fuseaction=Listing.MultiImageViewer&amp;ListingID=19065829&amp;ln=27210417&amp;pub_mls=1","More")</f>
        <v>More</v>
      </c>
      <c r="AI204" t="s">
        <v>66</v>
      </c>
      <c r="AJ204">
        <v>98103</v>
      </c>
      <c r="AS204" t="s">
        <v>686</v>
      </c>
      <c r="AT204">
        <v>19065829</v>
      </c>
      <c r="AU204" s="12">
        <v>39495</v>
      </c>
      <c r="BB204" t="s">
        <v>911</v>
      </c>
      <c r="BC204" s="7">
        <v>39423</v>
      </c>
      <c r="BD204">
        <v>3</v>
      </c>
      <c r="BE204" t="s">
        <v>1439</v>
      </c>
      <c r="BG204">
        <v>72</v>
      </c>
      <c r="BH204" s="17">
        <f t="shared" ca="1" si="3"/>
        <v>126</v>
      </c>
      <c r="BI204" s="17"/>
      <c r="BJ204" s="17"/>
    </row>
    <row r="205" spans="1:62" hidden="1">
      <c r="A205">
        <v>27210670</v>
      </c>
      <c r="B205" s="2" t="str">
        <f>HYPERLINK("http://www.windermere.com/index.cfm?fuseaction=Listing.ListingDetail&amp;ListingID=19066064","Active")</f>
        <v>Active</v>
      </c>
      <c r="D205" t="s">
        <v>63</v>
      </c>
      <c r="E205" t="s">
        <v>293</v>
      </c>
      <c r="F205" s="10">
        <v>409950</v>
      </c>
      <c r="G205" t="s">
        <v>246</v>
      </c>
      <c r="H205" s="1">
        <v>1450</v>
      </c>
      <c r="J205">
        <v>3</v>
      </c>
      <c r="K205">
        <v>2.5</v>
      </c>
      <c r="M205" s="2" t="str">
        <f>HYPERLINK("http://www.windermere.com/index.cfm?fuseaction=Listing.MapPropertyInteractive&amp;ListingID=19066064&amp;resize=true&amp;windowWidth=800&amp;windowHeight=600","Map")</f>
        <v>Map</v>
      </c>
      <c r="O205" s="2" t="str">
        <f>HYPERLINK("http://www.windermere.com/index.cfm?fuseaction=Listing.MultiImageViewer&amp;ListingID=19066064&amp;ln=27210670&amp;pub_mls=1","More")</f>
        <v>More</v>
      </c>
      <c r="P205" t="s">
        <v>44</v>
      </c>
      <c r="AI205" t="s">
        <v>66</v>
      </c>
      <c r="AJ205">
        <v>98117</v>
      </c>
      <c r="AS205" t="s">
        <v>294</v>
      </c>
      <c r="AT205">
        <v>19066064</v>
      </c>
      <c r="AU205" s="12">
        <v>39495</v>
      </c>
      <c r="BB205" t="s">
        <v>911</v>
      </c>
      <c r="BC205" s="7">
        <v>39423</v>
      </c>
      <c r="BG205">
        <v>72</v>
      </c>
      <c r="BH205" s="17">
        <f t="shared" ca="1" si="3"/>
        <v>126</v>
      </c>
      <c r="BI205" s="17"/>
      <c r="BJ205" s="17"/>
    </row>
    <row r="206" spans="1:62" hidden="1">
      <c r="A206">
        <v>27216348</v>
      </c>
      <c r="B206" s="2" t="str">
        <f>HYPERLINK("http://www.windermere.com/index.cfm?fuseaction=Listing.ListingDetail&amp;ListingID=19136885","Active")</f>
        <v>Active</v>
      </c>
      <c r="D206" t="s">
        <v>63</v>
      </c>
      <c r="E206" t="s">
        <v>681</v>
      </c>
      <c r="F206" s="13">
        <v>399950</v>
      </c>
      <c r="G206" t="s">
        <v>147</v>
      </c>
      <c r="J206">
        <v>3</v>
      </c>
      <c r="K206">
        <v>3</v>
      </c>
      <c r="M206" s="2" t="str">
        <f>HYPERLINK("http://www.windermere.com/index.cfm?fuseaction=Listing.MapPropertyInteractive&amp;ListingID=19136885&amp;resize=true&amp;windowWidth=800&amp;windowHeight=600","Map")</f>
        <v>Map</v>
      </c>
      <c r="O206" s="2" t="str">
        <f>HYPERLINK("http://www.windermere.com/index.cfm?fuseaction=Listing.MultiImageViewer&amp;ListingID=19136885&amp;ln=27216348&amp;pub_mls=1","More")</f>
        <v>More</v>
      </c>
      <c r="P206" t="s">
        <v>44</v>
      </c>
      <c r="AI206" t="s">
        <v>66</v>
      </c>
      <c r="AJ206">
        <v>98107</v>
      </c>
      <c r="AS206" t="s">
        <v>682</v>
      </c>
      <c r="AT206">
        <v>19136885</v>
      </c>
      <c r="AU206" s="12">
        <v>39495</v>
      </c>
      <c r="BB206" t="s">
        <v>911</v>
      </c>
      <c r="BC206" s="7">
        <v>39445</v>
      </c>
      <c r="BG206">
        <v>50</v>
      </c>
      <c r="BH206" s="17">
        <f t="shared" ca="1" si="3"/>
        <v>104</v>
      </c>
      <c r="BI206" s="17"/>
      <c r="BJ206" s="17"/>
    </row>
    <row r="207" spans="1:62" hidden="1">
      <c r="A207">
        <v>28005248</v>
      </c>
      <c r="B207" s="2" t="str">
        <f>HYPERLINK("http://www.windermere.com/index.cfm?fuseaction=Listing.ListingDetail&amp;ListingID=19182427","Active")</f>
        <v>Active</v>
      </c>
      <c r="D207" t="s">
        <v>63</v>
      </c>
      <c r="E207" t="s">
        <v>687</v>
      </c>
      <c r="F207" s="10">
        <v>409950</v>
      </c>
      <c r="G207" t="s">
        <v>246</v>
      </c>
      <c r="H207" s="1">
        <v>1490</v>
      </c>
      <c r="J207">
        <v>3</v>
      </c>
      <c r="K207">
        <v>2.5</v>
      </c>
      <c r="M207" s="2" t="str">
        <f>HYPERLINK("http://www.windermere.com/index.cfm?fuseaction=Listing.MapPropertyInteractive&amp;ListingID=19182427&amp;resize=true&amp;windowWidth=800&amp;windowHeight=600","Map")</f>
        <v>Map</v>
      </c>
      <c r="O207" s="2" t="str">
        <f>HYPERLINK("http://www.windermere.com/index.cfm?fuseaction=Listing.MultiImageViewer&amp;ListingID=19182427&amp;ln=28005248&amp;pub_mls=1","More")</f>
        <v>More</v>
      </c>
      <c r="P207" t="s">
        <v>44</v>
      </c>
      <c r="AI207" t="s">
        <v>66</v>
      </c>
      <c r="AJ207">
        <v>98107</v>
      </c>
      <c r="AS207" t="s">
        <v>688</v>
      </c>
      <c r="AT207">
        <v>19182427</v>
      </c>
      <c r="AU207" s="12">
        <v>39495</v>
      </c>
      <c r="BB207" t="s">
        <v>911</v>
      </c>
      <c r="BC207" s="7">
        <v>39455</v>
      </c>
      <c r="BG207">
        <v>40</v>
      </c>
      <c r="BH207" s="17">
        <f t="shared" ca="1" si="3"/>
        <v>94</v>
      </c>
      <c r="BI207" s="17"/>
      <c r="BJ207" s="17"/>
    </row>
    <row r="208" spans="1:62" hidden="1">
      <c r="A208">
        <v>28006354</v>
      </c>
      <c r="B208" s="2" t="str">
        <f>HYPERLINK("http://www.windermere.com/index.cfm?fuseaction=Listing.ListingDetail&amp;ListingID=19194143","Active")</f>
        <v>Active</v>
      </c>
      <c r="D208" t="s">
        <v>70</v>
      </c>
      <c r="E208" t="s">
        <v>691</v>
      </c>
      <c r="F208" s="10">
        <v>409950</v>
      </c>
      <c r="G208" t="s">
        <v>157</v>
      </c>
      <c r="H208" s="1">
        <v>1640</v>
      </c>
      <c r="I208">
        <v>8400</v>
      </c>
      <c r="J208">
        <v>3</v>
      </c>
      <c r="K208">
        <v>1.75</v>
      </c>
      <c r="M208" s="2" t="str">
        <f>HYPERLINK("http://www.windermere.com/index.cfm?fuseaction=Listing.MapPropertyInteractive&amp;ListingID=19194143&amp;resize=true&amp;windowWidth=800&amp;windowHeight=600","Map")</f>
        <v>Map</v>
      </c>
      <c r="O208" s="2" t="str">
        <f>HYPERLINK("http://www.windermere.com/index.cfm?fuseaction=Listing.MultiImageViewer&amp;ListingID=19194143&amp;ln=28006354&amp;pub_mls=1","More")</f>
        <v>More</v>
      </c>
      <c r="P208" t="s">
        <v>44</v>
      </c>
      <c r="AI208" t="s">
        <v>66</v>
      </c>
      <c r="AJ208">
        <v>98133</v>
      </c>
      <c r="AS208" t="s">
        <v>692</v>
      </c>
      <c r="AT208">
        <v>19194143</v>
      </c>
      <c r="AU208" s="12">
        <v>39495</v>
      </c>
      <c r="BB208" t="s">
        <v>911</v>
      </c>
      <c r="BC208" s="7">
        <v>39457</v>
      </c>
      <c r="BG208">
        <v>38</v>
      </c>
      <c r="BH208" s="17">
        <f t="shared" ca="1" si="3"/>
        <v>92</v>
      </c>
      <c r="BI208" s="17"/>
      <c r="BJ208" s="17"/>
    </row>
    <row r="209" spans="1:63" hidden="1">
      <c r="A209">
        <v>28027240</v>
      </c>
      <c r="B209" s="2" t="str">
        <f>HYPERLINK("http://www.windermere.com/index.cfm?fuseaction=Listing.ListingDetail&amp;ListingID=19371422","Active")</f>
        <v>Active</v>
      </c>
      <c r="D209" t="s">
        <v>100</v>
      </c>
      <c r="E209" t="s">
        <v>689</v>
      </c>
      <c r="F209" s="10">
        <v>409950</v>
      </c>
      <c r="G209" t="s">
        <v>147</v>
      </c>
      <c r="J209">
        <v>2</v>
      </c>
      <c r="K209">
        <v>1.5</v>
      </c>
      <c r="M209" s="2" t="str">
        <f>HYPERLINK("http://www.windermere.com/index.cfm?fuseaction=Listing.MapPropertyInteractive&amp;ListingID=19371422&amp;resize=true&amp;windowWidth=800&amp;windowHeight=600","Map")</f>
        <v>Map</v>
      </c>
      <c r="O209" s="2" t="str">
        <f>HYPERLINK("http://www.windermere.com/index.cfm?fuseaction=Listing.MultiImageViewer&amp;ListingID=19371422&amp;ln=28027240&amp;pub_mls=1","More")</f>
        <v>More</v>
      </c>
      <c r="AI209" t="s">
        <v>66</v>
      </c>
      <c r="AJ209">
        <v>98103</v>
      </c>
      <c r="AS209" t="s">
        <v>690</v>
      </c>
      <c r="AT209">
        <v>19371422</v>
      </c>
      <c r="AU209" s="12">
        <v>39495</v>
      </c>
      <c r="BB209" t="s">
        <v>911</v>
      </c>
      <c r="BC209" s="7">
        <v>39492</v>
      </c>
      <c r="BG209">
        <v>3</v>
      </c>
      <c r="BH209" s="17">
        <f t="shared" ca="1" si="3"/>
        <v>57</v>
      </c>
      <c r="BI209" s="17"/>
      <c r="BJ209" s="17"/>
    </row>
    <row r="210" spans="1:63" hidden="1">
      <c r="A210">
        <v>28008313</v>
      </c>
      <c r="B210" s="2" t="str">
        <f>HYPERLINK("http://www.windermere.com/index.cfm?fuseaction=Listing.ListingDetail&amp;ListingID=19220500","Active")</f>
        <v>Active</v>
      </c>
      <c r="D210" t="s">
        <v>194</v>
      </c>
      <c r="E210" t="s">
        <v>1118</v>
      </c>
      <c r="F210" s="13">
        <v>399950</v>
      </c>
      <c r="G210" t="s">
        <v>156</v>
      </c>
      <c r="J210">
        <v>3</v>
      </c>
      <c r="K210">
        <v>1</v>
      </c>
      <c r="M210" s="2" t="str">
        <f>HYPERLINK("http://www.windermere.com/index.cfm?fuseaction=Listing.MapPropertyInteractive&amp;ListingID=19220500&amp;resize=true&amp;windowWidth=800&amp;windowHeight=600","Map")</f>
        <v>Map</v>
      </c>
      <c r="O210" s="2" t="str">
        <f>HYPERLINK("http://www.windermere.com/index.cfm?fuseaction=viewGallery.Home&amp;customTourID=195130&amp;wvt=0","More")</f>
        <v>More</v>
      </c>
      <c r="AI210" t="s">
        <v>66</v>
      </c>
      <c r="AJ210">
        <v>98115</v>
      </c>
      <c r="AS210" t="s">
        <v>1119</v>
      </c>
      <c r="AT210">
        <v>19220500</v>
      </c>
      <c r="AU210" s="12">
        <v>39495</v>
      </c>
      <c r="BB210" t="s">
        <v>911</v>
      </c>
      <c r="BC210" s="7">
        <v>39461</v>
      </c>
      <c r="BD210">
        <v>2</v>
      </c>
      <c r="BE210" t="s">
        <v>1375</v>
      </c>
      <c r="BG210">
        <v>34</v>
      </c>
      <c r="BH210" s="17">
        <f t="shared" ca="1" si="3"/>
        <v>88</v>
      </c>
      <c r="BI210" s="17"/>
      <c r="BJ210" s="17"/>
    </row>
    <row r="211" spans="1:63" hidden="1">
      <c r="A211">
        <v>28024167</v>
      </c>
      <c r="B211" s="2" t="str">
        <f>HYPERLINK("http://www.windermere.com/index.cfm?fuseaction=Listing.ListingDetail&amp;ListingID=19344194","Active")</f>
        <v>Active</v>
      </c>
      <c r="D211" t="s">
        <v>99</v>
      </c>
      <c r="E211" t="s">
        <v>291</v>
      </c>
      <c r="F211" s="10">
        <v>414500</v>
      </c>
      <c r="G211" t="s">
        <v>157</v>
      </c>
      <c r="H211" s="1">
        <v>1830</v>
      </c>
      <c r="I211">
        <v>5423</v>
      </c>
      <c r="J211">
        <v>4</v>
      </c>
      <c r="K211">
        <v>2</v>
      </c>
      <c r="M211" s="2" t="str">
        <f>HYPERLINK("http://www.windermere.com/index.cfm?fuseaction=Listing.MapPropertyInteractive&amp;ListingID=19344194&amp;resize=true&amp;windowWidth=800&amp;windowHeight=600","Map")</f>
        <v>Map</v>
      </c>
      <c r="O211" s="2" t="str">
        <f>HYPERLINK("http://www.windermere.com/index.cfm?fuseaction=Listing.MultiImageViewer&amp;ListingID=19344194&amp;ln=28024167&amp;pub_mls=1","More")</f>
        <v>More</v>
      </c>
      <c r="P211" t="s">
        <v>44</v>
      </c>
      <c r="AI211" t="s">
        <v>66</v>
      </c>
      <c r="AJ211">
        <v>98117</v>
      </c>
      <c r="AS211" t="s">
        <v>292</v>
      </c>
      <c r="AT211">
        <v>19344194</v>
      </c>
      <c r="AU211" s="12">
        <v>39495</v>
      </c>
      <c r="BB211" t="s">
        <v>911</v>
      </c>
      <c r="BC211" s="7">
        <v>39486</v>
      </c>
      <c r="BG211">
        <v>9</v>
      </c>
      <c r="BH211" s="17">
        <f t="shared" ca="1" si="3"/>
        <v>63</v>
      </c>
      <c r="BI211" s="17"/>
      <c r="BJ211" s="17"/>
    </row>
    <row r="212" spans="1:63" hidden="1">
      <c r="A212">
        <v>27171459</v>
      </c>
      <c r="B212" s="2" t="str">
        <f>HYPERLINK("http://www.windermere.com/index.cfm?fuseaction=Listing.ListingDetail&amp;ListingID=18667036","Contingent")</f>
        <v>Contingent</v>
      </c>
      <c r="D212" t="s">
        <v>188</v>
      </c>
      <c r="E212" t="s">
        <v>1120</v>
      </c>
      <c r="F212" s="10">
        <v>419000</v>
      </c>
      <c r="G212" t="s">
        <v>162</v>
      </c>
      <c r="H212" s="1">
        <v>2060</v>
      </c>
      <c r="I212">
        <v>6588</v>
      </c>
      <c r="J212">
        <v>3</v>
      </c>
      <c r="K212">
        <v>1</v>
      </c>
      <c r="M212" s="2" t="str">
        <f>HYPERLINK("http://www.windermere.com/index.cfm?fuseaction=Listing.MapPropertyInteractive&amp;ListingID=18667036&amp;resize=true&amp;windowWidth=800&amp;windowHeight=600","Map")</f>
        <v>Map</v>
      </c>
      <c r="O212" s="2" t="str">
        <f>HYPERLINK("http://www.windermere.com/index.cfm?fuseaction=Listing.MultiImageViewer&amp;ListingID=18667036&amp;ln=27171459&amp;pub_mls=1","More")</f>
        <v>More</v>
      </c>
      <c r="P212" t="s">
        <v>44</v>
      </c>
      <c r="AI212" t="s">
        <v>66</v>
      </c>
      <c r="AJ212">
        <v>98125</v>
      </c>
      <c r="AS212" t="s">
        <v>1121</v>
      </c>
      <c r="AT212">
        <v>18667036</v>
      </c>
      <c r="AU212" s="12">
        <v>39495</v>
      </c>
      <c r="BB212" t="s">
        <v>911</v>
      </c>
      <c r="BC212" s="7">
        <v>39345</v>
      </c>
      <c r="BG212">
        <v>150</v>
      </c>
      <c r="BH212" s="17">
        <f t="shared" ca="1" si="3"/>
        <v>204</v>
      </c>
      <c r="BI212" s="17"/>
      <c r="BJ212" s="17"/>
      <c r="BK212" t="str">
        <f>B212</f>
        <v>Contingent</v>
      </c>
    </row>
    <row r="213" spans="1:63" hidden="1">
      <c r="A213">
        <v>27187381</v>
      </c>
      <c r="B213" s="15" t="str">
        <f>HYPERLINK("http://www.windermere.com/index.cfm?fuseaction=Listing.ListingDetail&amp;ListingID=18819961","Subject To Inspection")</f>
        <v>Subject To Inspection</v>
      </c>
      <c r="C213">
        <v>705</v>
      </c>
      <c r="D213" t="s">
        <v>70</v>
      </c>
      <c r="E213" t="s">
        <v>697</v>
      </c>
      <c r="F213" s="10">
        <v>419000</v>
      </c>
      <c r="G213" t="s">
        <v>132</v>
      </c>
      <c r="H213" s="1">
        <v>1230</v>
      </c>
      <c r="I213">
        <v>4800</v>
      </c>
      <c r="J213">
        <v>2</v>
      </c>
      <c r="K213">
        <v>2</v>
      </c>
      <c r="L213">
        <v>1</v>
      </c>
      <c r="M213" s="2" t="str">
        <f>HYPERLINK("http://www.windermere.com/index.cfm?fuseaction=Listing.MapPropertyInteractive&amp;ListingID=18819961&amp;resize=true&amp;windowWidth=800&amp;windowHeight=600","Map")</f>
        <v>Map</v>
      </c>
      <c r="N213" s="2" t="str">
        <f>HYPERLINK("http://locmedia.nwmls.com/DO_NOT_LINK/bigphoto/381/27187381.jpg?tsp=20071023113846","Photo")</f>
        <v>Photo</v>
      </c>
      <c r="O213" s="2" t="str">
        <f>HYPERLINK("http://www.windermere.com/index.cfm?fuseaction=Listing.MultiImageViewer&amp;ListingID=18819961&amp;ln=27187381&amp;pub_mls=1","More")</f>
        <v>More</v>
      </c>
      <c r="P213" t="s">
        <v>44</v>
      </c>
      <c r="Q213" t="s">
        <v>937</v>
      </c>
      <c r="R213" t="s">
        <v>57</v>
      </c>
      <c r="S213" t="s">
        <v>58</v>
      </c>
      <c r="T213" t="s">
        <v>50</v>
      </c>
      <c r="U213" t="s">
        <v>44</v>
      </c>
      <c r="V213" t="s">
        <v>938</v>
      </c>
      <c r="X213" t="s">
        <v>47</v>
      </c>
      <c r="Y213" t="s">
        <v>48</v>
      </c>
      <c r="Z213" t="s">
        <v>939</v>
      </c>
      <c r="AB213">
        <v>2006</v>
      </c>
      <c r="AC213">
        <v>2998</v>
      </c>
      <c r="AD213" t="s">
        <v>940</v>
      </c>
      <c r="AE213" t="s">
        <v>941</v>
      </c>
      <c r="AF213" t="s">
        <v>942</v>
      </c>
      <c r="AG213">
        <v>47.714475</v>
      </c>
      <c r="AH213">
        <v>-122.35021399999999</v>
      </c>
      <c r="AI213" t="s">
        <v>66</v>
      </c>
      <c r="AJ213">
        <v>98133</v>
      </c>
      <c r="AK213" t="s">
        <v>41</v>
      </c>
      <c r="AL213">
        <v>9</v>
      </c>
      <c r="AM213" t="s">
        <v>40</v>
      </c>
      <c r="AO213">
        <v>0.11</v>
      </c>
      <c r="AP213" t="s">
        <v>943</v>
      </c>
      <c r="AQ213">
        <v>504</v>
      </c>
      <c r="AR213" t="s">
        <v>71</v>
      </c>
      <c r="AS213" t="s">
        <v>698</v>
      </c>
      <c r="AT213">
        <v>18819961</v>
      </c>
      <c r="AU213" s="12">
        <v>39495</v>
      </c>
      <c r="BA213" t="s">
        <v>911</v>
      </c>
      <c r="BB213" t="s">
        <v>911</v>
      </c>
      <c r="BC213" s="7">
        <v>39371</v>
      </c>
      <c r="BD213">
        <v>2</v>
      </c>
      <c r="BE213" t="s">
        <v>1405</v>
      </c>
      <c r="BG213">
        <v>124</v>
      </c>
      <c r="BH213" s="17">
        <f t="shared" ca="1" si="3"/>
        <v>178</v>
      </c>
      <c r="BI213" s="17"/>
      <c r="BJ213" s="17"/>
    </row>
    <row r="214" spans="1:63" hidden="1">
      <c r="A214">
        <v>28004081</v>
      </c>
      <c r="B214" s="2" t="str">
        <f>HYPERLINK("http://www.windermere.com/index.cfm?fuseaction=Listing.ListingDetail&amp;ListingID=19174355","Active")</f>
        <v>Active</v>
      </c>
      <c r="D214" t="s">
        <v>199</v>
      </c>
      <c r="E214" t="s">
        <v>695</v>
      </c>
      <c r="F214" s="10">
        <v>419000</v>
      </c>
      <c r="G214" t="s">
        <v>168</v>
      </c>
      <c r="H214" s="1">
        <v>1840</v>
      </c>
      <c r="I214">
        <v>6343</v>
      </c>
      <c r="J214">
        <v>4</v>
      </c>
      <c r="K214">
        <v>2</v>
      </c>
      <c r="M214" s="2" t="str">
        <f>HYPERLINK("http://www.windermere.com/index.cfm?fuseaction=Listing.MapPropertyInteractive&amp;ListingID=19174355&amp;resize=true&amp;windowWidth=800&amp;windowHeight=600","Map")</f>
        <v>Map</v>
      </c>
      <c r="O214" s="2" t="str">
        <f>HYPERLINK("http://www.windermere.com/index.cfm?fuseaction=Listing.MultiImageViewer&amp;ListingID=19174355&amp;ln=28004081&amp;pub_mls=1","More")</f>
        <v>More</v>
      </c>
      <c r="AI214" t="s">
        <v>66</v>
      </c>
      <c r="AJ214">
        <v>98125</v>
      </c>
      <c r="AS214" t="s">
        <v>696</v>
      </c>
      <c r="AT214">
        <v>19174355</v>
      </c>
      <c r="AU214" s="12">
        <v>39495</v>
      </c>
      <c r="BB214" t="s">
        <v>911</v>
      </c>
      <c r="BC214" s="7">
        <v>39454</v>
      </c>
      <c r="BG214">
        <v>41</v>
      </c>
      <c r="BH214" s="17">
        <f t="shared" ca="1" si="3"/>
        <v>95</v>
      </c>
      <c r="BI214" s="17"/>
      <c r="BJ214" s="17"/>
    </row>
    <row r="215" spans="1:63" hidden="1">
      <c r="A215">
        <v>28014970</v>
      </c>
      <c r="B215" s="15" t="str">
        <f>HYPERLINK("http://www.windermere.com/index.cfm?fuseaction=Listing.ListingDetail&amp;ListingID=19280733","Subject To Inspection")</f>
        <v>Subject To Inspection</v>
      </c>
      <c r="D215" t="s">
        <v>218</v>
      </c>
      <c r="E215" t="s">
        <v>693</v>
      </c>
      <c r="F215" s="10">
        <v>419000</v>
      </c>
      <c r="G215" t="s">
        <v>403</v>
      </c>
      <c r="H215" s="1">
        <v>1810</v>
      </c>
      <c r="I215">
        <v>1454</v>
      </c>
      <c r="J215">
        <v>3</v>
      </c>
      <c r="K215">
        <v>3.5</v>
      </c>
      <c r="M215" s="2" t="str">
        <f>HYPERLINK("http://www.windermere.com/index.cfm?fuseaction=Listing.MapPropertyInteractive&amp;ListingID=19280733&amp;resize=true&amp;windowWidth=800&amp;windowHeight=600","Map")</f>
        <v>Map</v>
      </c>
      <c r="O215" s="2" t="str">
        <f>HYPERLINK("http://www.windermere.com/index.cfm?fuseaction=Listing.MultiImageViewer&amp;ListingID=19280733&amp;ln=28014970&amp;pub_mls=1","More")</f>
        <v>More</v>
      </c>
      <c r="P215" t="s">
        <v>44</v>
      </c>
      <c r="AI215" t="s">
        <v>66</v>
      </c>
      <c r="AJ215">
        <v>98115</v>
      </c>
      <c r="AS215" t="s">
        <v>694</v>
      </c>
      <c r="AT215">
        <v>19280733</v>
      </c>
      <c r="AU215" s="12">
        <v>39495</v>
      </c>
      <c r="BB215" t="s">
        <v>911</v>
      </c>
      <c r="BC215" s="7">
        <v>39472</v>
      </c>
      <c r="BD215">
        <v>-3</v>
      </c>
      <c r="BE215" t="s">
        <v>1440</v>
      </c>
      <c r="BG215">
        <v>23</v>
      </c>
      <c r="BH215" s="17">
        <f t="shared" ca="1" si="3"/>
        <v>77</v>
      </c>
      <c r="BI215" s="17"/>
      <c r="BJ215" s="17"/>
    </row>
    <row r="216" spans="1:63" hidden="1">
      <c r="A216">
        <v>28024362</v>
      </c>
      <c r="B216" s="2" t="str">
        <f>HYPERLINK("http://www.windermere.com/index.cfm?fuseaction=Listing.ListingDetail&amp;ListingID=19346825","Active")</f>
        <v>Active</v>
      </c>
      <c r="D216" t="s">
        <v>100</v>
      </c>
      <c r="E216" t="s">
        <v>699</v>
      </c>
      <c r="F216" s="10">
        <v>419500</v>
      </c>
      <c r="G216" t="s">
        <v>147</v>
      </c>
      <c r="H216" s="1">
        <v>1230</v>
      </c>
      <c r="J216">
        <v>2</v>
      </c>
      <c r="K216">
        <v>2.5</v>
      </c>
      <c r="M216" s="2" t="str">
        <f>HYPERLINK("http://www.windermere.com/index.cfm?fuseaction=Listing.MapPropertyInteractive&amp;ListingID=19346825&amp;resize=true&amp;windowWidth=800&amp;windowHeight=600","Map")</f>
        <v>Map</v>
      </c>
      <c r="O216" s="2" t="str">
        <f>HYPERLINK("http://www.windermere.com/index.cfm?fuseaction=Listing.MultiImageViewer&amp;ListingID=19346825&amp;ln=28024362&amp;pub_mls=1","More")</f>
        <v>More</v>
      </c>
      <c r="P216" t="s">
        <v>44</v>
      </c>
      <c r="AI216" t="s">
        <v>66</v>
      </c>
      <c r="AJ216">
        <v>98103</v>
      </c>
      <c r="AS216" t="s">
        <v>700</v>
      </c>
      <c r="AT216">
        <v>19346825</v>
      </c>
      <c r="AU216" s="12">
        <v>39495</v>
      </c>
      <c r="BB216" t="s">
        <v>911</v>
      </c>
      <c r="BC216" s="7">
        <v>39487</v>
      </c>
      <c r="BG216">
        <v>8</v>
      </c>
      <c r="BH216" s="17">
        <f t="shared" ca="1" si="3"/>
        <v>62</v>
      </c>
      <c r="BI216" s="17"/>
      <c r="BJ216" s="17"/>
    </row>
    <row r="217" spans="1:63" hidden="1">
      <c r="A217">
        <v>27172676</v>
      </c>
      <c r="B217" s="15" t="str">
        <f>HYPERLINK("http://www.windermere.com/index.cfm?fuseaction=Listing.ListingDetail&amp;ListingID=18672444","Subject To Inspection")</f>
        <v>Subject To Inspection</v>
      </c>
      <c r="D217" t="s">
        <v>100</v>
      </c>
      <c r="E217" t="s">
        <v>701</v>
      </c>
      <c r="F217" s="10">
        <v>419950</v>
      </c>
      <c r="G217" t="s">
        <v>147</v>
      </c>
      <c r="H217" s="1">
        <v>1140</v>
      </c>
      <c r="J217">
        <v>2</v>
      </c>
      <c r="K217">
        <v>1.5</v>
      </c>
      <c r="M217" s="2" t="str">
        <f>HYPERLINK("http://www.windermere.com/index.cfm?fuseaction=Listing.MapPropertyInteractive&amp;ListingID=18672444&amp;resize=true&amp;windowWidth=800&amp;windowHeight=600","Map")</f>
        <v>Map</v>
      </c>
      <c r="O217" s="2" t="str">
        <f>HYPERLINK("http://www.windermere.com/index.cfm?fuseaction=Listing.MultiImageViewer&amp;ListingID=18672444&amp;ln=27172676&amp;pub_mls=1","More")</f>
        <v>More</v>
      </c>
      <c r="P217" t="s">
        <v>44</v>
      </c>
      <c r="AI217" t="s">
        <v>66</v>
      </c>
      <c r="AJ217">
        <v>98103</v>
      </c>
      <c r="AS217" t="s">
        <v>702</v>
      </c>
      <c r="AT217">
        <v>18672444</v>
      </c>
      <c r="AU217" s="12">
        <v>39495</v>
      </c>
      <c r="BB217" t="s">
        <v>911</v>
      </c>
      <c r="BC217" s="7">
        <v>39345</v>
      </c>
      <c r="BG217">
        <v>150</v>
      </c>
      <c r="BH217" s="17">
        <f t="shared" ca="1" si="3"/>
        <v>204</v>
      </c>
      <c r="BI217" s="17"/>
      <c r="BJ217" s="17"/>
    </row>
    <row r="218" spans="1:63" hidden="1">
      <c r="A218">
        <v>27197076</v>
      </c>
      <c r="B218" s="2" t="str">
        <f>HYPERLINK("http://www.windermere.com/index.cfm?fuseaction=Listing.ListingDetail&amp;ListingID=18915737","Active")</f>
        <v>Active</v>
      </c>
      <c r="D218" t="s">
        <v>60</v>
      </c>
      <c r="E218" t="s">
        <v>703</v>
      </c>
      <c r="F218" s="10">
        <v>419950</v>
      </c>
      <c r="G218" t="s">
        <v>147</v>
      </c>
      <c r="H218" s="1">
        <v>1285</v>
      </c>
      <c r="J218">
        <v>2</v>
      </c>
      <c r="K218">
        <v>2.5</v>
      </c>
      <c r="M218" s="2" t="str">
        <f>HYPERLINK("http://www.windermere.com/index.cfm?fuseaction=Listing.MapPropertyInteractive&amp;ListingID=18915737&amp;resize=true&amp;windowWidth=800&amp;windowHeight=600","Map")</f>
        <v>Map</v>
      </c>
      <c r="O218" s="2" t="str">
        <f>HYPERLINK("http://www.windermere.com/index.cfm?fuseaction=Listing.MultiImageViewer&amp;ListingID=18915737&amp;ln=27197076&amp;pub_mls=1","More")</f>
        <v>More</v>
      </c>
      <c r="P218" t="s">
        <v>44</v>
      </c>
      <c r="AI218" t="s">
        <v>66</v>
      </c>
      <c r="AJ218">
        <v>98115</v>
      </c>
      <c r="AS218" t="s">
        <v>704</v>
      </c>
      <c r="AT218">
        <v>18915737</v>
      </c>
      <c r="AU218" s="12">
        <v>39495</v>
      </c>
      <c r="BB218" t="s">
        <v>911</v>
      </c>
      <c r="BC218" s="7">
        <v>39391</v>
      </c>
      <c r="BG218">
        <v>104</v>
      </c>
      <c r="BH218" s="17">
        <f t="shared" ca="1" si="3"/>
        <v>158</v>
      </c>
      <c r="BI218" s="17"/>
      <c r="BJ218" s="17"/>
    </row>
    <row r="219" spans="1:63" hidden="1">
      <c r="A219">
        <v>28019953</v>
      </c>
      <c r="B219" s="2" t="str">
        <f>HYPERLINK("http://www.windermere.com/index.cfm?fuseaction=Listing.ListingDetail&amp;ListingID=19312784","Active")</f>
        <v>Active</v>
      </c>
      <c r="C219">
        <v>710</v>
      </c>
      <c r="D219" t="s">
        <v>188</v>
      </c>
      <c r="E219" t="s">
        <v>209</v>
      </c>
      <c r="F219" s="10">
        <v>419950</v>
      </c>
      <c r="G219" t="s">
        <v>176</v>
      </c>
      <c r="H219" s="1">
        <v>2540</v>
      </c>
      <c r="I219">
        <v>4950</v>
      </c>
      <c r="J219">
        <v>3</v>
      </c>
      <c r="K219">
        <v>2.75</v>
      </c>
      <c r="L219">
        <v>2</v>
      </c>
      <c r="M219" s="2" t="str">
        <f>HYPERLINK("http://www.windermere.com/index.cfm?fuseaction=Listing.MapPropertyInteractive&amp;ListingID=19312784&amp;resize=true&amp;windowWidth=800&amp;windowHeight=600","Map")</f>
        <v>Map</v>
      </c>
      <c r="N219" s="2" t="str">
        <f>HYPERLINK("http://locmedia.nwmls.com/DO_NOT_LINK/bigphoto/953/28019953.jpg?tsp=20080201191711","Photo")</f>
        <v>Photo</v>
      </c>
      <c r="O219" s="2" t="str">
        <f>HYPERLINK("http://www.windermere.com/index.cfm?fuseaction=Listing.MultiImageViewer&amp;ListingID=19312784&amp;ln=28019953&amp;pub_mls=1","More")</f>
        <v>More</v>
      </c>
      <c r="Q219" t="s">
        <v>82</v>
      </c>
      <c r="R219" t="s">
        <v>72</v>
      </c>
      <c r="S219" t="s">
        <v>53</v>
      </c>
      <c r="T219" t="s">
        <v>77</v>
      </c>
      <c r="X219" t="s">
        <v>47</v>
      </c>
      <c r="Y219" t="s">
        <v>48</v>
      </c>
      <c r="Z219" t="s">
        <v>103</v>
      </c>
      <c r="AB219">
        <v>2007</v>
      </c>
      <c r="AC219">
        <v>3200</v>
      </c>
      <c r="AD219" t="s">
        <v>992</v>
      </c>
      <c r="AE219" t="s">
        <v>210</v>
      </c>
      <c r="AF219" t="s">
        <v>75</v>
      </c>
      <c r="AG219">
        <v>47.713189</v>
      </c>
      <c r="AH219">
        <v>-122.294954</v>
      </c>
      <c r="AI219" t="s">
        <v>66</v>
      </c>
      <c r="AJ219">
        <v>98125</v>
      </c>
      <c r="AK219" t="s">
        <v>41</v>
      </c>
      <c r="AL219" t="s">
        <v>40</v>
      </c>
      <c r="AM219" t="s">
        <v>40</v>
      </c>
      <c r="AO219">
        <v>0.114</v>
      </c>
      <c r="AP219" t="s">
        <v>993</v>
      </c>
      <c r="AQ219">
        <v>505</v>
      </c>
      <c r="AR219" t="s">
        <v>211</v>
      </c>
      <c r="AS219" t="s">
        <v>1122</v>
      </c>
      <c r="AT219">
        <v>19312784</v>
      </c>
      <c r="AU219" s="12">
        <v>39495</v>
      </c>
      <c r="BA219" t="s">
        <v>911</v>
      </c>
      <c r="BB219" t="s">
        <v>911</v>
      </c>
      <c r="BC219" s="7">
        <v>39479</v>
      </c>
      <c r="BG219">
        <v>16</v>
      </c>
      <c r="BH219" s="17">
        <f t="shared" ca="1" si="3"/>
        <v>70</v>
      </c>
      <c r="BI219" s="17"/>
      <c r="BJ219" s="17"/>
    </row>
    <row r="220" spans="1:63" hidden="1">
      <c r="A220">
        <v>28021761</v>
      </c>
      <c r="B220" s="2" t="str">
        <f>HYPERLINK("http://www.windermere.com/index.cfm?fuseaction=Listing.ListingDetail&amp;ListingID=19327024","Active")</f>
        <v>Active</v>
      </c>
      <c r="C220">
        <v>710</v>
      </c>
      <c r="D220" t="s">
        <v>199</v>
      </c>
      <c r="E220" t="s">
        <v>705</v>
      </c>
      <c r="F220" s="10">
        <v>419950</v>
      </c>
      <c r="G220" t="s">
        <v>156</v>
      </c>
      <c r="H220" s="1">
        <v>2200</v>
      </c>
      <c r="I220">
        <v>4684</v>
      </c>
      <c r="J220">
        <v>4</v>
      </c>
      <c r="K220">
        <v>1.75</v>
      </c>
      <c r="L220">
        <v>2</v>
      </c>
      <c r="M220" s="2" t="str">
        <f>HYPERLINK("http://www.windermere.com/index.cfm?fuseaction=Listing.MapPropertyInteractive&amp;ListingID=19327024&amp;resize=true&amp;windowWidth=800&amp;windowHeight=600","Map")</f>
        <v>Map</v>
      </c>
      <c r="N220" s="2" t="str">
        <f>HYPERLINK("http://locmedia.nwmls.com/DO_NOT_LINK/bigphoto/761/28021761.jpg?tsp=20080206124209","Photo")</f>
        <v>Photo</v>
      </c>
      <c r="O220" s="2" t="str">
        <f>HYPERLINK("http://www.windermere.com/index.cfm?fuseaction=Listing.MultiImageViewer&amp;ListingID=19327024&amp;ln=28021761&amp;pub_mls=1","More")</f>
        <v>More</v>
      </c>
      <c r="Q220" t="s">
        <v>56</v>
      </c>
      <c r="R220" t="s">
        <v>67</v>
      </c>
      <c r="S220" t="s">
        <v>212</v>
      </c>
      <c r="T220" t="s">
        <v>62</v>
      </c>
      <c r="U220" t="s">
        <v>44</v>
      </c>
      <c r="X220" t="s">
        <v>47</v>
      </c>
      <c r="Y220" t="s">
        <v>48</v>
      </c>
      <c r="Z220" t="s">
        <v>68</v>
      </c>
      <c r="AA220" t="s">
        <v>107</v>
      </c>
      <c r="AB220">
        <v>2007</v>
      </c>
      <c r="AC220">
        <v>2770</v>
      </c>
      <c r="AD220" t="s">
        <v>989</v>
      </c>
      <c r="AE220" t="s">
        <v>51</v>
      </c>
      <c r="AF220" t="s">
        <v>990</v>
      </c>
      <c r="AG220">
        <v>47.727043000000002</v>
      </c>
      <c r="AH220">
        <v>-122.304028</v>
      </c>
      <c r="AI220" t="s">
        <v>66</v>
      </c>
      <c r="AJ220">
        <v>98125</v>
      </c>
      <c r="AK220" t="s">
        <v>41</v>
      </c>
      <c r="AL220">
        <v>8</v>
      </c>
      <c r="AM220" t="s">
        <v>40</v>
      </c>
      <c r="AO220">
        <v>0.108</v>
      </c>
      <c r="AP220" t="s">
        <v>991</v>
      </c>
      <c r="AQ220">
        <v>505</v>
      </c>
      <c r="AR220" t="s">
        <v>105</v>
      </c>
      <c r="AS220" t="s">
        <v>706</v>
      </c>
      <c r="AT220">
        <v>19327024</v>
      </c>
      <c r="AU220" s="12">
        <v>39495</v>
      </c>
      <c r="BA220" t="s">
        <v>911</v>
      </c>
      <c r="BB220" t="s">
        <v>911</v>
      </c>
      <c r="BC220" s="7">
        <v>39483</v>
      </c>
      <c r="BG220">
        <v>12</v>
      </c>
      <c r="BH220" s="17">
        <f t="shared" ca="1" si="3"/>
        <v>66</v>
      </c>
      <c r="BI220" s="17"/>
      <c r="BJ220" s="17"/>
    </row>
    <row r="221" spans="1:63" hidden="1">
      <c r="A221">
        <v>28003703</v>
      </c>
      <c r="B221" s="2" t="str">
        <f>HYPERLINK("http://www.windermere.com/index.cfm?fuseaction=Listing.ListingDetail&amp;ListingID=19172134","Active")</f>
        <v>Active</v>
      </c>
      <c r="D221" t="s">
        <v>63</v>
      </c>
      <c r="E221" t="s">
        <v>707</v>
      </c>
      <c r="F221" s="10">
        <v>420000</v>
      </c>
      <c r="G221" t="s">
        <v>147</v>
      </c>
      <c r="J221">
        <v>2</v>
      </c>
      <c r="K221">
        <v>1.5</v>
      </c>
      <c r="M221" s="2" t="str">
        <f>HYPERLINK("http://www.windermere.com/index.cfm?fuseaction=Listing.MapPropertyInteractive&amp;ListingID=19172134&amp;resize=true&amp;windowWidth=800&amp;windowHeight=600","Map")</f>
        <v>Map</v>
      </c>
      <c r="O221" s="2" t="str">
        <f>HYPERLINK("http://www.windermere.com/index.cfm?fuseaction=Listing.MultiImageViewer&amp;ListingID=19172134&amp;ln=28003703&amp;pub_mls=1","More")</f>
        <v>More</v>
      </c>
      <c r="AI221" t="s">
        <v>66</v>
      </c>
      <c r="AJ221">
        <v>98107</v>
      </c>
      <c r="AS221" t="s">
        <v>708</v>
      </c>
      <c r="AT221">
        <v>19172134</v>
      </c>
      <c r="AU221" s="12">
        <v>39495</v>
      </c>
      <c r="BB221" t="s">
        <v>911</v>
      </c>
      <c r="BC221" s="7">
        <v>39453</v>
      </c>
      <c r="BG221">
        <v>42</v>
      </c>
      <c r="BH221" s="17">
        <f t="shared" ca="1" si="3"/>
        <v>96</v>
      </c>
      <c r="BI221" s="17"/>
      <c r="BJ221" s="17"/>
    </row>
    <row r="222" spans="1:63" hidden="1">
      <c r="A222">
        <v>28023230</v>
      </c>
      <c r="B222" s="2" t="str">
        <f>HYPERLINK("http://www.windermere.com/index.cfm?fuseaction=Listing.ListingDetail&amp;ListingID=19341714","Active")</f>
        <v>Active</v>
      </c>
      <c r="C222">
        <v>705</v>
      </c>
      <c r="D222" t="s">
        <v>63</v>
      </c>
      <c r="E222" t="s">
        <v>709</v>
      </c>
      <c r="F222" s="10">
        <v>420000</v>
      </c>
      <c r="G222" t="s">
        <v>162</v>
      </c>
      <c r="H222" s="1">
        <v>1700</v>
      </c>
      <c r="I222">
        <v>3135</v>
      </c>
      <c r="J222">
        <v>3</v>
      </c>
      <c r="K222">
        <v>1.5</v>
      </c>
      <c r="L222">
        <v>1</v>
      </c>
      <c r="M222" s="2" t="str">
        <f>HYPERLINK("http://www.windermere.com/index.cfm?fuseaction=Listing.MapPropertyInteractive&amp;ListingID=19341714&amp;resize=true&amp;windowWidth=800&amp;windowHeight=600","Map")</f>
        <v>Map</v>
      </c>
      <c r="N222" s="2" t="str">
        <f>HYPERLINK("http://locmedia.nwmls.com/DO_NOT_LINK/bigphoto/230/28023230.jpg?tsp=20080209142617","Photo")</f>
        <v>Photo</v>
      </c>
      <c r="O222" s="2" t="str">
        <f>HYPERLINK("http://www.windermere.com/index.cfm?fuseaction=Listing.MultiImageViewer&amp;ListingID=19341714&amp;ln=28023230&amp;pub_mls=1","More")</f>
        <v>More</v>
      </c>
      <c r="P222" t="s">
        <v>44</v>
      </c>
      <c r="Q222" t="s">
        <v>56</v>
      </c>
      <c r="R222" t="s">
        <v>67</v>
      </c>
      <c r="S222" t="s">
        <v>944</v>
      </c>
      <c r="T222" t="s">
        <v>54</v>
      </c>
      <c r="U222" t="s">
        <v>44</v>
      </c>
      <c r="X222" t="s">
        <v>47</v>
      </c>
      <c r="Y222" t="s">
        <v>48</v>
      </c>
      <c r="Z222" t="s">
        <v>87</v>
      </c>
      <c r="AA222" t="s">
        <v>33</v>
      </c>
      <c r="AB222">
        <v>2007</v>
      </c>
      <c r="AC222">
        <v>3104</v>
      </c>
      <c r="AD222" t="s">
        <v>945</v>
      </c>
      <c r="AF222" t="s">
        <v>111</v>
      </c>
      <c r="AG222">
        <v>47.669441999999997</v>
      </c>
      <c r="AH222">
        <v>-122.370991</v>
      </c>
      <c r="AI222" t="s">
        <v>66</v>
      </c>
      <c r="AJ222">
        <v>98107</v>
      </c>
      <c r="AK222" t="s">
        <v>41</v>
      </c>
      <c r="AL222" t="s">
        <v>40</v>
      </c>
      <c r="AM222" t="s">
        <v>40</v>
      </c>
      <c r="AO222">
        <v>7.1999999999999995E-2</v>
      </c>
      <c r="AP222" t="s">
        <v>946</v>
      </c>
      <c r="AQ222">
        <v>534</v>
      </c>
      <c r="AR222" t="s">
        <v>947</v>
      </c>
      <c r="AS222" t="s">
        <v>710</v>
      </c>
      <c r="AT222">
        <v>19341714</v>
      </c>
      <c r="AU222" s="12">
        <v>39495</v>
      </c>
      <c r="BA222" t="s">
        <v>911</v>
      </c>
      <c r="BB222" t="s">
        <v>911</v>
      </c>
      <c r="BC222" s="7">
        <v>39486</v>
      </c>
      <c r="BG222">
        <v>9</v>
      </c>
      <c r="BH222" s="17">
        <f t="shared" ca="1" si="3"/>
        <v>63</v>
      </c>
      <c r="BI222" s="17"/>
      <c r="BJ222" s="17"/>
    </row>
    <row r="223" spans="1:63" hidden="1">
      <c r="A223">
        <v>28028089</v>
      </c>
      <c r="B223" s="15" t="str">
        <f>HYPERLINK("http://www.windermere.com/index.cfm?fuseaction=Listing.ListingDetail&amp;ListingID=19377990","Subject To Inspection")</f>
        <v>Subject To Inspection</v>
      </c>
      <c r="D223" t="s">
        <v>63</v>
      </c>
      <c r="E223" t="s">
        <v>289</v>
      </c>
      <c r="F223" s="10">
        <v>424500</v>
      </c>
      <c r="G223" t="s">
        <v>246</v>
      </c>
      <c r="H223" s="1">
        <v>1500</v>
      </c>
      <c r="J223">
        <v>3</v>
      </c>
      <c r="K223">
        <v>3.25</v>
      </c>
      <c r="M223" s="2" t="str">
        <f>HYPERLINK("http://www.windermere.com/index.cfm?fuseaction=Listing.MapPropertyInteractive&amp;ListingID=19377990&amp;resize=true&amp;windowWidth=800&amp;windowHeight=600","Map")</f>
        <v>Map</v>
      </c>
      <c r="O223" s="2" t="str">
        <f>HYPERLINK("http://www.windermere.com/index.cfm?fuseaction=Listing.MultiImageViewer&amp;ListingID=19377990&amp;ln=28028089&amp;pub_mls=1","More")</f>
        <v>More</v>
      </c>
      <c r="P223" t="s">
        <v>44</v>
      </c>
      <c r="AI223" t="s">
        <v>66</v>
      </c>
      <c r="AJ223">
        <v>98117</v>
      </c>
      <c r="AS223" t="s">
        <v>290</v>
      </c>
      <c r="AT223">
        <v>19377990</v>
      </c>
      <c r="AU223" s="12">
        <v>39495</v>
      </c>
      <c r="BB223" t="s">
        <v>911</v>
      </c>
      <c r="BC223" s="7">
        <v>39493</v>
      </c>
      <c r="BD223">
        <v>-3</v>
      </c>
      <c r="BE223" t="s">
        <v>1406</v>
      </c>
      <c r="BG223" s="6">
        <v>2</v>
      </c>
      <c r="BH223" s="17">
        <f t="shared" ca="1" si="3"/>
        <v>56</v>
      </c>
      <c r="BI223" s="17"/>
      <c r="BJ223" s="17"/>
    </row>
    <row r="224" spans="1:63" hidden="1">
      <c r="A224">
        <v>28000429</v>
      </c>
      <c r="B224" s="2" t="str">
        <f>HYPERLINK("http://www.windermere.com/index.cfm?fuseaction=Listing.ListingDetail&amp;ListingID=19145144","Active")</f>
        <v>Active</v>
      </c>
      <c r="D224" t="s">
        <v>204</v>
      </c>
      <c r="E224" s="3" t="s">
        <v>1547</v>
      </c>
      <c r="F224" s="13">
        <v>399950</v>
      </c>
      <c r="G224" t="s">
        <v>147</v>
      </c>
      <c r="H224" s="1">
        <v>1822</v>
      </c>
      <c r="J224">
        <v>3</v>
      </c>
      <c r="K224">
        <v>3</v>
      </c>
      <c r="M224" s="2" t="str">
        <f>HYPERLINK("http://www.windermere.com/index.cfm?fuseaction=Listing.MapPropertyInteractive&amp;ListingID=19145144&amp;resize=true&amp;windowWidth=800&amp;windowHeight=600","Map")</f>
        <v>Map</v>
      </c>
      <c r="O224" s="2" t="str">
        <f>HYPERLINK("http://www.windermere.com/index.cfm?fuseaction=Listing.MultiImageViewer&amp;ListingID=19145144&amp;ln=28000429&amp;pub_mls=1","More")</f>
        <v>More</v>
      </c>
      <c r="AI224" t="s">
        <v>66</v>
      </c>
      <c r="AJ224">
        <v>98125</v>
      </c>
      <c r="AS224" t="s">
        <v>711</v>
      </c>
      <c r="AT224">
        <v>19145144</v>
      </c>
      <c r="AU224" s="12">
        <v>39495</v>
      </c>
      <c r="BB224" t="s">
        <v>911</v>
      </c>
      <c r="BC224" s="7">
        <v>39449</v>
      </c>
      <c r="BD224">
        <v>-3</v>
      </c>
      <c r="BE224" t="s">
        <v>1562</v>
      </c>
      <c r="BG224" s="6">
        <v>46</v>
      </c>
      <c r="BH224" s="17">
        <f t="shared" ca="1" si="3"/>
        <v>100</v>
      </c>
      <c r="BI224" s="17"/>
      <c r="BJ224" s="17"/>
    </row>
    <row r="225" spans="1:62" hidden="1">
      <c r="A225">
        <v>28008476</v>
      </c>
      <c r="B225" s="2" t="str">
        <f>HYPERLINK("http://www.windermere.com/index.cfm?fuseaction=Listing.ListingDetail&amp;ListingID=19221188","Active")</f>
        <v>Active</v>
      </c>
      <c r="D225" t="s">
        <v>60</v>
      </c>
      <c r="E225" t="s">
        <v>712</v>
      </c>
      <c r="F225" s="10">
        <v>424950</v>
      </c>
      <c r="G225" t="s">
        <v>246</v>
      </c>
      <c r="H225" s="14">
        <v>1800</v>
      </c>
      <c r="I225">
        <v>1120</v>
      </c>
      <c r="J225">
        <v>3</v>
      </c>
      <c r="K225">
        <v>3</v>
      </c>
      <c r="M225" s="2" t="str">
        <f>HYPERLINK("http://www.windermere.com/index.cfm?fuseaction=Listing.MapPropertyInteractive&amp;ListingID=19221188&amp;resize=true&amp;windowWidth=800&amp;windowHeight=600","Map")</f>
        <v>Map</v>
      </c>
      <c r="P225" t="s">
        <v>44</v>
      </c>
      <c r="AI225" t="s">
        <v>66</v>
      </c>
      <c r="AJ225">
        <v>98103</v>
      </c>
      <c r="AS225" t="s">
        <v>713</v>
      </c>
      <c r="AT225">
        <v>19221188</v>
      </c>
      <c r="AU225" s="12">
        <v>39495</v>
      </c>
      <c r="BB225" t="s">
        <v>911</v>
      </c>
      <c r="BC225" s="7">
        <v>39461</v>
      </c>
      <c r="BG225">
        <v>34</v>
      </c>
      <c r="BH225" s="17">
        <f t="shared" ca="1" si="3"/>
        <v>88</v>
      </c>
      <c r="BI225" s="17"/>
      <c r="BJ225" s="17"/>
    </row>
    <row r="226" spans="1:62" hidden="1">
      <c r="A226">
        <v>28019710</v>
      </c>
      <c r="B226" s="2" t="str">
        <f>HYPERLINK("http://www.windermere.com/index.cfm?fuseaction=Listing.ListingDetail&amp;ListingID=19311311","Active")</f>
        <v>Active</v>
      </c>
      <c r="D226" t="s">
        <v>194</v>
      </c>
      <c r="E226" t="s">
        <v>197</v>
      </c>
      <c r="F226" s="10">
        <v>424950</v>
      </c>
      <c r="G226" t="s">
        <v>124</v>
      </c>
      <c r="H226">
        <v>930</v>
      </c>
      <c r="I226">
        <v>8280</v>
      </c>
      <c r="J226">
        <v>2</v>
      </c>
      <c r="K226">
        <v>1</v>
      </c>
      <c r="M226" s="2" t="str">
        <f>HYPERLINK("http://www.windermere.com/index.cfm?fuseaction=Listing.MapPropertyInteractive&amp;ListingID=19311311&amp;resize=true&amp;windowWidth=800&amp;windowHeight=600","Map")</f>
        <v>Map</v>
      </c>
      <c r="O226" s="2" t="str">
        <f>HYPERLINK("http://www.windermere.com/index.cfm?fuseaction=Listing.MultiImageViewer&amp;ListingID=19311311&amp;ln=28019710&amp;pub_mls=1","More")</f>
        <v>More</v>
      </c>
      <c r="AI226" t="s">
        <v>66</v>
      </c>
      <c r="AJ226">
        <v>98125</v>
      </c>
      <c r="AS226" t="s">
        <v>1123</v>
      </c>
      <c r="AT226">
        <v>19311311</v>
      </c>
      <c r="AU226" s="12">
        <v>39495</v>
      </c>
      <c r="BB226" t="s">
        <v>911</v>
      </c>
      <c r="BC226" s="7">
        <v>39479</v>
      </c>
      <c r="BG226">
        <v>16</v>
      </c>
      <c r="BH226" s="17">
        <f t="shared" ca="1" si="3"/>
        <v>70</v>
      </c>
      <c r="BI226" s="17"/>
      <c r="BJ226" s="17"/>
    </row>
    <row r="227" spans="1:62" hidden="1">
      <c r="A227">
        <v>28012553</v>
      </c>
      <c r="B227" s="2" t="str">
        <f>HYPERLINK("http://www.windermere.com/index.cfm?fuseaction=Listing.ListingDetail&amp;ListingID=19255159","Active")</f>
        <v>Active</v>
      </c>
      <c r="D227" t="s">
        <v>88</v>
      </c>
      <c r="E227" t="s">
        <v>716</v>
      </c>
      <c r="F227" s="10">
        <v>425000</v>
      </c>
      <c r="G227" t="s">
        <v>717</v>
      </c>
      <c r="H227" s="1">
        <v>1920</v>
      </c>
      <c r="J227">
        <v>2</v>
      </c>
      <c r="K227">
        <v>1</v>
      </c>
      <c r="M227" s="2" t="str">
        <f>HYPERLINK("http://www.windermere.com/index.cfm?fuseaction=Listing.MapPropertyInteractive&amp;ListingID=19255159&amp;resize=true&amp;windowWidth=800&amp;windowHeight=600","Map")</f>
        <v>Map</v>
      </c>
      <c r="O227" s="2" t="str">
        <f>HYPERLINK("http://www.windermere.com/index.cfm?fuseaction=viewGallery.Home&amp;customTourID=204986&amp;wvt=0","More")</f>
        <v>More</v>
      </c>
      <c r="AI227" t="s">
        <v>66</v>
      </c>
      <c r="AJ227">
        <v>98103</v>
      </c>
      <c r="AS227" t="s">
        <v>718</v>
      </c>
      <c r="AT227">
        <v>19255159</v>
      </c>
      <c r="AU227" s="12">
        <v>39495</v>
      </c>
      <c r="BB227" t="s">
        <v>911</v>
      </c>
      <c r="BC227" s="7">
        <v>39467</v>
      </c>
      <c r="BG227">
        <v>28</v>
      </c>
      <c r="BH227" s="17">
        <f t="shared" ca="1" si="3"/>
        <v>82</v>
      </c>
      <c r="BI227" s="17"/>
      <c r="BJ227" s="17"/>
    </row>
    <row r="228" spans="1:62" hidden="1">
      <c r="A228">
        <v>28013811</v>
      </c>
      <c r="B228" s="2" t="str">
        <f>HYPERLINK("http://www.windermere.com/index.cfm?fuseaction=Listing.ListingDetail&amp;ListingID=19267253","Active")</f>
        <v>Active</v>
      </c>
      <c r="D228" t="s">
        <v>99</v>
      </c>
      <c r="E228" t="s">
        <v>145</v>
      </c>
      <c r="F228" s="13">
        <v>400000</v>
      </c>
      <c r="G228" t="s">
        <v>146</v>
      </c>
      <c r="H228" s="1">
        <v>1380</v>
      </c>
      <c r="I228">
        <v>5400</v>
      </c>
      <c r="J228">
        <v>2</v>
      </c>
      <c r="K228">
        <v>2.25</v>
      </c>
      <c r="M228" s="2" t="str">
        <f>HYPERLINK("http://www.windermere.com/index.cfm?fuseaction=Listing.MapPropertyInteractive&amp;ListingID=19267253&amp;resize=true&amp;windowWidth=800&amp;windowHeight=600","Map")</f>
        <v>Map</v>
      </c>
      <c r="O228" s="2" t="str">
        <f>HYPERLINK("http://www.windermere.com/index.cfm?fuseaction=Listing.MultiImageViewer&amp;ListingID=19267253&amp;ln=28013811&amp;pub_mls=1","More")</f>
        <v>More</v>
      </c>
      <c r="AI228" t="s">
        <v>66</v>
      </c>
      <c r="AJ228">
        <v>98117</v>
      </c>
      <c r="AS228" t="s">
        <v>311</v>
      </c>
      <c r="AT228">
        <v>19267253</v>
      </c>
      <c r="AU228" s="12">
        <v>39495</v>
      </c>
      <c r="BB228" t="s">
        <v>911</v>
      </c>
      <c r="BC228" s="7">
        <v>39470</v>
      </c>
      <c r="BG228">
        <v>25</v>
      </c>
      <c r="BH228" s="17">
        <f t="shared" ca="1" si="3"/>
        <v>79</v>
      </c>
      <c r="BI228" s="17"/>
      <c r="BJ228" s="17"/>
    </row>
    <row r="229" spans="1:62" hidden="1">
      <c r="A229">
        <v>28014246</v>
      </c>
      <c r="B229" s="2" t="str">
        <f>HYPERLINK("http://www.windermere.com/index.cfm?fuseaction=Listing.ListingDetail&amp;ListingID=19275831","Active")</f>
        <v>Active</v>
      </c>
      <c r="D229" t="s">
        <v>213</v>
      </c>
      <c r="E229" t="s">
        <v>1124</v>
      </c>
      <c r="F229" s="10">
        <v>425000</v>
      </c>
      <c r="G229" t="s">
        <v>1125</v>
      </c>
      <c r="H229" s="1">
        <v>2180</v>
      </c>
      <c r="I229">
        <v>4120</v>
      </c>
      <c r="J229">
        <v>4</v>
      </c>
      <c r="K229">
        <v>1.75</v>
      </c>
      <c r="M229" s="2" t="str">
        <f>HYPERLINK("http://www.windermere.com/index.cfm?fuseaction=Listing.MapPropertyInteractive&amp;ListingID=19275831&amp;resize=true&amp;windowWidth=800&amp;windowHeight=600","Map")</f>
        <v>Map</v>
      </c>
      <c r="O229" s="2" t="str">
        <f>HYPERLINK("http://www.windermere.com/index.cfm?fuseaction=viewGallery.Home&amp;customTourID=205538&amp;wvt=0","More")</f>
        <v>More</v>
      </c>
      <c r="AI229" t="s">
        <v>66</v>
      </c>
      <c r="AJ229">
        <v>98125</v>
      </c>
      <c r="AS229" t="s">
        <v>1126</v>
      </c>
      <c r="AT229">
        <v>19275831</v>
      </c>
      <c r="AU229" s="12">
        <v>39495</v>
      </c>
      <c r="BB229" t="s">
        <v>911</v>
      </c>
      <c r="BC229" s="7">
        <v>39471</v>
      </c>
      <c r="BG229">
        <v>24</v>
      </c>
      <c r="BH229" s="17">
        <f t="shared" ca="1" si="3"/>
        <v>78</v>
      </c>
      <c r="BI229" s="17"/>
      <c r="BJ229" s="17"/>
    </row>
    <row r="230" spans="1:62" hidden="1">
      <c r="A230">
        <v>28019939</v>
      </c>
      <c r="B230" s="2" t="str">
        <f>HYPERLINK("http://www.windermere.com/index.cfm?fuseaction=Listing.ListingDetail&amp;ListingID=19315502","Active")</f>
        <v>Active</v>
      </c>
      <c r="C230">
        <v>710</v>
      </c>
      <c r="D230" t="s">
        <v>919</v>
      </c>
      <c r="E230" t="s">
        <v>719</v>
      </c>
      <c r="F230" s="10">
        <v>425000</v>
      </c>
      <c r="G230" t="s">
        <v>418</v>
      </c>
      <c r="H230" s="1">
        <v>1640</v>
      </c>
      <c r="I230">
        <v>6600</v>
      </c>
      <c r="J230">
        <v>3</v>
      </c>
      <c r="K230">
        <v>1.75</v>
      </c>
      <c r="L230">
        <v>1</v>
      </c>
      <c r="M230" s="2" t="str">
        <f>HYPERLINK("http://www.windermere.com/index.cfm?fuseaction=Listing.MapPropertyInteractive&amp;ListingID=19315502&amp;resize=true&amp;windowWidth=800&amp;windowHeight=600","Map")</f>
        <v>Map</v>
      </c>
      <c r="N230" s="2" t="str">
        <f>HYPERLINK("http://locmedia.nwmls.com/DO_NOT_LINK/bigphoto/939/28019939.jpg?tsp=20080202225008","Photo")</f>
        <v>Photo</v>
      </c>
      <c r="O230" s="2" t="str">
        <f>HYPERLINK("http://www.windermere.com/index.cfm?fuseaction=Listing.MultiImageViewer&amp;ListingID=19315502&amp;ln=28019939&amp;pub_mls=1","More")</f>
        <v>More</v>
      </c>
      <c r="Q230" t="s">
        <v>198</v>
      </c>
      <c r="R230" t="s">
        <v>67</v>
      </c>
      <c r="S230" t="s">
        <v>994</v>
      </c>
      <c r="T230" t="s">
        <v>54</v>
      </c>
      <c r="U230" t="s">
        <v>44</v>
      </c>
      <c r="X230" t="s">
        <v>47</v>
      </c>
      <c r="Y230" t="s">
        <v>48</v>
      </c>
      <c r="Z230" t="s">
        <v>85</v>
      </c>
      <c r="AB230">
        <v>2007</v>
      </c>
      <c r="AC230">
        <v>2761</v>
      </c>
      <c r="AD230" t="s">
        <v>995</v>
      </c>
      <c r="AF230" t="s">
        <v>996</v>
      </c>
      <c r="AG230">
        <v>47.713388000000002</v>
      </c>
      <c r="AH230">
        <v>-122.32479499999999</v>
      </c>
      <c r="AI230" t="s">
        <v>66</v>
      </c>
      <c r="AJ230">
        <v>98125</v>
      </c>
      <c r="AK230" t="s">
        <v>41</v>
      </c>
      <c r="AL230">
        <v>3</v>
      </c>
      <c r="AM230" t="s">
        <v>40</v>
      </c>
      <c r="AO230">
        <v>0.152</v>
      </c>
      <c r="AP230" t="s">
        <v>997</v>
      </c>
      <c r="AQ230">
        <v>505</v>
      </c>
      <c r="AR230" t="s">
        <v>998</v>
      </c>
      <c r="AS230" t="s">
        <v>720</v>
      </c>
      <c r="AT230">
        <v>19315502</v>
      </c>
      <c r="AU230" s="12">
        <v>39495</v>
      </c>
      <c r="BA230" t="s">
        <v>911</v>
      </c>
      <c r="BB230" t="s">
        <v>911</v>
      </c>
      <c r="BC230" s="7">
        <v>39480</v>
      </c>
      <c r="BG230">
        <v>15</v>
      </c>
      <c r="BH230" s="17">
        <f t="shared" ca="1" si="3"/>
        <v>69</v>
      </c>
      <c r="BI230" s="17"/>
      <c r="BJ230" s="17"/>
    </row>
    <row r="231" spans="1:62" hidden="1">
      <c r="A231">
        <v>28022244</v>
      </c>
      <c r="B231" s="15" t="str">
        <f>HYPERLINK("http://www.windermere.com/index.cfm?fuseaction=Listing.ListingDetail&amp;ListingID=19331172","Subject To Inspection")</f>
        <v>Subject To Inspection</v>
      </c>
      <c r="C231">
        <v>705</v>
      </c>
      <c r="D231" t="s">
        <v>99</v>
      </c>
      <c r="E231" t="s">
        <v>309</v>
      </c>
      <c r="F231" s="10">
        <v>425000</v>
      </c>
      <c r="G231" t="s">
        <v>235</v>
      </c>
      <c r="H231" s="1">
        <v>1650</v>
      </c>
      <c r="I231">
        <v>6788</v>
      </c>
      <c r="J231">
        <v>3</v>
      </c>
      <c r="K231">
        <v>1.5</v>
      </c>
      <c r="L231">
        <v>2</v>
      </c>
      <c r="M231" s="2" t="str">
        <f>HYPERLINK("http://www.windermere.com/index.cfm?fuseaction=Listing.MapPropertyInteractive&amp;ListingID=19331172&amp;resize=true&amp;windowWidth=800&amp;windowHeight=600","Map")</f>
        <v>Map</v>
      </c>
      <c r="N231" s="2" t="str">
        <f>HYPERLINK("http://locmedia.nwmls.com/DO_NOT_LINK/bigphoto/244/28022244.jpg?tsp=20080206135406","Photo")</f>
        <v>Photo</v>
      </c>
      <c r="O231" s="2" t="str">
        <f>HYPERLINK("http://www.windermere.com/index.cfm?fuseaction=Listing.MultiImageViewer&amp;ListingID=19331172&amp;ln=28022244&amp;pub_mls=1","More")</f>
        <v>More</v>
      </c>
      <c r="Q231" t="s">
        <v>56</v>
      </c>
      <c r="R231" t="s">
        <v>72</v>
      </c>
      <c r="S231" t="s">
        <v>76</v>
      </c>
      <c r="T231" t="s">
        <v>77</v>
      </c>
      <c r="U231" t="s">
        <v>44</v>
      </c>
      <c r="V231">
        <v>28</v>
      </c>
      <c r="X231" t="s">
        <v>47</v>
      </c>
      <c r="Y231" t="s">
        <v>48</v>
      </c>
      <c r="Z231" t="s">
        <v>948</v>
      </c>
      <c r="AA231" t="s">
        <v>96</v>
      </c>
      <c r="AB231">
        <v>2007</v>
      </c>
      <c r="AC231">
        <v>3021</v>
      </c>
      <c r="AD231" t="s">
        <v>949</v>
      </c>
      <c r="AE231" t="s">
        <v>51</v>
      </c>
      <c r="AF231" t="s">
        <v>950</v>
      </c>
      <c r="AG231">
        <v>47.695498000000001</v>
      </c>
      <c r="AH231">
        <v>-122.367361</v>
      </c>
      <c r="AI231" t="s">
        <v>66</v>
      </c>
      <c r="AJ231">
        <v>98117</v>
      </c>
      <c r="AK231" t="s">
        <v>41</v>
      </c>
      <c r="AL231">
        <v>4</v>
      </c>
      <c r="AM231" t="s">
        <v>40</v>
      </c>
      <c r="AO231">
        <v>0.156</v>
      </c>
      <c r="AP231" t="s">
        <v>951</v>
      </c>
      <c r="AQ231">
        <v>504</v>
      </c>
      <c r="AR231" t="s">
        <v>91</v>
      </c>
      <c r="AS231" t="s">
        <v>310</v>
      </c>
      <c r="AT231">
        <v>19331172</v>
      </c>
      <c r="AU231" s="12">
        <v>39495</v>
      </c>
      <c r="BA231" t="s">
        <v>911</v>
      </c>
      <c r="BB231" t="s">
        <v>911</v>
      </c>
      <c r="BC231" s="7">
        <v>39484</v>
      </c>
      <c r="BD231">
        <v>2</v>
      </c>
      <c r="BE231" t="s">
        <v>1407</v>
      </c>
      <c r="BG231">
        <v>11</v>
      </c>
      <c r="BH231" s="17">
        <f t="shared" ca="1" si="3"/>
        <v>65</v>
      </c>
      <c r="BI231" s="17"/>
      <c r="BJ231" s="17"/>
    </row>
    <row r="232" spans="1:62" hidden="1">
      <c r="A232">
        <v>28028065</v>
      </c>
      <c r="B232" s="15" t="str">
        <f>HYPERLINK("http://www.windermere.com/index.cfm?fuseaction=Listing.ListingDetail&amp;ListingID=19378564","Subject To Inspection")</f>
        <v>Subject To Inspection</v>
      </c>
      <c r="D232" t="s">
        <v>194</v>
      </c>
      <c r="E232" t="s">
        <v>714</v>
      </c>
      <c r="F232" s="10">
        <v>425000</v>
      </c>
      <c r="G232" t="s">
        <v>168</v>
      </c>
      <c r="H232" s="1">
        <v>1250</v>
      </c>
      <c r="I232">
        <v>8293</v>
      </c>
      <c r="J232">
        <v>2</v>
      </c>
      <c r="K232">
        <v>1</v>
      </c>
      <c r="M232" s="2" t="str">
        <f>HYPERLINK("http://www.windermere.com/index.cfm?fuseaction=Listing.MapPropertyInteractive&amp;ListingID=19378564&amp;resize=true&amp;windowWidth=800&amp;windowHeight=600","Map")</f>
        <v>Map</v>
      </c>
      <c r="O232" s="2" t="str">
        <f>HYPERLINK("http://www.windermere.com/index.cfm?fuseaction=viewGallery.Home&amp;customTourID=207795&amp;wvt=0","More")</f>
        <v>More</v>
      </c>
      <c r="AI232" t="s">
        <v>66</v>
      </c>
      <c r="AJ232">
        <v>98115</v>
      </c>
      <c r="AS232" t="s">
        <v>715</v>
      </c>
      <c r="AT232">
        <v>19378564</v>
      </c>
      <c r="AU232" s="12">
        <v>39495</v>
      </c>
      <c r="BB232" t="s">
        <v>911</v>
      </c>
      <c r="BC232" s="7">
        <v>39493</v>
      </c>
      <c r="BD232">
        <v>3</v>
      </c>
      <c r="BE232" t="s">
        <v>1376</v>
      </c>
      <c r="BG232">
        <v>2</v>
      </c>
      <c r="BH232" s="17">
        <f t="shared" ca="1" si="3"/>
        <v>56</v>
      </c>
      <c r="BI232" s="17"/>
      <c r="BJ232" s="17"/>
    </row>
    <row r="233" spans="1:62" hidden="1">
      <c r="A233">
        <v>27211711</v>
      </c>
      <c r="B233" s="2" t="str">
        <f>HYPERLINK("http://www.windermere.com/index.cfm?fuseaction=Listing.ListingDetail&amp;ListingID=19082312","Active")</f>
        <v>Active</v>
      </c>
      <c r="D233" t="s">
        <v>109</v>
      </c>
      <c r="E233" t="s">
        <v>721</v>
      </c>
      <c r="F233" s="10">
        <v>425950</v>
      </c>
      <c r="G233" t="s">
        <v>142</v>
      </c>
      <c r="H233" s="1">
        <v>1370</v>
      </c>
      <c r="I233">
        <v>5031</v>
      </c>
      <c r="J233">
        <v>3</v>
      </c>
      <c r="K233">
        <v>1</v>
      </c>
      <c r="M233" s="2" t="str">
        <f>HYPERLINK("http://www.windermere.com/index.cfm?fuseaction=Listing.MapPropertyInteractive&amp;ListingID=19082312&amp;resize=true&amp;windowWidth=800&amp;windowHeight=600","Map")</f>
        <v>Map</v>
      </c>
      <c r="O233" s="2" t="str">
        <f>HYPERLINK("http://www.windermere.com/index.cfm?fuseaction=Listing.MultiImageViewer&amp;ListingID=19082312&amp;ln=27211711&amp;pub_mls=1","More")</f>
        <v>More</v>
      </c>
      <c r="P233" t="s">
        <v>44</v>
      </c>
      <c r="AI233" t="s">
        <v>66</v>
      </c>
      <c r="AJ233">
        <v>98015</v>
      </c>
      <c r="AS233" t="s">
        <v>722</v>
      </c>
      <c r="AT233">
        <v>19082312</v>
      </c>
      <c r="AU233" s="12">
        <v>39495</v>
      </c>
      <c r="BB233" t="s">
        <v>911</v>
      </c>
      <c r="BC233" s="7">
        <v>39427</v>
      </c>
      <c r="BG233">
        <v>68</v>
      </c>
      <c r="BH233" s="17">
        <f t="shared" ca="1" si="3"/>
        <v>122</v>
      </c>
      <c r="BI233" s="17"/>
      <c r="BJ233" s="17"/>
    </row>
    <row r="234" spans="1:62" hidden="1">
      <c r="A234">
        <v>27213586</v>
      </c>
      <c r="B234" s="2" t="str">
        <f>HYPERLINK("http://www.windermere.com/index.cfm?fuseaction=Listing.ListingDetail&amp;ListingID=19102324","Active")</f>
        <v>Active</v>
      </c>
      <c r="D234" t="s">
        <v>202</v>
      </c>
      <c r="E234" t="s">
        <v>723</v>
      </c>
      <c r="F234" s="10">
        <v>426950</v>
      </c>
      <c r="G234" t="s">
        <v>124</v>
      </c>
      <c r="H234" s="1">
        <v>1610</v>
      </c>
      <c r="I234">
        <v>7500</v>
      </c>
      <c r="J234">
        <v>3</v>
      </c>
      <c r="K234">
        <v>1</v>
      </c>
      <c r="M234" s="2" t="str">
        <f>HYPERLINK("http://www.windermere.com/index.cfm?fuseaction=Listing.MapPropertyInteractive&amp;ListingID=19102324&amp;resize=true&amp;windowWidth=800&amp;windowHeight=600","Map")</f>
        <v>Map</v>
      </c>
      <c r="O234" s="2" t="str">
        <f>HYPERLINK("http://www.windermere.com/index.cfm?fuseaction=Listing.MultiImageViewer&amp;ListingID=19102324&amp;ln=27213586&amp;pub_mls=1","More")</f>
        <v>More</v>
      </c>
      <c r="AI234" t="s">
        <v>66</v>
      </c>
      <c r="AJ234">
        <v>98125</v>
      </c>
      <c r="AS234" t="s">
        <v>724</v>
      </c>
      <c r="AT234">
        <v>19102324</v>
      </c>
      <c r="AU234" s="12">
        <v>39495</v>
      </c>
      <c r="BB234" t="s">
        <v>911</v>
      </c>
      <c r="BC234" s="7">
        <v>39432</v>
      </c>
      <c r="BG234">
        <v>63</v>
      </c>
      <c r="BH234" s="17">
        <f t="shared" ca="1" si="3"/>
        <v>117</v>
      </c>
      <c r="BI234" s="17"/>
      <c r="BJ234" s="17"/>
    </row>
    <row r="235" spans="1:62" hidden="1">
      <c r="A235">
        <v>28020999</v>
      </c>
      <c r="B235" s="2" t="str">
        <f>HYPERLINK("http://www.windermere.com/index.cfm?fuseaction=Listing.ListingDetail&amp;ListingID=19321801","Active")</f>
        <v>Active</v>
      </c>
      <c r="C235">
        <v>705</v>
      </c>
      <c r="D235" t="s">
        <v>66</v>
      </c>
      <c r="E235" t="s">
        <v>307</v>
      </c>
      <c r="F235" s="10">
        <v>428000</v>
      </c>
      <c r="G235" t="s">
        <v>191</v>
      </c>
      <c r="H235" s="1">
        <v>1960</v>
      </c>
      <c r="I235">
        <v>4800</v>
      </c>
      <c r="J235">
        <v>3</v>
      </c>
      <c r="K235">
        <v>2.5</v>
      </c>
      <c r="L235">
        <v>1</v>
      </c>
      <c r="M235" s="2" t="str">
        <f>HYPERLINK("http://www.windermere.com/index.cfm?fuseaction=Listing.MapPropertyInteractive&amp;ListingID=19321801&amp;resize=true&amp;windowWidth=800&amp;windowHeight=600","Map")</f>
        <v>Map</v>
      </c>
      <c r="N235" s="2" t="str">
        <f>HYPERLINK("http://locmedia.nwmls.com/DO_NOT_LINK/bigphoto/999/28020999.jpg?tsp=20080204204440","Photo")</f>
        <v>Photo</v>
      </c>
      <c r="O235" s="2" t="str">
        <f>HYPERLINK("http://www.windermere.com/index.cfm?fuseaction=Listing.MultiImageViewer&amp;ListingID=19321801&amp;ln=28020999&amp;pub_mls=1","More")</f>
        <v>More</v>
      </c>
      <c r="Q235" t="s">
        <v>56</v>
      </c>
      <c r="R235" t="s">
        <v>94</v>
      </c>
      <c r="S235" t="s">
        <v>58</v>
      </c>
      <c r="T235" t="s">
        <v>62</v>
      </c>
      <c r="U235" t="s">
        <v>44</v>
      </c>
      <c r="X235" t="s">
        <v>47</v>
      </c>
      <c r="Y235" t="s">
        <v>48</v>
      </c>
      <c r="Z235" t="s">
        <v>108</v>
      </c>
      <c r="AA235" t="s">
        <v>33</v>
      </c>
      <c r="AB235">
        <v>2007</v>
      </c>
      <c r="AC235">
        <v>3865</v>
      </c>
      <c r="AD235" t="s">
        <v>952</v>
      </c>
      <c r="AE235" t="s">
        <v>110</v>
      </c>
      <c r="AF235" t="s">
        <v>75</v>
      </c>
      <c r="AG235">
        <v>47.686495999999998</v>
      </c>
      <c r="AH235">
        <v>-122.378922</v>
      </c>
      <c r="AI235" t="s">
        <v>66</v>
      </c>
      <c r="AJ235">
        <v>98117</v>
      </c>
      <c r="AK235" t="s">
        <v>41</v>
      </c>
      <c r="AL235">
        <v>4</v>
      </c>
      <c r="AM235" t="s">
        <v>40</v>
      </c>
      <c r="AO235">
        <v>0.11</v>
      </c>
      <c r="AP235" t="s">
        <v>953</v>
      </c>
      <c r="AQ235">
        <v>534</v>
      </c>
      <c r="AR235" t="s">
        <v>64</v>
      </c>
      <c r="AS235" t="s">
        <v>308</v>
      </c>
      <c r="AT235">
        <v>19321801</v>
      </c>
      <c r="AU235" s="12">
        <v>39495</v>
      </c>
      <c r="BA235" t="s">
        <v>911</v>
      </c>
      <c r="BB235" t="s">
        <v>911</v>
      </c>
      <c r="BC235" s="7">
        <v>39482</v>
      </c>
      <c r="BG235">
        <v>13</v>
      </c>
      <c r="BH235" s="17">
        <f t="shared" ca="1" si="3"/>
        <v>67</v>
      </c>
      <c r="BI235" s="17"/>
      <c r="BJ235" s="17"/>
    </row>
    <row r="236" spans="1:62" hidden="1">
      <c r="A236">
        <v>28023571</v>
      </c>
      <c r="B236" s="2" t="str">
        <f>HYPERLINK("http://www.windermere.com/index.cfm?fuseaction=Listing.ListingDetail&amp;ListingID=19340919","Active")</f>
        <v>Active</v>
      </c>
      <c r="D236" t="s">
        <v>63</v>
      </c>
      <c r="E236" t="s">
        <v>726</v>
      </c>
      <c r="F236" s="10">
        <v>429000</v>
      </c>
      <c r="G236" t="s">
        <v>673</v>
      </c>
      <c r="H236" s="1">
        <v>1525</v>
      </c>
      <c r="I236">
        <v>1473</v>
      </c>
      <c r="J236">
        <v>3</v>
      </c>
      <c r="K236">
        <v>2.25</v>
      </c>
      <c r="M236" s="2" t="str">
        <f>HYPERLINK("http://www.windermere.com/index.cfm?fuseaction=Listing.MapPropertyInteractive&amp;ListingID=19340919&amp;resize=true&amp;windowWidth=800&amp;windowHeight=600","Map")</f>
        <v>Map</v>
      </c>
      <c r="O236" s="2" t="str">
        <f>HYPERLINK("http://www.windermere.com/index.cfm?fuseaction=Listing.MultiImageViewer&amp;ListingID=19340919&amp;ln=28023571&amp;pub_mls=1","More")</f>
        <v>More</v>
      </c>
      <c r="AI236" t="s">
        <v>66</v>
      </c>
      <c r="AJ236">
        <v>98107</v>
      </c>
      <c r="AS236" t="s">
        <v>727</v>
      </c>
      <c r="AT236">
        <v>19340919</v>
      </c>
      <c r="AU236" s="12">
        <v>39495</v>
      </c>
      <c r="BB236" t="s">
        <v>911</v>
      </c>
      <c r="BC236" s="7">
        <v>39486</v>
      </c>
      <c r="BG236">
        <v>9</v>
      </c>
      <c r="BH236" s="17">
        <f t="shared" ca="1" si="3"/>
        <v>63</v>
      </c>
      <c r="BI236" s="17"/>
      <c r="BJ236" s="17"/>
    </row>
    <row r="237" spans="1:62" hidden="1">
      <c r="A237">
        <v>28025980</v>
      </c>
      <c r="B237" s="2" t="str">
        <f>HYPERLINK("http://www.windermere.com/index.cfm?fuseaction=Listing.ListingDetail&amp;ListingID=19357984","Active")</f>
        <v>Active</v>
      </c>
      <c r="D237" t="s">
        <v>194</v>
      </c>
      <c r="E237" s="3" t="s">
        <v>1364</v>
      </c>
      <c r="F237" s="10">
        <v>429000</v>
      </c>
      <c r="G237" t="s">
        <v>161</v>
      </c>
      <c r="H237" s="1">
        <v>2030</v>
      </c>
      <c r="I237">
        <v>5209</v>
      </c>
      <c r="J237">
        <v>3</v>
      </c>
      <c r="K237">
        <v>1.75</v>
      </c>
      <c r="M237" s="2" t="str">
        <f>HYPERLINK("http://www.windermere.com/index.cfm?fuseaction=Listing.MapPropertyInteractive&amp;ListingID=19357984&amp;resize=true&amp;windowWidth=800&amp;windowHeight=600","Map")</f>
        <v>Map</v>
      </c>
      <c r="O237" s="2" t="str">
        <f>HYPERLINK("http://www.windermere.com/index.cfm?fuseaction=viewGallery.Home&amp;customTourID=205644&amp;wvt=0","More")</f>
        <v>More</v>
      </c>
      <c r="AI237" t="s">
        <v>66</v>
      </c>
      <c r="AJ237">
        <v>98115</v>
      </c>
      <c r="AS237" t="s">
        <v>725</v>
      </c>
      <c r="AT237">
        <v>19357984</v>
      </c>
      <c r="AU237" s="12">
        <v>39495</v>
      </c>
      <c r="BB237" t="s">
        <v>911</v>
      </c>
      <c r="BC237" s="7">
        <v>39490</v>
      </c>
      <c r="BG237">
        <v>5</v>
      </c>
      <c r="BH237" s="17">
        <f t="shared" ca="1" si="3"/>
        <v>59</v>
      </c>
      <c r="BI237" s="17"/>
      <c r="BJ237" s="17"/>
    </row>
    <row r="238" spans="1:62" hidden="1">
      <c r="A238">
        <v>27186914</v>
      </c>
      <c r="B238" s="2" t="str">
        <f>HYPERLINK("http://www.windermere.com/index.cfm?fuseaction=Listing.ListingDetail&amp;ListingID=18817368","Active")</f>
        <v>Active</v>
      </c>
      <c r="D238" t="s">
        <v>63</v>
      </c>
      <c r="E238" t="s">
        <v>141</v>
      </c>
      <c r="F238" s="10">
        <v>429500</v>
      </c>
      <c r="G238" t="s">
        <v>142</v>
      </c>
      <c r="H238" s="1">
        <v>1350</v>
      </c>
      <c r="I238">
        <v>5100</v>
      </c>
      <c r="J238">
        <v>2</v>
      </c>
      <c r="K238">
        <v>1</v>
      </c>
      <c r="M238" s="2" t="str">
        <f>HYPERLINK("http://www.windermere.com/index.cfm?fuseaction=Listing.MapPropertyInteractive&amp;ListingID=18817368&amp;resize=true&amp;windowWidth=800&amp;windowHeight=600","Map")</f>
        <v>Map</v>
      </c>
      <c r="O238" s="2" t="str">
        <f>HYPERLINK("http://www.windermere.com/index.cfm?fuseaction=Listing.MultiImageViewer&amp;ListingID=18817368&amp;ln=27186914&amp;pub_mls=1","More")</f>
        <v>More</v>
      </c>
      <c r="P238" t="s">
        <v>44</v>
      </c>
      <c r="AI238" t="s">
        <v>66</v>
      </c>
      <c r="AJ238">
        <v>98117</v>
      </c>
      <c r="AS238" t="s">
        <v>288</v>
      </c>
      <c r="AT238">
        <v>18817368</v>
      </c>
      <c r="AU238" s="12">
        <v>39495</v>
      </c>
      <c r="BB238" t="s">
        <v>911</v>
      </c>
      <c r="BC238" s="7">
        <v>39371</v>
      </c>
      <c r="BG238">
        <v>124</v>
      </c>
      <c r="BH238" s="17">
        <f t="shared" ca="1" si="3"/>
        <v>178</v>
      </c>
      <c r="BI238" s="17"/>
      <c r="BJ238" s="17"/>
    </row>
    <row r="239" spans="1:62" hidden="1">
      <c r="A239">
        <v>28024113</v>
      </c>
      <c r="B239" s="2" t="str">
        <f>HYPERLINK("http://www.windermere.com/index.cfm?fuseaction=Listing.ListingDetail&amp;ListingID=19347523","Active")</f>
        <v>Active</v>
      </c>
      <c r="D239" t="s">
        <v>192</v>
      </c>
      <c r="E239" t="s">
        <v>728</v>
      </c>
      <c r="F239" s="10">
        <v>429850</v>
      </c>
      <c r="G239" t="s">
        <v>176</v>
      </c>
      <c r="H239" s="1">
        <v>1600</v>
      </c>
      <c r="I239">
        <v>6380</v>
      </c>
      <c r="J239">
        <v>3</v>
      </c>
      <c r="K239">
        <v>1</v>
      </c>
      <c r="M239" s="2" t="str">
        <f>HYPERLINK("http://www.windermere.com/index.cfm?fuseaction=Listing.MapPropertyInteractive&amp;ListingID=19347523&amp;resize=true&amp;windowWidth=800&amp;windowHeight=600","Map")</f>
        <v>Map</v>
      </c>
      <c r="O239" s="2" t="str">
        <f>HYPERLINK("http://www.windermere.com/index.cfm?fuseaction=viewGallery.Home&amp;customTourID=207160&amp;wvt=0","More")</f>
        <v>More</v>
      </c>
      <c r="P239" t="s">
        <v>44</v>
      </c>
      <c r="AI239" t="s">
        <v>66</v>
      </c>
      <c r="AJ239">
        <v>98125</v>
      </c>
      <c r="AS239" t="s">
        <v>729</v>
      </c>
      <c r="AT239">
        <v>19347523</v>
      </c>
      <c r="AU239" s="12">
        <v>39495</v>
      </c>
      <c r="BB239" t="s">
        <v>911</v>
      </c>
      <c r="BC239" s="7">
        <v>39487</v>
      </c>
      <c r="BG239">
        <v>8</v>
      </c>
      <c r="BH239" s="17">
        <f t="shared" ca="1" si="3"/>
        <v>62</v>
      </c>
      <c r="BI239" s="17"/>
      <c r="BJ239" s="17"/>
    </row>
    <row r="240" spans="1:62" hidden="1">
      <c r="A240">
        <v>28004294</v>
      </c>
      <c r="B240" s="2" t="str">
        <f>HYPERLINK("http://www.windermere.com/index.cfm?fuseaction=Listing.ListingDetail&amp;ListingID=19198666","Active")</f>
        <v>Active</v>
      </c>
      <c r="D240" t="s">
        <v>70</v>
      </c>
      <c r="E240" t="s">
        <v>731</v>
      </c>
      <c r="F240" s="10">
        <v>429950</v>
      </c>
      <c r="G240" t="s">
        <v>146</v>
      </c>
      <c r="H240" s="1">
        <v>1530</v>
      </c>
      <c r="I240">
        <v>6750</v>
      </c>
      <c r="J240">
        <v>3</v>
      </c>
      <c r="K240">
        <v>1</v>
      </c>
      <c r="M240" s="2" t="str">
        <f>HYPERLINK("http://www.windermere.com/index.cfm?fuseaction=Listing.MapPropertyInteractive&amp;ListingID=19198666&amp;resize=true&amp;windowWidth=800&amp;windowHeight=600","Map")</f>
        <v>Map</v>
      </c>
      <c r="O240" s="2" t="str">
        <f>HYPERLINK("http://www.windermere.com/index.cfm?fuseaction=viewGallery.Home&amp;customTourID=204172&amp;wvt=0","More")</f>
        <v>More</v>
      </c>
      <c r="AI240" t="s">
        <v>66</v>
      </c>
      <c r="AJ240">
        <v>98177</v>
      </c>
      <c r="AS240" t="s">
        <v>732</v>
      </c>
      <c r="AT240">
        <v>19198666</v>
      </c>
      <c r="AU240" s="12">
        <v>39495</v>
      </c>
      <c r="BB240" t="s">
        <v>911</v>
      </c>
      <c r="BC240" s="7">
        <v>39458</v>
      </c>
      <c r="BG240">
        <v>37</v>
      </c>
      <c r="BH240" s="17">
        <f t="shared" ca="1" si="3"/>
        <v>91</v>
      </c>
      <c r="BI240" s="17"/>
      <c r="BJ240" s="17"/>
    </row>
    <row r="241" spans="1:63" hidden="1">
      <c r="A241">
        <v>26060501</v>
      </c>
      <c r="B241" s="2" t="str">
        <f>HYPERLINK("http://www.windermere.com/index.cfm?fuseaction=Listing.ListingDetail&amp;ListingID=7018919","Subject To Inspection")</f>
        <v>Subject To Inspection</v>
      </c>
      <c r="D241" t="s">
        <v>188</v>
      </c>
      <c r="E241" t="s">
        <v>1127</v>
      </c>
      <c r="F241" s="10">
        <v>430000</v>
      </c>
      <c r="G241" t="s">
        <v>154</v>
      </c>
      <c r="I241">
        <v>13680</v>
      </c>
      <c r="J241">
        <v>3</v>
      </c>
      <c r="K241">
        <v>1</v>
      </c>
      <c r="M241" s="2" t="str">
        <f>HYPERLINK("http://www.windermere.com/index.cfm?fuseaction=Listing.MapPropertyInteractive&amp;ListingID=7018919&amp;resize=true&amp;windowWidth=800&amp;windowHeight=600","Map")</f>
        <v>Map</v>
      </c>
      <c r="AI241" t="s">
        <v>66</v>
      </c>
      <c r="AJ241">
        <v>98125</v>
      </c>
      <c r="AS241" t="s">
        <v>1128</v>
      </c>
      <c r="AT241">
        <v>7018919</v>
      </c>
      <c r="AU241" s="12">
        <v>39495</v>
      </c>
      <c r="BB241" t="s">
        <v>911</v>
      </c>
      <c r="BC241" s="7">
        <v>38832</v>
      </c>
      <c r="BD241">
        <v>-1</v>
      </c>
      <c r="BG241">
        <v>663</v>
      </c>
      <c r="BH241" s="17">
        <f t="shared" ca="1" si="3"/>
        <v>717</v>
      </c>
      <c r="BI241" s="17"/>
      <c r="BJ241" s="17"/>
      <c r="BK241" t="str">
        <f>B241</f>
        <v>Subject To Inspection</v>
      </c>
    </row>
    <row r="242" spans="1:63" hidden="1">
      <c r="A242">
        <v>27193790</v>
      </c>
      <c r="B242" s="2" t="str">
        <f>HYPERLINK("http://www.windermere.com/index.cfm?fuseaction=Listing.ListingDetail&amp;ListingID=18882240","Active")</f>
        <v>Active</v>
      </c>
      <c r="D242" t="s">
        <v>192</v>
      </c>
      <c r="E242" t="s">
        <v>193</v>
      </c>
      <c r="F242" s="13">
        <v>424950</v>
      </c>
      <c r="G242" t="s">
        <v>135</v>
      </c>
      <c r="H242" s="1">
        <v>1600</v>
      </c>
      <c r="I242">
        <v>5080</v>
      </c>
      <c r="J242">
        <v>3</v>
      </c>
      <c r="K242">
        <v>2</v>
      </c>
      <c r="M242" s="2" t="str">
        <f>HYPERLINK("http://www.windermere.com/index.cfm?fuseaction=Listing.MapPropertyInteractive&amp;ListingID=18882240&amp;resize=true&amp;windowWidth=800&amp;windowHeight=600","Map")</f>
        <v>Map</v>
      </c>
      <c r="O242" s="2" t="str">
        <f>HYPERLINK("http://www.windermere.com/index.cfm?fuseaction=Listing.MultiImageViewer&amp;ListingID=18882240&amp;ln=27193790&amp;pub_mls=1","More")</f>
        <v>More</v>
      </c>
      <c r="P242" t="s">
        <v>44</v>
      </c>
      <c r="AI242" t="s">
        <v>66</v>
      </c>
      <c r="AJ242">
        <v>98115</v>
      </c>
      <c r="AS242" t="s">
        <v>733</v>
      </c>
      <c r="AT242">
        <v>18882240</v>
      </c>
      <c r="AU242" s="12">
        <v>39495</v>
      </c>
      <c r="BB242" t="s">
        <v>911</v>
      </c>
      <c r="BC242" s="7">
        <v>39384</v>
      </c>
      <c r="BG242">
        <v>111</v>
      </c>
      <c r="BH242" s="17">
        <f t="shared" ca="1" si="3"/>
        <v>165</v>
      </c>
      <c r="BI242" s="17"/>
      <c r="BJ242" s="17"/>
    </row>
    <row r="243" spans="1:63" hidden="1">
      <c r="A243">
        <v>28012862</v>
      </c>
      <c r="B243" s="2" t="str">
        <f>HYPERLINK("http://www.windermere.com/index.cfm?fuseaction=Listing.ListingDetail&amp;ListingID=19280257","Active")</f>
        <v>Active</v>
      </c>
      <c r="D243" t="s">
        <v>60</v>
      </c>
      <c r="E243" t="s">
        <v>736</v>
      </c>
      <c r="F243" s="10">
        <v>430000</v>
      </c>
      <c r="G243" t="s">
        <v>154</v>
      </c>
      <c r="H243">
        <v>860</v>
      </c>
      <c r="I243">
        <v>2526</v>
      </c>
      <c r="J243">
        <v>2</v>
      </c>
      <c r="K243">
        <v>1</v>
      </c>
      <c r="M243" s="2" t="str">
        <f>HYPERLINK("http://www.windermere.com/index.cfm?fuseaction=Listing.MapPropertyInteractive&amp;ListingID=19280257&amp;resize=true&amp;windowWidth=800&amp;windowHeight=600","Map")</f>
        <v>Map</v>
      </c>
      <c r="O243" s="2" t="str">
        <f>HYPERLINK("http://www.windermere.com/index.cfm?fuseaction=Listing.MultiImageViewer&amp;ListingID=19280257&amp;ln=28012862&amp;pub_mls=1","More")</f>
        <v>More</v>
      </c>
      <c r="AI243" t="s">
        <v>66</v>
      </c>
      <c r="AJ243">
        <v>98115</v>
      </c>
      <c r="AS243" t="s">
        <v>737</v>
      </c>
      <c r="AT243">
        <v>19280257</v>
      </c>
      <c r="AU243" s="12">
        <v>39495</v>
      </c>
      <c r="BB243" t="s">
        <v>911</v>
      </c>
      <c r="BC243" s="7">
        <v>39472</v>
      </c>
      <c r="BG243">
        <v>23</v>
      </c>
      <c r="BH243" s="17">
        <f t="shared" ca="1" si="3"/>
        <v>77</v>
      </c>
      <c r="BI243" s="17"/>
      <c r="BJ243" s="17"/>
    </row>
    <row r="244" spans="1:63" hidden="1">
      <c r="A244">
        <v>28018831</v>
      </c>
      <c r="B244" s="2" t="str">
        <f>HYPERLINK("http://www.windermere.com/index.cfm?fuseaction=Listing.ListingDetail&amp;ListingID=19320055","Active")</f>
        <v>Active</v>
      </c>
      <c r="C244">
        <v>705</v>
      </c>
      <c r="D244" t="s">
        <v>55</v>
      </c>
      <c r="E244" t="s">
        <v>734</v>
      </c>
      <c r="F244" s="10">
        <v>430000</v>
      </c>
      <c r="G244" t="s">
        <v>135</v>
      </c>
      <c r="H244" s="1">
        <v>2300</v>
      </c>
      <c r="I244">
        <v>5060</v>
      </c>
      <c r="J244">
        <v>5</v>
      </c>
      <c r="K244">
        <v>1.75</v>
      </c>
      <c r="L244">
        <v>1</v>
      </c>
      <c r="M244" s="2" t="str">
        <f>HYPERLINK("http://www.windermere.com/index.cfm?fuseaction=Listing.MapPropertyInteractive&amp;ListingID=19320055&amp;resize=true&amp;windowWidth=800&amp;windowHeight=600","Map")</f>
        <v>Map</v>
      </c>
      <c r="N244" s="2" t="str">
        <f>HYPERLINK("http://locmedia.nwmls.com/DO_NOT_LINK/bigphoto/831/28018831.jpg?tsp=20080205145011","Photo")</f>
        <v>Photo</v>
      </c>
      <c r="O244" s="2" t="str">
        <f>HYPERLINK("http://www.windermere.com/index.cfm?fuseaction=Listing.MultiImageViewer&amp;ListingID=19320055&amp;ln=28018831&amp;pub_mls=1","More")</f>
        <v>More</v>
      </c>
      <c r="Q244" t="s">
        <v>93</v>
      </c>
      <c r="R244" t="s">
        <v>954</v>
      </c>
      <c r="S244" t="s">
        <v>53</v>
      </c>
      <c r="T244" t="s">
        <v>90</v>
      </c>
      <c r="U244" t="s">
        <v>44</v>
      </c>
      <c r="V244">
        <v>358</v>
      </c>
      <c r="X244" t="s">
        <v>47</v>
      </c>
      <c r="Y244" t="s">
        <v>48</v>
      </c>
      <c r="Z244" t="s">
        <v>955</v>
      </c>
      <c r="AA244" t="s">
        <v>956</v>
      </c>
      <c r="AB244">
        <v>2007</v>
      </c>
      <c r="AC244">
        <v>3420</v>
      </c>
      <c r="AD244" t="s">
        <v>957</v>
      </c>
      <c r="AE244" t="s">
        <v>206</v>
      </c>
      <c r="AF244" t="s">
        <v>958</v>
      </c>
      <c r="AG244">
        <v>47.695656999999997</v>
      </c>
      <c r="AH244">
        <v>-122.34629200000001</v>
      </c>
      <c r="AI244" t="s">
        <v>66</v>
      </c>
      <c r="AJ244">
        <v>98103</v>
      </c>
      <c r="AK244" t="s">
        <v>41</v>
      </c>
      <c r="AL244">
        <v>8</v>
      </c>
      <c r="AM244" t="s">
        <v>40</v>
      </c>
      <c r="AO244">
        <v>0.11600000000000001</v>
      </c>
      <c r="AP244" t="s">
        <v>959</v>
      </c>
      <c r="AQ244">
        <v>504</v>
      </c>
      <c r="AR244" t="s">
        <v>61</v>
      </c>
      <c r="AS244" t="s">
        <v>735</v>
      </c>
      <c r="AT244">
        <v>19320055</v>
      </c>
      <c r="AU244" s="12">
        <v>39495</v>
      </c>
      <c r="BA244" t="s">
        <v>911</v>
      </c>
      <c r="BB244" t="s">
        <v>911</v>
      </c>
      <c r="BC244" s="7">
        <v>39482</v>
      </c>
      <c r="BG244">
        <v>13</v>
      </c>
      <c r="BH244" s="17">
        <f t="shared" ca="1" si="3"/>
        <v>67</v>
      </c>
      <c r="BI244" s="17"/>
      <c r="BJ244" s="17"/>
    </row>
    <row r="245" spans="1:63" hidden="1">
      <c r="A245">
        <v>28022935</v>
      </c>
      <c r="B245" s="2" t="str">
        <f>HYPERLINK("http://www.windermere.com/index.cfm?fuseaction=Listing.ListingDetail&amp;ListingID=19336679","Subject To Inspection")</f>
        <v>Subject To Inspection</v>
      </c>
      <c r="D245" t="s">
        <v>55</v>
      </c>
      <c r="E245" t="s">
        <v>738</v>
      </c>
      <c r="F245" s="10">
        <v>434950</v>
      </c>
      <c r="G245" t="s">
        <v>287</v>
      </c>
      <c r="H245" s="1">
        <v>5461</v>
      </c>
      <c r="I245">
        <v>5445</v>
      </c>
      <c r="J245">
        <v>4</v>
      </c>
      <c r="K245">
        <v>2</v>
      </c>
      <c r="M245" s="2" t="str">
        <f>HYPERLINK("http://www.windermere.com/index.cfm?fuseaction=Listing.MapPropertyInteractive&amp;ListingID=19336679&amp;resize=true&amp;windowWidth=800&amp;windowHeight=600","Map")</f>
        <v>Map</v>
      </c>
      <c r="O245" s="2" t="str">
        <f>HYPERLINK("http://www.windermere.com/index.cfm?fuseaction=Listing.MultiImageViewer&amp;ListingID=19336679&amp;ln=28022935&amp;pub_mls=1","More")</f>
        <v>More</v>
      </c>
      <c r="AI245" t="s">
        <v>66</v>
      </c>
      <c r="AJ245">
        <v>98103</v>
      </c>
      <c r="AS245" t="s">
        <v>739</v>
      </c>
      <c r="AT245">
        <v>19336679</v>
      </c>
      <c r="AU245" s="12">
        <v>39495</v>
      </c>
      <c r="BB245" t="s">
        <v>911</v>
      </c>
      <c r="BC245" s="7">
        <v>39485</v>
      </c>
      <c r="BG245">
        <v>10</v>
      </c>
      <c r="BH245" s="17">
        <f t="shared" ca="1" si="3"/>
        <v>64</v>
      </c>
      <c r="BI245" s="17"/>
      <c r="BJ245" s="17"/>
      <c r="BK245" t="str">
        <f>B245</f>
        <v>Subject To Inspection</v>
      </c>
    </row>
    <row r="246" spans="1:63" hidden="1">
      <c r="A246">
        <v>27203347</v>
      </c>
      <c r="B246" s="2" t="str">
        <f>HYPERLINK("http://www.windermere.com/index.cfm?fuseaction=Listing.ListingDetail&amp;ListingID=18986871","Subject To Inspection")</f>
        <v>Subject To Inspection</v>
      </c>
      <c r="D246" t="s">
        <v>1129</v>
      </c>
      <c r="E246" t="s">
        <v>1130</v>
      </c>
      <c r="F246" s="10">
        <v>435000</v>
      </c>
      <c r="G246" t="s">
        <v>137</v>
      </c>
      <c r="H246" s="1">
        <v>2000</v>
      </c>
      <c r="I246">
        <v>6000</v>
      </c>
      <c r="J246">
        <v>3</v>
      </c>
      <c r="K246">
        <v>1</v>
      </c>
      <c r="M246" s="2" t="str">
        <f>HYPERLINK("http://www.windermere.com/index.cfm?fuseaction=Listing.MapPropertyInteractive&amp;ListingID=18986871&amp;resize=true&amp;windowWidth=800&amp;windowHeight=600","Map")</f>
        <v>Map</v>
      </c>
      <c r="O246" s="2" t="str">
        <f>HYPERLINK("http://www.windermere.com/index.cfm?fuseaction=Listing.MultiImageViewer&amp;ListingID=18986871&amp;ln=27203347&amp;pub_mls=1","More")</f>
        <v>More</v>
      </c>
      <c r="AI246" t="s">
        <v>66</v>
      </c>
      <c r="AJ246">
        <v>98115</v>
      </c>
      <c r="AS246" t="s">
        <v>1131</v>
      </c>
      <c r="AT246">
        <v>18986871</v>
      </c>
      <c r="AU246" s="12">
        <v>39495</v>
      </c>
      <c r="BB246" t="s">
        <v>911</v>
      </c>
      <c r="BC246" s="7">
        <v>39402</v>
      </c>
      <c r="BG246">
        <v>93</v>
      </c>
      <c r="BH246" s="17">
        <f t="shared" ca="1" si="3"/>
        <v>147</v>
      </c>
      <c r="BI246" s="17"/>
      <c r="BJ246" s="17"/>
      <c r="BK246" t="str">
        <f>B246</f>
        <v>Subject To Inspection</v>
      </c>
    </row>
    <row r="247" spans="1:63" hidden="1">
      <c r="A247">
        <v>28021527</v>
      </c>
      <c r="B247" s="2" t="str">
        <f>HYPERLINK("http://www.windermere.com/index.cfm?fuseaction=Listing.ListingDetail&amp;ListingID=19325789","Active")</f>
        <v>Active</v>
      </c>
      <c r="C247">
        <v>705</v>
      </c>
      <c r="D247" t="s">
        <v>63</v>
      </c>
      <c r="E247" t="s">
        <v>236</v>
      </c>
      <c r="F247" s="10">
        <v>435000</v>
      </c>
      <c r="G247" t="s">
        <v>164</v>
      </c>
      <c r="H247" s="1">
        <v>1640</v>
      </c>
      <c r="I247">
        <v>4700</v>
      </c>
      <c r="J247">
        <v>2</v>
      </c>
      <c r="K247">
        <v>1</v>
      </c>
      <c r="L247">
        <v>1</v>
      </c>
      <c r="M247" s="2" t="str">
        <f>HYPERLINK("http://www.windermere.com/index.cfm?fuseaction=Listing.MapPropertyInteractive&amp;ListingID=19325789&amp;resize=true&amp;windowWidth=800&amp;windowHeight=600","Map")</f>
        <v>Map</v>
      </c>
      <c r="N247" s="2" t="str">
        <f>HYPERLINK("http://locmedia.nwmls.com/DO_NOT_LINK/bigphoto/527/28021527.jpg?tsp=20080205102832","Photo")</f>
        <v>Photo</v>
      </c>
      <c r="O247" s="2" t="str">
        <f>HYPERLINK("http://www.windermere.com/index.cfm?fuseaction=Listing.MultiImageViewer&amp;ListingID=19325789&amp;ln=28021527&amp;pub_mls=1","More")</f>
        <v>More</v>
      </c>
      <c r="Q247" t="s">
        <v>56</v>
      </c>
      <c r="R247" t="s">
        <v>72</v>
      </c>
      <c r="S247" t="s">
        <v>58</v>
      </c>
      <c r="X247" t="s">
        <v>47</v>
      </c>
      <c r="Y247" t="s">
        <v>48</v>
      </c>
      <c r="Z247" t="s">
        <v>80</v>
      </c>
      <c r="AB247">
        <v>2007</v>
      </c>
      <c r="AC247">
        <v>3030</v>
      </c>
      <c r="AD247" t="s">
        <v>960</v>
      </c>
      <c r="AE247" t="s">
        <v>221</v>
      </c>
      <c r="AG247">
        <v>47.689808999999997</v>
      </c>
      <c r="AH247">
        <v>-122.367267</v>
      </c>
      <c r="AI247" t="s">
        <v>66</v>
      </c>
      <c r="AJ247">
        <v>98117</v>
      </c>
      <c r="AK247" t="s">
        <v>41</v>
      </c>
      <c r="AL247" t="s">
        <v>40</v>
      </c>
      <c r="AM247" t="s">
        <v>40</v>
      </c>
      <c r="AO247">
        <v>0.108</v>
      </c>
      <c r="AP247" t="s">
        <v>961</v>
      </c>
      <c r="AQ247">
        <v>534</v>
      </c>
      <c r="AR247" t="s">
        <v>97</v>
      </c>
      <c r="AS247" t="s">
        <v>286</v>
      </c>
      <c r="AT247">
        <v>19325789</v>
      </c>
      <c r="AU247" s="12">
        <v>39495</v>
      </c>
      <c r="BA247" t="s">
        <v>911</v>
      </c>
      <c r="BB247" t="s">
        <v>911</v>
      </c>
      <c r="BC247" s="7">
        <v>39483</v>
      </c>
      <c r="BG247">
        <v>12</v>
      </c>
      <c r="BH247" s="17">
        <f t="shared" ca="1" si="3"/>
        <v>66</v>
      </c>
      <c r="BI247" s="17"/>
      <c r="BJ247" s="17"/>
    </row>
    <row r="248" spans="1:63" hidden="1">
      <c r="A248">
        <v>27115997</v>
      </c>
      <c r="B248" s="15" t="str">
        <f>HYPERLINK("http://www.windermere.com/index.cfm?fuseaction=Listing.ListingDetail&amp;ListingID=18779507","Contingent")</f>
        <v>Contingent</v>
      </c>
      <c r="D248" t="s">
        <v>194</v>
      </c>
      <c r="E248" t="s">
        <v>740</v>
      </c>
      <c r="F248" s="10">
        <v>436000</v>
      </c>
      <c r="G248" t="s">
        <v>147</v>
      </c>
      <c r="H248" s="1">
        <v>2046</v>
      </c>
      <c r="J248">
        <v>3</v>
      </c>
      <c r="K248">
        <v>2</v>
      </c>
      <c r="M248" s="2" t="str">
        <f>HYPERLINK("http://www.windermere.com/index.cfm?fuseaction=Listing.MapPropertyInteractive&amp;ListingID=18779507&amp;resize=true&amp;windowWidth=800&amp;windowHeight=600","Map")</f>
        <v>Map</v>
      </c>
      <c r="O248" s="2" t="str">
        <f>HYPERLINK("http://www.windermere.com/index.cfm?fuseaction=Listing.MultiImageViewer&amp;ListingID=18779507&amp;ln=27115997&amp;pub_mls=1","More")</f>
        <v>More</v>
      </c>
      <c r="AI248" t="s">
        <v>66</v>
      </c>
      <c r="AJ248">
        <v>98115</v>
      </c>
      <c r="AS248" t="s">
        <v>741</v>
      </c>
      <c r="AT248">
        <v>18779507</v>
      </c>
      <c r="AU248" s="12">
        <v>39495</v>
      </c>
      <c r="BB248" t="s">
        <v>911</v>
      </c>
      <c r="BC248" s="7">
        <v>39260</v>
      </c>
      <c r="BD248">
        <v>1</v>
      </c>
      <c r="BE248" s="6" t="s">
        <v>1314</v>
      </c>
      <c r="BG248">
        <v>235</v>
      </c>
      <c r="BH248" s="17">
        <f t="shared" ca="1" si="3"/>
        <v>289</v>
      </c>
      <c r="BI248" s="17"/>
      <c r="BJ248" s="17"/>
      <c r="BK248" t="str">
        <f>B248</f>
        <v>Contingent</v>
      </c>
    </row>
    <row r="249" spans="1:63" hidden="1">
      <c r="A249">
        <v>27165900</v>
      </c>
      <c r="B249" s="2" t="str">
        <f>HYPERLINK("http://www.windermere.com/index.cfm?fuseaction=Listing.ListingDetail&amp;ListingID=19342196","Subject To Inspection")</f>
        <v>Subject To Inspection</v>
      </c>
      <c r="D249" t="s">
        <v>194</v>
      </c>
      <c r="E249" t="s">
        <v>196</v>
      </c>
      <c r="F249" s="10">
        <v>439000</v>
      </c>
      <c r="G249" t="s">
        <v>132</v>
      </c>
      <c r="H249" s="1">
        <v>1435</v>
      </c>
      <c r="I249">
        <v>12506</v>
      </c>
      <c r="J249">
        <v>3</v>
      </c>
      <c r="K249">
        <v>1.75</v>
      </c>
      <c r="M249" s="2" t="str">
        <f>HYPERLINK("http://www.windermere.com/index.cfm?fuseaction=Listing.MapPropertyInteractive&amp;ListingID=19342196&amp;resize=true&amp;windowWidth=800&amp;windowHeight=600","Map")</f>
        <v>Map</v>
      </c>
      <c r="O249" s="2" t="str">
        <f>HYPERLINK("http://www.windermere.com/index.cfm?fuseaction=Listing.MultiImageViewer&amp;ListingID=19342196&amp;ln=27165900&amp;pub_mls=1","More")</f>
        <v>More</v>
      </c>
      <c r="P249" t="s">
        <v>44</v>
      </c>
      <c r="AI249" t="s">
        <v>66</v>
      </c>
      <c r="AJ249">
        <v>98115</v>
      </c>
      <c r="AS249" t="s">
        <v>1132</v>
      </c>
      <c r="AT249">
        <v>19342196</v>
      </c>
      <c r="AU249" s="12">
        <v>39495</v>
      </c>
      <c r="BB249" t="s">
        <v>911</v>
      </c>
      <c r="BC249" s="7">
        <v>39335</v>
      </c>
      <c r="BD249">
        <v>1</v>
      </c>
      <c r="BE249" s="6" t="s">
        <v>1331</v>
      </c>
      <c r="BG249">
        <v>160</v>
      </c>
      <c r="BH249" s="17">
        <f t="shared" ca="1" si="3"/>
        <v>214</v>
      </c>
      <c r="BI249" s="17"/>
      <c r="BJ249" s="17"/>
      <c r="BK249" t="str">
        <f>B249</f>
        <v>Subject To Inspection</v>
      </c>
    </row>
    <row r="250" spans="1:63" hidden="1">
      <c r="A250">
        <v>27205426</v>
      </c>
      <c r="B250" s="2" t="str">
        <f>HYPERLINK("http://www.windermere.com/index.cfm?fuseaction=Listing.ListingDetail&amp;ListingID=19016079","Subject To Inspection")</f>
        <v>Subject To Inspection</v>
      </c>
      <c r="D250" t="s">
        <v>42</v>
      </c>
      <c r="E250" t="s">
        <v>742</v>
      </c>
      <c r="F250" s="10">
        <v>439000</v>
      </c>
      <c r="G250" t="s">
        <v>156</v>
      </c>
      <c r="H250" s="1">
        <v>1510</v>
      </c>
      <c r="I250">
        <v>9000</v>
      </c>
      <c r="J250">
        <v>3</v>
      </c>
      <c r="K250">
        <v>1.5</v>
      </c>
      <c r="M250" s="2" t="str">
        <f>HYPERLINK("http://www.windermere.com/index.cfm?fuseaction=Listing.MapPropertyInteractive&amp;ListingID=19016079&amp;resize=true&amp;windowWidth=800&amp;windowHeight=600","Map")</f>
        <v>Map</v>
      </c>
      <c r="O250" s="2" t="str">
        <f>HYPERLINK("http://www.windermere.com/index.cfm?fuseaction=Listing.MultiImageViewer&amp;ListingID=19016079&amp;ln=27205426&amp;pub_mls=1","More")</f>
        <v>More</v>
      </c>
      <c r="AI250" t="s">
        <v>66</v>
      </c>
      <c r="AJ250">
        <v>98133</v>
      </c>
      <c r="AS250" t="s">
        <v>743</v>
      </c>
      <c r="AT250">
        <v>19016079</v>
      </c>
      <c r="AU250" s="12">
        <v>39495</v>
      </c>
      <c r="BB250" t="s">
        <v>911</v>
      </c>
      <c r="BC250" s="7">
        <v>39413</v>
      </c>
      <c r="BG250">
        <v>82</v>
      </c>
      <c r="BH250" s="17">
        <f t="shared" ca="1" si="3"/>
        <v>136</v>
      </c>
      <c r="BI250" s="17"/>
      <c r="BJ250" s="17"/>
      <c r="BK250" t="str">
        <f>B250</f>
        <v>Subject To Inspection</v>
      </c>
    </row>
    <row r="251" spans="1:63" hidden="1">
      <c r="A251">
        <v>28003907</v>
      </c>
      <c r="B251" s="2" t="str">
        <f>HYPERLINK("http://www.windermere.com/index.cfm?fuseaction=Listing.ListingDetail&amp;ListingID=19190530","Active")</f>
        <v>Active</v>
      </c>
      <c r="D251" t="s">
        <v>192</v>
      </c>
      <c r="E251" t="s">
        <v>746</v>
      </c>
      <c r="F251" s="10">
        <v>439500</v>
      </c>
      <c r="G251" t="s">
        <v>747</v>
      </c>
      <c r="H251" s="1">
        <v>1560</v>
      </c>
      <c r="I251">
        <v>5220</v>
      </c>
      <c r="J251">
        <v>3</v>
      </c>
      <c r="K251">
        <v>1.75</v>
      </c>
      <c r="M251" s="2" t="str">
        <f>HYPERLINK("http://www.windermere.com/index.cfm?fuseaction=Listing.MapPropertyInteractive&amp;ListingID=19190530&amp;resize=true&amp;windowWidth=800&amp;windowHeight=600","Map")</f>
        <v>Map</v>
      </c>
      <c r="O251" s="2" t="str">
        <f>HYPERLINK("http://www.windermere.com/index.cfm?fuseaction=Listing.MultiImageViewer&amp;ListingID=19190530&amp;ln=28003907&amp;pub_mls=1","More")</f>
        <v>More</v>
      </c>
      <c r="P251" t="s">
        <v>44</v>
      </c>
      <c r="AI251" t="s">
        <v>66</v>
      </c>
      <c r="AJ251">
        <v>98125</v>
      </c>
      <c r="AS251" t="s">
        <v>748</v>
      </c>
      <c r="AT251">
        <v>19190530</v>
      </c>
      <c r="AU251" s="12">
        <v>39495</v>
      </c>
      <c r="BB251" t="s">
        <v>911</v>
      </c>
      <c r="BC251" s="7">
        <v>39457</v>
      </c>
      <c r="BG251">
        <v>38</v>
      </c>
      <c r="BH251" s="17">
        <f t="shared" ca="1" si="3"/>
        <v>92</v>
      </c>
      <c r="BI251" s="17"/>
      <c r="BJ251" s="17"/>
    </row>
    <row r="252" spans="1:63" hidden="1">
      <c r="A252">
        <v>28025572</v>
      </c>
      <c r="B252" s="2" t="str">
        <f>HYPERLINK("http://www.windermere.com/index.cfm?fuseaction=Listing.ListingDetail&amp;ListingID=19373774","Active")</f>
        <v>Active</v>
      </c>
      <c r="D252" t="s">
        <v>63</v>
      </c>
      <c r="E252" t="s">
        <v>744</v>
      </c>
      <c r="F252" s="10">
        <v>439500</v>
      </c>
      <c r="G252" t="s">
        <v>247</v>
      </c>
      <c r="H252" s="1">
        <v>1330</v>
      </c>
      <c r="J252">
        <v>3</v>
      </c>
      <c r="K252">
        <v>2.25</v>
      </c>
      <c r="M252" s="2" t="str">
        <f>HYPERLINK("http://www.windermere.com/index.cfm?fuseaction=Listing.MapPropertyInteractive&amp;ListingID=19373774&amp;resize=true&amp;windowWidth=800&amp;windowHeight=600","Map")</f>
        <v>Map</v>
      </c>
      <c r="O252" s="2" t="str">
        <f>HYPERLINK("http://www.windermere.com/index.cfm?fuseaction=Listing.MultiImageViewer&amp;ListingID=19373774&amp;ln=28025572&amp;pub_mls=1","More")</f>
        <v>More</v>
      </c>
      <c r="P252" t="s">
        <v>44</v>
      </c>
      <c r="AI252" t="s">
        <v>66</v>
      </c>
      <c r="AJ252">
        <v>98107</v>
      </c>
      <c r="AS252" t="s">
        <v>745</v>
      </c>
      <c r="AT252">
        <v>19373774</v>
      </c>
      <c r="AU252" s="12">
        <v>39495</v>
      </c>
      <c r="BB252" t="s">
        <v>911</v>
      </c>
      <c r="BC252" s="7">
        <v>39493</v>
      </c>
      <c r="BG252">
        <v>2</v>
      </c>
      <c r="BH252" s="17">
        <f t="shared" ca="1" si="3"/>
        <v>56</v>
      </c>
      <c r="BI252" s="17"/>
      <c r="BJ252" s="17"/>
    </row>
    <row r="253" spans="1:63" hidden="1">
      <c r="A253">
        <v>28013118</v>
      </c>
      <c r="B253" s="2" t="str">
        <f>HYPERLINK("http://www.windermere.com/index.cfm?fuseaction=Listing.ListingDetail&amp;ListingID=19258580","Subject To Inspection")</f>
        <v>Subject To Inspection</v>
      </c>
      <c r="D253" t="s">
        <v>55</v>
      </c>
      <c r="E253" t="s">
        <v>167</v>
      </c>
      <c r="F253" s="10">
        <v>439900</v>
      </c>
      <c r="G253" t="s">
        <v>159</v>
      </c>
      <c r="H253" s="1">
        <v>1740</v>
      </c>
      <c r="I253">
        <v>4800</v>
      </c>
      <c r="J253">
        <v>4</v>
      </c>
      <c r="K253">
        <v>2</v>
      </c>
      <c r="M253" s="2" t="str">
        <f>HYPERLINK("http://www.windermere.com/index.cfm?fuseaction=Listing.MapPropertyInteractive&amp;ListingID=19258580&amp;resize=true&amp;windowWidth=800&amp;windowHeight=600","Map")</f>
        <v>Map</v>
      </c>
      <c r="O253" s="2" t="str">
        <f>HYPERLINK("http://www.windermere.com/index.cfm?fuseaction=Listing.MultiImageViewer&amp;ListingID=19258580&amp;ln=28013118&amp;pub_mls=1","More")</f>
        <v>More</v>
      </c>
      <c r="P253" t="s">
        <v>44</v>
      </c>
      <c r="AI253" t="s">
        <v>66</v>
      </c>
      <c r="AJ253">
        <v>98117</v>
      </c>
      <c r="AS253" t="s">
        <v>285</v>
      </c>
      <c r="AT253">
        <v>19258580</v>
      </c>
      <c r="AU253" s="12">
        <v>39495</v>
      </c>
      <c r="BB253" t="s">
        <v>911</v>
      </c>
      <c r="BC253" s="7">
        <v>39468</v>
      </c>
      <c r="BG253">
        <v>27</v>
      </c>
      <c r="BH253" s="17">
        <f t="shared" ca="1" si="3"/>
        <v>81</v>
      </c>
      <c r="BI253" s="17"/>
      <c r="BJ253" s="17"/>
      <c r="BK253" t="str">
        <f>B253</f>
        <v>Subject To Inspection</v>
      </c>
    </row>
    <row r="254" spans="1:63" hidden="1">
      <c r="A254">
        <v>27198496</v>
      </c>
      <c r="B254" s="2" t="str">
        <f>HYPERLINK("http://www.windermere.com/index.cfm?fuseaction=Listing.ListingDetail&amp;ListingID=18928855","Active")</f>
        <v>Active</v>
      </c>
      <c r="D254" t="s">
        <v>60</v>
      </c>
      <c r="E254" t="s">
        <v>751</v>
      </c>
      <c r="F254" s="10">
        <v>439950</v>
      </c>
      <c r="G254" t="s">
        <v>126</v>
      </c>
      <c r="H254" s="1">
        <v>1660</v>
      </c>
      <c r="I254">
        <v>3000</v>
      </c>
      <c r="J254">
        <v>3</v>
      </c>
      <c r="K254">
        <v>1.75</v>
      </c>
      <c r="M254" s="2" t="str">
        <f>HYPERLINK("http://www.windermere.com/index.cfm?fuseaction=Listing.MapPropertyInteractive&amp;ListingID=18928855&amp;resize=true&amp;windowWidth=800&amp;windowHeight=600","Map")</f>
        <v>Map</v>
      </c>
      <c r="AI254" t="s">
        <v>66</v>
      </c>
      <c r="AJ254">
        <v>98103</v>
      </c>
      <c r="AS254" t="s">
        <v>752</v>
      </c>
      <c r="AT254">
        <v>18928855</v>
      </c>
      <c r="AU254" s="12">
        <v>39495</v>
      </c>
      <c r="BB254" t="s">
        <v>911</v>
      </c>
      <c r="BC254" s="7">
        <v>39393</v>
      </c>
      <c r="BG254">
        <v>102</v>
      </c>
      <c r="BH254" s="17">
        <f t="shared" ca="1" si="3"/>
        <v>156</v>
      </c>
      <c r="BI254" s="17"/>
      <c r="BJ254" s="17"/>
    </row>
    <row r="255" spans="1:63" hidden="1">
      <c r="A255">
        <v>27205781</v>
      </c>
      <c r="B255" s="2" t="str">
        <f>HYPERLINK("http://www.windermere.com/index.cfm?fuseaction=Listing.ListingDetail&amp;ListingID=19013768","Active")</f>
        <v>Active</v>
      </c>
      <c r="D255" t="s">
        <v>967</v>
      </c>
      <c r="E255" t="s">
        <v>1135</v>
      </c>
      <c r="F255" s="10">
        <v>439950</v>
      </c>
      <c r="G255" t="s">
        <v>1136</v>
      </c>
      <c r="H255" s="1">
        <v>2600</v>
      </c>
      <c r="I255">
        <v>6760</v>
      </c>
      <c r="J255">
        <v>4</v>
      </c>
      <c r="K255">
        <v>2</v>
      </c>
      <c r="M255" s="2" t="str">
        <f>HYPERLINK("http://www.windermere.com/index.cfm?fuseaction=Listing.MapPropertyInteractive&amp;ListingID=19013768&amp;resize=true&amp;windowWidth=800&amp;windowHeight=600","Map")</f>
        <v>Map</v>
      </c>
      <c r="O255" s="2" t="str">
        <f>HYPERLINK("http://www.windermere.com/index.cfm?fuseaction=Listing.MultiImageViewer&amp;ListingID=19013768&amp;ln=27205781&amp;pub_mls=1","More")</f>
        <v>More</v>
      </c>
      <c r="P255" t="s">
        <v>44</v>
      </c>
      <c r="AI255" t="s">
        <v>66</v>
      </c>
      <c r="AJ255">
        <v>98125</v>
      </c>
      <c r="AS255" t="s">
        <v>1137</v>
      </c>
      <c r="AT255">
        <v>19013768</v>
      </c>
      <c r="AU255" s="12">
        <v>39495</v>
      </c>
      <c r="BB255" t="s">
        <v>911</v>
      </c>
      <c r="BC255" s="7">
        <v>39412</v>
      </c>
      <c r="BG255">
        <v>83</v>
      </c>
      <c r="BH255" s="17">
        <f t="shared" ca="1" si="3"/>
        <v>137</v>
      </c>
      <c r="BI255" s="17"/>
      <c r="BJ255" s="17"/>
    </row>
    <row r="256" spans="1:63" hidden="1">
      <c r="A256">
        <v>28000527</v>
      </c>
      <c r="B256" s="2" t="str">
        <f>HYPERLINK("http://www.windermere.com/index.cfm?fuseaction=Listing.ListingDetail&amp;ListingID=19146140","Active")</f>
        <v>Active</v>
      </c>
      <c r="D256" t="s">
        <v>63</v>
      </c>
      <c r="E256" t="s">
        <v>749</v>
      </c>
      <c r="F256" s="10">
        <v>439950</v>
      </c>
      <c r="G256" t="s">
        <v>673</v>
      </c>
      <c r="H256" s="1">
        <v>1750</v>
      </c>
      <c r="J256">
        <v>3</v>
      </c>
      <c r="K256">
        <v>2.5</v>
      </c>
      <c r="M256" s="2" t="str">
        <f>HYPERLINK("http://www.windermere.com/index.cfm?fuseaction=Listing.MapPropertyInteractive&amp;ListingID=19146140&amp;resize=true&amp;windowWidth=800&amp;windowHeight=600","Map")</f>
        <v>Map</v>
      </c>
      <c r="O256" s="2" t="str">
        <f>HYPERLINK("http://www.windermere.com/index.cfm?fuseaction=Listing.MultiImageViewer&amp;ListingID=19146140&amp;ln=28000527&amp;pub_mls=1","More")</f>
        <v>More</v>
      </c>
      <c r="AI256" t="s">
        <v>66</v>
      </c>
      <c r="AJ256">
        <v>98107</v>
      </c>
      <c r="AS256" t="s">
        <v>750</v>
      </c>
      <c r="AT256">
        <v>19146140</v>
      </c>
      <c r="AU256" s="12">
        <v>39495</v>
      </c>
      <c r="BB256" t="s">
        <v>911</v>
      </c>
      <c r="BC256" s="7">
        <v>39449</v>
      </c>
      <c r="BG256">
        <v>46</v>
      </c>
      <c r="BH256" s="17">
        <f t="shared" ca="1" si="3"/>
        <v>100</v>
      </c>
      <c r="BI256" s="17"/>
      <c r="BJ256" s="17"/>
    </row>
    <row r="257" spans="1:63" hidden="1">
      <c r="A257">
        <v>28026167</v>
      </c>
      <c r="B257" s="2" t="str">
        <f>HYPERLINK("http://www.windermere.com/index.cfm?fuseaction=Listing.ListingDetail&amp;ListingID=19359305","Active")</f>
        <v>Active</v>
      </c>
      <c r="D257" t="s">
        <v>194</v>
      </c>
      <c r="E257" t="s">
        <v>1133</v>
      </c>
      <c r="F257" s="10">
        <v>439950</v>
      </c>
      <c r="G257" t="s">
        <v>161</v>
      </c>
      <c r="H257">
        <v>990</v>
      </c>
      <c r="I257">
        <v>6393</v>
      </c>
      <c r="J257">
        <v>2</v>
      </c>
      <c r="K257">
        <v>1</v>
      </c>
      <c r="M257" s="2" t="str">
        <f>HYPERLINK("http://www.windermere.com/index.cfm?fuseaction=Listing.MapPropertyInteractive&amp;ListingID=19359305&amp;resize=true&amp;windowWidth=800&amp;windowHeight=600","Map")</f>
        <v>Map</v>
      </c>
      <c r="O257" s="2" t="str">
        <f>HYPERLINK("http://www.windermere.com/index.cfm?fuseaction=Listing.MultiImageViewer&amp;ListingID=19359305&amp;ln=28026167&amp;pub_mls=1","More")</f>
        <v>More</v>
      </c>
      <c r="P257" t="s">
        <v>44</v>
      </c>
      <c r="AI257" t="s">
        <v>66</v>
      </c>
      <c r="AJ257">
        <v>98115</v>
      </c>
      <c r="AS257" t="s">
        <v>1134</v>
      </c>
      <c r="AT257">
        <v>19359305</v>
      </c>
      <c r="AU257" s="12">
        <v>39495</v>
      </c>
      <c r="BB257" t="s">
        <v>911</v>
      </c>
      <c r="BC257" s="7">
        <v>39490</v>
      </c>
      <c r="BG257">
        <v>5</v>
      </c>
      <c r="BH257" s="17">
        <f t="shared" ca="1" si="3"/>
        <v>59</v>
      </c>
      <c r="BI257" s="17"/>
      <c r="BJ257" s="17"/>
    </row>
    <row r="258" spans="1:63" hidden="1">
      <c r="A258">
        <v>28012364</v>
      </c>
      <c r="B258" s="2" t="str">
        <f>HYPERLINK("http://www.windermere.com/index.cfm?fuseaction=Listing.ListingDetail&amp;ListingID=19253521","Active")</f>
        <v>Active</v>
      </c>
      <c r="D258" t="s">
        <v>63</v>
      </c>
      <c r="E258" t="s">
        <v>1138</v>
      </c>
      <c r="F258" s="10">
        <v>440000</v>
      </c>
      <c r="G258" t="s">
        <v>227</v>
      </c>
      <c r="I258">
        <v>3496</v>
      </c>
      <c r="J258">
        <v>2</v>
      </c>
      <c r="K258">
        <v>1</v>
      </c>
      <c r="M258" s="2" t="str">
        <f>HYPERLINK("http://www.windermere.com/index.cfm?fuseaction=Listing.MapPropertyInteractive&amp;ListingID=19253521&amp;resize=true&amp;windowWidth=800&amp;windowHeight=600","Map")</f>
        <v>Map</v>
      </c>
      <c r="O258" s="2" t="str">
        <f>HYPERLINK("http://www.windermere.com/index.cfm?fuseaction=Listing.MultiImageViewer&amp;ListingID=19253521&amp;ln=28012364&amp;pub_mls=1","More")</f>
        <v>More</v>
      </c>
      <c r="P258" t="s">
        <v>44</v>
      </c>
      <c r="AI258" t="s">
        <v>66</v>
      </c>
      <c r="AJ258">
        <v>98117</v>
      </c>
      <c r="AS258" t="s">
        <v>1139</v>
      </c>
      <c r="AT258">
        <v>19253521</v>
      </c>
      <c r="AU258" s="12">
        <v>39495</v>
      </c>
      <c r="BB258" t="s">
        <v>911</v>
      </c>
      <c r="BC258" s="7">
        <v>39467</v>
      </c>
      <c r="BG258">
        <v>28</v>
      </c>
      <c r="BH258" s="17">
        <f t="shared" ca="1" si="3"/>
        <v>82</v>
      </c>
      <c r="BI258" s="17"/>
      <c r="BJ258" s="17"/>
    </row>
    <row r="259" spans="1:63" hidden="1">
      <c r="A259">
        <v>28005823</v>
      </c>
      <c r="B259" s="2" t="str">
        <f>HYPERLINK("http://www.windermere.com/index.cfm?fuseaction=Listing.ListingDetail&amp;ListingID=19228455","Active")</f>
        <v>Active</v>
      </c>
      <c r="D259" t="s">
        <v>60</v>
      </c>
      <c r="E259" t="s">
        <v>753</v>
      </c>
      <c r="F259" s="13">
        <v>435000</v>
      </c>
      <c r="G259" t="s">
        <v>170</v>
      </c>
      <c r="H259" s="1">
        <v>1090</v>
      </c>
      <c r="J259">
        <v>2</v>
      </c>
      <c r="K259">
        <v>1</v>
      </c>
      <c r="M259" s="2" t="str">
        <f>HYPERLINK("http://www.windermere.com/index.cfm?fuseaction=Listing.MapPropertyInteractive&amp;ListingID=19228455&amp;resize=true&amp;windowWidth=800&amp;windowHeight=600","Map")</f>
        <v>Map</v>
      </c>
      <c r="O259" s="2" t="str">
        <f>HYPERLINK("http://www.windermere.com/index.cfm?fuseaction=Listing.MultiImageViewer&amp;ListingID=19228455&amp;ln=28005823&amp;pub_mls=1","More")</f>
        <v>More</v>
      </c>
      <c r="P259" t="s">
        <v>44</v>
      </c>
      <c r="AI259" t="s">
        <v>66</v>
      </c>
      <c r="AJ259">
        <v>98115</v>
      </c>
      <c r="AS259" t="s">
        <v>754</v>
      </c>
      <c r="AT259">
        <v>19228455</v>
      </c>
      <c r="AU259" s="12">
        <v>39495</v>
      </c>
      <c r="BB259" t="s">
        <v>911</v>
      </c>
      <c r="BC259" s="7">
        <v>39463</v>
      </c>
      <c r="BD259">
        <v>3</v>
      </c>
      <c r="BE259" t="s">
        <v>1441</v>
      </c>
      <c r="BF259" t="s">
        <v>1344</v>
      </c>
      <c r="BG259">
        <v>32</v>
      </c>
      <c r="BH259" s="17">
        <f t="shared" ref="BH259:BH322" ca="1" si="4">TODAY()-BC259</f>
        <v>86</v>
      </c>
      <c r="BI259" s="17"/>
      <c r="BJ259" s="17"/>
    </row>
    <row r="260" spans="1:63" hidden="1">
      <c r="A260">
        <v>28028056</v>
      </c>
      <c r="B260" s="2" t="str">
        <f>HYPERLINK("http://www.windermere.com/index.cfm?fuseaction=Listing.ListingDetail&amp;ListingID=19377706","Active")</f>
        <v>Active</v>
      </c>
      <c r="D260" t="s">
        <v>60</v>
      </c>
      <c r="E260" t="s">
        <v>755</v>
      </c>
      <c r="F260" s="10">
        <v>444500</v>
      </c>
      <c r="G260" t="s">
        <v>662</v>
      </c>
      <c r="H260" s="1">
        <v>1420</v>
      </c>
      <c r="I260">
        <v>3375</v>
      </c>
      <c r="J260">
        <v>3</v>
      </c>
      <c r="K260">
        <v>2</v>
      </c>
      <c r="M260" s="2" t="str">
        <f>HYPERLINK("http://www.windermere.com/index.cfm?fuseaction=Listing.MapPropertyInteractive&amp;ListingID=19377706&amp;resize=true&amp;windowWidth=800&amp;windowHeight=600","Map")</f>
        <v>Map</v>
      </c>
      <c r="O260" s="2" t="str">
        <f>HYPERLINK("http://www.windermere.com/index.cfm?fuseaction=Listing.MultiImageViewer&amp;ListingID=19377706&amp;ln=28028056&amp;pub_mls=1","More")</f>
        <v>More</v>
      </c>
      <c r="P260" t="s">
        <v>44</v>
      </c>
      <c r="AI260" t="s">
        <v>66</v>
      </c>
      <c r="AJ260">
        <v>98103</v>
      </c>
      <c r="AS260" t="s">
        <v>756</v>
      </c>
      <c r="AT260">
        <v>19377706</v>
      </c>
      <c r="AU260" s="12">
        <v>39495</v>
      </c>
      <c r="BB260" t="s">
        <v>911</v>
      </c>
      <c r="BC260" s="7">
        <v>39493</v>
      </c>
      <c r="BG260">
        <v>2</v>
      </c>
      <c r="BH260" s="17">
        <f t="shared" ca="1" si="4"/>
        <v>56</v>
      </c>
      <c r="BI260" s="17"/>
      <c r="BJ260" s="17"/>
    </row>
    <row r="261" spans="1:63" hidden="1">
      <c r="A261">
        <v>27180210</v>
      </c>
      <c r="B261" s="2" t="str">
        <f>HYPERLINK("http://www.windermere.com/index.cfm?fuseaction=Listing.ListingDetail&amp;ListingID=18768523","Active")</f>
        <v>Active</v>
      </c>
      <c r="D261" t="s">
        <v>204</v>
      </c>
      <c r="E261" t="s">
        <v>205</v>
      </c>
      <c r="F261" s="10">
        <v>448000</v>
      </c>
      <c r="G261" t="s">
        <v>124</v>
      </c>
      <c r="H261" s="1">
        <v>2500</v>
      </c>
      <c r="I261">
        <v>7749</v>
      </c>
      <c r="J261">
        <v>4</v>
      </c>
      <c r="K261">
        <v>2</v>
      </c>
      <c r="M261" s="2" t="str">
        <f>HYPERLINK("http://www.windermere.com/index.cfm?fuseaction=Listing.MapPropertyInteractive&amp;ListingID=18768523&amp;resize=true&amp;windowWidth=800&amp;windowHeight=600","Map")</f>
        <v>Map</v>
      </c>
      <c r="O261" s="2" t="str">
        <f>HYPERLINK("http://www.windermere.com/index.cfm?fuseaction=Listing.MultiImageViewer&amp;ListingID=18768523&amp;ln=27180210&amp;pub_mls=1","More")</f>
        <v>More</v>
      </c>
      <c r="P261" t="s">
        <v>44</v>
      </c>
      <c r="AI261" t="s">
        <v>66</v>
      </c>
      <c r="AJ261">
        <v>98125</v>
      </c>
      <c r="AS261" t="s">
        <v>757</v>
      </c>
      <c r="AT261">
        <v>18768523</v>
      </c>
      <c r="AU261" s="12">
        <v>39495</v>
      </c>
      <c r="BB261" t="s">
        <v>911</v>
      </c>
      <c r="BC261" s="7">
        <v>39360</v>
      </c>
      <c r="BG261">
        <v>135</v>
      </c>
      <c r="BH261" s="17">
        <f t="shared" ca="1" si="4"/>
        <v>189</v>
      </c>
      <c r="BI261" s="17"/>
      <c r="BJ261" s="17"/>
    </row>
    <row r="262" spans="1:63" hidden="1">
      <c r="A262">
        <v>28017471</v>
      </c>
      <c r="B262" s="2" t="str">
        <f>HYPERLINK("http://www.windermere.com/index.cfm?fuseaction=Listing.ListingDetail&amp;ListingID=19322432","Active")</f>
        <v>Active</v>
      </c>
      <c r="D262" t="s">
        <v>63</v>
      </c>
      <c r="E262" t="s">
        <v>760</v>
      </c>
      <c r="F262" s="13">
        <v>439000</v>
      </c>
      <c r="G262" t="s">
        <v>147</v>
      </c>
      <c r="H262" s="1">
        <v>1459</v>
      </c>
      <c r="J262">
        <v>2</v>
      </c>
      <c r="K262">
        <v>1.5</v>
      </c>
      <c r="M262" s="2" t="str">
        <f>HYPERLINK("http://www.windermere.com/index.cfm?fuseaction=Listing.MapPropertyInteractive&amp;ListingID=19322432&amp;resize=true&amp;windowWidth=800&amp;windowHeight=600","Map")</f>
        <v>Map</v>
      </c>
      <c r="O262" s="2" t="str">
        <f>HYPERLINK("http://www.windermere.com/index.cfm?fuseaction=Listing.MultiImageViewer&amp;ListingID=19322432&amp;ln=28017471&amp;pub_mls=1","More")</f>
        <v>More</v>
      </c>
      <c r="AI262" t="s">
        <v>66</v>
      </c>
      <c r="AJ262">
        <v>98107</v>
      </c>
      <c r="AS262" t="s">
        <v>761</v>
      </c>
      <c r="AT262">
        <v>19322432</v>
      </c>
      <c r="AU262" s="12">
        <v>39495</v>
      </c>
      <c r="BB262" t="s">
        <v>911</v>
      </c>
      <c r="BC262" s="7">
        <v>39482</v>
      </c>
      <c r="BD262">
        <v>2</v>
      </c>
      <c r="BE262" t="s">
        <v>1377</v>
      </c>
      <c r="BG262">
        <v>13</v>
      </c>
      <c r="BH262" s="17">
        <f t="shared" ca="1" si="4"/>
        <v>67</v>
      </c>
      <c r="BI262" s="17"/>
      <c r="BJ262" s="17"/>
    </row>
    <row r="263" spans="1:63" hidden="1">
      <c r="A263">
        <v>28017956</v>
      </c>
      <c r="B263" s="2" t="str">
        <f>HYPERLINK("http://www.windermere.com/index.cfm?fuseaction=Listing.ListingDetail&amp;ListingID=19327829","Subject To Inspection")</f>
        <v>Subject To Inspection</v>
      </c>
      <c r="C263">
        <v>705</v>
      </c>
      <c r="D263" t="s">
        <v>42</v>
      </c>
      <c r="E263" t="s">
        <v>758</v>
      </c>
      <c r="F263" s="10">
        <v>449000</v>
      </c>
      <c r="G263" t="s">
        <v>144</v>
      </c>
      <c r="H263" s="1">
        <v>1870</v>
      </c>
      <c r="I263">
        <v>8840</v>
      </c>
      <c r="J263">
        <v>7</v>
      </c>
      <c r="K263">
        <v>1.75</v>
      </c>
      <c r="L263">
        <v>1</v>
      </c>
      <c r="M263" s="2" t="str">
        <f>HYPERLINK("http://www.windermere.com/index.cfm?fuseaction=Listing.MapPropertyInteractive&amp;ListingID=19327829&amp;resize=true&amp;windowWidth=800&amp;windowHeight=600","Map")</f>
        <v>Map</v>
      </c>
      <c r="N263" s="2" t="str">
        <f>HYPERLINK("http://locmedia.nwmls.com/DO_NOT_LINK/bigphoto/956/28017956.jpg?tsp=20080206133228","Photo")</f>
        <v>Photo</v>
      </c>
      <c r="O263" s="2" t="str">
        <f>HYPERLINK("http://www.windermere.com/index.cfm?fuseaction=Listing.MultiImageViewer&amp;ListingID=19327829&amp;ln=28017956&amp;pub_mls=1","More")</f>
        <v>More</v>
      </c>
      <c r="P263" t="s">
        <v>44</v>
      </c>
      <c r="Q263" t="s">
        <v>56</v>
      </c>
      <c r="R263" t="s">
        <v>1002</v>
      </c>
      <c r="S263" t="s">
        <v>1003</v>
      </c>
      <c r="T263" t="s">
        <v>95</v>
      </c>
      <c r="U263" t="s">
        <v>44</v>
      </c>
      <c r="X263" t="s">
        <v>47</v>
      </c>
      <c r="Y263" t="s">
        <v>48</v>
      </c>
      <c r="Z263" t="s">
        <v>83</v>
      </c>
      <c r="AB263">
        <v>2006</v>
      </c>
      <c r="AC263">
        <v>3271</v>
      </c>
      <c r="AD263" t="s">
        <v>1004</v>
      </c>
      <c r="AE263" t="s">
        <v>74</v>
      </c>
      <c r="AF263" t="s">
        <v>1005</v>
      </c>
      <c r="AG263">
        <v>47.722012999999997</v>
      </c>
      <c r="AH263">
        <v>-122.33445</v>
      </c>
      <c r="AI263" t="s">
        <v>66</v>
      </c>
      <c r="AJ263">
        <v>98133</v>
      </c>
      <c r="AK263" t="s">
        <v>41</v>
      </c>
      <c r="AL263" t="s">
        <v>40</v>
      </c>
      <c r="AM263" t="s">
        <v>40</v>
      </c>
      <c r="AO263">
        <v>0.20300000000000001</v>
      </c>
      <c r="AP263" t="s">
        <v>1006</v>
      </c>
      <c r="AQ263">
        <v>505</v>
      </c>
      <c r="AR263" t="s">
        <v>43</v>
      </c>
      <c r="AS263" t="s">
        <v>759</v>
      </c>
      <c r="AT263">
        <v>19327829</v>
      </c>
      <c r="AU263" s="12">
        <v>39495</v>
      </c>
      <c r="BA263" t="s">
        <v>911</v>
      </c>
      <c r="BB263" t="s">
        <v>911</v>
      </c>
      <c r="BC263" s="7">
        <v>39483</v>
      </c>
      <c r="BG263">
        <v>12</v>
      </c>
      <c r="BH263" s="17">
        <f t="shared" ca="1" si="4"/>
        <v>66</v>
      </c>
      <c r="BI263" s="17"/>
      <c r="BJ263" s="17"/>
      <c r="BK263" t="str">
        <f>B263</f>
        <v>Subject To Inspection</v>
      </c>
    </row>
    <row r="264" spans="1:63" hidden="1">
      <c r="A264">
        <v>28027394</v>
      </c>
      <c r="B264" s="15" t="str">
        <f>HYPERLINK("http://www.windermere.com/index.cfm?fuseaction=Listing.ListingDetail&amp;ListingID=19374487","Subject To Inspection")</f>
        <v>Subject To Inspection</v>
      </c>
      <c r="D264" t="s">
        <v>218</v>
      </c>
      <c r="E264" t="s">
        <v>762</v>
      </c>
      <c r="F264" s="10">
        <v>449000</v>
      </c>
      <c r="G264" t="s">
        <v>129</v>
      </c>
      <c r="H264" s="1">
        <v>1980</v>
      </c>
      <c r="I264">
        <v>3280</v>
      </c>
      <c r="J264">
        <v>3</v>
      </c>
      <c r="K264">
        <v>2</v>
      </c>
      <c r="M264" s="2" t="str">
        <f>HYPERLINK("http://www.windermere.com/index.cfm?fuseaction=Listing.MapPropertyInteractive&amp;ListingID=19374487&amp;resize=true&amp;windowWidth=800&amp;windowHeight=600","Map")</f>
        <v>Map</v>
      </c>
      <c r="O264" s="2" t="str">
        <f>HYPERLINK("http://www.windermere.com/index.cfm?fuseaction=Listing.MultiImageViewer&amp;ListingID=19374487&amp;ln=28027394&amp;pub_mls=1","More")</f>
        <v>More</v>
      </c>
      <c r="AI264" t="s">
        <v>66</v>
      </c>
      <c r="AJ264">
        <v>98115</v>
      </c>
      <c r="AS264" t="s">
        <v>763</v>
      </c>
      <c r="AT264">
        <v>19374487</v>
      </c>
      <c r="AU264" s="12">
        <v>39495</v>
      </c>
      <c r="BB264" t="s">
        <v>911</v>
      </c>
      <c r="BC264" s="7">
        <v>39493</v>
      </c>
      <c r="BG264">
        <v>2</v>
      </c>
      <c r="BH264" s="17">
        <f t="shared" ca="1" si="4"/>
        <v>56</v>
      </c>
      <c r="BI264" s="17"/>
      <c r="BJ264" s="17"/>
    </row>
    <row r="265" spans="1:63" hidden="1">
      <c r="A265">
        <v>27205585</v>
      </c>
      <c r="B265" s="2" t="str">
        <f>HYPERLINK("http://www.windermere.com/index.cfm?fuseaction=Listing.ListingDetail&amp;ListingID=19012321","Active")</f>
        <v>Active</v>
      </c>
      <c r="D265" t="s">
        <v>1141</v>
      </c>
      <c r="E265" t="s">
        <v>764</v>
      </c>
      <c r="F265" s="10">
        <v>449500</v>
      </c>
      <c r="G265" t="s">
        <v>143</v>
      </c>
      <c r="H265" s="1">
        <v>1720</v>
      </c>
      <c r="J265">
        <v>3</v>
      </c>
      <c r="K265">
        <v>3.5</v>
      </c>
      <c r="M265" s="2" t="str">
        <f>HYPERLINK("http://www.windermere.com/index.cfm?fuseaction=Listing.MapPropertyInteractive&amp;ListingID=19012321&amp;resize=true&amp;windowWidth=800&amp;windowHeight=600","Map")</f>
        <v>Map</v>
      </c>
      <c r="O265" s="2" t="str">
        <f>HYPERLINK("http://www.windermere.com/index.cfm?fuseaction=viewGallery.Home&amp;customTourID=201073&amp;wvt=0","More")</f>
        <v>More</v>
      </c>
      <c r="P265" t="s">
        <v>44</v>
      </c>
      <c r="AI265" t="s">
        <v>66</v>
      </c>
      <c r="AJ265">
        <v>98103</v>
      </c>
      <c r="AS265" t="s">
        <v>765</v>
      </c>
      <c r="AT265">
        <v>19012321</v>
      </c>
      <c r="AU265" s="12">
        <v>39495</v>
      </c>
      <c r="BB265" t="s">
        <v>911</v>
      </c>
      <c r="BC265" s="7">
        <v>39411</v>
      </c>
      <c r="BG265">
        <v>84</v>
      </c>
      <c r="BH265" s="17">
        <f t="shared" ca="1" si="4"/>
        <v>138</v>
      </c>
      <c r="BI265" s="17"/>
      <c r="BJ265" s="17"/>
    </row>
    <row r="266" spans="1:63" hidden="1">
      <c r="A266">
        <v>28019505</v>
      </c>
      <c r="B266" s="2" t="str">
        <f>HYPERLINK("http://www.windermere.com/index.cfm?fuseaction=Listing.ListingDetail&amp;ListingID=19310141","Active")</f>
        <v>Active</v>
      </c>
      <c r="D266" t="s">
        <v>983</v>
      </c>
      <c r="E266" t="s">
        <v>214</v>
      </c>
      <c r="F266" s="10">
        <v>449500</v>
      </c>
      <c r="G266" t="s">
        <v>215</v>
      </c>
      <c r="H266" s="1">
        <v>2240</v>
      </c>
      <c r="I266">
        <v>3075</v>
      </c>
      <c r="J266">
        <v>3</v>
      </c>
      <c r="K266">
        <v>2</v>
      </c>
      <c r="M266" s="2" t="str">
        <f>HYPERLINK("http://www.windermere.com/index.cfm?fuseaction=Listing.MapPropertyInteractive&amp;ListingID=19310141&amp;resize=true&amp;windowWidth=800&amp;windowHeight=600","Map")</f>
        <v>Map</v>
      </c>
      <c r="O266" s="2" t="str">
        <f>HYPERLINK("http://www.windermere.com/index.cfm?fuseaction=Listing.MultiImageViewer&amp;ListingID=19310141&amp;ln=28019505&amp;pub_mls=1","More")</f>
        <v>More</v>
      </c>
      <c r="AI266" t="s">
        <v>66</v>
      </c>
      <c r="AJ266">
        <v>98115</v>
      </c>
      <c r="AS266" t="s">
        <v>1140</v>
      </c>
      <c r="AT266">
        <v>19310141</v>
      </c>
      <c r="AU266" s="12">
        <v>39495</v>
      </c>
      <c r="BB266" t="s">
        <v>911</v>
      </c>
      <c r="BC266" s="7">
        <v>39479</v>
      </c>
      <c r="BG266">
        <v>16</v>
      </c>
      <c r="BH266" s="17">
        <f t="shared" ca="1" si="4"/>
        <v>70</v>
      </c>
      <c r="BI266" s="17"/>
      <c r="BJ266" s="17"/>
    </row>
    <row r="267" spans="1:63" hidden="1">
      <c r="A267">
        <v>28001335</v>
      </c>
      <c r="B267" s="15" t="str">
        <f>HYPERLINK("http://www.windermere.com/index.cfm?fuseaction=Listing.ListingDetail&amp;ListingID=19150106","Subject To Inspection")</f>
        <v>Subject To Inspection</v>
      </c>
      <c r="D267" t="s">
        <v>63</v>
      </c>
      <c r="E267" t="s">
        <v>766</v>
      </c>
      <c r="F267" s="10">
        <v>449888</v>
      </c>
      <c r="G267" t="s">
        <v>373</v>
      </c>
      <c r="H267" s="1">
        <v>1670</v>
      </c>
      <c r="J267">
        <v>3</v>
      </c>
      <c r="K267">
        <v>2</v>
      </c>
      <c r="M267" s="2" t="str">
        <f>HYPERLINK("http://www.windermere.com/index.cfm?fuseaction=Listing.MapPropertyInteractive&amp;ListingID=19150106&amp;resize=true&amp;windowWidth=800&amp;windowHeight=600","Map")</f>
        <v>Map</v>
      </c>
      <c r="O267" s="2" t="str">
        <f>HYPERLINK("http://www.windermere.com/index.cfm?fuseaction=Listing.MultiImageViewer&amp;ListingID=19150106&amp;ln=28001335&amp;pub_mls=1","More")</f>
        <v>More</v>
      </c>
      <c r="AI267" t="s">
        <v>66</v>
      </c>
      <c r="AJ267">
        <v>98107</v>
      </c>
      <c r="AS267" t="s">
        <v>767</v>
      </c>
      <c r="AT267">
        <v>19150106</v>
      </c>
      <c r="AU267" s="12">
        <v>39495</v>
      </c>
      <c r="BB267" t="s">
        <v>911</v>
      </c>
      <c r="BC267" s="7">
        <v>39449</v>
      </c>
      <c r="BD267">
        <v>3</v>
      </c>
      <c r="BE267" t="s">
        <v>1378</v>
      </c>
      <c r="BG267">
        <v>46</v>
      </c>
      <c r="BH267" s="17">
        <f t="shared" ca="1" si="4"/>
        <v>100</v>
      </c>
      <c r="BI267" s="17"/>
      <c r="BJ267" s="17"/>
    </row>
    <row r="268" spans="1:63" hidden="1">
      <c r="A268">
        <v>27191868</v>
      </c>
      <c r="B268" s="2" t="str">
        <f>HYPERLINK("http://www.windermere.com/index.cfm?fuseaction=Listing.ListingDetail&amp;ListingID=18865361","Active")</f>
        <v>Active</v>
      </c>
      <c r="D268" t="s">
        <v>55</v>
      </c>
      <c r="E268" t="s">
        <v>152</v>
      </c>
      <c r="F268" s="13">
        <v>434900</v>
      </c>
      <c r="G268" t="s">
        <v>153</v>
      </c>
      <c r="H268" s="1">
        <v>2080</v>
      </c>
      <c r="I268">
        <v>4950</v>
      </c>
      <c r="J268">
        <v>3</v>
      </c>
      <c r="K268">
        <v>1.5</v>
      </c>
      <c r="M268" s="2" t="str">
        <f>HYPERLINK("http://www.windermere.com/index.cfm?fuseaction=Listing.MapPropertyInteractive&amp;ListingID=18865361&amp;resize=true&amp;windowWidth=800&amp;windowHeight=600","Map")</f>
        <v>Map</v>
      </c>
      <c r="O268" s="2" t="str">
        <f>HYPERLINK("http://www.windermere.com/index.cfm?fuseaction=Listing.MultiImageViewer&amp;ListingID=18865361&amp;ln=27191868&amp;pub_mls=1","More")</f>
        <v>More</v>
      </c>
      <c r="AI268" t="s">
        <v>66</v>
      </c>
      <c r="AJ268">
        <v>98117</v>
      </c>
      <c r="AS268" t="s">
        <v>284</v>
      </c>
      <c r="AT268">
        <v>18865361</v>
      </c>
      <c r="AU268" s="12">
        <v>39495</v>
      </c>
      <c r="BB268" t="s">
        <v>911</v>
      </c>
      <c r="BC268" s="7">
        <v>39380</v>
      </c>
      <c r="BG268">
        <v>115</v>
      </c>
      <c r="BH268" s="17">
        <f t="shared" ca="1" si="4"/>
        <v>169</v>
      </c>
      <c r="BI268" s="17"/>
      <c r="BJ268" s="17"/>
    </row>
    <row r="269" spans="1:63" hidden="1">
      <c r="A269">
        <v>28000354</v>
      </c>
      <c r="B269" s="2" t="str">
        <f>HYPERLINK("http://www.windermere.com/index.cfm?fuseaction=Listing.ListingDetail&amp;ListingID=19143675","Active")</f>
        <v>Active</v>
      </c>
      <c r="D269" t="s">
        <v>1129</v>
      </c>
      <c r="E269" t="s">
        <v>1142</v>
      </c>
      <c r="F269" s="10">
        <v>449950</v>
      </c>
      <c r="G269" t="s">
        <v>168</v>
      </c>
      <c r="H269" s="1">
        <v>1290</v>
      </c>
      <c r="I269">
        <v>10048</v>
      </c>
      <c r="J269">
        <v>2</v>
      </c>
      <c r="K269">
        <v>1.5</v>
      </c>
      <c r="M269" s="2" t="str">
        <f>HYPERLINK("http://www.windermere.com/index.cfm?fuseaction=Listing.MapPropertyInteractive&amp;ListingID=19143675&amp;resize=true&amp;windowWidth=800&amp;windowHeight=600","Map")</f>
        <v>Map</v>
      </c>
      <c r="O269" s="2" t="str">
        <f>HYPERLINK("http://www.windermere.com/index.cfm?fuseaction=Listing.MultiImageViewer&amp;ListingID=19143675&amp;ln=28000354&amp;pub_mls=1","More")</f>
        <v>More</v>
      </c>
      <c r="P269" t="s">
        <v>44</v>
      </c>
      <c r="AI269" t="s">
        <v>66</v>
      </c>
      <c r="AJ269">
        <v>98125</v>
      </c>
      <c r="AS269" t="s">
        <v>1143</v>
      </c>
      <c r="AT269">
        <v>19143675</v>
      </c>
      <c r="AU269" s="12">
        <v>39495</v>
      </c>
      <c r="BB269" t="s">
        <v>911</v>
      </c>
      <c r="BC269" s="7">
        <v>39448</v>
      </c>
      <c r="BG269">
        <v>47</v>
      </c>
      <c r="BH269" s="17">
        <f t="shared" ca="1" si="4"/>
        <v>101</v>
      </c>
      <c r="BI269" s="17"/>
      <c r="BJ269" s="17"/>
    </row>
    <row r="270" spans="1:63" hidden="1">
      <c r="A270">
        <v>28008371</v>
      </c>
      <c r="B270" s="2" t="str">
        <f>HYPERLINK("http://www.windermere.com/index.cfm?fuseaction=Listing.ListingDetail&amp;ListingID=19220502","Subject To Inspection")</f>
        <v>Subject To Inspection</v>
      </c>
      <c r="D270" t="s">
        <v>60</v>
      </c>
      <c r="E270" t="s">
        <v>768</v>
      </c>
      <c r="F270" s="10">
        <v>449950</v>
      </c>
      <c r="G270" t="s">
        <v>168</v>
      </c>
      <c r="H270" s="1">
        <v>2040</v>
      </c>
      <c r="I270">
        <v>4500</v>
      </c>
      <c r="J270">
        <v>3</v>
      </c>
      <c r="K270">
        <v>1.75</v>
      </c>
      <c r="M270" s="2" t="str">
        <f>HYPERLINK("http://www.windermere.com/index.cfm?fuseaction=Listing.MapPropertyInteractive&amp;ListingID=19220502&amp;resize=true&amp;windowWidth=800&amp;windowHeight=600","Map")</f>
        <v>Map</v>
      </c>
      <c r="O270" s="2" t="str">
        <f>HYPERLINK("http://www.windermere.com/index.cfm?fuseaction=Listing.MultiImageViewer&amp;ListingID=19220502&amp;ln=28008371&amp;pub_mls=1","More")</f>
        <v>More</v>
      </c>
      <c r="P270" t="s">
        <v>44</v>
      </c>
      <c r="AI270" t="s">
        <v>66</v>
      </c>
      <c r="AJ270">
        <v>98103</v>
      </c>
      <c r="AS270" t="s">
        <v>769</v>
      </c>
      <c r="AT270">
        <v>19220502</v>
      </c>
      <c r="AU270" s="12">
        <v>39495</v>
      </c>
      <c r="BB270" t="s">
        <v>911</v>
      </c>
      <c r="BC270" t="s">
        <v>1412</v>
      </c>
      <c r="BG270">
        <v>0</v>
      </c>
      <c r="BH270" s="17" t="e">
        <f t="shared" ca="1" si="4"/>
        <v>#VALUE!</v>
      </c>
      <c r="BI270" s="17"/>
      <c r="BJ270" s="17"/>
      <c r="BK270" t="str">
        <f>B270</f>
        <v>Subject To Inspection</v>
      </c>
    </row>
    <row r="271" spans="1:63" hidden="1">
      <c r="A271">
        <v>28014057</v>
      </c>
      <c r="B271" s="4" t="str">
        <f>HYPERLINK("http://www.windermere.com/index.cfm?fuseaction=Listing.ListingDetail&amp;ListingID=19266059","Subject To Inspection")</f>
        <v>Subject To Inspection</v>
      </c>
      <c r="D271" t="s">
        <v>63</v>
      </c>
      <c r="E271" t="s">
        <v>770</v>
      </c>
      <c r="F271" s="13">
        <v>429950</v>
      </c>
      <c r="G271" t="s">
        <v>246</v>
      </c>
      <c r="H271" s="1">
        <v>1490</v>
      </c>
      <c r="J271">
        <v>3</v>
      </c>
      <c r="K271">
        <v>2.5</v>
      </c>
      <c r="M271" s="2" t="str">
        <f>HYPERLINK("http://www.windermere.com/index.cfm?fuseaction=Listing.MapPropertyInteractive&amp;ListingID=19266059&amp;resize=true&amp;windowWidth=800&amp;windowHeight=600","Map")</f>
        <v>Map</v>
      </c>
      <c r="O271" s="2" t="str">
        <f>HYPERLINK("http://www.windermere.com/index.cfm?fuseaction=Listing.MultiImageViewer&amp;ListingID=19266059&amp;ln=28014057&amp;pub_mls=1","More")</f>
        <v>More</v>
      </c>
      <c r="P271" t="s">
        <v>44</v>
      </c>
      <c r="AI271" t="s">
        <v>66</v>
      </c>
      <c r="AJ271">
        <v>98107</v>
      </c>
      <c r="AS271" t="s">
        <v>771</v>
      </c>
      <c r="AT271">
        <v>19266059</v>
      </c>
      <c r="AU271" s="12">
        <v>39495</v>
      </c>
      <c r="BB271" t="s">
        <v>911</v>
      </c>
      <c r="BC271" s="7">
        <v>39470</v>
      </c>
      <c r="BG271">
        <v>25</v>
      </c>
      <c r="BH271" s="17">
        <f t="shared" ca="1" si="4"/>
        <v>79</v>
      </c>
      <c r="BI271" s="17"/>
      <c r="BJ271" s="17"/>
    </row>
    <row r="272" spans="1:63" hidden="1">
      <c r="A272">
        <v>28017708</v>
      </c>
      <c r="B272" s="2" t="str">
        <f>HYPERLINK("http://www.windermere.com/index.cfm?fuseaction=Listing.ListingDetail&amp;ListingID=19295761","Active")</f>
        <v>Active</v>
      </c>
      <c r="D272" t="s">
        <v>101</v>
      </c>
      <c r="E272" t="s">
        <v>163</v>
      </c>
      <c r="F272" s="10">
        <v>449950</v>
      </c>
      <c r="G272" t="s">
        <v>164</v>
      </c>
      <c r="H272" s="1">
        <v>1160</v>
      </c>
      <c r="I272">
        <v>7590</v>
      </c>
      <c r="J272">
        <v>2</v>
      </c>
      <c r="K272">
        <v>1</v>
      </c>
      <c r="M272" s="2" t="str">
        <f>HYPERLINK("http://www.windermere.com/index.cfm?fuseaction=Listing.MapPropertyInteractive&amp;ListingID=19295761&amp;resize=true&amp;windowWidth=800&amp;windowHeight=600","Map")</f>
        <v>Map</v>
      </c>
      <c r="O272" s="2" t="str">
        <f>HYPERLINK("http://www.windermere.com/index.cfm?fuseaction=Listing.MultiImageViewer&amp;ListingID=19295761&amp;ln=28017708&amp;pub_mls=1","More")</f>
        <v>More</v>
      </c>
      <c r="AI272" t="s">
        <v>66</v>
      </c>
      <c r="AJ272">
        <v>98117</v>
      </c>
      <c r="AS272" t="s">
        <v>283</v>
      </c>
      <c r="AT272">
        <v>19295761</v>
      </c>
      <c r="AU272" s="12">
        <v>39495</v>
      </c>
      <c r="BB272" t="s">
        <v>911</v>
      </c>
      <c r="BC272" s="7">
        <v>39477</v>
      </c>
      <c r="BG272">
        <v>18</v>
      </c>
      <c r="BH272" s="17">
        <f t="shared" ca="1" si="4"/>
        <v>72</v>
      </c>
      <c r="BI272" s="17"/>
      <c r="BJ272" s="17"/>
    </row>
    <row r="273" spans="1:63" hidden="1">
      <c r="A273">
        <v>27198190</v>
      </c>
      <c r="B273" s="2" t="str">
        <f>HYPERLINK("http://www.windermere.com/index.cfm?fuseaction=Listing.ListingDetail&amp;ListingID=18927434","Active")</f>
        <v>Active</v>
      </c>
      <c r="D273" t="s">
        <v>919</v>
      </c>
      <c r="E273" t="s">
        <v>774</v>
      </c>
      <c r="F273" s="10">
        <v>449990</v>
      </c>
      <c r="G273" t="s">
        <v>143</v>
      </c>
      <c r="H273" s="1">
        <v>2130</v>
      </c>
      <c r="I273">
        <v>6187</v>
      </c>
      <c r="J273">
        <v>5</v>
      </c>
      <c r="K273">
        <v>3</v>
      </c>
      <c r="M273" s="2" t="str">
        <f>HYPERLINK("http://www.windermere.com/index.cfm?fuseaction=Listing.MapPropertyInteractive&amp;ListingID=18927434&amp;resize=true&amp;windowWidth=800&amp;windowHeight=600","Map")</f>
        <v>Map</v>
      </c>
      <c r="O273" s="2" t="str">
        <f>HYPERLINK("http://www.windermere.com/index.cfm?fuseaction=Listing.MultiImageViewer&amp;ListingID=18927434&amp;ln=27198190&amp;pub_mls=1","More")</f>
        <v>More</v>
      </c>
      <c r="AI273" t="s">
        <v>66</v>
      </c>
      <c r="AJ273">
        <v>98125</v>
      </c>
      <c r="AS273" t="s">
        <v>775</v>
      </c>
      <c r="AT273">
        <v>18927434</v>
      </c>
      <c r="AU273" s="12">
        <v>39495</v>
      </c>
      <c r="BB273" t="s">
        <v>911</v>
      </c>
      <c r="BC273" s="7">
        <v>39393</v>
      </c>
      <c r="BG273">
        <v>102</v>
      </c>
      <c r="BH273" s="17">
        <f t="shared" ca="1" si="4"/>
        <v>156</v>
      </c>
      <c r="BI273" s="17"/>
      <c r="BJ273" s="17"/>
    </row>
    <row r="274" spans="1:63" hidden="1">
      <c r="A274">
        <v>27208224</v>
      </c>
      <c r="B274" s="2" t="str">
        <f>HYPERLINK("http://www.windermere.com/index.cfm?fuseaction=Listing.ListingDetail&amp;ListingID=19037181","Active")</f>
        <v>Active</v>
      </c>
      <c r="D274" t="s">
        <v>218</v>
      </c>
      <c r="E274" t="s">
        <v>772</v>
      </c>
      <c r="F274" s="10">
        <v>449990</v>
      </c>
      <c r="G274" t="s">
        <v>176</v>
      </c>
      <c r="I274">
        <v>5659</v>
      </c>
      <c r="J274">
        <v>2</v>
      </c>
      <c r="K274">
        <v>1</v>
      </c>
      <c r="M274" s="2" t="str">
        <f>HYPERLINK("http://www.windermere.com/index.cfm?fuseaction=Listing.MapPropertyInteractive&amp;ListingID=19037181&amp;resize=true&amp;windowWidth=800&amp;windowHeight=600","Map")</f>
        <v>Map</v>
      </c>
      <c r="O274" s="2" t="str">
        <f>HYPERLINK("http://www.windermere.com/index.cfm?fuseaction=Listing.MultiImageViewer&amp;ListingID=19037181&amp;ln=27208224&amp;pub_mls=1","More")</f>
        <v>More</v>
      </c>
      <c r="P274" t="s">
        <v>44</v>
      </c>
      <c r="AI274" t="s">
        <v>66</v>
      </c>
      <c r="AJ274">
        <v>98115</v>
      </c>
      <c r="AS274" t="s">
        <v>773</v>
      </c>
      <c r="AT274">
        <v>19037181</v>
      </c>
      <c r="AU274" s="12">
        <v>39495</v>
      </c>
      <c r="BB274" t="s">
        <v>911</v>
      </c>
      <c r="BC274" s="7">
        <v>39417</v>
      </c>
      <c r="BG274">
        <v>78</v>
      </c>
      <c r="BH274" s="17">
        <f t="shared" ca="1" si="4"/>
        <v>132</v>
      </c>
      <c r="BI274" s="17"/>
      <c r="BJ274" s="17"/>
    </row>
    <row r="275" spans="1:63" hidden="1">
      <c r="A275">
        <v>27187495</v>
      </c>
      <c r="B275" s="2" t="str">
        <f>HYPERLINK("http://www.windermere.com/index.cfm?fuseaction=Listing.ListingDetail&amp;ListingID=18820818","Active")</f>
        <v>Active</v>
      </c>
      <c r="D275" t="s">
        <v>282</v>
      </c>
      <c r="E275" t="s">
        <v>158</v>
      </c>
      <c r="F275" s="10">
        <v>450000</v>
      </c>
      <c r="G275" t="s">
        <v>126</v>
      </c>
      <c r="H275" s="1">
        <v>1830</v>
      </c>
      <c r="I275">
        <v>4284</v>
      </c>
      <c r="J275">
        <v>2</v>
      </c>
      <c r="K275">
        <v>1</v>
      </c>
      <c r="M275" s="2" t="str">
        <f>HYPERLINK("http://www.windermere.com/index.cfm?fuseaction=Listing.MapPropertyInteractive&amp;ListingID=18820818&amp;resize=true&amp;windowWidth=800&amp;windowHeight=600","Map")</f>
        <v>Map</v>
      </c>
      <c r="O275" s="2" t="str">
        <f>HYPERLINK("http://www.windermere.com/index.cfm?fuseaction=viewGallery.Home&amp;customTourID=197661&amp;wvt=0","More")</f>
        <v>More</v>
      </c>
      <c r="P275" t="s">
        <v>44</v>
      </c>
      <c r="AI275" t="s">
        <v>66</v>
      </c>
      <c r="AJ275">
        <v>98117</v>
      </c>
      <c r="AS275" t="s">
        <v>281</v>
      </c>
      <c r="AT275">
        <v>18820818</v>
      </c>
      <c r="AU275" s="12">
        <v>39495</v>
      </c>
      <c r="BB275" t="s">
        <v>911</v>
      </c>
      <c r="BC275" s="7">
        <v>39372</v>
      </c>
      <c r="BG275">
        <v>123</v>
      </c>
      <c r="BH275" s="17">
        <f t="shared" ca="1" si="4"/>
        <v>177</v>
      </c>
      <c r="BI275" s="17"/>
      <c r="BJ275" s="17"/>
    </row>
    <row r="276" spans="1:63" hidden="1">
      <c r="A276">
        <v>28002721</v>
      </c>
      <c r="B276" s="2" t="str">
        <f>HYPERLINK("http://www.windermere.com/index.cfm?fuseaction=Listing.ListingDetail&amp;ListingID=19163838","Active")</f>
        <v>Active</v>
      </c>
      <c r="D276" t="s">
        <v>63</v>
      </c>
      <c r="E276" t="s">
        <v>148</v>
      </c>
      <c r="F276" s="10">
        <v>450000</v>
      </c>
      <c r="G276" t="s">
        <v>144</v>
      </c>
      <c r="H276" s="1">
        <v>1520</v>
      </c>
      <c r="I276">
        <v>4000</v>
      </c>
      <c r="J276">
        <v>3</v>
      </c>
      <c r="K276">
        <v>1.75</v>
      </c>
      <c r="M276" s="2" t="str">
        <f>HYPERLINK("http://www.windermere.com/index.cfm?fuseaction=Listing.MapPropertyInteractive&amp;ListingID=19163838&amp;resize=true&amp;windowWidth=800&amp;windowHeight=600","Map")</f>
        <v>Map</v>
      </c>
      <c r="O276" s="2" t="str">
        <f>HYPERLINK("http://www.windermere.com/index.cfm?fuseaction=Listing.MultiImageViewer&amp;ListingID=19163838&amp;ln=28002721&amp;pub_mls=1","More")</f>
        <v>More</v>
      </c>
      <c r="AI276" t="s">
        <v>66</v>
      </c>
      <c r="AJ276">
        <v>98107</v>
      </c>
      <c r="AS276" t="s">
        <v>780</v>
      </c>
      <c r="AT276">
        <v>19163838</v>
      </c>
      <c r="AU276" s="12">
        <v>39495</v>
      </c>
      <c r="BB276" t="s">
        <v>911</v>
      </c>
      <c r="BC276" s="7">
        <v>39451</v>
      </c>
      <c r="BG276">
        <v>44</v>
      </c>
      <c r="BH276" s="17">
        <f t="shared" ca="1" si="4"/>
        <v>98</v>
      </c>
      <c r="BI276" s="17"/>
      <c r="BJ276" s="17"/>
    </row>
    <row r="277" spans="1:63" hidden="1">
      <c r="A277">
        <v>28014610</v>
      </c>
      <c r="B277" s="2" t="str">
        <f>HYPERLINK("http://www.windermere.com/index.cfm?fuseaction=Listing.ListingDetail&amp;ListingID=19281742","Active")</f>
        <v>Active</v>
      </c>
      <c r="D277" t="s">
        <v>42</v>
      </c>
      <c r="E277" t="s">
        <v>776</v>
      </c>
      <c r="F277" s="10">
        <v>450000</v>
      </c>
      <c r="G277" t="s">
        <v>777</v>
      </c>
      <c r="H277" s="1">
        <v>2670</v>
      </c>
      <c r="I277">
        <v>9102</v>
      </c>
      <c r="J277">
        <v>4</v>
      </c>
      <c r="K277">
        <v>2.75</v>
      </c>
      <c r="M277" s="2" t="str">
        <f>HYPERLINK("http://www.windermere.com/index.cfm?fuseaction=Listing.MapPropertyInteractive&amp;ListingID=19281742&amp;resize=true&amp;windowWidth=800&amp;windowHeight=600","Map")</f>
        <v>Map</v>
      </c>
      <c r="O277" s="2" t="str">
        <f>HYPERLINK("http://www.windermere.com/index.cfm?fuseaction=viewGallery.Home&amp;customTourID=205265&amp;wvt=0","More")</f>
        <v>More</v>
      </c>
      <c r="AI277" t="s">
        <v>66</v>
      </c>
      <c r="AJ277">
        <v>98133</v>
      </c>
      <c r="AS277" t="s">
        <v>778</v>
      </c>
      <c r="AT277">
        <v>19281742</v>
      </c>
      <c r="AU277" s="12">
        <v>39495</v>
      </c>
      <c r="BB277" t="s">
        <v>911</v>
      </c>
      <c r="BC277" s="7">
        <v>39473</v>
      </c>
      <c r="BG277">
        <v>22</v>
      </c>
      <c r="BH277" s="17">
        <f t="shared" ca="1" si="4"/>
        <v>76</v>
      </c>
      <c r="BI277" s="17"/>
      <c r="BJ277" s="17"/>
    </row>
    <row r="278" spans="1:63" hidden="1">
      <c r="A278">
        <v>28014838</v>
      </c>
      <c r="B278" s="2" t="str">
        <f>HYPERLINK("http://www.windermere.com/index.cfm?fuseaction=Listing.ListingDetail&amp;ListingID=19272515","Active")</f>
        <v>Active</v>
      </c>
      <c r="D278" t="s">
        <v>66</v>
      </c>
      <c r="E278" t="s">
        <v>174</v>
      </c>
      <c r="F278" s="10">
        <v>450000</v>
      </c>
      <c r="G278" t="s">
        <v>130</v>
      </c>
      <c r="H278" s="1">
        <v>2590</v>
      </c>
      <c r="I278">
        <v>6480</v>
      </c>
      <c r="J278">
        <v>4</v>
      </c>
      <c r="K278">
        <v>1.75</v>
      </c>
      <c r="M278" s="2" t="str">
        <f>HYPERLINK("http://www.windermere.com/index.cfm?fuseaction=Listing.MapPropertyInteractive&amp;ListingID=19272515&amp;resize=true&amp;windowWidth=800&amp;windowHeight=600","Map")</f>
        <v>Map</v>
      </c>
      <c r="O278" s="2" t="str">
        <f>HYPERLINK("http://www.windermere.com/index.cfm?fuseaction=Listing.MultiImageViewer&amp;ListingID=19272515&amp;ln=28014838&amp;pub_mls=1","More")</f>
        <v>More</v>
      </c>
      <c r="AI278" t="s">
        <v>66</v>
      </c>
      <c r="AJ278">
        <v>98115</v>
      </c>
      <c r="AS278" t="s">
        <v>779</v>
      </c>
      <c r="AT278">
        <v>19272515</v>
      </c>
      <c r="AU278" s="12">
        <v>39495</v>
      </c>
      <c r="BB278" t="s">
        <v>911</v>
      </c>
      <c r="BC278" s="7">
        <v>39471</v>
      </c>
      <c r="BG278">
        <v>24</v>
      </c>
      <c r="BH278" s="17">
        <f t="shared" ca="1" si="4"/>
        <v>78</v>
      </c>
      <c r="BI278" s="17"/>
      <c r="BJ278" s="17"/>
    </row>
    <row r="279" spans="1:63" hidden="1">
      <c r="A279">
        <v>27091504</v>
      </c>
      <c r="B279" s="2" t="str">
        <f>HYPERLINK("http://www.windermere.com/index.cfm?fuseaction=Listing.ListingDetail&amp;ListingID=19342509","Active")</f>
        <v>Active</v>
      </c>
      <c r="D279" t="s">
        <v>70</v>
      </c>
      <c r="E279" t="s">
        <v>150</v>
      </c>
      <c r="F279" s="10">
        <v>455000</v>
      </c>
      <c r="G279" t="s">
        <v>151</v>
      </c>
      <c r="H279" s="1">
        <v>2800</v>
      </c>
      <c r="I279">
        <v>6591</v>
      </c>
      <c r="J279">
        <v>5</v>
      </c>
      <c r="K279">
        <v>1.75</v>
      </c>
      <c r="M279" s="2" t="str">
        <f>HYPERLINK("http://www.windermere.com/index.cfm?fuseaction=Listing.MapPropertyInteractive&amp;ListingID=19342509&amp;resize=true&amp;windowWidth=800&amp;windowHeight=600","Map")</f>
        <v>Map</v>
      </c>
      <c r="O279" s="2" t="str">
        <f>HYPERLINK("http://www.windermere.com/index.cfm?fuseaction=Listing.MultiImageViewer&amp;ListingID=19342509&amp;ln=27091504&amp;pub_mls=1","More")</f>
        <v>More</v>
      </c>
      <c r="P279" t="s">
        <v>44</v>
      </c>
      <c r="AI279" t="s">
        <v>66</v>
      </c>
      <c r="AJ279">
        <v>98133</v>
      </c>
      <c r="AS279" t="s">
        <v>781</v>
      </c>
      <c r="AT279">
        <v>19342509</v>
      </c>
      <c r="AU279" s="12">
        <v>39495</v>
      </c>
      <c r="BB279" t="s">
        <v>911</v>
      </c>
      <c r="BC279" s="7">
        <v>39225</v>
      </c>
      <c r="BD279">
        <v>2</v>
      </c>
      <c r="BE279" s="6" t="s">
        <v>1311</v>
      </c>
      <c r="BG279">
        <v>270</v>
      </c>
      <c r="BH279" s="17">
        <f t="shared" ca="1" si="4"/>
        <v>324</v>
      </c>
      <c r="BI279" s="17"/>
      <c r="BJ279" s="17"/>
    </row>
    <row r="280" spans="1:63" hidden="1">
      <c r="A280">
        <v>27208590</v>
      </c>
      <c r="B280" s="2" t="str">
        <f>HYPERLINK("http://www.windermere.com/index.cfm?fuseaction=Listing.ListingDetail&amp;ListingID=19041872","Active")</f>
        <v>Active</v>
      </c>
      <c r="D280" t="s">
        <v>919</v>
      </c>
      <c r="E280" t="s">
        <v>782</v>
      </c>
      <c r="F280" s="13">
        <v>452900</v>
      </c>
      <c r="G280" t="s">
        <v>137</v>
      </c>
      <c r="H280" s="1">
        <v>2200</v>
      </c>
      <c r="I280">
        <v>6720</v>
      </c>
      <c r="J280">
        <v>3</v>
      </c>
      <c r="K280">
        <v>1.75</v>
      </c>
      <c r="M280" s="2" t="str">
        <f>HYPERLINK("http://www.windermere.com/index.cfm?fuseaction=Listing.MapPropertyInteractive&amp;ListingID=19041872&amp;resize=true&amp;windowWidth=800&amp;windowHeight=600","Map")</f>
        <v>Map</v>
      </c>
      <c r="O280" s="2" t="str">
        <f>HYPERLINK("http://www.windermere.com/index.cfm?fuseaction=Listing.MultiImageViewer&amp;ListingID=19041872&amp;ln=27208590&amp;pub_mls=1","More")</f>
        <v>More</v>
      </c>
      <c r="AI280" t="s">
        <v>66</v>
      </c>
      <c r="AJ280">
        <v>98125</v>
      </c>
      <c r="AS280" t="s">
        <v>783</v>
      </c>
      <c r="AT280">
        <v>19041872</v>
      </c>
      <c r="AU280" s="12">
        <v>39495</v>
      </c>
      <c r="BB280" t="s">
        <v>911</v>
      </c>
      <c r="BC280" s="7">
        <v>39418</v>
      </c>
      <c r="BG280">
        <v>77</v>
      </c>
      <c r="BH280" s="17">
        <f t="shared" ca="1" si="4"/>
        <v>131</v>
      </c>
      <c r="BI280" s="17"/>
      <c r="BJ280" s="17"/>
    </row>
    <row r="281" spans="1:63" hidden="1">
      <c r="A281">
        <v>28011566</v>
      </c>
      <c r="B281" s="2" t="str">
        <f>HYPERLINK("http://www.windermere.com/index.cfm?fuseaction=Listing.ListingDetail&amp;ListingID=19246332","Active")</f>
        <v>Active</v>
      </c>
      <c r="D281" t="s">
        <v>60</v>
      </c>
      <c r="E281" t="s">
        <v>784</v>
      </c>
      <c r="F281" s="13">
        <v>447000</v>
      </c>
      <c r="G281" t="s">
        <v>143</v>
      </c>
      <c r="H281" s="1">
        <v>1420</v>
      </c>
      <c r="I281">
        <v>2550</v>
      </c>
      <c r="J281">
        <v>3</v>
      </c>
      <c r="K281">
        <v>2</v>
      </c>
      <c r="M281" s="2" t="str">
        <f>HYPERLINK("http://www.windermere.com/index.cfm?fuseaction=Listing.MapPropertyInteractive&amp;ListingID=19246332&amp;resize=true&amp;windowWidth=800&amp;windowHeight=600","Map")</f>
        <v>Map</v>
      </c>
      <c r="O281" s="2" t="str">
        <f>HYPERLINK("http://www.windermere.com/index.cfm?fuseaction=Listing.MultiImageViewer&amp;ListingID=19246332&amp;ln=28011566&amp;pub_mls=1","More")</f>
        <v>More</v>
      </c>
      <c r="P281" t="s">
        <v>44</v>
      </c>
      <c r="AI281" t="s">
        <v>66</v>
      </c>
      <c r="AJ281">
        <v>98103</v>
      </c>
      <c r="AS281" t="s">
        <v>785</v>
      </c>
      <c r="AT281">
        <v>19246332</v>
      </c>
      <c r="AU281" s="12">
        <v>39495</v>
      </c>
      <c r="BB281" t="s">
        <v>911</v>
      </c>
      <c r="BC281" s="7">
        <v>39465</v>
      </c>
      <c r="BG281">
        <v>30</v>
      </c>
      <c r="BH281" s="17">
        <f t="shared" ca="1" si="4"/>
        <v>84</v>
      </c>
      <c r="BI281" s="17"/>
      <c r="BJ281" s="17"/>
    </row>
    <row r="282" spans="1:63" hidden="1">
      <c r="A282">
        <v>28008189</v>
      </c>
      <c r="B282" s="2" t="str">
        <f>HYPERLINK("http://www.windermere.com/index.cfm?fuseaction=Listing.ListingDetail&amp;ListingID=19288456","Contingent")</f>
        <v>Contingent</v>
      </c>
      <c r="D282" t="s">
        <v>100</v>
      </c>
      <c r="E282" t="s">
        <v>786</v>
      </c>
      <c r="F282" s="10">
        <v>459000</v>
      </c>
      <c r="G282" t="s">
        <v>132</v>
      </c>
      <c r="H282" s="1">
        <v>1030</v>
      </c>
      <c r="I282">
        <v>4792</v>
      </c>
      <c r="J282">
        <v>2</v>
      </c>
      <c r="K282">
        <v>1</v>
      </c>
      <c r="M282" s="2" t="str">
        <f>HYPERLINK("http://www.windermere.com/index.cfm?fuseaction=Listing.MapPropertyInteractive&amp;ListingID=19288456&amp;resize=true&amp;windowWidth=800&amp;windowHeight=600","Map")</f>
        <v>Map</v>
      </c>
      <c r="O282" s="2" t="str">
        <f>HYPERLINK("http://www.windermere.com/index.cfm?fuseaction=Listing.MultiImageViewer&amp;ListingID=19288456&amp;ln=28008189&amp;pub_mls=1","More")</f>
        <v>More</v>
      </c>
      <c r="P282" t="s">
        <v>44</v>
      </c>
      <c r="AI282" t="s">
        <v>66</v>
      </c>
      <c r="AJ282">
        <v>98107</v>
      </c>
      <c r="AS282" t="s">
        <v>787</v>
      </c>
      <c r="AT282">
        <v>19288456</v>
      </c>
      <c r="AU282" s="12">
        <v>39495</v>
      </c>
      <c r="BB282" t="s">
        <v>911</v>
      </c>
      <c r="BC282" s="7">
        <v>39475</v>
      </c>
      <c r="BG282">
        <v>20</v>
      </c>
      <c r="BH282" s="17">
        <f t="shared" ca="1" si="4"/>
        <v>74</v>
      </c>
      <c r="BI282" s="17"/>
      <c r="BJ282" s="17"/>
      <c r="BK282" t="str">
        <f>B282</f>
        <v>Contingent</v>
      </c>
    </row>
    <row r="283" spans="1:63" hidden="1">
      <c r="A283">
        <v>28027410</v>
      </c>
      <c r="B283" s="15" t="str">
        <f>HYPERLINK("http://www.windermere.com/index.cfm?fuseaction=Listing.ListingDetail&amp;ListingID=19375965","Subject To Inspection")</f>
        <v>Subject To Inspection</v>
      </c>
      <c r="D283" t="s">
        <v>78</v>
      </c>
      <c r="E283" t="s">
        <v>160</v>
      </c>
      <c r="F283" s="10">
        <v>459900</v>
      </c>
      <c r="G283" t="s">
        <v>161</v>
      </c>
      <c r="H283" s="1">
        <v>1950</v>
      </c>
      <c r="I283">
        <v>3880</v>
      </c>
      <c r="J283">
        <v>3</v>
      </c>
      <c r="K283">
        <v>1.75</v>
      </c>
      <c r="M283" s="2" t="str">
        <f>HYPERLINK("http://www.windermere.com/index.cfm?fuseaction=Listing.MapPropertyInteractive&amp;ListingID=19375965&amp;resize=true&amp;windowWidth=800&amp;windowHeight=600","Map")</f>
        <v>Map</v>
      </c>
      <c r="O283" s="2" t="str">
        <f>HYPERLINK("http://www.windermere.com/index.cfm?fuseaction=Listing.MultiImageViewer&amp;ListingID=19375965&amp;ln=28027410&amp;pub_mls=1","More")</f>
        <v>More</v>
      </c>
      <c r="AI283" t="s">
        <v>66</v>
      </c>
      <c r="AJ283">
        <v>98117</v>
      </c>
      <c r="AS283" t="s">
        <v>280</v>
      </c>
      <c r="AT283">
        <v>19375965</v>
      </c>
      <c r="AU283" s="12">
        <v>39495</v>
      </c>
      <c r="BB283" t="s">
        <v>911</v>
      </c>
      <c r="BC283" s="7">
        <v>39493</v>
      </c>
      <c r="BD283">
        <v>3</v>
      </c>
      <c r="BE283" t="s">
        <v>1442</v>
      </c>
      <c r="BF283" t="s">
        <v>1344</v>
      </c>
      <c r="BG283">
        <v>2</v>
      </c>
      <c r="BH283" s="17">
        <f t="shared" ca="1" si="4"/>
        <v>56</v>
      </c>
      <c r="BI283" s="17"/>
      <c r="BJ283" s="17"/>
      <c r="BK283" t="str">
        <f>B283</f>
        <v>Subject To Inspection</v>
      </c>
    </row>
    <row r="284" spans="1:63" hidden="1">
      <c r="A284">
        <v>27194855</v>
      </c>
      <c r="B284" s="2" t="str">
        <f>HYPERLINK("http://www.windermere.com/index.cfm?fuseaction=Listing.ListingDetail&amp;ListingID=18892582","Active")</f>
        <v>Active</v>
      </c>
      <c r="D284" t="s">
        <v>100</v>
      </c>
      <c r="E284" t="s">
        <v>792</v>
      </c>
      <c r="F284" s="18">
        <v>447950</v>
      </c>
      <c r="G284" t="s">
        <v>147</v>
      </c>
      <c r="H284" s="1">
        <v>1683</v>
      </c>
      <c r="J284">
        <v>3</v>
      </c>
      <c r="K284">
        <v>2.25</v>
      </c>
      <c r="M284" s="2" t="str">
        <f>HYPERLINK("http://www.windermere.com/index.cfm?fuseaction=Listing.MapPropertyInteractive&amp;ListingID=18892582&amp;resize=true&amp;windowWidth=800&amp;windowHeight=600","Map")</f>
        <v>Map</v>
      </c>
      <c r="O284" s="2" t="str">
        <f>HYPERLINK("http://www.windermere.com/index.cfm?fuseaction=Listing.MultiImageViewer&amp;ListingID=18892582&amp;ln=27194855&amp;pub_mls=1","More")</f>
        <v>More</v>
      </c>
      <c r="P284" t="s">
        <v>44</v>
      </c>
      <c r="AI284" t="s">
        <v>66</v>
      </c>
      <c r="AJ284">
        <v>98103</v>
      </c>
      <c r="AS284" t="s">
        <v>793</v>
      </c>
      <c r="AT284">
        <v>18892582</v>
      </c>
      <c r="AU284" s="12">
        <v>39495</v>
      </c>
      <c r="BB284" t="s">
        <v>911</v>
      </c>
      <c r="BC284" s="7">
        <v>39386</v>
      </c>
      <c r="BG284">
        <v>109</v>
      </c>
      <c r="BH284" s="17">
        <f t="shared" ca="1" si="4"/>
        <v>163</v>
      </c>
      <c r="BI284" s="17"/>
      <c r="BJ284" s="17"/>
    </row>
    <row r="285" spans="1:63" hidden="1">
      <c r="A285">
        <v>27197546</v>
      </c>
      <c r="B285" s="2" t="str">
        <f>HYPERLINK("http://www.windermere.com/index.cfm?fuseaction=Listing.ListingDetail&amp;ListingID=18918430","Active")</f>
        <v>Active</v>
      </c>
      <c r="D285" t="s">
        <v>63</v>
      </c>
      <c r="E285" t="s">
        <v>790</v>
      </c>
      <c r="F285" s="18">
        <v>409950</v>
      </c>
      <c r="G285" t="s">
        <v>246</v>
      </c>
      <c r="H285" s="1">
        <v>1490</v>
      </c>
      <c r="J285">
        <v>3</v>
      </c>
      <c r="K285">
        <v>2.5</v>
      </c>
      <c r="M285" s="2" t="str">
        <f>HYPERLINK("http://www.windermere.com/index.cfm?fuseaction=Listing.MapPropertyInteractive&amp;ListingID=18918430&amp;resize=true&amp;windowWidth=800&amp;windowHeight=600","Map")</f>
        <v>Map</v>
      </c>
      <c r="O285" s="2" t="str">
        <f>HYPERLINK("http://www.windermere.com/index.cfm?fuseaction=Listing.MultiImageViewer&amp;ListingID=18918430&amp;ln=27197546&amp;pub_mls=1","More")</f>
        <v>More</v>
      </c>
      <c r="P285" t="s">
        <v>44</v>
      </c>
      <c r="AI285" t="s">
        <v>66</v>
      </c>
      <c r="AJ285">
        <v>98107</v>
      </c>
      <c r="AS285" t="s">
        <v>791</v>
      </c>
      <c r="AT285">
        <v>18918430</v>
      </c>
      <c r="AU285" s="12">
        <v>39495</v>
      </c>
      <c r="BB285" t="s">
        <v>911</v>
      </c>
      <c r="BC285" s="7">
        <v>39391</v>
      </c>
      <c r="BG285">
        <v>104</v>
      </c>
      <c r="BH285" s="17">
        <f t="shared" ca="1" si="4"/>
        <v>158</v>
      </c>
      <c r="BI285" s="17"/>
      <c r="BJ285" s="17"/>
    </row>
    <row r="286" spans="1:63" hidden="1">
      <c r="A286">
        <v>28017697</v>
      </c>
      <c r="B286" s="2" t="str">
        <f>HYPERLINK("http://www.windermere.com/index.cfm?fuseaction=Listing.ListingDetail&amp;ListingID=19295722","Active")</f>
        <v>Active</v>
      </c>
      <c r="D286" t="s">
        <v>60</v>
      </c>
      <c r="E286" t="s">
        <v>788</v>
      </c>
      <c r="F286" s="10">
        <v>459950</v>
      </c>
      <c r="G286" t="s">
        <v>235</v>
      </c>
      <c r="H286" s="1">
        <v>1900</v>
      </c>
      <c r="I286">
        <v>5164</v>
      </c>
      <c r="J286">
        <v>4</v>
      </c>
      <c r="K286">
        <v>2</v>
      </c>
      <c r="M286" s="2" t="str">
        <f>HYPERLINK("http://www.windermere.com/index.cfm?fuseaction=Listing.MapPropertyInteractive&amp;ListingID=19295722&amp;resize=true&amp;windowWidth=800&amp;windowHeight=600","Map")</f>
        <v>Map</v>
      </c>
      <c r="O286" s="2" t="str">
        <f>HYPERLINK("http://www.windermere.com/index.cfm?fuseaction=Listing.MultiImageViewer&amp;ListingID=19295722&amp;ln=28017697&amp;pub_mls=1","More")</f>
        <v>More</v>
      </c>
      <c r="P286" t="s">
        <v>44</v>
      </c>
      <c r="AI286" t="s">
        <v>66</v>
      </c>
      <c r="AJ286">
        <v>98103</v>
      </c>
      <c r="AS286" t="s">
        <v>789</v>
      </c>
      <c r="AT286">
        <v>19295722</v>
      </c>
      <c r="AU286" s="12">
        <v>39495</v>
      </c>
      <c r="BB286" t="s">
        <v>911</v>
      </c>
      <c r="BC286" s="7">
        <v>39477</v>
      </c>
      <c r="BG286">
        <v>18</v>
      </c>
      <c r="BH286" s="17">
        <f t="shared" ca="1" si="4"/>
        <v>72</v>
      </c>
      <c r="BI286" s="17"/>
      <c r="BJ286" s="17"/>
    </row>
    <row r="287" spans="1:63" hidden="1">
      <c r="A287">
        <v>28028559</v>
      </c>
      <c r="B287" s="2" t="str">
        <f>HYPERLINK("http://www.windermere.com/index.cfm?fuseaction=Listing.ListingDetail&amp;ListingID=19383016","Active")</f>
        <v>Active</v>
      </c>
      <c r="D287" t="s">
        <v>60</v>
      </c>
      <c r="E287" t="s">
        <v>794</v>
      </c>
      <c r="F287" s="10">
        <v>460000</v>
      </c>
      <c r="G287" t="s">
        <v>795</v>
      </c>
      <c r="J287">
        <v>3</v>
      </c>
      <c r="K287">
        <v>2.5</v>
      </c>
      <c r="M287" s="2" t="str">
        <f>HYPERLINK("http://www.windermere.com/index.cfm?fuseaction=Listing.MapPropertyInteractive&amp;ListingID=19383016&amp;resize=true&amp;windowWidth=800&amp;windowHeight=600","Map")</f>
        <v>Map</v>
      </c>
      <c r="O287" s="2" t="str">
        <f>HYPERLINK("http://www.windermere.com/index.cfm?fuseaction=Listing.MultiImageViewer&amp;ListingID=19383016&amp;ln=28028559&amp;pub_mls=1","More")</f>
        <v>More</v>
      </c>
      <c r="P287" t="s">
        <v>44</v>
      </c>
      <c r="AI287" t="s">
        <v>66</v>
      </c>
      <c r="AJ287">
        <v>98103</v>
      </c>
      <c r="AS287" t="s">
        <v>796</v>
      </c>
      <c r="AT287">
        <v>19383016</v>
      </c>
      <c r="AU287" s="12">
        <v>39495</v>
      </c>
      <c r="BB287" t="s">
        <v>911</v>
      </c>
      <c r="BC287" s="7">
        <v>39494</v>
      </c>
      <c r="BG287">
        <v>1</v>
      </c>
      <c r="BH287" s="17">
        <f t="shared" ca="1" si="4"/>
        <v>55</v>
      </c>
      <c r="BI287" s="17"/>
      <c r="BJ287" s="17"/>
    </row>
    <row r="288" spans="1:63" hidden="1">
      <c r="A288">
        <v>28026521</v>
      </c>
      <c r="B288" s="15" t="str">
        <f>HYPERLINK("http://www.windermere.com/index.cfm?fuseaction=Listing.ListingDetail&amp;ListingID=19365702","Subject To Inspection")</f>
        <v>Subject To Inspection</v>
      </c>
      <c r="D288" t="s">
        <v>109</v>
      </c>
      <c r="E288" t="s">
        <v>797</v>
      </c>
      <c r="F288" s="10">
        <v>464950</v>
      </c>
      <c r="G288" t="s">
        <v>246</v>
      </c>
      <c r="J288">
        <v>3</v>
      </c>
      <c r="K288">
        <v>2.5</v>
      </c>
      <c r="M288" s="2" t="str">
        <f>HYPERLINK("http://www.windermere.com/index.cfm?fuseaction=Listing.MapPropertyInteractive&amp;ListingID=19365702&amp;resize=true&amp;windowWidth=800&amp;windowHeight=600","Map")</f>
        <v>Map</v>
      </c>
      <c r="O288" s="2" t="str">
        <f>HYPERLINK("http://www.windermere.com/index.cfm?fuseaction=viewGallery.Home&amp;customTourID=207552&amp;wvt=0","More")</f>
        <v>More</v>
      </c>
      <c r="P288" t="s">
        <v>44</v>
      </c>
      <c r="AI288" t="s">
        <v>66</v>
      </c>
      <c r="AJ288">
        <v>98103</v>
      </c>
      <c r="AS288" t="s">
        <v>798</v>
      </c>
      <c r="AT288">
        <v>19365702</v>
      </c>
      <c r="AU288" s="12">
        <v>39495</v>
      </c>
      <c r="BB288" t="s">
        <v>911</v>
      </c>
      <c r="BC288" s="7">
        <v>39491</v>
      </c>
      <c r="BG288">
        <v>4</v>
      </c>
      <c r="BH288" s="17">
        <f t="shared" ca="1" si="4"/>
        <v>58</v>
      </c>
      <c r="BI288" s="17"/>
      <c r="BJ288" s="17"/>
    </row>
    <row r="289" spans="1:63" hidden="1">
      <c r="A289">
        <v>27124334</v>
      </c>
      <c r="B289" s="2" t="str">
        <f>HYPERLINK("http://www.windermere.com/index.cfm?fuseaction=Listing.ListingDetail&amp;ListingID=18293706","Active")</f>
        <v>Active</v>
      </c>
      <c r="D289" t="s">
        <v>194</v>
      </c>
      <c r="E289" t="s">
        <v>1144</v>
      </c>
      <c r="F289" s="10">
        <v>465000</v>
      </c>
      <c r="G289" t="s">
        <v>673</v>
      </c>
      <c r="H289" s="1">
        <v>1570</v>
      </c>
      <c r="J289">
        <v>3</v>
      </c>
      <c r="K289">
        <v>2.5</v>
      </c>
      <c r="M289" s="2" t="str">
        <f>HYPERLINK("http://www.windermere.com/index.cfm?fuseaction=Listing.MapPropertyInteractive&amp;ListingID=18293706&amp;resize=true&amp;windowWidth=800&amp;windowHeight=600","Map")</f>
        <v>Map</v>
      </c>
      <c r="O289" s="2" t="str">
        <f>HYPERLINK("http://www.windermere.com/index.cfm?fuseaction=viewGallery.Home&amp;customTourID=185883&amp;wvt=0","More")</f>
        <v>More</v>
      </c>
      <c r="AI289" t="s">
        <v>66</v>
      </c>
      <c r="AJ289">
        <v>98115</v>
      </c>
      <c r="AS289" t="s">
        <v>1145</v>
      </c>
      <c r="AT289">
        <v>18293706</v>
      </c>
      <c r="AU289" s="12">
        <v>39495</v>
      </c>
      <c r="BB289" t="s">
        <v>911</v>
      </c>
      <c r="BC289" s="7">
        <v>39277</v>
      </c>
      <c r="BD289">
        <v>1</v>
      </c>
      <c r="BE289" s="6" t="s">
        <v>1315</v>
      </c>
      <c r="BG289">
        <v>218</v>
      </c>
      <c r="BH289" s="17">
        <f t="shared" ca="1" si="4"/>
        <v>272</v>
      </c>
      <c r="BI289" s="17"/>
      <c r="BJ289" s="17"/>
    </row>
    <row r="290" spans="1:63" hidden="1">
      <c r="A290">
        <v>27190700</v>
      </c>
      <c r="B290" s="2" t="str">
        <f>HYPERLINK("http://www.windermere.com/index.cfm?fuseaction=Listing.ListingDetail&amp;ListingID=19298354","Active")</f>
        <v>Active</v>
      </c>
      <c r="D290" t="s">
        <v>109</v>
      </c>
      <c r="E290" t="s">
        <v>799</v>
      </c>
      <c r="F290" s="10">
        <v>465000</v>
      </c>
      <c r="G290" t="s">
        <v>180</v>
      </c>
      <c r="I290">
        <v>4465</v>
      </c>
      <c r="J290">
        <v>4</v>
      </c>
      <c r="K290">
        <v>1.75</v>
      </c>
      <c r="M290" s="2" t="str">
        <f>HYPERLINK("http://www.windermere.com/index.cfm?fuseaction=Listing.MapPropertyInteractive&amp;ListingID=19298354&amp;resize=true&amp;windowWidth=800&amp;windowHeight=600","Map")</f>
        <v>Map</v>
      </c>
      <c r="O290" s="2" t="str">
        <f>HYPERLINK("http://www.windermere.com/index.cfm?fuseaction=Listing.MultiImageViewer&amp;ListingID=19298354&amp;ln=27190700&amp;pub_mls=1","More")</f>
        <v>More</v>
      </c>
      <c r="P290" t="s">
        <v>44</v>
      </c>
      <c r="AI290" t="s">
        <v>66</v>
      </c>
      <c r="AJ290">
        <v>98105</v>
      </c>
      <c r="AS290" t="s">
        <v>800</v>
      </c>
      <c r="AT290">
        <v>19298354</v>
      </c>
      <c r="AU290" s="12">
        <v>39495</v>
      </c>
      <c r="BB290" t="s">
        <v>911</v>
      </c>
      <c r="BC290" s="7">
        <v>39378</v>
      </c>
      <c r="BG290">
        <v>117</v>
      </c>
      <c r="BH290" s="17">
        <f t="shared" ca="1" si="4"/>
        <v>171</v>
      </c>
      <c r="BI290" s="17"/>
      <c r="BJ290" s="17"/>
    </row>
    <row r="291" spans="1:63" hidden="1">
      <c r="A291">
        <v>27192222</v>
      </c>
      <c r="B291" s="2" t="str">
        <f>HYPERLINK("http://www.windermere.com/index.cfm?fuseaction=Listing.ListingDetail&amp;ListingID=18867060","Active")</f>
        <v>Active</v>
      </c>
      <c r="D291" t="s">
        <v>60</v>
      </c>
      <c r="E291" t="s">
        <v>165</v>
      </c>
      <c r="F291" s="13">
        <v>459000</v>
      </c>
      <c r="G291" t="s">
        <v>154</v>
      </c>
      <c r="H291" s="1">
        <v>1860</v>
      </c>
      <c r="I291">
        <v>4080</v>
      </c>
      <c r="J291">
        <v>3</v>
      </c>
      <c r="K291">
        <v>1</v>
      </c>
      <c r="M291" s="2" t="str">
        <f>HYPERLINK("http://www.windermere.com/index.cfm?fuseaction=Listing.MapPropertyInteractive&amp;ListingID=18867060&amp;resize=true&amp;windowWidth=800&amp;windowHeight=600","Map")</f>
        <v>Map</v>
      </c>
      <c r="O291" s="2" t="str">
        <f>HYPERLINK("http://www.windermere.com/index.cfm?fuseaction=Listing.MultiImageViewer&amp;ListingID=18867060&amp;ln=27192222&amp;pub_mls=1","More")</f>
        <v>More</v>
      </c>
      <c r="P291" t="s">
        <v>44</v>
      </c>
      <c r="AI291" t="s">
        <v>66</v>
      </c>
      <c r="AJ291">
        <v>98103</v>
      </c>
      <c r="AS291" t="s">
        <v>801</v>
      </c>
      <c r="AT291">
        <v>18867060</v>
      </c>
      <c r="AU291" s="12">
        <v>39495</v>
      </c>
      <c r="BB291" t="s">
        <v>911</v>
      </c>
      <c r="BC291" s="7">
        <v>39380</v>
      </c>
      <c r="BG291">
        <v>115</v>
      </c>
      <c r="BH291" s="17">
        <f t="shared" ca="1" si="4"/>
        <v>169</v>
      </c>
      <c r="BI291" s="17"/>
      <c r="BJ291" s="17"/>
    </row>
    <row r="292" spans="1:63" hidden="1">
      <c r="A292">
        <v>27198830</v>
      </c>
      <c r="B292" s="2" t="str">
        <f>HYPERLINK("http://www.windermere.com/index.cfm?fuseaction=Listing.ListingDetail&amp;ListingID=18930083","Active")</f>
        <v>Active</v>
      </c>
      <c r="D292" t="s">
        <v>63</v>
      </c>
      <c r="E292" t="s">
        <v>802</v>
      </c>
      <c r="F292" s="10">
        <v>465000</v>
      </c>
      <c r="G292" t="s">
        <v>170</v>
      </c>
      <c r="H292" s="1">
        <v>1950</v>
      </c>
      <c r="I292">
        <v>3844</v>
      </c>
      <c r="J292">
        <v>4</v>
      </c>
      <c r="K292">
        <v>1.75</v>
      </c>
      <c r="M292" s="2" t="str">
        <f>HYPERLINK("http://www.windermere.com/index.cfm?fuseaction=Listing.MapPropertyInteractive&amp;ListingID=18930083&amp;resize=true&amp;windowWidth=800&amp;windowHeight=600","Map")</f>
        <v>Map</v>
      </c>
      <c r="O292" s="2" t="str">
        <f>HYPERLINK("http://www.windermere.com/index.cfm?fuseaction=Listing.MultiImageViewer&amp;ListingID=18930083&amp;ln=27198830&amp;pub_mls=1","More")</f>
        <v>More</v>
      </c>
      <c r="AI292" t="s">
        <v>66</v>
      </c>
      <c r="AJ292">
        <v>98133</v>
      </c>
      <c r="AS292" t="s">
        <v>803</v>
      </c>
      <c r="AT292">
        <v>18930083</v>
      </c>
      <c r="AU292" s="12">
        <v>39495</v>
      </c>
      <c r="BB292" t="s">
        <v>911</v>
      </c>
      <c r="BC292" s="7">
        <v>39393</v>
      </c>
      <c r="BG292">
        <v>102</v>
      </c>
      <c r="BH292" s="17">
        <f t="shared" ca="1" si="4"/>
        <v>156</v>
      </c>
      <c r="BI292" s="17"/>
      <c r="BJ292" s="17"/>
    </row>
    <row r="293" spans="1:63" hidden="1">
      <c r="A293">
        <v>28011759</v>
      </c>
      <c r="B293" s="2" t="str">
        <f>HYPERLINK("http://www.windermere.com/index.cfm?fuseaction=Listing.ListingDetail&amp;ListingID=19247940","Active")</f>
        <v>Active</v>
      </c>
      <c r="D293" t="s">
        <v>70</v>
      </c>
      <c r="E293" t="s">
        <v>805</v>
      </c>
      <c r="F293" s="10">
        <v>465000</v>
      </c>
      <c r="G293" t="s">
        <v>164</v>
      </c>
      <c r="H293" s="1">
        <v>2120</v>
      </c>
      <c r="I293">
        <v>4000</v>
      </c>
      <c r="J293">
        <v>3</v>
      </c>
      <c r="K293">
        <v>1.75</v>
      </c>
      <c r="M293" s="2" t="str">
        <f>HYPERLINK("http://www.windermere.com/index.cfm?fuseaction=Listing.MapPropertyInteractive&amp;ListingID=19247940&amp;resize=true&amp;windowWidth=800&amp;windowHeight=600","Map")</f>
        <v>Map</v>
      </c>
      <c r="O293" s="2" t="str">
        <f>HYPERLINK("http://www.windermere.com/index.cfm?fuseaction=Listing.MultiImageViewer&amp;ListingID=19247940&amp;ln=28011759&amp;pub_mls=1","More")</f>
        <v>More</v>
      </c>
      <c r="P293" t="s">
        <v>44</v>
      </c>
      <c r="AI293" t="s">
        <v>66</v>
      </c>
      <c r="AJ293">
        <v>98133</v>
      </c>
      <c r="AS293" t="s">
        <v>806</v>
      </c>
      <c r="AT293">
        <v>19247940</v>
      </c>
      <c r="AU293" s="12">
        <v>39495</v>
      </c>
      <c r="BB293" t="s">
        <v>911</v>
      </c>
      <c r="BC293" s="7">
        <v>39465</v>
      </c>
      <c r="BG293">
        <v>30</v>
      </c>
      <c r="BH293" s="17">
        <f t="shared" ca="1" si="4"/>
        <v>84</v>
      </c>
      <c r="BI293" s="17"/>
      <c r="BJ293" s="17"/>
    </row>
    <row r="294" spans="1:63" hidden="1">
      <c r="A294">
        <v>28015172</v>
      </c>
      <c r="B294" s="2" t="str">
        <f>HYPERLINK("http://www.windermere.com/index.cfm?fuseaction=Listing.ListingDetail&amp;ListingID=19278049","Active")</f>
        <v>Active</v>
      </c>
      <c r="D294" t="s">
        <v>70</v>
      </c>
      <c r="E294" t="s">
        <v>155</v>
      </c>
      <c r="F294" s="10">
        <v>465000</v>
      </c>
      <c r="G294" t="s">
        <v>156</v>
      </c>
      <c r="H294" s="1">
        <v>2280</v>
      </c>
      <c r="I294">
        <v>7020</v>
      </c>
      <c r="J294">
        <v>3</v>
      </c>
      <c r="K294">
        <v>2.5</v>
      </c>
      <c r="M294" s="2" t="str">
        <f>HYPERLINK("http://www.windermere.com/index.cfm?fuseaction=Listing.MapPropertyInteractive&amp;ListingID=19278049&amp;resize=true&amp;windowWidth=800&amp;windowHeight=600","Map")</f>
        <v>Map</v>
      </c>
      <c r="O294" s="2" t="str">
        <f>HYPERLINK("http://www.windermere.com/index.cfm?fuseaction=Listing.MultiImageViewer&amp;ListingID=19278049&amp;ln=28015172&amp;pub_mls=1","More")</f>
        <v>More</v>
      </c>
      <c r="P294" t="s">
        <v>44</v>
      </c>
      <c r="AI294" t="s">
        <v>66</v>
      </c>
      <c r="AJ294">
        <v>98177</v>
      </c>
      <c r="AS294" t="s">
        <v>804</v>
      </c>
      <c r="AT294">
        <v>19278049</v>
      </c>
      <c r="AU294" s="12">
        <v>39495</v>
      </c>
      <c r="BB294" t="s">
        <v>911</v>
      </c>
      <c r="BC294" s="7">
        <v>39472</v>
      </c>
      <c r="BG294">
        <v>23</v>
      </c>
      <c r="BH294" s="17">
        <f t="shared" ca="1" si="4"/>
        <v>77</v>
      </c>
      <c r="BI294" s="17"/>
      <c r="BJ294" s="17"/>
    </row>
    <row r="295" spans="1:63" hidden="1">
      <c r="A295">
        <v>27210470</v>
      </c>
      <c r="B295" s="2" t="str">
        <f>HYPERLINK("http://www.windermere.com/index.cfm?fuseaction=Listing.ListingDetail&amp;ListingID=19064728","Active")</f>
        <v>Active</v>
      </c>
      <c r="D295" t="s">
        <v>109</v>
      </c>
      <c r="E295" t="s">
        <v>815</v>
      </c>
      <c r="F295" s="18">
        <v>449950</v>
      </c>
      <c r="G295" t="s">
        <v>147</v>
      </c>
      <c r="H295" s="1">
        <v>1357</v>
      </c>
      <c r="J295">
        <v>3</v>
      </c>
      <c r="K295">
        <v>2.25</v>
      </c>
      <c r="M295" s="2" t="str">
        <f>HYPERLINK("http://www.windermere.com/index.cfm?fuseaction=Listing.MapPropertyInteractive&amp;ListingID=19064728&amp;resize=true&amp;windowWidth=800&amp;windowHeight=600","Map")</f>
        <v>Map</v>
      </c>
      <c r="O295" s="2" t="str">
        <f>HYPERLINK("http://www.windermere.com/index.cfm?fuseaction=Listing.MultiImageViewer&amp;ListingID=19064728&amp;ln=27210470&amp;pub_mls=1","More")</f>
        <v>More</v>
      </c>
      <c r="AI295" t="s">
        <v>66</v>
      </c>
      <c r="AJ295">
        <v>98103</v>
      </c>
      <c r="AS295" t="s">
        <v>816</v>
      </c>
      <c r="AT295">
        <v>19064728</v>
      </c>
      <c r="AU295" s="12">
        <v>39495</v>
      </c>
      <c r="BB295" t="s">
        <v>911</v>
      </c>
      <c r="BC295" s="7">
        <v>39423</v>
      </c>
      <c r="BG295">
        <v>72</v>
      </c>
      <c r="BH295" s="17">
        <f t="shared" ca="1" si="4"/>
        <v>126</v>
      </c>
      <c r="BI295" s="17"/>
      <c r="BJ295" s="17"/>
    </row>
    <row r="296" spans="1:63" hidden="1">
      <c r="A296">
        <v>28011932</v>
      </c>
      <c r="B296" s="2" t="str">
        <f>HYPERLINK("http://www.windermere.com/index.cfm?fuseaction=Listing.ListingDetail&amp;ListingID=19248438","Active")</f>
        <v>Active</v>
      </c>
      <c r="D296" t="s">
        <v>63</v>
      </c>
      <c r="E296" t="s">
        <v>809</v>
      </c>
      <c r="F296" s="13">
        <v>449000</v>
      </c>
      <c r="G296" t="s">
        <v>147</v>
      </c>
      <c r="H296" s="1">
        <v>1391</v>
      </c>
      <c r="J296">
        <v>2</v>
      </c>
      <c r="K296">
        <v>1.5</v>
      </c>
      <c r="M296" s="2" t="str">
        <f>HYPERLINK("http://www.windermere.com/index.cfm?fuseaction=Listing.MapPropertyInteractive&amp;ListingID=19248438&amp;resize=true&amp;windowWidth=800&amp;windowHeight=600","Map")</f>
        <v>Map</v>
      </c>
      <c r="O296" s="2" t="str">
        <f>HYPERLINK("http://www.windermere.com/index.cfm?fuseaction=Listing.MultiImageViewer&amp;ListingID=19248438&amp;ln=28011932&amp;pub_mls=1","More")</f>
        <v>More</v>
      </c>
      <c r="P296" t="s">
        <v>44</v>
      </c>
      <c r="AI296" t="s">
        <v>66</v>
      </c>
      <c r="AJ296">
        <v>98107</v>
      </c>
      <c r="AS296" t="s">
        <v>810</v>
      </c>
      <c r="AT296">
        <v>19248438</v>
      </c>
      <c r="AU296" s="12">
        <v>39495</v>
      </c>
      <c r="BB296" t="s">
        <v>911</v>
      </c>
      <c r="BC296" s="7">
        <v>39465</v>
      </c>
      <c r="BG296">
        <v>30</v>
      </c>
      <c r="BH296" s="17">
        <f t="shared" ca="1" si="4"/>
        <v>84</v>
      </c>
      <c r="BI296" s="17"/>
      <c r="BJ296" s="17"/>
    </row>
    <row r="297" spans="1:63" hidden="1">
      <c r="A297">
        <v>28011933</v>
      </c>
      <c r="B297" s="2" t="str">
        <f>HYPERLINK("http://www.windermere.com/index.cfm?fuseaction=Listing.ListingDetail&amp;ListingID=19248441","Active")</f>
        <v>Active</v>
      </c>
      <c r="D297" t="s">
        <v>63</v>
      </c>
      <c r="E297" t="s">
        <v>807</v>
      </c>
      <c r="F297" s="13">
        <v>449000</v>
      </c>
      <c r="G297" t="s">
        <v>147</v>
      </c>
      <c r="H297" s="1">
        <v>1391</v>
      </c>
      <c r="J297">
        <v>2</v>
      </c>
      <c r="K297">
        <v>1.5</v>
      </c>
      <c r="M297" s="2" t="str">
        <f>HYPERLINK("http://www.windermere.com/index.cfm?fuseaction=Listing.MapPropertyInteractive&amp;ListingID=19248441&amp;resize=true&amp;windowWidth=800&amp;windowHeight=600","Map")</f>
        <v>Map</v>
      </c>
      <c r="O297" s="2" t="str">
        <f>HYPERLINK("http://www.windermere.com/index.cfm?fuseaction=Listing.MultiImageViewer&amp;ListingID=19248441&amp;ln=28011933&amp;pub_mls=1","More")</f>
        <v>More</v>
      </c>
      <c r="P297" t="s">
        <v>44</v>
      </c>
      <c r="AI297" t="s">
        <v>66</v>
      </c>
      <c r="AJ297">
        <v>98107</v>
      </c>
      <c r="AS297" t="s">
        <v>808</v>
      </c>
      <c r="AT297">
        <v>19248441</v>
      </c>
      <c r="AU297" s="12">
        <v>39495</v>
      </c>
      <c r="BB297" t="s">
        <v>911</v>
      </c>
      <c r="BC297" s="7">
        <v>39465</v>
      </c>
      <c r="BG297">
        <v>30</v>
      </c>
      <c r="BH297" s="17">
        <f t="shared" ca="1" si="4"/>
        <v>84</v>
      </c>
      <c r="BI297" s="17"/>
      <c r="BJ297" s="17"/>
    </row>
    <row r="298" spans="1:63" hidden="1">
      <c r="A298">
        <v>28011938</v>
      </c>
      <c r="B298" s="2" t="str">
        <f>HYPERLINK("http://www.windermere.com/index.cfm?fuseaction=Listing.ListingDetail&amp;ListingID=19248416","Active")</f>
        <v>Active</v>
      </c>
      <c r="D298" t="s">
        <v>63</v>
      </c>
      <c r="E298" t="s">
        <v>811</v>
      </c>
      <c r="F298" s="13">
        <v>449000</v>
      </c>
      <c r="G298" t="s">
        <v>147</v>
      </c>
      <c r="H298" s="1">
        <v>1391</v>
      </c>
      <c r="J298">
        <v>2</v>
      </c>
      <c r="K298">
        <v>1.5</v>
      </c>
      <c r="M298" s="2" t="str">
        <f>HYPERLINK("http://www.windermere.com/index.cfm?fuseaction=Listing.MapPropertyInteractive&amp;ListingID=19248416&amp;resize=true&amp;windowWidth=800&amp;windowHeight=600","Map")</f>
        <v>Map</v>
      </c>
      <c r="O298" s="2" t="str">
        <f>HYPERLINK("http://www.windermere.com/index.cfm?fuseaction=Listing.MultiImageViewer&amp;ListingID=19248416&amp;ln=28011938&amp;pub_mls=1","More")</f>
        <v>More</v>
      </c>
      <c r="P298" t="s">
        <v>44</v>
      </c>
      <c r="AI298" t="s">
        <v>66</v>
      </c>
      <c r="AJ298">
        <v>98107</v>
      </c>
      <c r="AS298" t="s">
        <v>812</v>
      </c>
      <c r="AT298">
        <v>19248416</v>
      </c>
      <c r="AU298" s="12">
        <v>39495</v>
      </c>
      <c r="BB298" t="s">
        <v>911</v>
      </c>
      <c r="BC298" s="7">
        <v>39465</v>
      </c>
      <c r="BG298">
        <v>30</v>
      </c>
      <c r="BH298" s="17">
        <f t="shared" ca="1" si="4"/>
        <v>84</v>
      </c>
      <c r="BI298" s="17"/>
      <c r="BJ298" s="17"/>
    </row>
    <row r="299" spans="1:63" hidden="1">
      <c r="A299">
        <v>28011942</v>
      </c>
      <c r="B299" s="2" t="str">
        <f>HYPERLINK("http://www.windermere.com/index.cfm?fuseaction=Listing.ListingDetail&amp;ListingID=19248425","Active")</f>
        <v>Active</v>
      </c>
      <c r="D299" t="s">
        <v>63</v>
      </c>
      <c r="E299" t="s">
        <v>813</v>
      </c>
      <c r="F299" s="13">
        <v>449000</v>
      </c>
      <c r="G299" t="s">
        <v>147</v>
      </c>
      <c r="H299" s="1">
        <v>1391</v>
      </c>
      <c r="J299">
        <v>2</v>
      </c>
      <c r="K299">
        <v>1.5</v>
      </c>
      <c r="M299" s="2" t="str">
        <f>HYPERLINK("http://www.windermere.com/index.cfm?fuseaction=Listing.MapPropertyInteractive&amp;ListingID=19248425&amp;resize=true&amp;windowWidth=800&amp;windowHeight=600","Map")</f>
        <v>Map</v>
      </c>
      <c r="O299" s="2" t="str">
        <f>HYPERLINK("http://www.windermere.com/index.cfm?fuseaction=Listing.MultiImageViewer&amp;ListingID=19248425&amp;ln=28011942&amp;pub_mls=1","More")</f>
        <v>More</v>
      </c>
      <c r="P299" t="s">
        <v>44</v>
      </c>
      <c r="AI299" t="s">
        <v>66</v>
      </c>
      <c r="AJ299">
        <v>98107</v>
      </c>
      <c r="AS299" t="s">
        <v>814</v>
      </c>
      <c r="AT299">
        <v>19248425</v>
      </c>
      <c r="AU299" s="12">
        <v>39495</v>
      </c>
      <c r="BB299" t="s">
        <v>911</v>
      </c>
      <c r="BC299" s="7">
        <v>39465</v>
      </c>
      <c r="BG299">
        <v>30</v>
      </c>
      <c r="BH299" s="17">
        <f t="shared" ca="1" si="4"/>
        <v>84</v>
      </c>
      <c r="BI299" s="17"/>
      <c r="BJ299" s="17"/>
    </row>
    <row r="300" spans="1:63" hidden="1">
      <c r="A300">
        <v>28010106</v>
      </c>
      <c r="B300" s="2" t="str">
        <f>HYPERLINK("http://www.windermere.com/index.cfm?fuseaction=Listing.ListingDetail&amp;ListingID=19241094","Active")</f>
        <v>Active</v>
      </c>
      <c r="D300" t="s">
        <v>194</v>
      </c>
      <c r="E300" t="s">
        <v>1146</v>
      </c>
      <c r="F300" s="10">
        <v>469950</v>
      </c>
      <c r="G300" t="s">
        <v>124</v>
      </c>
      <c r="H300" s="1">
        <v>1760</v>
      </c>
      <c r="I300">
        <v>6660</v>
      </c>
      <c r="J300">
        <v>2</v>
      </c>
      <c r="K300">
        <v>1</v>
      </c>
      <c r="M300" s="2" t="str">
        <f>HYPERLINK("http://www.windermere.com/index.cfm?fuseaction=Listing.MapPropertyInteractive&amp;ListingID=19241094&amp;resize=true&amp;windowWidth=800&amp;windowHeight=600","Map")</f>
        <v>Map</v>
      </c>
      <c r="O300" s="2" t="str">
        <f>HYPERLINK("http://www.windermere.com/index.cfm?fuseaction=viewGallery.Home&amp;customTourID=204488&amp;wvt=0","More")</f>
        <v>More</v>
      </c>
      <c r="P300" t="s">
        <v>44</v>
      </c>
      <c r="AI300" t="s">
        <v>66</v>
      </c>
      <c r="AJ300">
        <v>98115</v>
      </c>
      <c r="AS300" t="s">
        <v>1147</v>
      </c>
      <c r="AT300">
        <v>19241094</v>
      </c>
      <c r="AU300" s="12">
        <v>39495</v>
      </c>
      <c r="BB300" t="s">
        <v>911</v>
      </c>
      <c r="BC300" s="7">
        <v>77068</v>
      </c>
      <c r="BG300">
        <v>0</v>
      </c>
      <c r="BH300" s="17">
        <f t="shared" ca="1" si="4"/>
        <v>-37519</v>
      </c>
      <c r="BI300" s="17"/>
      <c r="BJ300" s="17"/>
    </row>
    <row r="301" spans="1:63" hidden="1">
      <c r="A301">
        <v>28017596</v>
      </c>
      <c r="B301" s="2" t="str">
        <f>HYPERLINK("http://www.windermere.com/index.cfm?fuseaction=Listing.ListingDetail&amp;ListingID=19309006","Active")</f>
        <v>Active</v>
      </c>
      <c r="D301" t="s">
        <v>63</v>
      </c>
      <c r="E301" t="s">
        <v>820</v>
      </c>
      <c r="F301" s="10">
        <v>469950</v>
      </c>
      <c r="G301" t="s">
        <v>246</v>
      </c>
      <c r="H301" s="1">
        <v>1530</v>
      </c>
      <c r="J301">
        <v>3</v>
      </c>
      <c r="K301">
        <v>2.25</v>
      </c>
      <c r="M301" s="2" t="str">
        <f>HYPERLINK("http://www.windermere.com/index.cfm?fuseaction=Listing.MapPropertyInteractive&amp;ListingID=19309006&amp;resize=true&amp;windowWidth=800&amp;windowHeight=600","Map")</f>
        <v>Map</v>
      </c>
      <c r="P301" t="s">
        <v>44</v>
      </c>
      <c r="AI301" t="s">
        <v>66</v>
      </c>
      <c r="AJ301">
        <v>98107</v>
      </c>
      <c r="AS301" t="s">
        <v>821</v>
      </c>
      <c r="AT301">
        <v>19309006</v>
      </c>
      <c r="AU301" s="12">
        <v>39495</v>
      </c>
      <c r="BB301" t="s">
        <v>911</v>
      </c>
      <c r="BC301" s="7">
        <v>39479</v>
      </c>
      <c r="BG301">
        <v>16</v>
      </c>
      <c r="BH301" s="17">
        <f t="shared" ca="1" si="4"/>
        <v>70</v>
      </c>
      <c r="BI301" s="17"/>
      <c r="BJ301" s="17"/>
    </row>
    <row r="302" spans="1:63" hidden="1">
      <c r="A302">
        <v>28020826</v>
      </c>
      <c r="B302" s="2" t="str">
        <f>HYPERLINK("http://www.windermere.com/index.cfm?fuseaction=Listing.ListingDetail&amp;ListingID=19320889","Subject To Inspection")</f>
        <v>Subject To Inspection</v>
      </c>
      <c r="C302">
        <v>705</v>
      </c>
      <c r="D302" t="s">
        <v>63</v>
      </c>
      <c r="E302" t="s">
        <v>238</v>
      </c>
      <c r="F302" s="10">
        <v>469950</v>
      </c>
      <c r="G302" t="s">
        <v>239</v>
      </c>
      <c r="H302" s="1">
        <v>2380</v>
      </c>
      <c r="I302">
        <v>3960</v>
      </c>
      <c r="J302">
        <v>4</v>
      </c>
      <c r="K302">
        <v>2</v>
      </c>
      <c r="L302">
        <v>2</v>
      </c>
      <c r="M302" s="2" t="str">
        <f>HYPERLINK("http://www.windermere.com/index.cfm?fuseaction=Listing.MapPropertyInteractive&amp;ListingID=19320889&amp;resize=true&amp;windowWidth=800&amp;windowHeight=600","Map")</f>
        <v>Map</v>
      </c>
      <c r="N302" s="2" t="str">
        <f>HYPERLINK("http://locmedia.nwmls.com/DO_NOT_LINK/bigphoto/826/28020826.jpg?tsp=20080205093513","Photo")</f>
        <v>Photo</v>
      </c>
      <c r="O302" s="2" t="str">
        <f>HYPERLINK("http://www.windermere.com/index.cfm?fuseaction=viewGallery.Home&amp;customTourID=206388&amp;wvt=0","More")</f>
        <v>More</v>
      </c>
      <c r="Q302" t="s">
        <v>56</v>
      </c>
      <c r="R302" t="s">
        <v>72</v>
      </c>
      <c r="S302" t="s">
        <v>84</v>
      </c>
      <c r="T302" t="s">
        <v>77</v>
      </c>
      <c r="U302" t="s">
        <v>44</v>
      </c>
      <c r="X302" t="s">
        <v>47</v>
      </c>
      <c r="Y302" t="s">
        <v>48</v>
      </c>
      <c r="Z302" t="s">
        <v>98</v>
      </c>
      <c r="AA302" t="s">
        <v>1007</v>
      </c>
      <c r="AB302">
        <v>2007</v>
      </c>
      <c r="AC302">
        <v>3531</v>
      </c>
      <c r="AD302" t="s">
        <v>1008</v>
      </c>
      <c r="AE302" t="s">
        <v>112</v>
      </c>
      <c r="AF302" t="s">
        <v>114</v>
      </c>
      <c r="AG302">
        <v>47.690109</v>
      </c>
      <c r="AH302">
        <v>-122.389808</v>
      </c>
      <c r="AI302" t="s">
        <v>66</v>
      </c>
      <c r="AJ302">
        <v>98117</v>
      </c>
      <c r="AK302" t="s">
        <v>41</v>
      </c>
      <c r="AL302">
        <v>23</v>
      </c>
      <c r="AM302" t="s">
        <v>40</v>
      </c>
      <c r="AO302">
        <v>9.0999999999999998E-2</v>
      </c>
      <c r="AP302" t="s">
        <v>1009</v>
      </c>
      <c r="AQ302">
        <v>534</v>
      </c>
      <c r="AR302" t="s">
        <v>89</v>
      </c>
      <c r="AS302" t="s">
        <v>279</v>
      </c>
      <c r="AT302">
        <v>19320889</v>
      </c>
      <c r="AU302" s="12">
        <v>39495</v>
      </c>
      <c r="BA302" t="s">
        <v>911</v>
      </c>
      <c r="BB302" t="s">
        <v>911</v>
      </c>
      <c r="BC302" s="7">
        <v>39482</v>
      </c>
      <c r="BG302">
        <v>13</v>
      </c>
      <c r="BH302" s="17">
        <f t="shared" ca="1" si="4"/>
        <v>67</v>
      </c>
      <c r="BI302" s="17"/>
      <c r="BJ302" s="17"/>
      <c r="BK302" t="str">
        <f>B302</f>
        <v>Subject To Inspection</v>
      </c>
    </row>
    <row r="303" spans="1:63" hidden="1">
      <c r="A303">
        <v>28022230</v>
      </c>
      <c r="B303" s="2" t="str">
        <f>HYPERLINK("http://www.windermere.com/index.cfm?fuseaction=Listing.ListingDetail&amp;ListingID=19353991","Active")</f>
        <v>Active</v>
      </c>
      <c r="D303" t="s">
        <v>63</v>
      </c>
      <c r="E303" t="s">
        <v>817</v>
      </c>
      <c r="F303" s="10">
        <v>469950</v>
      </c>
      <c r="G303" t="s">
        <v>128</v>
      </c>
      <c r="J303">
        <v>3</v>
      </c>
      <c r="K303">
        <v>3.25</v>
      </c>
      <c r="M303" s="2" t="str">
        <f>HYPERLINK("http://www.windermere.com/index.cfm?fuseaction=Listing.MapPropertyInteractive&amp;ListingID=19353991&amp;resize=true&amp;windowWidth=800&amp;windowHeight=600","Map")</f>
        <v>Map</v>
      </c>
      <c r="O303" s="2" t="str">
        <f>HYPERLINK("http://www.windermere.com/index.cfm?fuseaction=Listing.MultiImageViewer&amp;ListingID=19353991&amp;ln=28022230&amp;pub_mls=1","More")</f>
        <v>More</v>
      </c>
      <c r="P303" t="s">
        <v>44</v>
      </c>
      <c r="AI303" t="s">
        <v>66</v>
      </c>
      <c r="AJ303">
        <v>98107</v>
      </c>
      <c r="AS303" t="s">
        <v>818</v>
      </c>
      <c r="AT303">
        <v>19353991</v>
      </c>
      <c r="AU303" s="12">
        <v>39495</v>
      </c>
      <c r="BB303" t="s">
        <v>911</v>
      </c>
      <c r="BC303" s="7">
        <v>39489</v>
      </c>
      <c r="BG303">
        <v>6</v>
      </c>
      <c r="BH303" s="17">
        <f t="shared" ca="1" si="4"/>
        <v>60</v>
      </c>
      <c r="BI303" s="17"/>
      <c r="BJ303" s="17"/>
    </row>
    <row r="304" spans="1:63" hidden="1">
      <c r="A304">
        <v>28024288</v>
      </c>
      <c r="B304" s="15" t="str">
        <f>HYPERLINK("http://www.windermere.com/index.cfm?fuseaction=Listing.ListingDetail&amp;ListingID=19345067","Subject To Inspection")</f>
        <v>Subject To Inspection</v>
      </c>
      <c r="D304" t="s">
        <v>218</v>
      </c>
      <c r="E304" s="3" t="s">
        <v>1463</v>
      </c>
      <c r="F304" s="13">
        <v>429000</v>
      </c>
      <c r="G304" t="s">
        <v>135</v>
      </c>
      <c r="H304" s="1">
        <v>1560</v>
      </c>
      <c r="I304">
        <v>4500</v>
      </c>
      <c r="J304">
        <v>3</v>
      </c>
      <c r="K304">
        <v>1.75</v>
      </c>
      <c r="M304" s="2" t="str">
        <f>HYPERLINK("http://www.windermere.com/index.cfm?fuseaction=Listing.MapPropertyInteractive&amp;ListingID=19345067&amp;resize=true&amp;windowWidth=800&amp;windowHeight=600","Map")</f>
        <v>Map</v>
      </c>
      <c r="O304" s="2" t="str">
        <f>HYPERLINK("http://www.windermere.com/index.cfm?fuseaction=Listing.MultiImageViewer&amp;ListingID=19345067&amp;ln=28024288&amp;pub_mls=1","More")</f>
        <v>More</v>
      </c>
      <c r="P304" t="s">
        <v>44</v>
      </c>
      <c r="AI304" t="s">
        <v>66</v>
      </c>
      <c r="AJ304">
        <v>98105</v>
      </c>
      <c r="AS304" t="s">
        <v>819</v>
      </c>
      <c r="AT304">
        <v>19345067</v>
      </c>
      <c r="AU304" s="12">
        <v>39495</v>
      </c>
      <c r="BB304" t="s">
        <v>911</v>
      </c>
      <c r="BC304" s="7">
        <v>39487</v>
      </c>
      <c r="BG304">
        <v>8</v>
      </c>
      <c r="BH304" s="17">
        <f t="shared" ca="1" si="4"/>
        <v>62</v>
      </c>
      <c r="BI304" s="17"/>
      <c r="BJ304" s="17"/>
    </row>
    <row r="305" spans="1:63" hidden="1">
      <c r="A305">
        <v>28025011</v>
      </c>
      <c r="B305" s="2" t="str">
        <f>HYPERLINK("http://www.windermere.com/index.cfm?fuseaction=Listing.ListingDetail&amp;ListingID=19351629","Active")</f>
        <v>Active</v>
      </c>
      <c r="D305" t="s">
        <v>63</v>
      </c>
      <c r="E305" t="s">
        <v>277</v>
      </c>
      <c r="F305" s="10">
        <v>469950</v>
      </c>
      <c r="G305" t="s">
        <v>176</v>
      </c>
      <c r="H305" s="1">
        <v>1760</v>
      </c>
      <c r="I305">
        <v>4479</v>
      </c>
      <c r="J305">
        <v>2</v>
      </c>
      <c r="K305">
        <v>1</v>
      </c>
      <c r="M305" s="2" t="str">
        <f>HYPERLINK("http://www.windermere.com/index.cfm?fuseaction=Listing.MapPropertyInteractive&amp;ListingID=19351629&amp;resize=true&amp;windowWidth=800&amp;windowHeight=600","Map")</f>
        <v>Map</v>
      </c>
      <c r="O305" s="2" t="str">
        <f>HYPERLINK("http://www.windermere.com/index.cfm?fuseaction=viewGallery.Home&amp;customTourID=207287&amp;wvt=0","More")</f>
        <v>More</v>
      </c>
      <c r="AI305" t="s">
        <v>66</v>
      </c>
      <c r="AJ305">
        <v>98117</v>
      </c>
      <c r="AS305" t="s">
        <v>278</v>
      </c>
      <c r="AT305">
        <v>19351629</v>
      </c>
      <c r="AU305" s="12">
        <v>39495</v>
      </c>
      <c r="BB305" t="s">
        <v>911</v>
      </c>
      <c r="BC305" s="7">
        <v>39489</v>
      </c>
      <c r="BD305">
        <v>4</v>
      </c>
      <c r="BE305" t="s">
        <v>1340</v>
      </c>
      <c r="BF305" s="7">
        <v>39129</v>
      </c>
      <c r="BG305">
        <v>6</v>
      </c>
      <c r="BH305" s="17">
        <f t="shared" ca="1" si="4"/>
        <v>60</v>
      </c>
      <c r="BI305" s="17"/>
      <c r="BJ305" s="17"/>
    </row>
    <row r="306" spans="1:63" hidden="1">
      <c r="A306">
        <v>28028113</v>
      </c>
      <c r="B306" s="2" t="str">
        <f>HYPERLINK("http://www.windermere.com/index.cfm?fuseaction=Listing.ListingDetail&amp;ListingID=19379075","Active")</f>
        <v>Active</v>
      </c>
      <c r="D306" t="s">
        <v>204</v>
      </c>
      <c r="E306" t="s">
        <v>822</v>
      </c>
      <c r="F306" s="10">
        <v>470000</v>
      </c>
      <c r="G306" t="s">
        <v>418</v>
      </c>
      <c r="H306" s="1">
        <v>2450</v>
      </c>
      <c r="I306">
        <v>8350</v>
      </c>
      <c r="J306">
        <v>3</v>
      </c>
      <c r="K306">
        <v>1.75</v>
      </c>
      <c r="M306" s="2" t="str">
        <f>HYPERLINK("http://www.windermere.com/index.cfm?fuseaction=Listing.MapPropertyInteractive&amp;ListingID=19379075&amp;resize=true&amp;windowWidth=800&amp;windowHeight=600","Map")</f>
        <v>Map</v>
      </c>
      <c r="O306" s="2" t="str">
        <f>HYPERLINK("http://www.windermere.com/index.cfm?fuseaction=Listing.MultiImageViewer&amp;ListingID=19379075&amp;ln=28028113&amp;pub_mls=1","More")</f>
        <v>More</v>
      </c>
      <c r="P306" t="s">
        <v>44</v>
      </c>
      <c r="AI306" t="s">
        <v>66</v>
      </c>
      <c r="AJ306">
        <v>98125</v>
      </c>
      <c r="AS306" t="s">
        <v>823</v>
      </c>
      <c r="AT306">
        <v>19379075</v>
      </c>
      <c r="AU306" s="12">
        <v>39495</v>
      </c>
      <c r="BB306" t="s">
        <v>911</v>
      </c>
      <c r="BC306" s="7">
        <v>39493</v>
      </c>
      <c r="BG306">
        <v>2</v>
      </c>
      <c r="BH306" s="17">
        <f t="shared" ca="1" si="4"/>
        <v>56</v>
      </c>
      <c r="BI306" s="17"/>
      <c r="BJ306" s="17"/>
    </row>
    <row r="307" spans="1:63" hidden="1">
      <c r="A307">
        <v>27207001</v>
      </c>
      <c r="B307" s="2" t="str">
        <f>HYPERLINK("http://www.windermere.com/index.cfm?fuseaction=Listing.ListingDetail&amp;ListingID=19025633","Active")</f>
        <v>Active</v>
      </c>
      <c r="D307" t="s">
        <v>100</v>
      </c>
      <c r="E307" t="s">
        <v>832</v>
      </c>
      <c r="F307" s="13">
        <v>449950</v>
      </c>
      <c r="G307" t="s">
        <v>147</v>
      </c>
      <c r="H307" s="1">
        <v>1586</v>
      </c>
      <c r="J307">
        <v>3</v>
      </c>
      <c r="K307">
        <v>2.25</v>
      </c>
      <c r="M307" s="2" t="str">
        <f>HYPERLINK("http://www.windermere.com/index.cfm?fuseaction=Listing.MapPropertyInteractive&amp;ListingID=19025633&amp;resize=true&amp;windowWidth=800&amp;windowHeight=600","Map")</f>
        <v>Map</v>
      </c>
      <c r="O307" s="2" t="str">
        <f>HYPERLINK("http://www.windermere.com/index.cfm?fuseaction=Listing.MultiImageViewer&amp;ListingID=19025633&amp;ln=27207001&amp;pub_mls=1","More")</f>
        <v>More</v>
      </c>
      <c r="P307" t="s">
        <v>44</v>
      </c>
      <c r="AI307" t="s">
        <v>66</v>
      </c>
      <c r="AJ307">
        <v>98103</v>
      </c>
      <c r="AS307" t="s">
        <v>833</v>
      </c>
      <c r="AT307">
        <v>19025633</v>
      </c>
      <c r="AU307" s="12">
        <v>39495</v>
      </c>
      <c r="BB307" t="s">
        <v>911</v>
      </c>
      <c r="BC307" s="7">
        <v>39414</v>
      </c>
      <c r="BG307">
        <v>81</v>
      </c>
      <c r="BH307" s="17">
        <f t="shared" ca="1" si="4"/>
        <v>135</v>
      </c>
      <c r="BI307" s="17"/>
      <c r="BJ307" s="17"/>
    </row>
    <row r="308" spans="1:63" hidden="1">
      <c r="A308">
        <v>28013532</v>
      </c>
      <c r="B308" s="2" t="str">
        <f>HYPERLINK("http://www.windermere.com/index.cfm?fuseaction=Listing.ListingDetail&amp;ListingID=19262687","Active")</f>
        <v>Active</v>
      </c>
      <c r="D308" t="s">
        <v>199</v>
      </c>
      <c r="E308" t="s">
        <v>824</v>
      </c>
      <c r="F308" s="10">
        <v>475000</v>
      </c>
      <c r="G308" t="s">
        <v>156</v>
      </c>
      <c r="H308" s="1">
        <v>2740</v>
      </c>
      <c r="I308">
        <v>9657</v>
      </c>
      <c r="J308">
        <v>3</v>
      </c>
      <c r="K308">
        <v>2</v>
      </c>
      <c r="M308" s="2" t="str">
        <f>HYPERLINK("http://www.windermere.com/index.cfm?fuseaction=Listing.MapPropertyInteractive&amp;ListingID=19262687&amp;resize=true&amp;windowWidth=800&amp;windowHeight=600","Map")</f>
        <v>Map</v>
      </c>
      <c r="O308" s="2" t="str">
        <f>HYPERLINK("http://www.windermere.com/index.cfm?fuseaction=Listing.MultiImageViewer&amp;ListingID=19262687&amp;ln=28013532&amp;pub_mls=1","More")</f>
        <v>More</v>
      </c>
      <c r="P308" t="s">
        <v>44</v>
      </c>
      <c r="AI308" t="s">
        <v>66</v>
      </c>
      <c r="AJ308">
        <v>98125</v>
      </c>
      <c r="AS308" t="s">
        <v>825</v>
      </c>
      <c r="AT308">
        <v>19262687</v>
      </c>
      <c r="AU308" s="12">
        <v>39495</v>
      </c>
      <c r="BB308" t="s">
        <v>911</v>
      </c>
      <c r="BC308" s="7">
        <v>39469</v>
      </c>
      <c r="BG308">
        <v>26</v>
      </c>
      <c r="BH308" s="17">
        <f t="shared" ca="1" si="4"/>
        <v>80</v>
      </c>
      <c r="BI308" s="17"/>
      <c r="BJ308" s="17"/>
    </row>
    <row r="309" spans="1:63" hidden="1">
      <c r="A309">
        <v>28015635</v>
      </c>
      <c r="B309" s="2" t="str">
        <f>HYPERLINK("http://www.windermere.com/index.cfm?fuseaction=Listing.ListingDetail&amp;ListingID=19288452","Active")</f>
        <v>Active</v>
      </c>
      <c r="D309" t="s">
        <v>63</v>
      </c>
      <c r="E309" t="s">
        <v>826</v>
      </c>
      <c r="F309" s="10">
        <v>475000</v>
      </c>
      <c r="G309" t="s">
        <v>186</v>
      </c>
      <c r="H309" s="1">
        <v>2480</v>
      </c>
      <c r="I309">
        <v>4000</v>
      </c>
      <c r="J309">
        <v>4</v>
      </c>
      <c r="K309">
        <v>1.75</v>
      </c>
      <c r="M309" s="2" t="str">
        <f>HYPERLINK("http://www.windermere.com/index.cfm?fuseaction=Listing.MapPropertyInteractive&amp;ListingID=19288452&amp;resize=true&amp;windowWidth=800&amp;windowHeight=600","Map")</f>
        <v>Map</v>
      </c>
      <c r="O309" s="2" t="str">
        <f>HYPERLINK("http://www.windermere.com/index.cfm?fuseaction=Listing.MultiImageViewer&amp;ListingID=19288452&amp;ln=28015635&amp;pub_mls=1","More")</f>
        <v>More</v>
      </c>
      <c r="AI309" t="s">
        <v>66</v>
      </c>
      <c r="AJ309">
        <v>98107</v>
      </c>
      <c r="AS309" t="s">
        <v>827</v>
      </c>
      <c r="AT309">
        <v>19288452</v>
      </c>
      <c r="AU309" s="12">
        <v>39495</v>
      </c>
      <c r="BB309" t="s">
        <v>911</v>
      </c>
      <c r="BC309" s="7">
        <v>39475</v>
      </c>
      <c r="BG309">
        <v>20</v>
      </c>
      <c r="BH309" s="17">
        <f t="shared" ca="1" si="4"/>
        <v>74</v>
      </c>
      <c r="BI309" s="17"/>
      <c r="BJ309" s="17"/>
    </row>
    <row r="310" spans="1:63" hidden="1">
      <c r="A310">
        <v>28017287</v>
      </c>
      <c r="B310" s="15" t="str">
        <f>HYPERLINK("http://www.windermere.com/index.cfm?fuseaction=Listing.ListingDetail&amp;ListingID=19307351","Subject To Inspection")</f>
        <v>Subject To Inspection</v>
      </c>
      <c r="D310" t="s">
        <v>60</v>
      </c>
      <c r="E310" t="s">
        <v>830</v>
      </c>
      <c r="F310" s="10">
        <v>475000</v>
      </c>
      <c r="G310" t="s">
        <v>176</v>
      </c>
      <c r="H310" s="1">
        <v>1010</v>
      </c>
      <c r="I310">
        <v>3876</v>
      </c>
      <c r="J310">
        <v>2</v>
      </c>
      <c r="K310">
        <v>1</v>
      </c>
      <c r="M310" s="2" t="str">
        <f>HYPERLINK("http://www.windermere.com/index.cfm?fuseaction=Listing.MapPropertyInteractive&amp;ListingID=19307351&amp;resize=true&amp;windowWidth=800&amp;windowHeight=600","Map")</f>
        <v>Map</v>
      </c>
      <c r="O310" s="2" t="str">
        <f>HYPERLINK("http://www.windermere.com/index.cfm?fuseaction=Listing.MultiImageViewer&amp;ListingID=19307351&amp;ln=28017287&amp;pub_mls=1","More")</f>
        <v>More</v>
      </c>
      <c r="P310" t="s">
        <v>44</v>
      </c>
      <c r="AI310" t="s">
        <v>66</v>
      </c>
      <c r="AJ310">
        <v>98103</v>
      </c>
      <c r="AS310" t="s">
        <v>831</v>
      </c>
      <c r="AT310">
        <v>19307351</v>
      </c>
      <c r="AU310" s="12">
        <v>39495</v>
      </c>
      <c r="BB310" t="s">
        <v>911</v>
      </c>
      <c r="BC310" s="7">
        <v>39479</v>
      </c>
      <c r="BD310">
        <v>3</v>
      </c>
      <c r="BE310" t="s">
        <v>1379</v>
      </c>
      <c r="BG310">
        <v>16</v>
      </c>
      <c r="BH310" s="17">
        <f t="shared" ca="1" si="4"/>
        <v>70</v>
      </c>
      <c r="BI310" s="17"/>
      <c r="BJ310" s="17"/>
    </row>
    <row r="311" spans="1:63" hidden="1">
      <c r="A311">
        <v>28024819</v>
      </c>
      <c r="B311" s="2" t="str">
        <f>HYPERLINK("http://www.windermere.com/index.cfm?fuseaction=Listing.ListingDetail&amp;ListingID=19350454","Subject To Inspection")</f>
        <v>Subject To Inspection</v>
      </c>
      <c r="D311" t="s">
        <v>109</v>
      </c>
      <c r="E311" t="s">
        <v>828</v>
      </c>
      <c r="F311" s="10">
        <v>475000</v>
      </c>
      <c r="G311" t="s">
        <v>227</v>
      </c>
      <c r="H311" s="1">
        <v>2120</v>
      </c>
      <c r="I311">
        <v>4080</v>
      </c>
      <c r="J311">
        <v>3</v>
      </c>
      <c r="K311">
        <v>1</v>
      </c>
      <c r="M311" s="2" t="str">
        <f>HYPERLINK("http://www.windermere.com/index.cfm?fuseaction=Listing.MapPropertyInteractive&amp;ListingID=19350454&amp;resize=true&amp;windowWidth=800&amp;windowHeight=600","Map")</f>
        <v>Map</v>
      </c>
      <c r="O311" s="2" t="str">
        <f>HYPERLINK("http://www.windermere.com/index.cfm?fuseaction=viewGallery.Home&amp;customTourID=207209&amp;wvt=0","More")</f>
        <v>More</v>
      </c>
      <c r="AI311" t="s">
        <v>66</v>
      </c>
      <c r="AJ311">
        <v>98105</v>
      </c>
      <c r="AS311" t="s">
        <v>829</v>
      </c>
      <c r="AT311">
        <v>19350454</v>
      </c>
      <c r="AU311" s="12">
        <v>39495</v>
      </c>
      <c r="BB311" t="s">
        <v>911</v>
      </c>
      <c r="BC311" s="7">
        <v>39489</v>
      </c>
      <c r="BD311">
        <v>3</v>
      </c>
      <c r="BE311" t="s">
        <v>1380</v>
      </c>
      <c r="BG311">
        <v>6</v>
      </c>
      <c r="BH311" s="17">
        <f t="shared" ca="1" si="4"/>
        <v>60</v>
      </c>
      <c r="BI311" s="17"/>
      <c r="BJ311" s="17"/>
      <c r="BK311" t="str">
        <f>B311</f>
        <v>Subject To Inspection</v>
      </c>
    </row>
    <row r="312" spans="1:63" hidden="1">
      <c r="A312">
        <v>28025604</v>
      </c>
      <c r="B312" s="2" t="str">
        <f>HYPERLINK("http://www.windermere.com/index.cfm?fuseaction=Listing.ListingDetail&amp;ListingID=19408406","Active")</f>
        <v>Active</v>
      </c>
      <c r="D312" t="s">
        <v>63</v>
      </c>
      <c r="E312" t="s">
        <v>276</v>
      </c>
      <c r="F312" s="10">
        <v>475000</v>
      </c>
      <c r="G312" t="s">
        <v>144</v>
      </c>
      <c r="H312" s="1">
        <v>1720</v>
      </c>
      <c r="I312">
        <v>3676</v>
      </c>
      <c r="J312">
        <v>3</v>
      </c>
      <c r="K312">
        <v>1.5</v>
      </c>
      <c r="M312" s="2" t="str">
        <f>HYPERLINK("http://www.windermere.com/index.cfm?fuseaction=Listing.MapPropertyInteractive&amp;ListingID=19408406&amp;resize=true&amp;windowWidth=800&amp;windowHeight=600","Map")</f>
        <v>Map</v>
      </c>
      <c r="O312" s="2" t="str">
        <f>HYPERLINK("http://www.windermere.com/index.cfm?fuseaction=Listing.MultiImageViewer&amp;ListingID=19408406&amp;ln=28025604&amp;pub_mls=1","More")</f>
        <v>More</v>
      </c>
      <c r="P312" t="s">
        <v>44</v>
      </c>
      <c r="AI312" t="s">
        <v>66</v>
      </c>
      <c r="AJ312">
        <v>98117</v>
      </c>
      <c r="AS312" s="19" t="s">
        <v>1468</v>
      </c>
      <c r="AT312" s="19">
        <v>19408406</v>
      </c>
      <c r="AU312" s="12">
        <v>39495</v>
      </c>
      <c r="BB312" t="s">
        <v>911</v>
      </c>
      <c r="BC312" s="7">
        <v>39490</v>
      </c>
      <c r="BD312">
        <v>4</v>
      </c>
      <c r="BE312" t="s">
        <v>1341</v>
      </c>
      <c r="BF312" s="7">
        <v>39494</v>
      </c>
      <c r="BG312">
        <v>5</v>
      </c>
      <c r="BH312" s="17">
        <f t="shared" ca="1" si="4"/>
        <v>59</v>
      </c>
      <c r="BI312" s="17"/>
      <c r="BJ312" s="17"/>
    </row>
    <row r="313" spans="1:63" hidden="1">
      <c r="A313">
        <v>27187856</v>
      </c>
      <c r="B313" s="2" t="str">
        <f>HYPERLINK("http://www.windermere.com/index.cfm?fuseaction=Listing.ListingDetail&amp;ListingID=18827147","Active")</f>
        <v>Active</v>
      </c>
      <c r="D313" t="s">
        <v>63</v>
      </c>
      <c r="E313" t="s">
        <v>836</v>
      </c>
      <c r="F313" s="10">
        <v>479000</v>
      </c>
      <c r="G313" t="s">
        <v>147</v>
      </c>
      <c r="H313" s="1">
        <v>1900</v>
      </c>
      <c r="J313">
        <v>3</v>
      </c>
      <c r="K313">
        <v>3.5</v>
      </c>
      <c r="M313" s="2" t="str">
        <f>HYPERLINK("http://www.windermere.com/index.cfm?fuseaction=Listing.MapPropertyInteractive&amp;ListingID=18827147&amp;resize=true&amp;windowWidth=800&amp;windowHeight=600","Map")</f>
        <v>Map</v>
      </c>
      <c r="O313" s="2" t="str">
        <f>HYPERLINK("http://www.windermere.com/index.cfm?fuseaction=Listing.MultiImageViewer&amp;ListingID=18827147&amp;ln=27187856&amp;pub_mls=1","More")</f>
        <v>More</v>
      </c>
      <c r="P313" t="s">
        <v>44</v>
      </c>
      <c r="AI313" t="s">
        <v>66</v>
      </c>
      <c r="AJ313">
        <v>98107</v>
      </c>
      <c r="AS313" t="s">
        <v>837</v>
      </c>
      <c r="AT313">
        <v>18827147</v>
      </c>
      <c r="AU313" s="12">
        <v>39495</v>
      </c>
      <c r="BB313" t="s">
        <v>911</v>
      </c>
      <c r="BC313" s="7">
        <v>39372</v>
      </c>
      <c r="BG313">
        <v>123</v>
      </c>
      <c r="BH313" s="17">
        <f t="shared" ca="1" si="4"/>
        <v>177</v>
      </c>
      <c r="BI313" s="17"/>
      <c r="BJ313" s="17"/>
    </row>
    <row r="314" spans="1:63" hidden="1">
      <c r="A314">
        <v>27187865</v>
      </c>
      <c r="B314" s="15" t="str">
        <f>HYPERLINK("http://www.windermere.com/index.cfm?fuseaction=Listing.ListingDetail&amp;ListingID=18827156","Subject To Inspection")</f>
        <v>Subject To Inspection</v>
      </c>
      <c r="D314" t="s">
        <v>63</v>
      </c>
      <c r="E314" t="s">
        <v>838</v>
      </c>
      <c r="F314" s="10">
        <v>479000</v>
      </c>
      <c r="G314" t="s">
        <v>147</v>
      </c>
      <c r="H314" s="1">
        <v>1900</v>
      </c>
      <c r="J314">
        <v>3</v>
      </c>
      <c r="K314">
        <v>3.5</v>
      </c>
      <c r="M314" s="2" t="str">
        <f>HYPERLINK("http://www.windermere.com/index.cfm?fuseaction=Listing.MapPropertyInteractive&amp;ListingID=18827156&amp;resize=true&amp;windowWidth=800&amp;windowHeight=600","Map")</f>
        <v>Map</v>
      </c>
      <c r="O314" s="2" t="str">
        <f>HYPERLINK("http://www.windermere.com/index.cfm?fuseaction=Listing.MultiImageViewer&amp;ListingID=18827156&amp;ln=27187865&amp;pub_mls=1","More")</f>
        <v>More</v>
      </c>
      <c r="P314" t="s">
        <v>44</v>
      </c>
      <c r="AI314" t="s">
        <v>66</v>
      </c>
      <c r="AJ314">
        <v>98107</v>
      </c>
      <c r="AS314" t="s">
        <v>839</v>
      </c>
      <c r="AT314">
        <v>18827156</v>
      </c>
      <c r="AU314" s="12">
        <v>39495</v>
      </c>
      <c r="BB314" t="s">
        <v>911</v>
      </c>
      <c r="BC314" s="7">
        <v>39372</v>
      </c>
      <c r="BD314">
        <v>-4</v>
      </c>
      <c r="BE314" t="s">
        <v>1443</v>
      </c>
      <c r="BG314">
        <v>123</v>
      </c>
      <c r="BH314" s="17">
        <f t="shared" ca="1" si="4"/>
        <v>177</v>
      </c>
      <c r="BI314" s="17"/>
      <c r="BJ314" s="17"/>
    </row>
    <row r="315" spans="1:63" hidden="1">
      <c r="A315">
        <v>28007508</v>
      </c>
      <c r="B315" s="2" t="str">
        <f>HYPERLINK("http://www.windermere.com/index.cfm?fuseaction=Listing.ListingDetail&amp;ListingID=19212618","Active")</f>
        <v>Active</v>
      </c>
      <c r="D315" t="s">
        <v>109</v>
      </c>
      <c r="E315" t="s">
        <v>834</v>
      </c>
      <c r="F315" s="10">
        <v>479000</v>
      </c>
      <c r="G315" t="s">
        <v>147</v>
      </c>
      <c r="H315" s="1">
        <v>1350</v>
      </c>
      <c r="J315">
        <v>3</v>
      </c>
      <c r="K315">
        <v>2.5</v>
      </c>
      <c r="M315" s="2" t="str">
        <f>HYPERLINK("http://www.windermere.com/index.cfm?fuseaction=Listing.MapPropertyInteractive&amp;ListingID=19212618&amp;resize=true&amp;windowWidth=800&amp;windowHeight=600","Map")</f>
        <v>Map</v>
      </c>
      <c r="O315" s="2" t="str">
        <f>HYPERLINK("http://www.windermere.com/index.cfm?fuseaction=Listing.MultiImageViewer&amp;ListingID=19212618&amp;ln=28007508&amp;pub_mls=1","More")</f>
        <v>More</v>
      </c>
      <c r="P315" t="s">
        <v>44</v>
      </c>
      <c r="AI315" t="s">
        <v>66</v>
      </c>
      <c r="AJ315">
        <v>98103</v>
      </c>
      <c r="AS315" t="s">
        <v>835</v>
      </c>
      <c r="AT315">
        <v>19212618</v>
      </c>
      <c r="AU315" s="12">
        <v>39495</v>
      </c>
      <c r="BB315" t="s">
        <v>911</v>
      </c>
      <c r="BC315" s="7">
        <v>39458</v>
      </c>
      <c r="BG315">
        <v>37</v>
      </c>
      <c r="BH315" s="17">
        <f t="shared" ca="1" si="4"/>
        <v>91</v>
      </c>
      <c r="BI315" s="17"/>
      <c r="BJ315" s="17"/>
    </row>
    <row r="316" spans="1:63" hidden="1">
      <c r="A316">
        <v>27183898</v>
      </c>
      <c r="B316" s="2" t="str">
        <f>HYPERLINK("http://www.windermere.com/index.cfm?fuseaction=Listing.ListingDetail&amp;ListingID=18790899","Active")</f>
        <v>Active</v>
      </c>
      <c r="D316" t="s">
        <v>109</v>
      </c>
      <c r="E316" t="s">
        <v>166</v>
      </c>
      <c r="F316" s="10">
        <v>479450</v>
      </c>
      <c r="G316" t="s">
        <v>181</v>
      </c>
      <c r="H316" s="1">
        <v>1200</v>
      </c>
      <c r="I316">
        <v>3400</v>
      </c>
      <c r="J316">
        <v>3</v>
      </c>
      <c r="K316">
        <v>3</v>
      </c>
      <c r="M316" s="2" t="str">
        <f>HYPERLINK("http://www.windermere.com/index.cfm?fuseaction=Listing.MapPropertyInteractive&amp;ListingID=18790899&amp;resize=true&amp;windowWidth=800&amp;windowHeight=600","Map")</f>
        <v>Map</v>
      </c>
      <c r="P316" t="s">
        <v>44</v>
      </c>
      <c r="AI316" t="s">
        <v>66</v>
      </c>
      <c r="AJ316">
        <v>98103</v>
      </c>
      <c r="AS316" t="s">
        <v>840</v>
      </c>
      <c r="AT316">
        <v>18790899</v>
      </c>
      <c r="AU316" s="12">
        <v>39495</v>
      </c>
      <c r="BB316" t="s">
        <v>911</v>
      </c>
      <c r="BC316" s="7">
        <v>39365</v>
      </c>
      <c r="BG316">
        <v>130</v>
      </c>
      <c r="BH316" s="17">
        <f t="shared" ca="1" si="4"/>
        <v>184</v>
      </c>
      <c r="BI316" s="17"/>
      <c r="BJ316" s="17"/>
    </row>
    <row r="317" spans="1:63" hidden="1">
      <c r="A317">
        <v>27195187</v>
      </c>
      <c r="B317" s="2" t="str">
        <f>HYPERLINK("http://www.windermere.com/index.cfm?fuseaction=Listing.ListingDetail&amp;ListingID=18894488","Active")</f>
        <v>Active</v>
      </c>
      <c r="D317" t="s">
        <v>63</v>
      </c>
      <c r="E317" t="s">
        <v>169</v>
      </c>
      <c r="F317" s="13">
        <v>450000</v>
      </c>
      <c r="G317" t="s">
        <v>182</v>
      </c>
      <c r="H317" s="1">
        <v>2060</v>
      </c>
      <c r="I317">
        <v>5000</v>
      </c>
      <c r="J317">
        <v>4</v>
      </c>
      <c r="K317">
        <v>1</v>
      </c>
      <c r="M317" s="2" t="str">
        <f>HYPERLINK("http://www.windermere.com/index.cfm?fuseaction=Listing.MapPropertyInteractive&amp;ListingID=18894488&amp;resize=true&amp;windowWidth=800&amp;windowHeight=600","Map")</f>
        <v>Map</v>
      </c>
      <c r="AI317" t="s">
        <v>66</v>
      </c>
      <c r="AJ317">
        <v>98117</v>
      </c>
      <c r="AS317" t="s">
        <v>275</v>
      </c>
      <c r="AT317">
        <v>18894488</v>
      </c>
      <c r="AU317" s="12">
        <v>39495</v>
      </c>
      <c r="BB317" t="s">
        <v>911</v>
      </c>
      <c r="BC317" s="7">
        <v>39386</v>
      </c>
      <c r="BG317">
        <v>109</v>
      </c>
      <c r="BH317" s="17">
        <f t="shared" ca="1" si="4"/>
        <v>163</v>
      </c>
      <c r="BI317" s="17"/>
      <c r="BJ317" s="17"/>
    </row>
    <row r="318" spans="1:63" hidden="1">
      <c r="A318">
        <v>27211024</v>
      </c>
      <c r="B318" s="2" t="str">
        <f>HYPERLINK("http://www.windermere.com/index.cfm?fuseaction=Listing.ListingDetail&amp;ListingID=19072165","Active")</f>
        <v>Active</v>
      </c>
      <c r="D318" t="s">
        <v>60</v>
      </c>
      <c r="E318" t="s">
        <v>841</v>
      </c>
      <c r="F318" s="10">
        <v>479900</v>
      </c>
      <c r="G318" t="s">
        <v>129</v>
      </c>
      <c r="H318" s="1">
        <v>2080</v>
      </c>
      <c r="I318">
        <v>3000</v>
      </c>
      <c r="J318">
        <v>3</v>
      </c>
      <c r="K318">
        <v>1.5</v>
      </c>
      <c r="M318" s="2" t="str">
        <f>HYPERLINK("http://www.windermere.com/index.cfm?fuseaction=Listing.MapPropertyInteractive&amp;ListingID=19072165&amp;resize=true&amp;windowWidth=800&amp;windowHeight=600","Map")</f>
        <v>Map</v>
      </c>
      <c r="O318" s="2" t="str">
        <f>HYPERLINK("http://www.windermere.com/index.cfm?fuseaction=Listing.MultiImageViewer&amp;ListingID=19072165&amp;ln=27211024&amp;pub_mls=1","More")</f>
        <v>More</v>
      </c>
      <c r="AI318" t="s">
        <v>66</v>
      </c>
      <c r="AJ318">
        <v>98103</v>
      </c>
      <c r="AS318" t="s">
        <v>842</v>
      </c>
      <c r="AT318">
        <v>19072165</v>
      </c>
      <c r="AU318" s="12">
        <v>39495</v>
      </c>
      <c r="BB318" t="s">
        <v>911</v>
      </c>
      <c r="BC318" s="7">
        <v>39425</v>
      </c>
      <c r="BG318">
        <v>70</v>
      </c>
      <c r="BH318" s="17">
        <f t="shared" ca="1" si="4"/>
        <v>124</v>
      </c>
      <c r="BI318" s="17"/>
      <c r="BJ318" s="17"/>
    </row>
    <row r="319" spans="1:63" hidden="1">
      <c r="A319">
        <v>28007148</v>
      </c>
      <c r="B319" s="2" t="str">
        <f>HYPERLINK("http://www.windermere.com/index.cfm?fuseaction=Listing.ListingDetail&amp;ListingID=19212202","Subject To Inspection")</f>
        <v>Subject To Inspection</v>
      </c>
      <c r="D319" t="s">
        <v>99</v>
      </c>
      <c r="E319" t="s">
        <v>273</v>
      </c>
      <c r="F319" s="10">
        <v>479922</v>
      </c>
      <c r="G319" t="s">
        <v>176</v>
      </c>
      <c r="H319" s="1">
        <v>2240</v>
      </c>
      <c r="I319">
        <v>6800</v>
      </c>
      <c r="J319">
        <v>3</v>
      </c>
      <c r="K319">
        <v>1.75</v>
      </c>
      <c r="M319" s="2" t="str">
        <f>HYPERLINK("http://www.windermere.com/index.cfm?fuseaction=Listing.MapPropertyInteractive&amp;ListingID=19212202&amp;resize=true&amp;windowWidth=800&amp;windowHeight=600","Map")</f>
        <v>Map</v>
      </c>
      <c r="O319" s="2" t="str">
        <f>HYPERLINK("http://www.windermere.com/index.cfm?fuseaction=viewGallery.Home&amp;customTourID=204141&amp;wvt=0","More")</f>
        <v>More</v>
      </c>
      <c r="P319" t="s">
        <v>44</v>
      </c>
      <c r="AI319" t="s">
        <v>66</v>
      </c>
      <c r="AJ319">
        <v>98117</v>
      </c>
      <c r="AS319" t="s">
        <v>274</v>
      </c>
      <c r="AT319">
        <v>19212202</v>
      </c>
      <c r="AU319" s="12">
        <v>39495</v>
      </c>
      <c r="BB319" t="s">
        <v>911</v>
      </c>
      <c r="BC319" s="7">
        <v>39458</v>
      </c>
      <c r="BG319">
        <v>37</v>
      </c>
      <c r="BH319" s="17">
        <f t="shared" ca="1" si="4"/>
        <v>91</v>
      </c>
      <c r="BI319" s="17"/>
      <c r="BJ319" s="17"/>
      <c r="BK319" t="str">
        <f>B319</f>
        <v>Subject To Inspection</v>
      </c>
    </row>
    <row r="320" spans="1:63" hidden="1">
      <c r="A320">
        <v>27194846</v>
      </c>
      <c r="B320" s="2" t="str">
        <f>HYPERLINK("http://www.windermere.com/index.cfm?fuseaction=Listing.ListingDetail&amp;ListingID=18892529","Active")</f>
        <v>Active</v>
      </c>
      <c r="D320" t="s">
        <v>100</v>
      </c>
      <c r="E320" t="s">
        <v>849</v>
      </c>
      <c r="F320" s="18">
        <v>447950</v>
      </c>
      <c r="G320" t="s">
        <v>147</v>
      </c>
      <c r="H320" s="1">
        <v>1671</v>
      </c>
      <c r="J320">
        <v>3</v>
      </c>
      <c r="K320">
        <v>2.25</v>
      </c>
      <c r="M320" s="2" t="str">
        <f>HYPERLINK("http://www.windermere.com/index.cfm?fuseaction=Listing.MapPropertyInteractive&amp;ListingID=18892529&amp;resize=true&amp;windowWidth=800&amp;windowHeight=600","Map")</f>
        <v>Map</v>
      </c>
      <c r="O320" s="2" t="str">
        <f>HYPERLINK("http://www.windermere.com/index.cfm?fuseaction=Listing.MultiImageViewer&amp;ListingID=18892529&amp;ln=27194846&amp;pub_mls=1","More")</f>
        <v>More</v>
      </c>
      <c r="P320" t="s">
        <v>44</v>
      </c>
      <c r="AI320" t="s">
        <v>66</v>
      </c>
      <c r="AJ320">
        <v>98103</v>
      </c>
      <c r="AS320" t="s">
        <v>850</v>
      </c>
      <c r="AT320">
        <v>18892529</v>
      </c>
      <c r="AU320" s="12">
        <v>39495</v>
      </c>
      <c r="BB320" t="s">
        <v>911</v>
      </c>
      <c r="BC320" s="7">
        <v>39386</v>
      </c>
      <c r="BG320">
        <v>109</v>
      </c>
      <c r="BH320" s="17">
        <f t="shared" ca="1" si="4"/>
        <v>163</v>
      </c>
      <c r="BI320" s="17"/>
      <c r="BJ320" s="17"/>
    </row>
    <row r="321" spans="1:63" hidden="1">
      <c r="A321">
        <v>27212456</v>
      </c>
      <c r="B321" s="2" t="str">
        <f>HYPERLINK("http://www.windermere.com/index.cfm?fuseaction=Listing.ListingDetail&amp;ListingID=19088651","Active")</f>
        <v>Active</v>
      </c>
      <c r="D321" t="s">
        <v>100</v>
      </c>
      <c r="E321" t="s">
        <v>847</v>
      </c>
      <c r="F321" s="10">
        <v>479950</v>
      </c>
      <c r="G321" t="s">
        <v>147</v>
      </c>
      <c r="J321">
        <v>3</v>
      </c>
      <c r="K321">
        <v>2.5</v>
      </c>
      <c r="M321" s="2" t="str">
        <f>HYPERLINK("http://www.windermere.com/index.cfm?fuseaction=Listing.MapPropertyInteractive&amp;ListingID=19088651&amp;resize=true&amp;windowWidth=800&amp;windowHeight=600","Map")</f>
        <v>Map</v>
      </c>
      <c r="O321" s="2" t="str">
        <f>HYPERLINK("http://www.windermere.com/index.cfm?fuseaction=Listing.MultiImageViewer&amp;ListingID=19088651&amp;ln=27212456&amp;pub_mls=1","More")</f>
        <v>More</v>
      </c>
      <c r="AI321" t="s">
        <v>66</v>
      </c>
      <c r="AJ321">
        <v>98103</v>
      </c>
      <c r="AS321" t="s">
        <v>848</v>
      </c>
      <c r="AT321">
        <v>19088651</v>
      </c>
      <c r="AU321" s="12">
        <v>39495</v>
      </c>
      <c r="BB321" t="s">
        <v>911</v>
      </c>
      <c r="BC321" s="7">
        <v>39428</v>
      </c>
      <c r="BG321">
        <v>67</v>
      </c>
      <c r="BH321" s="17">
        <f t="shared" ca="1" si="4"/>
        <v>121</v>
      </c>
      <c r="BI321" s="17"/>
      <c r="BJ321" s="17"/>
    </row>
    <row r="322" spans="1:63" hidden="1">
      <c r="A322">
        <v>27212458</v>
      </c>
      <c r="B322" s="2" t="str">
        <f>HYPERLINK("http://www.windermere.com/index.cfm?fuseaction=Listing.ListingDetail&amp;ListingID=19088652","Active")</f>
        <v>Active</v>
      </c>
      <c r="D322" t="s">
        <v>100</v>
      </c>
      <c r="E322" t="s">
        <v>853</v>
      </c>
      <c r="F322" s="10">
        <v>479950</v>
      </c>
      <c r="G322" t="s">
        <v>147</v>
      </c>
      <c r="J322">
        <v>3</v>
      </c>
      <c r="K322">
        <v>2.5</v>
      </c>
      <c r="M322" s="2" t="str">
        <f>HYPERLINK("http://www.windermere.com/index.cfm?fuseaction=Listing.MapPropertyInteractive&amp;ListingID=19088652&amp;resize=true&amp;windowWidth=800&amp;windowHeight=600","Map")</f>
        <v>Map</v>
      </c>
      <c r="O322" s="2" t="str">
        <f>HYPERLINK("http://www.windermere.com/index.cfm?fuseaction=Listing.MultiImageViewer&amp;ListingID=19088652&amp;ln=27212458&amp;pub_mls=1","More")</f>
        <v>More</v>
      </c>
      <c r="AI322" t="s">
        <v>66</v>
      </c>
      <c r="AJ322">
        <v>98103</v>
      </c>
      <c r="AS322" t="s">
        <v>854</v>
      </c>
      <c r="AT322">
        <v>19088652</v>
      </c>
      <c r="AU322" s="12">
        <v>39495</v>
      </c>
      <c r="BB322" t="s">
        <v>911</v>
      </c>
      <c r="BC322" s="7">
        <v>39428</v>
      </c>
      <c r="BG322">
        <v>67</v>
      </c>
      <c r="BH322" s="17">
        <f t="shared" ca="1" si="4"/>
        <v>121</v>
      </c>
      <c r="BI322" s="17"/>
      <c r="BJ322" s="17"/>
    </row>
    <row r="323" spans="1:63" hidden="1">
      <c r="A323">
        <v>28004347</v>
      </c>
      <c r="B323" s="2" t="str">
        <f>HYPERLINK("http://www.windermere.com/index.cfm?fuseaction=Listing.ListingDetail&amp;ListingID=19175636","Subject To Inspection")</f>
        <v>Subject To Inspection</v>
      </c>
      <c r="D323" t="s">
        <v>63</v>
      </c>
      <c r="E323" t="s">
        <v>863</v>
      </c>
      <c r="F323" s="10">
        <v>479950</v>
      </c>
      <c r="G323" t="s">
        <v>246</v>
      </c>
      <c r="H323" s="1">
        <v>1796</v>
      </c>
      <c r="J323">
        <v>3</v>
      </c>
      <c r="K323">
        <v>2.5</v>
      </c>
      <c r="M323" s="2" t="str">
        <f>HYPERLINK("http://www.windermere.com/index.cfm?fuseaction=Listing.MapPropertyInteractive&amp;ListingID=19175636&amp;resize=true&amp;windowWidth=800&amp;windowHeight=600","Map")</f>
        <v>Map</v>
      </c>
      <c r="O323" s="2" t="str">
        <f>HYPERLINK("http://www.windermere.com/index.cfm?fuseaction=Listing.MultiImageViewer&amp;ListingID=19175636&amp;ln=28004347&amp;pub_mls=1","More")</f>
        <v>More</v>
      </c>
      <c r="P323" t="s">
        <v>44</v>
      </c>
      <c r="AI323" t="s">
        <v>66</v>
      </c>
      <c r="AJ323">
        <v>98107</v>
      </c>
      <c r="AS323" t="s">
        <v>864</v>
      </c>
      <c r="AT323">
        <v>19175636</v>
      </c>
      <c r="AU323" s="12">
        <v>39495</v>
      </c>
      <c r="BB323" t="s">
        <v>911</v>
      </c>
      <c r="BC323" s="7">
        <v>39454</v>
      </c>
      <c r="BG323">
        <v>41</v>
      </c>
      <c r="BH323" s="17">
        <f t="shared" ref="BH323:BH386" ca="1" si="5">TODAY()-BC323</f>
        <v>95</v>
      </c>
      <c r="BI323" s="17"/>
      <c r="BJ323" s="17"/>
      <c r="BK323" t="str">
        <f>B323</f>
        <v>Subject To Inspection</v>
      </c>
    </row>
    <row r="324" spans="1:63" hidden="1">
      <c r="A324">
        <v>28008698</v>
      </c>
      <c r="B324" s="2" t="str">
        <f>HYPERLINK("http://www.windermere.com/index.cfm?fuseaction=Listing.ListingDetail&amp;ListingID=19221882","Active")</f>
        <v>Active</v>
      </c>
      <c r="D324" t="s">
        <v>100</v>
      </c>
      <c r="E324" t="s">
        <v>845</v>
      </c>
      <c r="F324" s="10">
        <v>479950</v>
      </c>
      <c r="G324" t="s">
        <v>147</v>
      </c>
      <c r="J324">
        <v>3</v>
      </c>
      <c r="K324">
        <v>2.5</v>
      </c>
      <c r="M324" s="2" t="str">
        <f>HYPERLINK("http://www.windermere.com/index.cfm?fuseaction=Listing.MapPropertyInteractive&amp;ListingID=19221882&amp;resize=true&amp;windowWidth=800&amp;windowHeight=600","Map")</f>
        <v>Map</v>
      </c>
      <c r="O324" s="2" t="str">
        <f>HYPERLINK("http://www.windermere.com/index.cfm?fuseaction=Listing.MultiImageViewer&amp;ListingID=19221882&amp;ln=28008698&amp;pub_mls=1","More")</f>
        <v>More</v>
      </c>
      <c r="AI324" t="s">
        <v>66</v>
      </c>
      <c r="AJ324">
        <v>98103</v>
      </c>
      <c r="AS324" t="s">
        <v>846</v>
      </c>
      <c r="AT324">
        <v>19221882</v>
      </c>
      <c r="AU324" s="12">
        <v>39495</v>
      </c>
      <c r="BB324" t="s">
        <v>911</v>
      </c>
      <c r="BC324" s="7">
        <v>39461</v>
      </c>
      <c r="BG324">
        <v>34</v>
      </c>
      <c r="BH324" s="17">
        <f t="shared" ca="1" si="5"/>
        <v>88</v>
      </c>
      <c r="BI324" s="17"/>
      <c r="BJ324" s="17"/>
    </row>
    <row r="325" spans="1:63" hidden="1">
      <c r="A325">
        <v>28010411</v>
      </c>
      <c r="B325" s="2" t="str">
        <f>HYPERLINK("http://www.windermere.com/index.cfm?fuseaction=Listing.ListingDetail&amp;ListingID=19235916","Active")</f>
        <v>Active</v>
      </c>
      <c r="D325" t="s">
        <v>63</v>
      </c>
      <c r="E325" t="s">
        <v>857</v>
      </c>
      <c r="F325" s="10">
        <v>479950</v>
      </c>
      <c r="G325" t="s">
        <v>147</v>
      </c>
      <c r="H325" s="1">
        <v>2219</v>
      </c>
      <c r="J325">
        <v>3</v>
      </c>
      <c r="K325">
        <v>2.5</v>
      </c>
      <c r="M325" s="2" t="str">
        <f>HYPERLINK("http://www.windermere.com/index.cfm?fuseaction=Listing.MapPropertyInteractive&amp;ListingID=19235916&amp;resize=true&amp;windowWidth=800&amp;windowHeight=600","Map")</f>
        <v>Map</v>
      </c>
      <c r="O325" s="2" t="str">
        <f>HYPERLINK("http://www.windermere.com/index.cfm?fuseaction=Listing.MultiImageViewer&amp;ListingID=19235916&amp;ln=28010411&amp;pub_mls=1","More")</f>
        <v>More</v>
      </c>
      <c r="P325" t="s">
        <v>44</v>
      </c>
      <c r="AI325" t="s">
        <v>66</v>
      </c>
      <c r="AJ325">
        <v>98107</v>
      </c>
      <c r="AS325" t="s">
        <v>858</v>
      </c>
      <c r="AT325">
        <v>19235916</v>
      </c>
      <c r="AU325" s="12">
        <v>39495</v>
      </c>
      <c r="BB325" t="s">
        <v>911</v>
      </c>
      <c r="BC325" s="7">
        <v>39463</v>
      </c>
      <c r="BG325">
        <v>32</v>
      </c>
      <c r="BH325" s="17">
        <f t="shared" ca="1" si="5"/>
        <v>86</v>
      </c>
      <c r="BI325" s="17"/>
      <c r="BJ325" s="17"/>
    </row>
    <row r="326" spans="1:63" hidden="1">
      <c r="A326">
        <v>28010430</v>
      </c>
      <c r="B326" s="2" t="str">
        <f>HYPERLINK("http://www.windermere.com/index.cfm?fuseaction=Listing.ListingDetail&amp;ListingID=19236131","Active")</f>
        <v>Active</v>
      </c>
      <c r="D326" t="s">
        <v>63</v>
      </c>
      <c r="E326" t="s">
        <v>859</v>
      </c>
      <c r="F326" s="10">
        <v>479950</v>
      </c>
      <c r="G326" t="s">
        <v>147</v>
      </c>
      <c r="H326" s="1">
        <v>2219</v>
      </c>
      <c r="J326">
        <v>3</v>
      </c>
      <c r="K326">
        <v>2.5</v>
      </c>
      <c r="M326" s="2" t="str">
        <f>HYPERLINK("http://www.windermere.com/index.cfm?fuseaction=Listing.MapPropertyInteractive&amp;ListingID=19236131&amp;resize=true&amp;windowWidth=800&amp;windowHeight=600","Map")</f>
        <v>Map</v>
      </c>
      <c r="O326" s="2" t="str">
        <f>HYPERLINK("http://www.windermere.com/index.cfm?fuseaction=Listing.MultiImageViewer&amp;ListingID=19236131&amp;ln=28010430&amp;pub_mls=1","More")</f>
        <v>More</v>
      </c>
      <c r="P326" t="s">
        <v>44</v>
      </c>
      <c r="AI326" t="s">
        <v>66</v>
      </c>
      <c r="AJ326">
        <v>98107</v>
      </c>
      <c r="AS326" t="s">
        <v>860</v>
      </c>
      <c r="AT326">
        <v>19236131</v>
      </c>
      <c r="AU326" s="12">
        <v>39495</v>
      </c>
      <c r="BB326" t="s">
        <v>911</v>
      </c>
      <c r="BC326" s="7">
        <v>39463</v>
      </c>
      <c r="BG326">
        <v>32</v>
      </c>
      <c r="BH326" s="17">
        <f t="shared" ca="1" si="5"/>
        <v>86</v>
      </c>
      <c r="BI326" s="17"/>
      <c r="BJ326" s="17"/>
    </row>
    <row r="327" spans="1:63" hidden="1">
      <c r="A327">
        <v>28010441</v>
      </c>
      <c r="B327" s="2" t="str">
        <f>HYPERLINK("http://www.windermere.com/index.cfm?fuseaction=Listing.ListingDetail&amp;ListingID=19236178","Active")</f>
        <v>Active</v>
      </c>
      <c r="D327" t="s">
        <v>63</v>
      </c>
      <c r="E327" t="s">
        <v>861</v>
      </c>
      <c r="F327" s="10">
        <v>479950</v>
      </c>
      <c r="G327" t="s">
        <v>147</v>
      </c>
      <c r="H327" s="1">
        <v>2219</v>
      </c>
      <c r="J327">
        <v>3</v>
      </c>
      <c r="K327">
        <v>2.5</v>
      </c>
      <c r="M327" s="2" t="str">
        <f>HYPERLINK("http://www.windermere.com/index.cfm?fuseaction=Listing.MapPropertyInteractive&amp;ListingID=19236178&amp;resize=true&amp;windowWidth=800&amp;windowHeight=600","Map")</f>
        <v>Map</v>
      </c>
      <c r="O327" s="2" t="str">
        <f>HYPERLINK("http://www.windermere.com/index.cfm?fuseaction=Listing.MultiImageViewer&amp;ListingID=19236178&amp;ln=28010441&amp;pub_mls=1","More")</f>
        <v>More</v>
      </c>
      <c r="P327" t="s">
        <v>44</v>
      </c>
      <c r="AI327" t="s">
        <v>66</v>
      </c>
      <c r="AJ327">
        <v>98107</v>
      </c>
      <c r="AS327" t="s">
        <v>862</v>
      </c>
      <c r="AT327">
        <v>19236178</v>
      </c>
      <c r="AU327" s="12">
        <v>39495</v>
      </c>
      <c r="BB327" t="s">
        <v>911</v>
      </c>
      <c r="BC327" s="7">
        <v>39463</v>
      </c>
      <c r="BG327">
        <v>32</v>
      </c>
      <c r="BH327" s="17">
        <f t="shared" ca="1" si="5"/>
        <v>86</v>
      </c>
      <c r="BI327" s="17"/>
      <c r="BJ327" s="17"/>
    </row>
    <row r="328" spans="1:63" hidden="1">
      <c r="A328">
        <v>28011848</v>
      </c>
      <c r="B328" s="2" t="str">
        <f>HYPERLINK("http://www.windermere.com/index.cfm?fuseaction=Listing.ListingDetail&amp;ListingID=19247757","Subject To Inspection")</f>
        <v>Subject To Inspection</v>
      </c>
      <c r="D328" t="s">
        <v>100</v>
      </c>
      <c r="E328" t="s">
        <v>851</v>
      </c>
      <c r="F328" s="10">
        <v>479950</v>
      </c>
      <c r="G328" t="s">
        <v>147</v>
      </c>
      <c r="H328" s="1">
        <v>1350</v>
      </c>
      <c r="J328">
        <v>3</v>
      </c>
      <c r="K328">
        <v>2.25</v>
      </c>
      <c r="M328" s="2" t="str">
        <f>HYPERLINK("http://www.windermere.com/index.cfm?fuseaction=Listing.MapPropertyInteractive&amp;ListingID=19247757&amp;resize=true&amp;windowWidth=800&amp;windowHeight=600","Map")</f>
        <v>Map</v>
      </c>
      <c r="O328" s="2" t="str">
        <f>HYPERLINK("http://www.windermere.com/index.cfm?fuseaction=Listing.MultiImageViewer&amp;ListingID=19247757&amp;ln=28011848&amp;pub_mls=1","More")</f>
        <v>More</v>
      </c>
      <c r="P328" t="s">
        <v>44</v>
      </c>
      <c r="AI328" t="s">
        <v>66</v>
      </c>
      <c r="AJ328">
        <v>98103</v>
      </c>
      <c r="AS328" t="s">
        <v>852</v>
      </c>
      <c r="AT328">
        <v>19247757</v>
      </c>
      <c r="AU328" s="12">
        <v>39495</v>
      </c>
      <c r="BB328" t="s">
        <v>911</v>
      </c>
      <c r="BC328" s="7">
        <v>39465</v>
      </c>
      <c r="BG328">
        <v>30</v>
      </c>
      <c r="BH328" s="17">
        <f t="shared" ca="1" si="5"/>
        <v>84</v>
      </c>
      <c r="BI328" s="17"/>
      <c r="BJ328" s="17"/>
      <c r="BK328" t="str">
        <f>B328</f>
        <v>Subject To Inspection</v>
      </c>
    </row>
    <row r="329" spans="1:63" hidden="1">
      <c r="A329">
        <v>28018532</v>
      </c>
      <c r="B329" s="2" t="str">
        <f>HYPERLINK("http://www.windermere.com/index.cfm?fuseaction=Listing.ListingDetail&amp;ListingID=19303298","Active")</f>
        <v>Active</v>
      </c>
      <c r="D329" t="s">
        <v>109</v>
      </c>
      <c r="E329" t="s">
        <v>855</v>
      </c>
      <c r="F329" s="10">
        <v>479950</v>
      </c>
      <c r="G329" t="s">
        <v>439</v>
      </c>
      <c r="H329" s="1">
        <v>1150</v>
      </c>
      <c r="I329">
        <v>2940</v>
      </c>
      <c r="J329">
        <v>2</v>
      </c>
      <c r="K329">
        <v>1</v>
      </c>
      <c r="M329" s="2" t="str">
        <f>HYPERLINK("http://www.windermere.com/index.cfm?fuseaction=Listing.MapPropertyInteractive&amp;ListingID=19303298&amp;resize=true&amp;windowWidth=800&amp;windowHeight=600","Map")</f>
        <v>Map</v>
      </c>
      <c r="O329" s="2" t="str">
        <f>HYPERLINK("http://www.windermere.com/index.cfm?fuseaction=Listing.MultiImageViewer&amp;ListingID=19303298&amp;ln=28018532&amp;pub_mls=1","More")</f>
        <v>More</v>
      </c>
      <c r="AI329" t="s">
        <v>66</v>
      </c>
      <c r="AJ329">
        <v>98105</v>
      </c>
      <c r="AS329" t="s">
        <v>856</v>
      </c>
      <c r="AT329">
        <v>19303298</v>
      </c>
      <c r="AU329" s="12">
        <v>39495</v>
      </c>
      <c r="BB329" t="s">
        <v>911</v>
      </c>
      <c r="BC329" s="7">
        <v>39478</v>
      </c>
      <c r="BG329">
        <v>17</v>
      </c>
      <c r="BH329" s="17">
        <f t="shared" ca="1" si="5"/>
        <v>71</v>
      </c>
      <c r="BI329" s="17"/>
      <c r="BJ329" s="17"/>
    </row>
    <row r="330" spans="1:63" hidden="1">
      <c r="A330">
        <v>28024487</v>
      </c>
      <c r="B330" s="15" t="str">
        <f>HYPERLINK("http://www.windermere.com/index.cfm?fuseaction=Listing.ListingDetail&amp;ListingID=19376128","Subject To Inspection")</f>
        <v>Subject To Inspection</v>
      </c>
      <c r="D330" t="s">
        <v>60</v>
      </c>
      <c r="E330" t="s">
        <v>843</v>
      </c>
      <c r="F330" s="10">
        <v>479950</v>
      </c>
      <c r="G330" t="s">
        <v>208</v>
      </c>
      <c r="I330">
        <v>5000</v>
      </c>
      <c r="J330">
        <v>3</v>
      </c>
      <c r="K330">
        <v>2.75</v>
      </c>
      <c r="M330" s="2" t="str">
        <f>HYPERLINK("http://www.windermere.com/index.cfm?fuseaction=Listing.MapPropertyInteractive&amp;ListingID=19376128&amp;resize=true&amp;windowWidth=800&amp;windowHeight=600","Map")</f>
        <v>Map</v>
      </c>
      <c r="O330" s="2" t="str">
        <f>HYPERLINK("http://www.windermere.com/index.cfm?fuseaction=viewGallery.Home&amp;customTourID=207723&amp;wvt=0","More")</f>
        <v>More</v>
      </c>
      <c r="AI330" t="s">
        <v>66</v>
      </c>
      <c r="AJ330">
        <v>98103</v>
      </c>
      <c r="AS330" t="s">
        <v>844</v>
      </c>
      <c r="AT330">
        <v>19376128</v>
      </c>
      <c r="AU330" s="12">
        <v>39495</v>
      </c>
      <c r="BB330" t="s">
        <v>911</v>
      </c>
      <c r="BC330" s="7">
        <v>39493</v>
      </c>
      <c r="BG330">
        <v>2</v>
      </c>
      <c r="BH330" s="17">
        <f t="shared" ca="1" si="5"/>
        <v>56</v>
      </c>
      <c r="BI330" s="17"/>
      <c r="BJ330" s="17"/>
    </row>
    <row r="331" spans="1:63" hidden="1">
      <c r="A331">
        <v>28021035</v>
      </c>
      <c r="B331" s="2" t="str">
        <f>HYPERLINK("http://www.windermere.com/index.cfm?fuseaction=Listing.ListingDetail&amp;ListingID=19321902","Subject To Inspection")</f>
        <v>Subject To Inspection</v>
      </c>
      <c r="D331" t="s">
        <v>919</v>
      </c>
      <c r="E331" t="s">
        <v>865</v>
      </c>
      <c r="F331" s="10">
        <v>480000</v>
      </c>
      <c r="G331" t="s">
        <v>777</v>
      </c>
      <c r="H331" s="1">
        <v>1900</v>
      </c>
      <c r="I331">
        <v>5000</v>
      </c>
      <c r="J331">
        <v>4</v>
      </c>
      <c r="K331">
        <v>2</v>
      </c>
      <c r="M331" s="2" t="str">
        <f>HYPERLINK("http://www.windermere.com/index.cfm?fuseaction=Listing.MapPropertyInteractive&amp;ListingID=19321902&amp;resize=true&amp;windowWidth=800&amp;windowHeight=600","Map")</f>
        <v>Map</v>
      </c>
      <c r="O331" s="2" t="str">
        <f>HYPERLINK("http://www.windermere.com/index.cfm?fuseaction=Listing.MultiImageViewer&amp;ListingID=19321902&amp;ln=28021035&amp;pub_mls=1","More")</f>
        <v>More</v>
      </c>
      <c r="AI331" t="s">
        <v>66</v>
      </c>
      <c r="AJ331">
        <v>98103</v>
      </c>
      <c r="AS331" t="s">
        <v>866</v>
      </c>
      <c r="AT331">
        <v>19321902</v>
      </c>
      <c r="AU331" s="12">
        <v>39495</v>
      </c>
      <c r="BB331" t="s">
        <v>911</v>
      </c>
      <c r="BC331" s="7">
        <v>39482</v>
      </c>
      <c r="BG331">
        <v>13</v>
      </c>
      <c r="BH331" s="17">
        <f t="shared" ca="1" si="5"/>
        <v>67</v>
      </c>
      <c r="BI331" s="17"/>
      <c r="BJ331" s="17"/>
      <c r="BK331" t="str">
        <f>B331</f>
        <v>Subject To Inspection</v>
      </c>
    </row>
    <row r="332" spans="1:63" hidden="1">
      <c r="A332">
        <v>27183963</v>
      </c>
      <c r="B332" s="15" t="str">
        <f>HYPERLINK("http://www.windermere.com/index.cfm?fuseaction=Listing.ListingDetail&amp;ListingID=18791183","Subject To Inspection")</f>
        <v>Subject To Inspection</v>
      </c>
      <c r="D332" t="s">
        <v>207</v>
      </c>
      <c r="E332" t="s">
        <v>867</v>
      </c>
      <c r="F332" s="10">
        <v>484900</v>
      </c>
      <c r="G332" t="s">
        <v>154</v>
      </c>
      <c r="H332" s="1">
        <v>1405</v>
      </c>
      <c r="I332">
        <v>4840</v>
      </c>
      <c r="J332">
        <v>3</v>
      </c>
      <c r="K332">
        <v>1</v>
      </c>
      <c r="M332" s="2" t="str">
        <f>HYPERLINK("http://www.windermere.com/index.cfm?fuseaction=Listing.MapPropertyInteractive&amp;ListingID=18791183&amp;resize=true&amp;windowWidth=800&amp;windowHeight=600","Map")</f>
        <v>Map</v>
      </c>
      <c r="O332" s="2" t="str">
        <f>HYPERLINK("http://www.windermere.com/index.cfm?fuseaction=Listing.MultiImageViewer&amp;ListingID=18791183&amp;ln=27183963&amp;pub_mls=1","More")</f>
        <v>More</v>
      </c>
      <c r="P332" t="s">
        <v>44</v>
      </c>
      <c r="AI332" t="s">
        <v>66</v>
      </c>
      <c r="AJ332">
        <v>98115</v>
      </c>
      <c r="AS332" t="s">
        <v>868</v>
      </c>
      <c r="AT332">
        <v>18791183</v>
      </c>
      <c r="AU332" s="12">
        <v>39495</v>
      </c>
      <c r="BB332" t="s">
        <v>911</v>
      </c>
      <c r="BC332" s="7">
        <v>39365</v>
      </c>
      <c r="BG332">
        <v>130</v>
      </c>
      <c r="BH332" s="17">
        <f t="shared" ca="1" si="5"/>
        <v>184</v>
      </c>
      <c r="BI332" s="17"/>
      <c r="BJ332" s="17"/>
    </row>
    <row r="333" spans="1:63" hidden="1">
      <c r="A333">
        <v>28002558</v>
      </c>
      <c r="B333" s="2" t="str">
        <f>HYPERLINK("http://www.windermere.com/index.cfm?fuseaction=Listing.ListingDetail&amp;ListingID=19174633","Active")</f>
        <v>Active</v>
      </c>
      <c r="D333" t="s">
        <v>194</v>
      </c>
      <c r="E333" t="s">
        <v>1148</v>
      </c>
      <c r="F333" s="10">
        <v>485000</v>
      </c>
      <c r="G333" t="s">
        <v>186</v>
      </c>
      <c r="H333" s="1">
        <v>1950</v>
      </c>
      <c r="I333">
        <v>6262</v>
      </c>
      <c r="J333">
        <v>3</v>
      </c>
      <c r="K333">
        <v>1.75</v>
      </c>
      <c r="M333" s="2" t="str">
        <f>HYPERLINK("http://www.windermere.com/index.cfm?fuseaction=Listing.MapPropertyInteractive&amp;ListingID=19174633&amp;resize=true&amp;windowWidth=800&amp;windowHeight=600","Map")</f>
        <v>Map</v>
      </c>
      <c r="O333" s="2" t="str">
        <f>HYPERLINK("http://www.windermere.com/index.cfm?fuseaction=viewGallery.Home&amp;customTourID=203655&amp;wvt=0","More")</f>
        <v>More</v>
      </c>
      <c r="AI333" t="s">
        <v>66</v>
      </c>
      <c r="AJ333">
        <v>98115</v>
      </c>
      <c r="AS333" t="s">
        <v>1149</v>
      </c>
      <c r="AT333">
        <v>19174633</v>
      </c>
      <c r="AU333" s="12">
        <v>39495</v>
      </c>
      <c r="BB333" t="s">
        <v>911</v>
      </c>
      <c r="BC333" s="7">
        <v>39454</v>
      </c>
      <c r="BG333">
        <v>41</v>
      </c>
      <c r="BH333" s="17">
        <f t="shared" ca="1" si="5"/>
        <v>95</v>
      </c>
      <c r="BI333" s="17"/>
      <c r="BJ333" s="17"/>
    </row>
    <row r="334" spans="1:63" hidden="1">
      <c r="A334">
        <v>28004733</v>
      </c>
      <c r="B334" s="2" t="str">
        <f>HYPERLINK("http://www.windermere.com/index.cfm?fuseaction=Listing.ListingDetail&amp;ListingID=19179645","Active")</f>
        <v>Active</v>
      </c>
      <c r="D334" t="s">
        <v>192</v>
      </c>
      <c r="E334" t="s">
        <v>217</v>
      </c>
      <c r="F334" s="10">
        <v>485000</v>
      </c>
      <c r="G334" t="s">
        <v>140</v>
      </c>
      <c r="H334" s="1">
        <v>2840</v>
      </c>
      <c r="I334">
        <v>7548</v>
      </c>
      <c r="J334">
        <v>4</v>
      </c>
      <c r="K334">
        <v>2</v>
      </c>
      <c r="M334" s="2" t="str">
        <f>HYPERLINK("http://www.windermere.com/index.cfm?fuseaction=Listing.MapPropertyInteractive&amp;ListingID=19179645&amp;resize=true&amp;windowWidth=800&amp;windowHeight=600","Map")</f>
        <v>Map</v>
      </c>
      <c r="O334" s="2" t="str">
        <f>HYPERLINK("http://www.windermere.com/index.cfm?fuseaction=Listing.MultiImageViewer&amp;ListingID=19179645&amp;ln=28004733&amp;pub_mls=1","More")</f>
        <v>More</v>
      </c>
      <c r="P334" t="s">
        <v>44</v>
      </c>
      <c r="AI334" t="s">
        <v>66</v>
      </c>
      <c r="AJ334">
        <v>98115</v>
      </c>
      <c r="AS334" t="s">
        <v>869</v>
      </c>
      <c r="AT334">
        <v>19179645</v>
      </c>
      <c r="AU334" s="12">
        <v>39495</v>
      </c>
      <c r="BB334" t="s">
        <v>911</v>
      </c>
      <c r="BC334" s="7">
        <v>39455</v>
      </c>
      <c r="BG334">
        <v>40</v>
      </c>
      <c r="BH334" s="17">
        <f t="shared" ca="1" si="5"/>
        <v>94</v>
      </c>
      <c r="BI334" s="17"/>
      <c r="BJ334" s="17"/>
    </row>
    <row r="335" spans="1:63" hidden="1">
      <c r="A335">
        <v>27187573</v>
      </c>
      <c r="B335" s="2" t="str">
        <f>HYPERLINK("http://www.windermere.com/index.cfm?fuseaction=Listing.ListingDetail&amp;ListingID=18825808","Active")</f>
        <v>Active</v>
      </c>
      <c r="D335" t="s">
        <v>63</v>
      </c>
      <c r="E335" t="s">
        <v>271</v>
      </c>
      <c r="F335" s="10">
        <v>488500</v>
      </c>
      <c r="G335" t="s">
        <v>147</v>
      </c>
      <c r="H335" s="1">
        <v>1746</v>
      </c>
      <c r="J335">
        <v>2</v>
      </c>
      <c r="K335">
        <v>2.5</v>
      </c>
      <c r="M335" s="2" t="str">
        <f>HYPERLINK("http://www.windermere.com/index.cfm?fuseaction=Listing.MapPropertyInteractive&amp;ListingID=18825808&amp;resize=true&amp;windowWidth=800&amp;windowHeight=600","Map")</f>
        <v>Map</v>
      </c>
      <c r="O335" s="2" t="str">
        <f>HYPERLINK("http://www.windermere.com/index.cfm?fuseaction=viewGallery.Home&amp;customTourID=197399&amp;wvt=0","More")</f>
        <v>More</v>
      </c>
      <c r="AI335" t="s">
        <v>66</v>
      </c>
      <c r="AJ335">
        <v>98117</v>
      </c>
      <c r="AS335" t="s">
        <v>272</v>
      </c>
      <c r="AT335">
        <v>18825808</v>
      </c>
      <c r="AU335" s="12">
        <v>39495</v>
      </c>
      <c r="BB335" t="s">
        <v>911</v>
      </c>
      <c r="BC335" s="7">
        <v>39372</v>
      </c>
      <c r="BG335">
        <v>123</v>
      </c>
      <c r="BH335" s="17">
        <f t="shared" ca="1" si="5"/>
        <v>177</v>
      </c>
      <c r="BI335" s="17"/>
      <c r="BJ335" s="17"/>
    </row>
    <row r="336" spans="1:63" hidden="1">
      <c r="A336">
        <v>28002418</v>
      </c>
      <c r="B336" s="2" t="str">
        <f>HYPERLINK("http://www.windermere.com/index.cfm?fuseaction=Listing.ListingDetail&amp;ListingID=19161435","Active")</f>
        <v>Active</v>
      </c>
      <c r="C336">
        <v>705</v>
      </c>
      <c r="D336" t="s">
        <v>63</v>
      </c>
      <c r="E336" t="s">
        <v>237</v>
      </c>
      <c r="F336" s="10">
        <v>488888</v>
      </c>
      <c r="G336" t="s">
        <v>142</v>
      </c>
      <c r="H336" s="1">
        <v>1780</v>
      </c>
      <c r="I336">
        <v>4608</v>
      </c>
      <c r="J336">
        <v>3</v>
      </c>
      <c r="K336">
        <v>2</v>
      </c>
      <c r="M336" s="2" t="str">
        <f>HYPERLINK("http://www.windermere.com/index.cfm?fuseaction=Listing.MapPropertyInteractive&amp;ListingID=19161435&amp;resize=true&amp;windowWidth=800&amp;windowHeight=600","Map")</f>
        <v>Map</v>
      </c>
      <c r="N336" s="2" t="str">
        <f>HYPERLINK("http://locmedia.nwmls.com/DO_NOT_LINK/bigphoto/418/28002418.jpg?tsp=20080203093902","Photo")</f>
        <v>Photo</v>
      </c>
      <c r="O336" s="2" t="str">
        <f>HYPERLINK("http://www.windermere.com/index.cfm?fuseaction=Listing.MultiImageViewer&amp;ListingID=19161435&amp;ln=28002418&amp;pub_mls=1","More")</f>
        <v>More</v>
      </c>
      <c r="Q336" t="s">
        <v>45</v>
      </c>
      <c r="R336" t="s">
        <v>46</v>
      </c>
      <c r="S336" t="s">
        <v>106</v>
      </c>
      <c r="T336" t="s">
        <v>62</v>
      </c>
      <c r="U336" t="s">
        <v>44</v>
      </c>
      <c r="X336" t="s">
        <v>47</v>
      </c>
      <c r="Y336" t="s">
        <v>48</v>
      </c>
      <c r="Z336" t="s">
        <v>962</v>
      </c>
      <c r="AA336" t="s">
        <v>963</v>
      </c>
      <c r="AB336">
        <v>2007</v>
      </c>
      <c r="AC336">
        <v>2529</v>
      </c>
      <c r="AD336" t="s">
        <v>964</v>
      </c>
      <c r="AE336" t="s">
        <v>965</v>
      </c>
      <c r="AF336" t="s">
        <v>201</v>
      </c>
      <c r="AG336">
        <v>47.692819</v>
      </c>
      <c r="AH336">
        <v>-122.363113</v>
      </c>
      <c r="AI336" t="s">
        <v>66</v>
      </c>
      <c r="AJ336">
        <v>98117</v>
      </c>
      <c r="AK336" t="s">
        <v>41</v>
      </c>
      <c r="AL336">
        <v>12</v>
      </c>
      <c r="AM336" t="s">
        <v>40</v>
      </c>
      <c r="AO336">
        <v>0.106</v>
      </c>
      <c r="AP336" t="s">
        <v>966</v>
      </c>
      <c r="AQ336">
        <v>534</v>
      </c>
      <c r="AR336" t="s">
        <v>97</v>
      </c>
      <c r="AS336" t="s">
        <v>270</v>
      </c>
      <c r="AT336">
        <v>19161435</v>
      </c>
      <c r="AU336" s="12">
        <v>39495</v>
      </c>
      <c r="BA336" t="s">
        <v>911</v>
      </c>
      <c r="BB336" t="s">
        <v>911</v>
      </c>
      <c r="BC336" s="7">
        <v>39451</v>
      </c>
      <c r="BD336">
        <v>4</v>
      </c>
      <c r="BE336" t="s">
        <v>1342</v>
      </c>
      <c r="BF336" s="7">
        <v>39494</v>
      </c>
      <c r="BG336">
        <v>44</v>
      </c>
      <c r="BH336" s="17">
        <f t="shared" ca="1" si="5"/>
        <v>98</v>
      </c>
      <c r="BI336" s="17"/>
      <c r="BJ336" s="17"/>
    </row>
    <row r="337" spans="1:63" hidden="1">
      <c r="A337">
        <v>27199788</v>
      </c>
      <c r="B337" s="2" t="str">
        <f>HYPERLINK("http://www.windermere.com/index.cfm?fuseaction=Listing.ListingDetail&amp;ListingID=18940217","Active")</f>
        <v>Active</v>
      </c>
      <c r="D337" t="s">
        <v>100</v>
      </c>
      <c r="E337" t="s">
        <v>874</v>
      </c>
      <c r="F337" s="13">
        <v>479950</v>
      </c>
      <c r="G337" t="s">
        <v>147</v>
      </c>
      <c r="H337" s="1">
        <v>1586</v>
      </c>
      <c r="J337">
        <v>3</v>
      </c>
      <c r="K337">
        <v>2.25</v>
      </c>
      <c r="M337" s="2" t="str">
        <f>HYPERLINK("http://www.windermere.com/index.cfm?fuseaction=Listing.MapPropertyInteractive&amp;ListingID=18940217&amp;resize=true&amp;windowWidth=800&amp;windowHeight=600","Map")</f>
        <v>Map</v>
      </c>
      <c r="O337" s="2" t="str">
        <f>HYPERLINK("http://www.windermere.com/index.cfm?fuseaction=Listing.MultiImageViewer&amp;ListingID=18940217&amp;ln=27199788&amp;pub_mls=1","More")</f>
        <v>More</v>
      </c>
      <c r="P337" t="s">
        <v>44</v>
      </c>
      <c r="AI337" t="s">
        <v>66</v>
      </c>
      <c r="AJ337">
        <v>98103</v>
      </c>
      <c r="AS337" t="s">
        <v>875</v>
      </c>
      <c r="AT337">
        <v>18940217</v>
      </c>
      <c r="AU337" s="12">
        <v>39495</v>
      </c>
      <c r="BB337" t="s">
        <v>911</v>
      </c>
      <c r="BC337" s="7">
        <v>39395</v>
      </c>
      <c r="BG337">
        <v>100</v>
      </c>
      <c r="BH337" s="17">
        <f t="shared" ca="1" si="5"/>
        <v>154</v>
      </c>
      <c r="BI337" s="17"/>
      <c r="BJ337" s="17"/>
    </row>
    <row r="338" spans="1:63" hidden="1">
      <c r="A338">
        <v>28018983</v>
      </c>
      <c r="B338" s="2" t="str">
        <f>HYPERLINK("http://www.windermere.com/index.cfm?fuseaction=Listing.ListingDetail&amp;ListingID=19312722","Active")</f>
        <v>Active</v>
      </c>
      <c r="C338">
        <v>710</v>
      </c>
      <c r="D338" t="s">
        <v>192</v>
      </c>
      <c r="E338" t="s">
        <v>870</v>
      </c>
      <c r="F338" s="13">
        <v>474950</v>
      </c>
      <c r="G338" t="s">
        <v>227</v>
      </c>
      <c r="H338" s="1">
        <v>2400</v>
      </c>
      <c r="I338">
        <v>2980</v>
      </c>
      <c r="J338">
        <v>4</v>
      </c>
      <c r="K338">
        <v>1</v>
      </c>
      <c r="L338">
        <v>1</v>
      </c>
      <c r="M338" s="2" t="str">
        <f>HYPERLINK("http://www.windermere.com/index.cfm?fuseaction=Listing.MapPropertyInteractive&amp;ListingID=19312722&amp;resize=true&amp;windowWidth=800&amp;windowHeight=600","Map")</f>
        <v>Map</v>
      </c>
      <c r="N338" s="2" t="str">
        <f>HYPERLINK("http://locmedia.nwmls.com/DO_NOT_LINK/bigphoto/983/28018983.jpg?tsp=20080204214901","Photo")</f>
        <v>Photo</v>
      </c>
      <c r="O338" s="2" t="str">
        <f>HYPERLINK("http://www.windermere.com/index.cfm?fuseaction=Listing.MultiImageViewer&amp;ListingID=19312722&amp;ln=28018983&amp;pub_mls=1","More")</f>
        <v>More</v>
      </c>
      <c r="Q338" t="s">
        <v>56</v>
      </c>
      <c r="R338" t="s">
        <v>67</v>
      </c>
      <c r="S338" t="s">
        <v>53</v>
      </c>
      <c r="T338" t="s">
        <v>95</v>
      </c>
      <c r="U338" t="s">
        <v>44</v>
      </c>
      <c r="X338" t="s">
        <v>47</v>
      </c>
      <c r="Y338" t="s">
        <v>48</v>
      </c>
      <c r="Z338" t="s">
        <v>68</v>
      </c>
      <c r="AA338" t="s">
        <v>96</v>
      </c>
      <c r="AB338">
        <v>2007</v>
      </c>
      <c r="AC338">
        <v>2380</v>
      </c>
      <c r="AD338" t="s">
        <v>999</v>
      </c>
      <c r="AE338" t="s">
        <v>1000</v>
      </c>
      <c r="AF338" t="s">
        <v>115</v>
      </c>
      <c r="AG338">
        <v>47.684269999999998</v>
      </c>
      <c r="AH338">
        <v>-122.316231</v>
      </c>
      <c r="AI338" t="s">
        <v>66</v>
      </c>
      <c r="AJ338">
        <v>98115</v>
      </c>
      <c r="AK338" t="s">
        <v>41</v>
      </c>
      <c r="AL338">
        <v>8</v>
      </c>
      <c r="AM338" t="s">
        <v>40</v>
      </c>
      <c r="AO338">
        <v>6.8000000000000005E-2</v>
      </c>
      <c r="AP338" t="s">
        <v>1001</v>
      </c>
      <c r="AQ338">
        <v>535</v>
      </c>
      <c r="AR338" t="s">
        <v>222</v>
      </c>
      <c r="AS338" t="s">
        <v>871</v>
      </c>
      <c r="AT338">
        <v>19312722</v>
      </c>
      <c r="AU338" s="12">
        <v>39495</v>
      </c>
      <c r="BA338" t="s">
        <v>911</v>
      </c>
      <c r="BB338" t="s">
        <v>911</v>
      </c>
      <c r="BC338" s="7">
        <v>39479</v>
      </c>
      <c r="BG338">
        <v>16</v>
      </c>
      <c r="BH338" s="17">
        <f t="shared" ca="1" si="5"/>
        <v>70</v>
      </c>
      <c r="BI338" s="17"/>
      <c r="BJ338" s="17"/>
    </row>
    <row r="339" spans="1:63" hidden="1">
      <c r="A339">
        <v>28019152</v>
      </c>
      <c r="B339" s="2" t="str">
        <f>HYPERLINK("http://www.windermere.com/index.cfm?fuseaction=Listing.ListingDetail&amp;ListingID=19308244","Contingent")</f>
        <v>Contingent</v>
      </c>
      <c r="D339" t="s">
        <v>919</v>
      </c>
      <c r="E339" t="s">
        <v>872</v>
      </c>
      <c r="F339" s="10">
        <v>489000</v>
      </c>
      <c r="G339" t="s">
        <v>640</v>
      </c>
      <c r="H339" s="1">
        <v>1643</v>
      </c>
      <c r="J339">
        <v>2</v>
      </c>
      <c r="K339">
        <v>2.5</v>
      </c>
      <c r="M339" s="2" t="str">
        <f>HYPERLINK("http://www.windermere.com/index.cfm?fuseaction=Listing.MapPropertyInteractive&amp;ListingID=19308244&amp;resize=true&amp;windowWidth=800&amp;windowHeight=600","Map")</f>
        <v>Map</v>
      </c>
      <c r="O339" s="2" t="str">
        <f>HYPERLINK("http://www.windermere.com/index.cfm?fuseaction=Listing.MultiImageViewer&amp;ListingID=19308244&amp;ln=28019152&amp;pub_mls=1","More")</f>
        <v>More</v>
      </c>
      <c r="AI339" t="s">
        <v>66</v>
      </c>
      <c r="AJ339">
        <v>98133</v>
      </c>
      <c r="AS339" t="s">
        <v>873</v>
      </c>
      <c r="AT339">
        <v>19308244</v>
      </c>
      <c r="AU339" s="12">
        <v>39495</v>
      </c>
      <c r="BB339" t="s">
        <v>911</v>
      </c>
      <c r="BC339" s="7">
        <v>39479</v>
      </c>
      <c r="BG339">
        <v>16</v>
      </c>
      <c r="BH339" s="17">
        <f t="shared" ca="1" si="5"/>
        <v>70</v>
      </c>
      <c r="BI339" s="17"/>
      <c r="BJ339" s="17"/>
      <c r="BK339" t="str">
        <f>B339</f>
        <v>Contingent</v>
      </c>
    </row>
    <row r="340" spans="1:63" hidden="1">
      <c r="A340">
        <v>27205600</v>
      </c>
      <c r="B340" s="2" t="str">
        <f>HYPERLINK("http://www.windermere.com/index.cfm?fuseaction=Listing.ListingDetail&amp;ListingID=19013395","Active")</f>
        <v>Active</v>
      </c>
      <c r="D340" t="s">
        <v>99</v>
      </c>
      <c r="E340" t="s">
        <v>268</v>
      </c>
      <c r="F340" s="10">
        <v>489500</v>
      </c>
      <c r="G340" t="s">
        <v>138</v>
      </c>
      <c r="H340" s="1">
        <v>1980</v>
      </c>
      <c r="I340">
        <v>8538</v>
      </c>
      <c r="J340">
        <v>3</v>
      </c>
      <c r="K340">
        <v>2</v>
      </c>
      <c r="M340" s="2" t="str">
        <f>HYPERLINK("http://www.windermere.com/index.cfm?fuseaction=Listing.MapPropertyInteractive&amp;ListingID=19013395&amp;resize=true&amp;windowWidth=800&amp;windowHeight=600","Map")</f>
        <v>Map</v>
      </c>
      <c r="O340" s="2" t="str">
        <f>HYPERLINK("http://www.windermere.com/index.cfm?fuseaction=Listing.MultiImageViewer&amp;ListingID=19013395&amp;ln=27205600&amp;pub_mls=1","More")</f>
        <v>More</v>
      </c>
      <c r="P340" t="s">
        <v>44</v>
      </c>
      <c r="AI340" t="s">
        <v>66</v>
      </c>
      <c r="AJ340">
        <v>98117</v>
      </c>
      <c r="AS340" t="s">
        <v>269</v>
      </c>
      <c r="AT340">
        <v>19013395</v>
      </c>
      <c r="AU340" s="12">
        <v>39495</v>
      </c>
      <c r="BB340" t="s">
        <v>911</v>
      </c>
      <c r="BC340" s="7">
        <v>39412</v>
      </c>
      <c r="BG340">
        <v>83</v>
      </c>
      <c r="BH340" s="17">
        <f t="shared" ca="1" si="5"/>
        <v>137</v>
      </c>
      <c r="BI340" s="17"/>
      <c r="BJ340" s="17"/>
    </row>
    <row r="341" spans="1:63" hidden="1">
      <c r="A341">
        <v>28002334</v>
      </c>
      <c r="B341" s="2" t="str">
        <f>HYPERLINK("http://www.windermere.com/index.cfm?fuseaction=Listing.ListingDetail&amp;ListingID=19158681","Subject To Inspection")</f>
        <v>Subject To Inspection</v>
      </c>
      <c r="D341" t="s">
        <v>202</v>
      </c>
      <c r="E341" t="s">
        <v>220</v>
      </c>
      <c r="F341" s="10">
        <v>489950</v>
      </c>
      <c r="G341" t="s">
        <v>161</v>
      </c>
      <c r="H341" s="1">
        <v>2050</v>
      </c>
      <c r="I341">
        <v>7241</v>
      </c>
      <c r="J341">
        <v>3</v>
      </c>
      <c r="K341">
        <v>2</v>
      </c>
      <c r="M341" s="2" t="str">
        <f>HYPERLINK("http://www.windermere.com/index.cfm?fuseaction=Listing.MapPropertyInteractive&amp;ListingID=19158681&amp;resize=true&amp;windowWidth=800&amp;windowHeight=600","Map")</f>
        <v>Map</v>
      </c>
      <c r="O341" s="2" t="str">
        <f>HYPERLINK("http://www.windermere.com/index.cfm?fuseaction=Listing.MultiImageViewer&amp;ListingID=19158681&amp;ln=28002334&amp;pub_mls=1","More")</f>
        <v>More</v>
      </c>
      <c r="AI341" t="s">
        <v>66</v>
      </c>
      <c r="AJ341">
        <v>98125</v>
      </c>
      <c r="AS341" t="s">
        <v>876</v>
      </c>
      <c r="AT341">
        <v>19158681</v>
      </c>
      <c r="AU341" s="12">
        <v>39495</v>
      </c>
      <c r="BB341" t="s">
        <v>911</v>
      </c>
      <c r="BC341" s="7">
        <v>39451</v>
      </c>
      <c r="BG341">
        <v>44</v>
      </c>
      <c r="BH341" s="17">
        <f t="shared" ca="1" si="5"/>
        <v>98</v>
      </c>
      <c r="BI341" s="17"/>
      <c r="BJ341" s="17"/>
      <c r="BK341" t="str">
        <f>B341</f>
        <v>Subject To Inspection</v>
      </c>
    </row>
    <row r="342" spans="1:63" hidden="1">
      <c r="A342">
        <v>28010699</v>
      </c>
      <c r="B342" s="2" t="str">
        <f>HYPERLINK("http://www.windermere.com/index.cfm?fuseaction=Listing.ListingDetail&amp;ListingID=19241417","Active")</f>
        <v>Active</v>
      </c>
      <c r="D342" t="s">
        <v>88</v>
      </c>
      <c r="E342" t="s">
        <v>266</v>
      </c>
      <c r="F342" s="10">
        <v>489950</v>
      </c>
      <c r="G342" t="s">
        <v>159</v>
      </c>
      <c r="H342" s="1">
        <v>1900</v>
      </c>
      <c r="I342">
        <v>4000</v>
      </c>
      <c r="J342">
        <v>3</v>
      </c>
      <c r="K342">
        <v>1</v>
      </c>
      <c r="M342" s="2" t="str">
        <f>HYPERLINK("http://www.windermere.com/index.cfm?fuseaction=Listing.MapPropertyInteractive&amp;ListingID=19241417&amp;resize=true&amp;windowWidth=800&amp;windowHeight=600","Map")</f>
        <v>Map</v>
      </c>
      <c r="O342" s="2" t="str">
        <f>HYPERLINK("http://www.windermere.com/index.cfm?fuseaction=Listing.MultiImageViewer&amp;ListingID=19241417&amp;ln=28010699&amp;pub_mls=1","More")</f>
        <v>More</v>
      </c>
      <c r="P342" t="s">
        <v>44</v>
      </c>
      <c r="AI342" t="s">
        <v>66</v>
      </c>
      <c r="AJ342">
        <v>98117</v>
      </c>
      <c r="AS342" t="s">
        <v>267</v>
      </c>
      <c r="AT342">
        <v>19241417</v>
      </c>
      <c r="AU342" s="12">
        <v>39495</v>
      </c>
      <c r="BB342" t="s">
        <v>911</v>
      </c>
      <c r="BC342" s="7">
        <v>39464</v>
      </c>
      <c r="BG342">
        <v>31</v>
      </c>
      <c r="BH342" s="17">
        <f t="shared" ca="1" si="5"/>
        <v>85</v>
      </c>
      <c r="BI342" s="17"/>
      <c r="BJ342" s="17"/>
    </row>
    <row r="343" spans="1:63" hidden="1">
      <c r="A343">
        <v>27194132</v>
      </c>
      <c r="B343" s="2" t="str">
        <f>HYPERLINK("http://www.windermere.com/index.cfm?fuseaction=Listing.ListingDetail&amp;ListingID=18892187","Subject To Inspection")</f>
        <v>Subject To Inspection</v>
      </c>
      <c r="D343" t="s">
        <v>101</v>
      </c>
      <c r="E343" t="s">
        <v>264</v>
      </c>
      <c r="F343" s="10">
        <v>490000</v>
      </c>
      <c r="G343" t="s">
        <v>149</v>
      </c>
      <c r="H343">
        <v>850</v>
      </c>
      <c r="I343">
        <v>16117</v>
      </c>
      <c r="J343">
        <v>2</v>
      </c>
      <c r="K343">
        <v>1</v>
      </c>
      <c r="M343" s="2" t="str">
        <f>HYPERLINK("http://www.windermere.com/index.cfm?fuseaction=Listing.MapPropertyInteractive&amp;ListingID=18892187&amp;resize=true&amp;windowWidth=800&amp;windowHeight=600","Map")</f>
        <v>Map</v>
      </c>
      <c r="O343" s="2" t="str">
        <f>HYPERLINK("http://www.windermere.com/index.cfm?fuseaction=Listing.MultiImageViewer&amp;ListingID=18892187&amp;ln=27194132&amp;pub_mls=1","More")</f>
        <v>More</v>
      </c>
      <c r="AI343" t="s">
        <v>66</v>
      </c>
      <c r="AJ343">
        <v>98117</v>
      </c>
      <c r="AS343" t="s">
        <v>265</v>
      </c>
      <c r="AT343">
        <v>18892187</v>
      </c>
      <c r="AU343" s="12">
        <v>39495</v>
      </c>
      <c r="BB343" t="s">
        <v>911</v>
      </c>
      <c r="BC343" s="7">
        <v>39386</v>
      </c>
      <c r="BG343">
        <v>109</v>
      </c>
      <c r="BH343" s="17">
        <f t="shared" ca="1" si="5"/>
        <v>163</v>
      </c>
      <c r="BI343" s="17"/>
      <c r="BJ343" s="17"/>
      <c r="BK343" t="str">
        <f>B343</f>
        <v>Subject To Inspection</v>
      </c>
    </row>
    <row r="344" spans="1:63" hidden="1">
      <c r="A344">
        <v>27166657</v>
      </c>
      <c r="B344" s="2" t="str">
        <f>HYPERLINK("http://www.windermere.com/index.cfm?fuseaction=Listing.ListingDetail&amp;ListingID=18620816","Active")</f>
        <v>Active</v>
      </c>
      <c r="D344" t="s">
        <v>60</v>
      </c>
      <c r="E344" t="s">
        <v>878</v>
      </c>
      <c r="F344" s="10">
        <v>492500</v>
      </c>
      <c r="G344" t="s">
        <v>177</v>
      </c>
      <c r="H344" s="1">
        <v>1484</v>
      </c>
      <c r="I344">
        <v>3720</v>
      </c>
      <c r="J344">
        <v>2</v>
      </c>
      <c r="K344">
        <v>1.5</v>
      </c>
      <c r="M344" s="2" t="str">
        <f>HYPERLINK("http://www.windermere.com/index.cfm?fuseaction=Listing.MapPropertyInteractive&amp;ListingID=18620816&amp;resize=true&amp;windowWidth=800&amp;windowHeight=600","Map")</f>
        <v>Map</v>
      </c>
      <c r="O344" s="2" t="str">
        <f>HYPERLINK("http://www.windermere.com/index.cfm?fuseaction=Listing.MultiImageViewer&amp;ListingID=18620816&amp;ln=27166657&amp;pub_mls=1","More")</f>
        <v>More</v>
      </c>
      <c r="P344" t="s">
        <v>44</v>
      </c>
      <c r="AI344" t="s">
        <v>66</v>
      </c>
      <c r="AJ344">
        <v>98103</v>
      </c>
      <c r="AS344" t="s">
        <v>879</v>
      </c>
      <c r="AT344">
        <v>18620816</v>
      </c>
      <c r="AU344" s="12">
        <v>39495</v>
      </c>
      <c r="BB344" t="s">
        <v>911</v>
      </c>
      <c r="BC344" s="7">
        <v>39337</v>
      </c>
      <c r="BD344">
        <v>1</v>
      </c>
      <c r="BE344" s="6" t="s">
        <v>1332</v>
      </c>
      <c r="BG344">
        <v>158</v>
      </c>
      <c r="BH344" s="17">
        <f t="shared" ca="1" si="5"/>
        <v>212</v>
      </c>
      <c r="BI344" s="17"/>
      <c r="BJ344" s="17"/>
    </row>
    <row r="345" spans="1:63" hidden="1">
      <c r="A345">
        <v>28001598</v>
      </c>
      <c r="B345" s="2" t="str">
        <f>HYPERLINK("http://www.windermere.com/index.cfm?fuseaction=Listing.ListingDetail&amp;ListingID=19153177","Active")</f>
        <v>Active</v>
      </c>
      <c r="D345" t="s">
        <v>100</v>
      </c>
      <c r="E345" t="s">
        <v>880</v>
      </c>
      <c r="F345" s="10">
        <v>495000</v>
      </c>
      <c r="G345" t="s">
        <v>124</v>
      </c>
      <c r="H345" s="1">
        <v>1240</v>
      </c>
      <c r="I345">
        <v>4000</v>
      </c>
      <c r="J345">
        <v>2</v>
      </c>
      <c r="K345">
        <v>2</v>
      </c>
      <c r="M345" s="2" t="str">
        <f>HYPERLINK("http://www.windermere.com/index.cfm?fuseaction=Listing.MapPropertyInteractive&amp;ListingID=19153177&amp;resize=true&amp;windowWidth=800&amp;windowHeight=600","Map")</f>
        <v>Map</v>
      </c>
      <c r="AI345" t="s">
        <v>66</v>
      </c>
      <c r="AJ345">
        <v>98107</v>
      </c>
      <c r="AS345" t="s">
        <v>881</v>
      </c>
      <c r="AT345">
        <v>19153177</v>
      </c>
      <c r="AU345" s="12">
        <v>39495</v>
      </c>
      <c r="BB345" t="s">
        <v>911</v>
      </c>
      <c r="BC345" s="7">
        <v>39450</v>
      </c>
      <c r="BG345">
        <v>45</v>
      </c>
      <c r="BH345" s="17">
        <f t="shared" ca="1" si="5"/>
        <v>99</v>
      </c>
      <c r="BI345" s="17"/>
      <c r="BJ345" s="17"/>
    </row>
    <row r="346" spans="1:63" hidden="1">
      <c r="A346">
        <v>28003291</v>
      </c>
      <c r="B346" s="2" t="str">
        <f>HYPERLINK("http://www.windermere.com/index.cfm?fuseaction=Listing.ListingDetail&amp;ListingID=19168304","Active")</f>
        <v>Active</v>
      </c>
      <c r="D346" t="s">
        <v>192</v>
      </c>
      <c r="E346" t="s">
        <v>882</v>
      </c>
      <c r="F346" s="10">
        <v>495000</v>
      </c>
      <c r="G346" t="s">
        <v>146</v>
      </c>
      <c r="H346" s="1">
        <v>1260</v>
      </c>
      <c r="I346">
        <v>7250</v>
      </c>
      <c r="J346">
        <v>2</v>
      </c>
      <c r="K346">
        <v>1</v>
      </c>
      <c r="M346" s="2" t="str">
        <f>HYPERLINK("http://www.windermere.com/index.cfm?fuseaction=Listing.MapPropertyInteractive&amp;ListingID=19168304&amp;resize=true&amp;windowWidth=800&amp;windowHeight=600","Map")</f>
        <v>Map</v>
      </c>
      <c r="O346" s="2" t="str">
        <f>HYPERLINK("http://www.windermere.com/index.cfm?fuseaction=Listing.MultiImageViewer&amp;ListingID=19168304&amp;ln=28003291&amp;pub_mls=1","More")</f>
        <v>More</v>
      </c>
      <c r="P346" t="s">
        <v>44</v>
      </c>
      <c r="AI346" t="s">
        <v>66</v>
      </c>
      <c r="AJ346">
        <v>98115</v>
      </c>
      <c r="AS346" t="s">
        <v>883</v>
      </c>
      <c r="AT346">
        <v>19168304</v>
      </c>
      <c r="AU346" s="12">
        <v>39495</v>
      </c>
      <c r="BB346" t="s">
        <v>911</v>
      </c>
      <c r="BC346" s="7">
        <v>39452</v>
      </c>
      <c r="BG346">
        <v>43</v>
      </c>
      <c r="BH346" s="17">
        <f t="shared" ca="1" si="5"/>
        <v>97</v>
      </c>
      <c r="BI346" s="17"/>
      <c r="BJ346" s="17"/>
    </row>
    <row r="347" spans="1:63" hidden="1">
      <c r="A347">
        <v>28013425</v>
      </c>
      <c r="B347" s="2" t="str">
        <f>HYPERLINK("http://www.windermere.com/index.cfm?fuseaction=Listing.ListingDetail&amp;ListingID=19261684","Active")</f>
        <v>Active</v>
      </c>
      <c r="D347" t="s">
        <v>983</v>
      </c>
      <c r="E347" t="s">
        <v>1150</v>
      </c>
      <c r="F347" s="10">
        <v>495000</v>
      </c>
      <c r="G347" t="s">
        <v>157</v>
      </c>
      <c r="H347" s="1">
        <v>1140</v>
      </c>
      <c r="I347">
        <v>7200</v>
      </c>
      <c r="J347">
        <v>3</v>
      </c>
      <c r="K347">
        <v>1</v>
      </c>
      <c r="M347" s="2" t="str">
        <f>HYPERLINK("http://www.windermere.com/index.cfm?fuseaction=Listing.MapPropertyInteractive&amp;ListingID=19261684&amp;resize=true&amp;windowWidth=800&amp;windowHeight=600","Map")</f>
        <v>Map</v>
      </c>
      <c r="O347" s="2" t="str">
        <f>HYPERLINK("http://www.windermere.com/index.cfm?fuseaction=Listing.MultiImageViewer&amp;ListingID=19261684&amp;ln=28013425&amp;pub_mls=1","More")</f>
        <v>More</v>
      </c>
      <c r="AI347" t="s">
        <v>66</v>
      </c>
      <c r="AJ347">
        <v>98125</v>
      </c>
      <c r="AS347" t="s">
        <v>1151</v>
      </c>
      <c r="AT347">
        <v>19261684</v>
      </c>
      <c r="AU347" s="12">
        <v>39495</v>
      </c>
      <c r="BB347" t="s">
        <v>911</v>
      </c>
      <c r="BC347" s="7">
        <v>39469</v>
      </c>
      <c r="BG347">
        <v>26</v>
      </c>
      <c r="BH347" s="17">
        <f t="shared" ca="1" si="5"/>
        <v>80</v>
      </c>
      <c r="BI347" s="17"/>
      <c r="BJ347" s="17"/>
    </row>
    <row r="348" spans="1:63">
      <c r="A348">
        <v>28025807</v>
      </c>
      <c r="B348" s="2" t="str">
        <f>HYPERLINK("http://www.windermere.com/index.cfm?fuseaction=Listing.ListingDetail&amp;ListingID=19365411","Active")</f>
        <v>Active</v>
      </c>
      <c r="D348" t="s">
        <v>63</v>
      </c>
      <c r="E348" t="s">
        <v>262</v>
      </c>
      <c r="F348" s="13">
        <v>485000</v>
      </c>
      <c r="G348" t="s">
        <v>149</v>
      </c>
      <c r="H348" s="1">
        <v>2100</v>
      </c>
      <c r="I348">
        <v>4005</v>
      </c>
      <c r="J348">
        <v>3</v>
      </c>
      <c r="K348">
        <v>1</v>
      </c>
      <c r="M348" s="2" t="str">
        <f>HYPERLINK("http://www.windermere.com/index.cfm?fuseaction=Listing.MapPropertyInteractive&amp;ListingID=19365411&amp;resize=true&amp;windowWidth=800&amp;windowHeight=600","Map")</f>
        <v>Map</v>
      </c>
      <c r="O348" s="2" t="str">
        <f>HYPERLINK("http://www.windermere.com/index.cfm?fuseaction=Listing.MultiImageViewer&amp;ListingID=19365411&amp;ln=28025807&amp;pub_mls=1","More")</f>
        <v>More</v>
      </c>
      <c r="AI348" t="s">
        <v>66</v>
      </c>
      <c r="AJ348">
        <v>98117</v>
      </c>
      <c r="AS348" t="s">
        <v>263</v>
      </c>
      <c r="AT348">
        <v>19365411</v>
      </c>
      <c r="AU348" s="12">
        <v>39495</v>
      </c>
      <c r="BB348" t="s">
        <v>911</v>
      </c>
      <c r="BC348" s="7">
        <v>39491</v>
      </c>
      <c r="BD348" t="s">
        <v>1624</v>
      </c>
      <c r="BE348" t="s">
        <v>1627</v>
      </c>
      <c r="BF348" s="7">
        <v>39508</v>
      </c>
      <c r="BG348">
        <v>4</v>
      </c>
      <c r="BH348" s="17">
        <f t="shared" ca="1" si="5"/>
        <v>58</v>
      </c>
      <c r="BI348" s="17"/>
      <c r="BJ348" s="17"/>
    </row>
    <row r="349" spans="1:63" hidden="1">
      <c r="A349">
        <v>28027518</v>
      </c>
      <c r="B349" s="2" t="str">
        <f>HYPERLINK("http://www.windermere.com/index.cfm?fuseaction=Listing.ListingDetail&amp;ListingID=19377896","Active")</f>
        <v>Active</v>
      </c>
      <c r="D349" t="s">
        <v>63</v>
      </c>
      <c r="E349" t="s">
        <v>260</v>
      </c>
      <c r="F349" s="10">
        <v>495000</v>
      </c>
      <c r="G349" t="s">
        <v>246</v>
      </c>
      <c r="H349" s="1">
        <v>1670</v>
      </c>
      <c r="J349">
        <v>3</v>
      </c>
      <c r="K349">
        <v>3.5</v>
      </c>
      <c r="M349" s="2" t="str">
        <f>HYPERLINK("http://www.windermere.com/index.cfm?fuseaction=Listing.MapPropertyInteractive&amp;ListingID=19377896&amp;resize=true&amp;windowWidth=800&amp;windowHeight=600","Map")</f>
        <v>Map</v>
      </c>
      <c r="O349" s="2" t="str">
        <f>HYPERLINK("http://www.windermere.com/index.cfm?fuseaction=Listing.MultiImageViewer&amp;ListingID=19377896&amp;ln=28027518&amp;pub_mls=1","More")</f>
        <v>More</v>
      </c>
      <c r="P349" t="s">
        <v>44</v>
      </c>
      <c r="AI349" t="s">
        <v>66</v>
      </c>
      <c r="AJ349">
        <v>98117</v>
      </c>
      <c r="AS349" t="s">
        <v>261</v>
      </c>
      <c r="AT349">
        <v>19377896</v>
      </c>
      <c r="AU349" s="12">
        <v>39495</v>
      </c>
      <c r="BB349" t="s">
        <v>911</v>
      </c>
      <c r="BC349" s="7">
        <v>39493</v>
      </c>
      <c r="BG349">
        <v>2</v>
      </c>
      <c r="BH349" s="17">
        <f t="shared" ca="1" si="5"/>
        <v>56</v>
      </c>
      <c r="BI349" s="17"/>
      <c r="BJ349" s="17"/>
    </row>
    <row r="350" spans="1:63" hidden="1">
      <c r="A350">
        <v>27215393</v>
      </c>
      <c r="B350" s="15" t="str">
        <f>HYPERLINK("http://www.windermere.com/index.cfm?fuseaction=Listing.ListingDetail&amp;ListingID=19125238","Subject To Inspection")</f>
        <v>Subject To Inspection</v>
      </c>
      <c r="D350" t="s">
        <v>1023</v>
      </c>
      <c r="E350" t="s">
        <v>258</v>
      </c>
      <c r="F350" s="10">
        <v>498500</v>
      </c>
      <c r="G350" t="s">
        <v>124</v>
      </c>
      <c r="H350" s="1">
        <v>2460</v>
      </c>
      <c r="J350">
        <v>3</v>
      </c>
      <c r="K350">
        <v>1.75</v>
      </c>
      <c r="M350" s="2" t="str">
        <f>HYPERLINK("http://www.windermere.com/index.cfm?fuseaction=Listing.MapPropertyInteractive&amp;ListingID=19125238&amp;resize=true&amp;windowWidth=800&amp;windowHeight=600","Map")</f>
        <v>Map</v>
      </c>
      <c r="O350" s="2" t="str">
        <f>HYPERLINK("http://www.windermere.com/index.cfm?fuseaction=Listing.MultiImageViewer&amp;ListingID=19125238&amp;ln=27215393&amp;pub_mls=1","More")</f>
        <v>More</v>
      </c>
      <c r="P350" t="s">
        <v>44</v>
      </c>
      <c r="AI350" t="s">
        <v>66</v>
      </c>
      <c r="AJ350">
        <v>98117</v>
      </c>
      <c r="AS350" t="s">
        <v>259</v>
      </c>
      <c r="AT350">
        <v>19125238</v>
      </c>
      <c r="AU350" s="12">
        <v>39495</v>
      </c>
      <c r="BB350" t="s">
        <v>911</v>
      </c>
      <c r="BC350" s="7">
        <v>39439</v>
      </c>
      <c r="BG350">
        <v>56</v>
      </c>
      <c r="BH350" s="17">
        <f t="shared" ca="1" si="5"/>
        <v>110</v>
      </c>
      <c r="BI350" s="17"/>
      <c r="BJ350" s="17"/>
    </row>
    <row r="351" spans="1:63" hidden="1">
      <c r="A351">
        <v>27173714</v>
      </c>
      <c r="B351" s="2" t="str">
        <f>HYPERLINK("http://www.windermere.com/index.cfm?fuseaction=Listing.ListingDetail&amp;ListingID=19153814","Active")</f>
        <v>Active</v>
      </c>
      <c r="D351" t="s">
        <v>60</v>
      </c>
      <c r="E351" t="s">
        <v>884</v>
      </c>
      <c r="F351" s="10">
        <v>499000</v>
      </c>
      <c r="G351" t="s">
        <v>156</v>
      </c>
      <c r="H351" s="1">
        <v>1860</v>
      </c>
      <c r="I351">
        <v>4340</v>
      </c>
      <c r="J351">
        <v>2</v>
      </c>
      <c r="K351">
        <v>1.75</v>
      </c>
      <c r="M351" s="2" t="str">
        <f>HYPERLINK("http://www.windermere.com/index.cfm?fuseaction=Listing.MapPropertyInteractive&amp;ListingID=19153814&amp;resize=true&amp;windowWidth=800&amp;windowHeight=600","Map")</f>
        <v>Map</v>
      </c>
      <c r="O351" s="2" t="str">
        <f>HYPERLINK("http://www.windermere.com/index.cfm?fuseaction=Listing.MultiImageViewer&amp;ListingID=19153814&amp;ln=27173714&amp;pub_mls=1","More")</f>
        <v>More</v>
      </c>
      <c r="AI351" t="s">
        <v>66</v>
      </c>
      <c r="AJ351">
        <v>98103</v>
      </c>
      <c r="AS351" t="s">
        <v>885</v>
      </c>
      <c r="AT351">
        <v>19153814</v>
      </c>
      <c r="AU351" s="12">
        <v>39495</v>
      </c>
      <c r="BB351" t="s">
        <v>911</v>
      </c>
      <c r="BC351" s="7">
        <v>39347</v>
      </c>
      <c r="BG351">
        <v>148</v>
      </c>
      <c r="BH351" s="17">
        <f t="shared" ca="1" si="5"/>
        <v>202</v>
      </c>
      <c r="BI351" s="17"/>
      <c r="BJ351" s="17"/>
    </row>
    <row r="352" spans="1:63" hidden="1">
      <c r="A352">
        <v>28001855</v>
      </c>
      <c r="B352" s="2" t="str">
        <f>HYPERLINK("http://www.windermere.com/index.cfm?fuseaction=Listing.ListingDetail&amp;ListingID=19154776","Active")</f>
        <v>Active</v>
      </c>
      <c r="D352" t="s">
        <v>63</v>
      </c>
      <c r="E352" t="s">
        <v>886</v>
      </c>
      <c r="F352" s="13">
        <v>475000</v>
      </c>
      <c r="G352" t="s">
        <v>378</v>
      </c>
      <c r="H352" s="1">
        <v>1890</v>
      </c>
      <c r="I352">
        <v>5000</v>
      </c>
      <c r="J352">
        <v>3</v>
      </c>
      <c r="K352">
        <v>1.75</v>
      </c>
      <c r="M352" s="2" t="str">
        <f>HYPERLINK("http://www.windermere.com/index.cfm?fuseaction=Listing.MapPropertyInteractive&amp;ListingID=19154776&amp;resize=true&amp;windowWidth=800&amp;windowHeight=600","Map")</f>
        <v>Map</v>
      </c>
      <c r="O352" s="2" t="str">
        <f>HYPERLINK("http://www.windermere.com/index.cfm?fuseaction=Listing.MultiImageViewer&amp;ListingID=19154776&amp;ln=28001855&amp;pub_mls=1","More")</f>
        <v>More</v>
      </c>
      <c r="AI352" t="s">
        <v>66</v>
      </c>
      <c r="AJ352">
        <v>98107</v>
      </c>
      <c r="AS352" t="s">
        <v>887</v>
      </c>
      <c r="AT352">
        <v>19154776</v>
      </c>
      <c r="AU352" s="12">
        <v>39495</v>
      </c>
      <c r="BB352" t="s">
        <v>911</v>
      </c>
      <c r="BC352" s="7">
        <v>39450</v>
      </c>
      <c r="BG352">
        <v>45</v>
      </c>
      <c r="BH352" s="17">
        <f t="shared" ca="1" si="5"/>
        <v>99</v>
      </c>
      <c r="BI352" s="17"/>
      <c r="BJ352" s="17"/>
    </row>
    <row r="353" spans="1:62" hidden="1">
      <c r="A353">
        <v>28021107</v>
      </c>
      <c r="B353" s="15" t="str">
        <f>HYPERLINK("http://www.windermere.com/index.cfm?fuseaction=Listing.ListingDetail&amp;ListingID=19350736","Subject To Inspection")</f>
        <v>Subject To Inspection</v>
      </c>
      <c r="D353" t="s">
        <v>1152</v>
      </c>
      <c r="E353" t="s">
        <v>1153</v>
      </c>
      <c r="F353" s="10">
        <v>499000</v>
      </c>
      <c r="G353" t="s">
        <v>124</v>
      </c>
      <c r="H353" s="1">
        <v>2120</v>
      </c>
      <c r="I353">
        <v>5000</v>
      </c>
      <c r="J353">
        <v>3</v>
      </c>
      <c r="K353">
        <v>1.75</v>
      </c>
      <c r="M353" s="2" t="str">
        <f>HYPERLINK("http://www.windermere.com/index.cfm?fuseaction=Listing.MapPropertyInteractive&amp;ListingID=19350736&amp;resize=true&amp;windowWidth=800&amp;windowHeight=600","Map")</f>
        <v>Map</v>
      </c>
      <c r="O353" s="2" t="str">
        <f>HYPERLINK("http://www.windermere.com/index.cfm?fuseaction=Listing.MultiImageViewer&amp;ListingID=19350736&amp;ln=28021107&amp;pub_mls=1","More")</f>
        <v>More</v>
      </c>
      <c r="AI353" t="s">
        <v>66</v>
      </c>
      <c r="AJ353">
        <v>98115</v>
      </c>
      <c r="AS353" t="s">
        <v>1154</v>
      </c>
      <c r="AT353">
        <v>19350736</v>
      </c>
      <c r="AU353" s="12">
        <v>39495</v>
      </c>
      <c r="BB353" t="s">
        <v>911</v>
      </c>
      <c r="BC353" s="7">
        <v>39489</v>
      </c>
      <c r="BD353">
        <v>3</v>
      </c>
      <c r="BE353" t="s">
        <v>1343</v>
      </c>
      <c r="BF353" s="7">
        <v>39494</v>
      </c>
      <c r="BG353">
        <v>6</v>
      </c>
      <c r="BH353" s="17">
        <f t="shared" ca="1" si="5"/>
        <v>60</v>
      </c>
      <c r="BI353" s="17"/>
      <c r="BJ353" s="17"/>
    </row>
    <row r="354" spans="1:62" hidden="1">
      <c r="A354">
        <v>28027687</v>
      </c>
      <c r="B354" s="2" t="str">
        <f>HYPERLINK("http://www.windermere.com/index.cfm?fuseaction=Listing.ListingDetail&amp;ListingID=19381434","Active")</f>
        <v>Active</v>
      </c>
      <c r="D354" t="s">
        <v>100</v>
      </c>
      <c r="E354" t="s">
        <v>888</v>
      </c>
      <c r="F354" s="10">
        <v>499000</v>
      </c>
      <c r="G354" t="s">
        <v>135</v>
      </c>
      <c r="H354" s="1">
        <v>2390</v>
      </c>
      <c r="I354">
        <v>3600</v>
      </c>
      <c r="J354">
        <v>5</v>
      </c>
      <c r="K354">
        <v>2.5</v>
      </c>
      <c r="M354" s="2" t="str">
        <f>HYPERLINK("http://www.windermere.com/index.cfm?fuseaction=Listing.MapPropertyInteractive&amp;ListingID=19381434&amp;resize=true&amp;windowWidth=800&amp;windowHeight=600","Map")</f>
        <v>Map</v>
      </c>
      <c r="O354" s="2" t="str">
        <f>HYPERLINK("http://www.windermere.com/index.cfm?fuseaction=Listing.MultiImageViewer&amp;ListingID=19381434&amp;ln=28027687&amp;pub_mls=1","More")</f>
        <v>More</v>
      </c>
      <c r="P354" t="s">
        <v>44</v>
      </c>
      <c r="AI354" t="s">
        <v>66</v>
      </c>
      <c r="AJ354">
        <v>98103</v>
      </c>
      <c r="AS354" t="s">
        <v>889</v>
      </c>
      <c r="AT354">
        <v>19381434</v>
      </c>
      <c r="AU354" s="12">
        <v>39495</v>
      </c>
      <c r="BB354" t="s">
        <v>911</v>
      </c>
      <c r="BC354" s="7">
        <v>39494</v>
      </c>
      <c r="BG354">
        <v>1</v>
      </c>
      <c r="BH354" s="17">
        <f t="shared" ca="1" si="5"/>
        <v>55</v>
      </c>
      <c r="BI354" s="17"/>
      <c r="BJ354" s="17"/>
    </row>
    <row r="355" spans="1:62" hidden="1">
      <c r="A355">
        <v>27199728</v>
      </c>
      <c r="B355" s="15" t="str">
        <f>HYPERLINK("http://www.windermere.com/index.cfm?fuseaction=Listing.ListingDetail&amp;ListingID=18941377","Subject To Inspection")</f>
        <v>Subject To Inspection</v>
      </c>
      <c r="D355" t="s">
        <v>109</v>
      </c>
      <c r="E355" t="s">
        <v>890</v>
      </c>
      <c r="F355" s="10">
        <v>499900</v>
      </c>
      <c r="G355" t="s">
        <v>255</v>
      </c>
      <c r="H355" s="1">
        <v>1450</v>
      </c>
      <c r="J355">
        <v>3</v>
      </c>
      <c r="K355">
        <v>3.25</v>
      </c>
      <c r="M355" s="2" t="str">
        <f>HYPERLINK("http://www.windermere.com/index.cfm?fuseaction=Listing.MapPropertyInteractive&amp;ListingID=18941377&amp;resize=true&amp;windowWidth=800&amp;windowHeight=600","Map")</f>
        <v>Map</v>
      </c>
      <c r="O355" s="2" t="str">
        <f>HYPERLINK("http://www.windermere.com/index.cfm?fuseaction=Listing.MultiImageViewer&amp;ListingID=18941377&amp;ln=27199728&amp;pub_mls=1","More")</f>
        <v>More</v>
      </c>
      <c r="P355" t="s">
        <v>44</v>
      </c>
      <c r="AI355" t="s">
        <v>66</v>
      </c>
      <c r="AJ355">
        <v>98103</v>
      </c>
      <c r="AS355" t="s">
        <v>891</v>
      </c>
      <c r="AT355">
        <v>18941377</v>
      </c>
      <c r="AU355" s="12">
        <v>39495</v>
      </c>
      <c r="BB355" t="s">
        <v>911</v>
      </c>
      <c r="BC355" s="7">
        <v>39395</v>
      </c>
      <c r="BD355">
        <v>0</v>
      </c>
      <c r="BE355" t="s">
        <v>1326</v>
      </c>
      <c r="BG355">
        <v>100</v>
      </c>
      <c r="BH355" s="17">
        <f t="shared" ca="1" si="5"/>
        <v>154</v>
      </c>
      <c r="BI355" s="17"/>
      <c r="BJ355" s="17"/>
    </row>
    <row r="356" spans="1:62" hidden="1">
      <c r="A356">
        <v>27167787</v>
      </c>
      <c r="B356" s="2" t="str">
        <f>HYPERLINK("http://www.windermere.com/index.cfm?fuseaction=Listing.ListingDetail&amp;ListingID=18632922","Active")</f>
        <v>Active</v>
      </c>
      <c r="D356" t="s">
        <v>60</v>
      </c>
      <c r="E356" t="s">
        <v>904</v>
      </c>
      <c r="F356" s="10">
        <v>499950</v>
      </c>
      <c r="G356" t="s">
        <v>215</v>
      </c>
      <c r="H356" s="1">
        <v>2240</v>
      </c>
      <c r="I356">
        <v>3821</v>
      </c>
      <c r="J356">
        <v>4</v>
      </c>
      <c r="K356">
        <v>2.75</v>
      </c>
      <c r="M356" s="2" t="str">
        <f>HYPERLINK("http://www.windermere.com/index.cfm?fuseaction=Listing.MapPropertyInteractive&amp;ListingID=18632922&amp;resize=true&amp;windowWidth=800&amp;windowHeight=600","Map")</f>
        <v>Map</v>
      </c>
      <c r="O356" s="2" t="str">
        <f>HYPERLINK("http://www.windermere.com/index.cfm?fuseaction=viewGallery.Home&amp;customTourID=193954&amp;wvt=0","More")</f>
        <v>More</v>
      </c>
      <c r="P356" t="s">
        <v>44</v>
      </c>
      <c r="AI356" t="s">
        <v>66</v>
      </c>
      <c r="AJ356">
        <v>98103</v>
      </c>
      <c r="AS356" t="s">
        <v>905</v>
      </c>
      <c r="AT356">
        <v>18632922</v>
      </c>
      <c r="AU356" s="12">
        <v>39495</v>
      </c>
      <c r="BB356" t="s">
        <v>911</v>
      </c>
      <c r="BC356" s="7">
        <v>39338</v>
      </c>
      <c r="BG356">
        <v>157</v>
      </c>
      <c r="BH356" s="17">
        <f t="shared" ca="1" si="5"/>
        <v>211</v>
      </c>
      <c r="BI356" s="17"/>
      <c r="BJ356" s="17"/>
    </row>
    <row r="357" spans="1:62" hidden="1">
      <c r="A357">
        <v>27176949</v>
      </c>
      <c r="B357" s="2" t="str">
        <f>HYPERLINK("http://www.windermere.com/index.cfm?fuseaction=Listing.ListingDetail&amp;ListingID=18734876","Active")</f>
        <v>Active</v>
      </c>
      <c r="D357" t="s">
        <v>188</v>
      </c>
      <c r="E357" t="s">
        <v>223</v>
      </c>
      <c r="F357" s="10">
        <v>499950</v>
      </c>
      <c r="G357" t="s">
        <v>162</v>
      </c>
      <c r="H357" s="1">
        <v>1230</v>
      </c>
      <c r="I357">
        <v>8774</v>
      </c>
      <c r="J357">
        <v>3</v>
      </c>
      <c r="K357">
        <v>1</v>
      </c>
      <c r="M357" s="2" t="str">
        <f>HYPERLINK("http://www.windermere.com/index.cfm?fuseaction=Listing.MapPropertyInteractive&amp;ListingID=18734876&amp;resize=true&amp;windowWidth=800&amp;windowHeight=600","Map")</f>
        <v>Map</v>
      </c>
      <c r="O357" s="2" t="str">
        <f>HYPERLINK("http://www.windermere.com/index.cfm?fuseaction=viewGallery.Home&amp;customTourID=105948&amp;wvt=0","More")</f>
        <v>More</v>
      </c>
      <c r="AI357" t="s">
        <v>66</v>
      </c>
      <c r="AJ357">
        <v>98125</v>
      </c>
      <c r="AS357" t="s">
        <v>1157</v>
      </c>
      <c r="AT357">
        <v>18734876</v>
      </c>
      <c r="AU357" s="12">
        <v>39495</v>
      </c>
      <c r="BB357" t="s">
        <v>911</v>
      </c>
      <c r="BC357" s="7">
        <v>39354</v>
      </c>
      <c r="BG357">
        <v>141</v>
      </c>
      <c r="BH357" s="17">
        <f t="shared" ca="1" si="5"/>
        <v>195</v>
      </c>
      <c r="BI357" s="17"/>
      <c r="BJ357" s="17"/>
    </row>
    <row r="358" spans="1:62" hidden="1">
      <c r="A358">
        <v>27183015</v>
      </c>
      <c r="B358" s="2" t="str">
        <f>HYPERLINK("http://www.windermere.com/index.cfm?fuseaction=Listing.ListingDetail&amp;ListingID=18803463","Active")</f>
        <v>Active</v>
      </c>
      <c r="D358" t="s">
        <v>188</v>
      </c>
      <c r="E358" t="s">
        <v>906</v>
      </c>
      <c r="F358" s="10">
        <v>499950</v>
      </c>
      <c r="G358" t="s">
        <v>247</v>
      </c>
      <c r="H358" s="1">
        <v>2460</v>
      </c>
      <c r="I358">
        <v>7216</v>
      </c>
      <c r="J358">
        <v>5</v>
      </c>
      <c r="K358">
        <v>2.5</v>
      </c>
      <c r="M358" s="2" t="str">
        <f>HYPERLINK("http://www.windermere.com/index.cfm?fuseaction=Listing.MapPropertyInteractive&amp;ListingID=18803463&amp;resize=true&amp;windowWidth=800&amp;windowHeight=600","Map")</f>
        <v>Map</v>
      </c>
      <c r="O358" s="2" t="str">
        <f>HYPERLINK("http://www.windermere.com/index.cfm?fuseaction=Listing.MultiImageViewer&amp;ListingID=18803463&amp;ln=27183015&amp;pub_mls=1","More")</f>
        <v>More</v>
      </c>
      <c r="AI358" t="s">
        <v>66</v>
      </c>
      <c r="AJ358">
        <v>98125</v>
      </c>
      <c r="AS358" t="s">
        <v>907</v>
      </c>
      <c r="AT358">
        <v>18803463</v>
      </c>
      <c r="AU358" s="12">
        <v>39495</v>
      </c>
      <c r="BB358" t="s">
        <v>911</v>
      </c>
      <c r="BC358" s="7">
        <v>39367</v>
      </c>
      <c r="BG358">
        <v>128</v>
      </c>
      <c r="BH358" s="17">
        <f t="shared" ca="1" si="5"/>
        <v>182</v>
      </c>
      <c r="BI358" s="17"/>
      <c r="BJ358" s="17"/>
    </row>
    <row r="359" spans="1:62" hidden="1">
      <c r="A359">
        <v>28008220</v>
      </c>
      <c r="B359" s="2" t="str">
        <f>HYPERLINK("http://www.windermere.com/index.cfm?fuseaction=Listing.ListingDetail&amp;ListingID=19219494","Active")</f>
        <v>Active</v>
      </c>
      <c r="D359" t="s">
        <v>55</v>
      </c>
      <c r="E359" t="s">
        <v>256</v>
      </c>
      <c r="F359" s="10">
        <v>499950</v>
      </c>
      <c r="G359" t="s">
        <v>129</v>
      </c>
      <c r="H359" s="1">
        <v>1180</v>
      </c>
      <c r="I359">
        <v>4700</v>
      </c>
      <c r="J359">
        <v>3</v>
      </c>
      <c r="K359">
        <v>1.5</v>
      </c>
      <c r="M359" s="2" t="str">
        <f>HYPERLINK("http://www.windermere.com/index.cfm?fuseaction=Listing.MapPropertyInteractive&amp;ListingID=19219494&amp;resize=true&amp;windowWidth=800&amp;windowHeight=600","Map")</f>
        <v>Map</v>
      </c>
      <c r="O359" s="2" t="str">
        <f>HYPERLINK("http://www.windermere.com/index.cfm?fuseaction=Listing.MultiImageViewer&amp;ListingID=19219494&amp;ln=28008220&amp;pub_mls=1","More")</f>
        <v>More</v>
      </c>
      <c r="AI359" t="s">
        <v>66</v>
      </c>
      <c r="AJ359">
        <v>98117</v>
      </c>
      <c r="AS359" t="s">
        <v>257</v>
      </c>
      <c r="AT359">
        <v>19219494</v>
      </c>
      <c r="AU359" s="12">
        <v>39495</v>
      </c>
      <c r="BB359" t="s">
        <v>911</v>
      </c>
      <c r="BC359" s="7">
        <v>39460</v>
      </c>
      <c r="BG359">
        <v>35</v>
      </c>
      <c r="BH359" s="17">
        <f t="shared" ca="1" si="5"/>
        <v>89</v>
      </c>
      <c r="BI359" s="17"/>
      <c r="BJ359" s="17"/>
    </row>
    <row r="360" spans="1:62" hidden="1">
      <c r="A360">
        <v>28014004</v>
      </c>
      <c r="B360" s="2" t="str">
        <f>HYPERLINK("http://www.windermere.com/index.cfm?fuseaction=Listing.ListingDetail&amp;ListingID=19265101","Active")</f>
        <v>Active</v>
      </c>
      <c r="D360" t="s">
        <v>226</v>
      </c>
      <c r="E360" t="s">
        <v>900</v>
      </c>
      <c r="F360" s="13">
        <v>489950</v>
      </c>
      <c r="G360" t="s">
        <v>246</v>
      </c>
      <c r="H360" s="1">
        <v>1545</v>
      </c>
      <c r="J360">
        <v>3</v>
      </c>
      <c r="K360">
        <v>2.5</v>
      </c>
      <c r="M360" s="2" t="str">
        <f>HYPERLINK("http://www.windermere.com/index.cfm?fuseaction=Listing.MapPropertyInteractive&amp;ListingID=19265101&amp;resize=true&amp;windowWidth=800&amp;windowHeight=600","Map")</f>
        <v>Map</v>
      </c>
      <c r="O360" s="2" t="str">
        <f>HYPERLINK("http://www.windermere.com/index.cfm?fuseaction=Listing.MultiImageViewer&amp;ListingID=19265101&amp;ln=28014004&amp;pub_mls=1","More")</f>
        <v>More</v>
      </c>
      <c r="P360" t="s">
        <v>44</v>
      </c>
      <c r="AI360" t="s">
        <v>66</v>
      </c>
      <c r="AJ360">
        <v>98105</v>
      </c>
      <c r="AS360" t="s">
        <v>901</v>
      </c>
      <c r="AT360">
        <v>19265101</v>
      </c>
      <c r="AU360" s="12">
        <v>39495</v>
      </c>
      <c r="BB360" t="s">
        <v>911</v>
      </c>
      <c r="BC360" s="7">
        <v>39470</v>
      </c>
      <c r="BG360">
        <v>25</v>
      </c>
      <c r="BH360" s="17">
        <f t="shared" ca="1" si="5"/>
        <v>79</v>
      </c>
      <c r="BI360" s="17"/>
      <c r="BJ360" s="17"/>
    </row>
    <row r="361" spans="1:62" hidden="1">
      <c r="A361">
        <v>28014006</v>
      </c>
      <c r="B361" s="2" t="str">
        <f>HYPERLINK("http://www.windermere.com/index.cfm?fuseaction=Listing.ListingDetail&amp;ListingID=19265102","Active")</f>
        <v>Active</v>
      </c>
      <c r="D361" t="s">
        <v>226</v>
      </c>
      <c r="E361" t="s">
        <v>898</v>
      </c>
      <c r="F361" s="13">
        <v>474995</v>
      </c>
      <c r="G361" t="s">
        <v>246</v>
      </c>
      <c r="H361" s="1">
        <v>1545</v>
      </c>
      <c r="J361">
        <v>3</v>
      </c>
      <c r="K361">
        <v>2.5</v>
      </c>
      <c r="M361" s="2" t="str">
        <f>HYPERLINK("http://www.windermere.com/index.cfm?fuseaction=Listing.MapPropertyInteractive&amp;ListingID=19265102&amp;resize=true&amp;windowWidth=800&amp;windowHeight=600","Map")</f>
        <v>Map</v>
      </c>
      <c r="O361" s="2" t="str">
        <f>HYPERLINK("http://www.windermere.com/index.cfm?fuseaction=Listing.MultiImageViewer&amp;ListingID=19265102&amp;ln=28014006&amp;pub_mls=1","More")</f>
        <v>More</v>
      </c>
      <c r="P361" t="s">
        <v>44</v>
      </c>
      <c r="AI361" t="s">
        <v>66</v>
      </c>
      <c r="AJ361">
        <v>98105</v>
      </c>
      <c r="AS361" t="s">
        <v>899</v>
      </c>
      <c r="AT361">
        <v>19265102</v>
      </c>
      <c r="AU361" s="12">
        <v>39495</v>
      </c>
      <c r="BB361" t="s">
        <v>911</v>
      </c>
      <c r="BC361" s="7">
        <v>39470</v>
      </c>
      <c r="BG361">
        <v>25</v>
      </c>
      <c r="BH361" s="17">
        <f t="shared" ca="1" si="5"/>
        <v>79</v>
      </c>
      <c r="BI361" s="17"/>
      <c r="BJ361" s="17"/>
    </row>
    <row r="362" spans="1:62" hidden="1">
      <c r="A362">
        <v>28020407</v>
      </c>
      <c r="B362" s="2" t="str">
        <f>HYPERLINK("http://www.windermere.com/index.cfm?fuseaction=Listing.ListingDetail&amp;ListingID=19318148","Active")</f>
        <v>Active</v>
      </c>
      <c r="D362" t="s">
        <v>213</v>
      </c>
      <c r="E362" t="s">
        <v>1155</v>
      </c>
      <c r="F362" s="10">
        <v>499950</v>
      </c>
      <c r="G362" t="s">
        <v>877</v>
      </c>
      <c r="H362" s="1">
        <v>1780</v>
      </c>
      <c r="I362">
        <v>5051</v>
      </c>
      <c r="J362">
        <v>3</v>
      </c>
      <c r="K362">
        <v>2</v>
      </c>
      <c r="M362" s="2" t="str">
        <f>HYPERLINK("http://www.windermere.com/index.cfm?fuseaction=Listing.MapPropertyInteractive&amp;ListingID=19318148&amp;resize=true&amp;windowWidth=800&amp;windowHeight=600","Map")</f>
        <v>Map</v>
      </c>
      <c r="O362" s="2" t="str">
        <f>HYPERLINK("http://www.windermere.com/index.cfm?fuseaction=Listing.MultiImageViewer&amp;ListingID=19318148&amp;ln=28020407&amp;pub_mls=1","More")</f>
        <v>More</v>
      </c>
      <c r="P362" t="s">
        <v>44</v>
      </c>
      <c r="AI362" t="s">
        <v>66</v>
      </c>
      <c r="AJ362">
        <v>98125</v>
      </c>
      <c r="AS362" t="s">
        <v>1156</v>
      </c>
      <c r="AT362">
        <v>19318148</v>
      </c>
      <c r="AU362" s="12">
        <v>39495</v>
      </c>
      <c r="BB362" t="s">
        <v>911</v>
      </c>
      <c r="BC362" s="7">
        <v>39481</v>
      </c>
      <c r="BG362">
        <v>14</v>
      </c>
      <c r="BH362" s="17">
        <f t="shared" ca="1" si="5"/>
        <v>68</v>
      </c>
      <c r="BI362" s="17"/>
      <c r="BJ362" s="17"/>
    </row>
    <row r="363" spans="1:62">
      <c r="A363">
        <v>28022663</v>
      </c>
      <c r="B363" s="2" t="str">
        <f>HYPERLINK("http://www.windermere.com/index.cfm?fuseaction=Listing.ListingDetail&amp;ListingID=19336224","Active")</f>
        <v>Active</v>
      </c>
      <c r="D363" t="s">
        <v>194</v>
      </c>
      <c r="E363" t="s">
        <v>1158</v>
      </c>
      <c r="F363" s="10">
        <v>499950</v>
      </c>
      <c r="G363" t="s">
        <v>730</v>
      </c>
      <c r="H363" s="1">
        <v>1400</v>
      </c>
      <c r="I363">
        <v>6120</v>
      </c>
      <c r="J363">
        <v>2</v>
      </c>
      <c r="K363">
        <v>2</v>
      </c>
      <c r="M363" s="2" t="str">
        <f>HYPERLINK("http://www.windermere.com/index.cfm?fuseaction=Listing.MapPropertyInteractive&amp;ListingID=19336224&amp;resize=true&amp;windowWidth=800&amp;windowHeight=600","Map")</f>
        <v>Map</v>
      </c>
      <c r="O363" s="2" t="str">
        <f>HYPERLINK("http://www.windermere.com/index.cfm?fuseaction=viewGallery.Home&amp;customTourID=206977&amp;wvt=0","More")</f>
        <v>More</v>
      </c>
      <c r="P363" t="s">
        <v>44</v>
      </c>
      <c r="AI363" t="s">
        <v>66</v>
      </c>
      <c r="AJ363">
        <v>98115</v>
      </c>
      <c r="AS363" t="s">
        <v>1159</v>
      </c>
      <c r="AT363">
        <v>19336224</v>
      </c>
      <c r="AU363" s="12">
        <v>39495</v>
      </c>
      <c r="BB363" t="s">
        <v>911</v>
      </c>
      <c r="BC363" s="7">
        <v>39485</v>
      </c>
      <c r="BD363" t="s">
        <v>1620</v>
      </c>
      <c r="BE363" t="s">
        <v>1619</v>
      </c>
      <c r="BF363" s="7">
        <v>39508</v>
      </c>
      <c r="BG363">
        <v>10</v>
      </c>
      <c r="BH363" s="17">
        <f t="shared" ca="1" si="5"/>
        <v>64</v>
      </c>
      <c r="BI363" s="17"/>
      <c r="BJ363" s="17"/>
    </row>
    <row r="364" spans="1:62" hidden="1">
      <c r="A364">
        <v>28023001</v>
      </c>
      <c r="B364" s="4" t="str">
        <f>HYPERLINK("http://www.windermere.com/index.cfm?fuseaction=Listing.ListingDetail&amp;ListingID=19336980","Subject To Inspection")</f>
        <v>Subject To Inspection</v>
      </c>
      <c r="D364" t="s">
        <v>100</v>
      </c>
      <c r="E364" t="s">
        <v>892</v>
      </c>
      <c r="F364" s="10">
        <v>499950</v>
      </c>
      <c r="G364" t="s">
        <v>246</v>
      </c>
      <c r="J364">
        <v>3</v>
      </c>
      <c r="K364">
        <v>2.25</v>
      </c>
      <c r="M364" s="2" t="str">
        <f>HYPERLINK("http://www.windermere.com/index.cfm?fuseaction=Listing.MapPropertyInteractive&amp;ListingID=19336980&amp;resize=true&amp;windowWidth=800&amp;windowHeight=600","Map")</f>
        <v>Map</v>
      </c>
      <c r="O364" s="2" t="str">
        <f>HYPERLINK("http://www.windermere.com/index.cfm?fuseaction=viewGallery.Home&amp;customTourID=198344&amp;wvt=0","More")</f>
        <v>More</v>
      </c>
      <c r="AI364" t="s">
        <v>66</v>
      </c>
      <c r="AJ364">
        <v>98103</v>
      </c>
      <c r="AS364" t="s">
        <v>893</v>
      </c>
      <c r="AT364">
        <v>19336980</v>
      </c>
      <c r="AU364" s="12">
        <v>39495</v>
      </c>
      <c r="BB364" t="s">
        <v>911</v>
      </c>
      <c r="BC364" s="7">
        <v>39485</v>
      </c>
      <c r="BG364">
        <v>10</v>
      </c>
      <c r="BH364" s="17">
        <f t="shared" ca="1" si="5"/>
        <v>64</v>
      </c>
      <c r="BI364" s="17"/>
      <c r="BJ364" s="17"/>
    </row>
    <row r="365" spans="1:62" hidden="1">
      <c r="A365">
        <v>28024790</v>
      </c>
      <c r="B365" s="2" t="str">
        <f>HYPERLINK("http://www.windermere.com/index.cfm?fuseaction=Listing.ListingDetail&amp;ListingID=19376679","Active")</f>
        <v>Active</v>
      </c>
      <c r="D365" t="s">
        <v>70</v>
      </c>
      <c r="E365" t="s">
        <v>902</v>
      </c>
      <c r="F365" s="10">
        <v>499950</v>
      </c>
      <c r="G365" t="s">
        <v>135</v>
      </c>
      <c r="H365" s="1">
        <v>2120</v>
      </c>
      <c r="I365">
        <v>6700</v>
      </c>
      <c r="J365">
        <v>3</v>
      </c>
      <c r="K365">
        <v>1.5</v>
      </c>
      <c r="M365" s="2" t="str">
        <f>HYPERLINK("http://www.windermere.com/index.cfm?fuseaction=Listing.MapPropertyInteractive&amp;ListingID=19376679&amp;resize=true&amp;windowWidth=800&amp;windowHeight=600","Map")</f>
        <v>Map</v>
      </c>
      <c r="O365" s="2" t="str">
        <f>HYPERLINK("http://www.windermere.com/index.cfm?fuseaction=viewGallery.Home&amp;customTourID=207709&amp;wvt=0","More")</f>
        <v>More</v>
      </c>
      <c r="AI365" t="s">
        <v>66</v>
      </c>
      <c r="AJ365">
        <v>98103</v>
      </c>
      <c r="AS365" t="s">
        <v>903</v>
      </c>
      <c r="AT365">
        <v>19376679</v>
      </c>
      <c r="AU365" s="12">
        <v>39495</v>
      </c>
      <c r="BB365" t="s">
        <v>911</v>
      </c>
      <c r="BC365" s="7">
        <v>39493</v>
      </c>
      <c r="BG365">
        <v>2</v>
      </c>
      <c r="BH365" s="17">
        <f t="shared" ca="1" si="5"/>
        <v>56</v>
      </c>
      <c r="BI365" s="17"/>
      <c r="BJ365" s="17"/>
    </row>
    <row r="366" spans="1:62" hidden="1">
      <c r="A366">
        <v>28027231</v>
      </c>
      <c r="B366" s="2" t="str">
        <f>HYPERLINK("http://www.windermere.com/index.cfm?fuseaction=Listing.ListingDetail&amp;ListingID=19371419","Active")</f>
        <v>Active</v>
      </c>
      <c r="D366" t="s">
        <v>100</v>
      </c>
      <c r="E366" t="s">
        <v>894</v>
      </c>
      <c r="F366" s="10">
        <v>499950</v>
      </c>
      <c r="G366" t="s">
        <v>147</v>
      </c>
      <c r="H366" s="1">
        <v>1470</v>
      </c>
      <c r="J366">
        <v>3</v>
      </c>
      <c r="K366">
        <v>2.5</v>
      </c>
      <c r="M366" s="2" t="str">
        <f>HYPERLINK("http://www.windermere.com/index.cfm?fuseaction=Listing.MapPropertyInteractive&amp;ListingID=19371419&amp;resize=true&amp;windowWidth=800&amp;windowHeight=600","Map")</f>
        <v>Map</v>
      </c>
      <c r="O366" s="2" t="str">
        <f>HYPERLINK("http://www.windermere.com/index.cfm?fuseaction=Listing.MultiImageViewer&amp;ListingID=19371419&amp;ln=28027231&amp;pub_mls=1","More")</f>
        <v>More</v>
      </c>
      <c r="AI366" t="s">
        <v>66</v>
      </c>
      <c r="AJ366">
        <v>98103</v>
      </c>
      <c r="AS366" t="s">
        <v>895</v>
      </c>
      <c r="AT366">
        <v>19371419</v>
      </c>
      <c r="AU366" s="12">
        <v>39495</v>
      </c>
      <c r="BB366" t="s">
        <v>911</v>
      </c>
      <c r="BC366" s="7">
        <v>39492</v>
      </c>
      <c r="BG366">
        <v>3</v>
      </c>
      <c r="BH366" s="17">
        <f t="shared" ca="1" si="5"/>
        <v>57</v>
      </c>
      <c r="BI366" s="17"/>
      <c r="BJ366" s="17"/>
    </row>
    <row r="367" spans="1:62" hidden="1">
      <c r="A367">
        <v>28027236</v>
      </c>
      <c r="B367" s="2" t="str">
        <f>HYPERLINK("http://www.windermere.com/index.cfm?fuseaction=Listing.ListingDetail&amp;ListingID=19371420","Active")</f>
        <v>Active</v>
      </c>
      <c r="D367" t="s">
        <v>100</v>
      </c>
      <c r="E367" t="s">
        <v>896</v>
      </c>
      <c r="F367" s="10">
        <v>499950</v>
      </c>
      <c r="G367" t="s">
        <v>147</v>
      </c>
      <c r="H367" s="1">
        <v>1470</v>
      </c>
      <c r="J367">
        <v>3</v>
      </c>
      <c r="K367">
        <v>2.5</v>
      </c>
      <c r="M367" s="2" t="str">
        <f>HYPERLINK("http://www.windermere.com/index.cfm?fuseaction=Listing.MapPropertyInteractive&amp;ListingID=19371420&amp;resize=true&amp;windowWidth=800&amp;windowHeight=600","Map")</f>
        <v>Map</v>
      </c>
      <c r="O367" s="2" t="str">
        <f>HYPERLINK("http://www.windermere.com/index.cfm?fuseaction=Listing.MultiImageViewer&amp;ListingID=19371420&amp;ln=28027236&amp;pub_mls=1","More")</f>
        <v>More</v>
      </c>
      <c r="AI367" t="s">
        <v>66</v>
      </c>
      <c r="AJ367">
        <v>98103</v>
      </c>
      <c r="AS367" t="s">
        <v>897</v>
      </c>
      <c r="AT367">
        <v>19371420</v>
      </c>
      <c r="AU367" s="12">
        <v>39495</v>
      </c>
      <c r="BB367" t="s">
        <v>911</v>
      </c>
      <c r="BC367" s="7">
        <v>39492</v>
      </c>
      <c r="BG367">
        <v>3</v>
      </c>
      <c r="BH367" s="17">
        <f t="shared" ca="1" si="5"/>
        <v>57</v>
      </c>
      <c r="BI367" s="17"/>
      <c r="BJ367" s="17"/>
    </row>
    <row r="368" spans="1:62" hidden="1">
      <c r="A368">
        <v>27159537</v>
      </c>
      <c r="B368" s="2" t="str">
        <f>HYPERLINK("http://www.windermere.com/index.cfm?fuseaction=Listing.ListingDetail&amp;ListingID=18548242","Active")</f>
        <v>Active</v>
      </c>
      <c r="D368" t="s">
        <v>60</v>
      </c>
      <c r="E368" t="s">
        <v>175</v>
      </c>
      <c r="F368" s="10">
        <v>499999</v>
      </c>
      <c r="G368" t="s">
        <v>135</v>
      </c>
      <c r="H368" s="1">
        <v>1460</v>
      </c>
      <c r="I368">
        <v>3060</v>
      </c>
      <c r="J368">
        <v>3</v>
      </c>
      <c r="K368">
        <v>1.75</v>
      </c>
      <c r="M368" s="2" t="str">
        <f>HYPERLINK("http://www.windermere.com/index.cfm?fuseaction=Listing.MapPropertyInteractive&amp;ListingID=18548242&amp;resize=true&amp;windowWidth=800&amp;windowHeight=600","Map")</f>
        <v>Map</v>
      </c>
      <c r="O368" s="2" t="str">
        <f>HYPERLINK("http://www.windermere.com/index.cfm?fuseaction=Listing.MultiImageViewer&amp;ListingID=18548242&amp;ln=27159537&amp;pub_mls=1","More")</f>
        <v>More</v>
      </c>
      <c r="P368" t="s">
        <v>44</v>
      </c>
      <c r="AI368" t="s">
        <v>66</v>
      </c>
      <c r="AJ368">
        <v>98105</v>
      </c>
      <c r="AS368" t="s">
        <v>908</v>
      </c>
      <c r="AT368">
        <v>18548242</v>
      </c>
      <c r="AU368" s="12">
        <v>39495</v>
      </c>
      <c r="BB368" t="s">
        <v>911</v>
      </c>
      <c r="BC368" s="7">
        <v>39325</v>
      </c>
      <c r="BD368">
        <v>1</v>
      </c>
      <c r="BE368" s="6" t="s">
        <v>1323</v>
      </c>
      <c r="BG368">
        <v>170</v>
      </c>
      <c r="BH368" s="17">
        <f t="shared" ca="1" si="5"/>
        <v>224</v>
      </c>
      <c r="BI368" s="17"/>
      <c r="BJ368" s="17"/>
    </row>
    <row r="369" spans="1:63" hidden="1">
      <c r="A369">
        <v>27185399</v>
      </c>
      <c r="B369" s="2" t="str">
        <f>HYPERLINK("http://www.windermere.com/index.cfm?fuseaction=Listing.ListingDetail&amp;ListingID=18801515","Active")</f>
        <v>Active</v>
      </c>
      <c r="D369" t="s">
        <v>55</v>
      </c>
      <c r="E369" t="s">
        <v>253</v>
      </c>
      <c r="F369" s="13">
        <v>500000</v>
      </c>
      <c r="G369" t="s">
        <v>176</v>
      </c>
      <c r="H369" s="1">
        <v>1800</v>
      </c>
      <c r="I369">
        <v>4600</v>
      </c>
      <c r="J369">
        <v>4</v>
      </c>
      <c r="K369">
        <v>1.75</v>
      </c>
      <c r="M369" s="2" t="str">
        <f>HYPERLINK("http://www.windermere.com/index.cfm?fuseaction=Listing.MapPropertyInteractive&amp;ListingID=18801515&amp;resize=true&amp;windowWidth=800&amp;windowHeight=600","Map")</f>
        <v>Map</v>
      </c>
      <c r="O369" s="2" t="str">
        <f>HYPERLINK("http://www.windermere.com/index.cfm?fuseaction=Listing.MultiImageViewer&amp;ListingID=18801515&amp;ln=27185399&amp;pub_mls=1","More")</f>
        <v>More</v>
      </c>
      <c r="AI369" t="s">
        <v>66</v>
      </c>
      <c r="AJ369">
        <v>98117</v>
      </c>
      <c r="AS369" t="s">
        <v>254</v>
      </c>
      <c r="AT369">
        <v>18801515</v>
      </c>
      <c r="AU369" s="12">
        <v>39495</v>
      </c>
      <c r="BB369" t="s">
        <v>911</v>
      </c>
      <c r="BC369" s="7">
        <v>39367</v>
      </c>
      <c r="BG369">
        <v>128</v>
      </c>
      <c r="BH369" s="17">
        <f t="shared" ca="1" si="5"/>
        <v>182</v>
      </c>
      <c r="BI369" s="17"/>
      <c r="BJ369" s="17"/>
    </row>
    <row r="370" spans="1:63" hidden="1">
      <c r="A370">
        <v>27192377</v>
      </c>
      <c r="B370" s="2" t="str">
        <f>HYPERLINK("http://www.windermere.com/index.cfm?fuseaction=Listing.ListingDetail&amp;ListingID=18868122","Active")</f>
        <v>Active</v>
      </c>
      <c r="D370" t="s">
        <v>55</v>
      </c>
      <c r="E370" t="s">
        <v>250</v>
      </c>
      <c r="F370" s="10">
        <v>500000</v>
      </c>
      <c r="G370" t="s">
        <v>251</v>
      </c>
      <c r="H370" s="1">
        <v>2400</v>
      </c>
      <c r="J370">
        <v>3</v>
      </c>
      <c r="K370">
        <v>2.5</v>
      </c>
      <c r="M370" s="2" t="str">
        <f>HYPERLINK("http://www.windermere.com/index.cfm?fuseaction=Listing.MapPropertyInteractive&amp;ListingID=18868122&amp;resize=true&amp;windowWidth=800&amp;windowHeight=600","Map")</f>
        <v>Map</v>
      </c>
      <c r="O370" s="2" t="str">
        <f>HYPERLINK("http://www.windermere.com/index.cfm?fuseaction=Listing.MultiImageViewer&amp;ListingID=18868122&amp;ln=27192377&amp;pub_mls=1","More")</f>
        <v>More</v>
      </c>
      <c r="AI370" t="s">
        <v>66</v>
      </c>
      <c r="AJ370">
        <v>98117</v>
      </c>
      <c r="AS370" t="s">
        <v>252</v>
      </c>
      <c r="AT370">
        <v>18868122</v>
      </c>
      <c r="AU370" s="12">
        <v>39495</v>
      </c>
      <c r="BB370" t="s">
        <v>911</v>
      </c>
      <c r="BC370" s="7">
        <v>39381</v>
      </c>
      <c r="BG370">
        <v>114</v>
      </c>
      <c r="BH370" s="17">
        <f t="shared" ca="1" si="5"/>
        <v>168</v>
      </c>
      <c r="BI370" s="17"/>
      <c r="BJ370" s="17"/>
    </row>
    <row r="371" spans="1:63" hidden="1">
      <c r="A371">
        <v>28011273</v>
      </c>
      <c r="B371" s="2" t="str">
        <f>HYPERLINK("http://www.windermere.com/index.cfm?fuseaction=Listing.ListingDetail&amp;ListingID=19242886","Active")</f>
        <v>Active</v>
      </c>
      <c r="D371" t="s">
        <v>1022</v>
      </c>
      <c r="E371" t="s">
        <v>248</v>
      </c>
      <c r="F371" s="10">
        <v>500000</v>
      </c>
      <c r="G371" t="s">
        <v>159</v>
      </c>
      <c r="H371" s="1">
        <v>2300</v>
      </c>
      <c r="I371">
        <v>4200</v>
      </c>
      <c r="J371">
        <v>4</v>
      </c>
      <c r="K371">
        <v>1.5</v>
      </c>
      <c r="M371" s="2" t="str">
        <f>HYPERLINK("http://www.windermere.com/index.cfm?fuseaction=Listing.MapPropertyInteractive&amp;ListingID=19242886&amp;resize=true&amp;windowWidth=800&amp;windowHeight=600","Map")</f>
        <v>Map</v>
      </c>
      <c r="O371" s="2" t="str">
        <f>HYPERLINK("http://www.windermere.com/index.cfm?fuseaction=Listing.MultiImageViewer&amp;ListingID=19242886&amp;ln=28011273&amp;pub_mls=1","More")</f>
        <v>More</v>
      </c>
      <c r="AI371" t="s">
        <v>66</v>
      </c>
      <c r="AJ371">
        <v>98117</v>
      </c>
      <c r="AS371" t="s">
        <v>249</v>
      </c>
      <c r="AT371">
        <v>19242886</v>
      </c>
      <c r="AU371" s="12">
        <v>39495</v>
      </c>
      <c r="BB371" t="s">
        <v>911</v>
      </c>
      <c r="BC371" s="7">
        <v>39465</v>
      </c>
      <c r="BG371">
        <v>30</v>
      </c>
      <c r="BH371" s="17">
        <f t="shared" ca="1" si="5"/>
        <v>84</v>
      </c>
      <c r="BI371" s="17"/>
      <c r="BJ371" s="17"/>
    </row>
    <row r="372" spans="1:63" hidden="1">
      <c r="A372">
        <v>28027350</v>
      </c>
      <c r="B372" s="2" t="str">
        <f>HYPERLINK("http://www.windermere.com/index.cfm?fuseaction=Listing.ListingDetail&amp;ListingID=19378561","Active")</f>
        <v>Active</v>
      </c>
      <c r="D372" t="s">
        <v>100</v>
      </c>
      <c r="E372" s="3" t="s">
        <v>1370</v>
      </c>
      <c r="F372" s="10">
        <v>500000</v>
      </c>
      <c r="G372" t="s">
        <v>439</v>
      </c>
      <c r="H372" s="1">
        <v>1780</v>
      </c>
      <c r="I372">
        <v>4800</v>
      </c>
      <c r="J372">
        <v>3</v>
      </c>
      <c r="K372">
        <v>1</v>
      </c>
      <c r="M372" s="2" t="str">
        <f>HYPERLINK("http://www.windermere.com/index.cfm?fuseaction=Listing.MapPropertyInteractive&amp;ListingID=19378561&amp;resize=true&amp;windowWidth=800&amp;windowHeight=600","Map")</f>
        <v>Map</v>
      </c>
      <c r="O372" s="2" t="str">
        <f>HYPERLINK("http://www.windermere.com/index.cfm?fuseaction=Listing.MultiImageViewer&amp;ListingID=19378561&amp;ln=28027350&amp;pub_mls=1","More")</f>
        <v>More</v>
      </c>
      <c r="P372" t="s">
        <v>44</v>
      </c>
      <c r="AI372" t="s">
        <v>66</v>
      </c>
      <c r="AJ372">
        <v>98103</v>
      </c>
      <c r="AS372" t="s">
        <v>909</v>
      </c>
      <c r="AT372">
        <v>19378561</v>
      </c>
      <c r="AU372" s="12">
        <v>39495</v>
      </c>
      <c r="BB372" t="s">
        <v>911</v>
      </c>
      <c r="BC372" s="7">
        <v>39493</v>
      </c>
      <c r="BG372">
        <v>2</v>
      </c>
      <c r="BH372" s="17">
        <f t="shared" ca="1" si="5"/>
        <v>56</v>
      </c>
      <c r="BI372" s="17"/>
      <c r="BJ372" s="17"/>
    </row>
    <row r="373" spans="1:63" hidden="1">
      <c r="A373">
        <v>27182712</v>
      </c>
      <c r="B373" s="2" t="str">
        <f>HYPERLINK("http://www.windermere.com/index.cfm?fuseaction=Listing.ListingDetail&amp;ListingID=18779676","Active")</f>
        <v>Active</v>
      </c>
      <c r="D373" t="s">
        <v>66</v>
      </c>
      <c r="E373" t="s">
        <v>1162</v>
      </c>
      <c r="F373" s="10">
        <v>509000</v>
      </c>
      <c r="G373" t="s">
        <v>137</v>
      </c>
      <c r="H373" s="1">
        <v>2340</v>
      </c>
      <c r="I373">
        <v>8820</v>
      </c>
      <c r="J373">
        <v>4</v>
      </c>
      <c r="K373">
        <v>1.75</v>
      </c>
      <c r="M373" s="2" t="str">
        <f>HYPERLINK("http://www.windermere.com/index.cfm?fuseaction=Listing.MapPropertyInteractive&amp;ListingID=18779676&amp;resize=true&amp;windowWidth=800&amp;windowHeight=600","Map")</f>
        <v>Map</v>
      </c>
      <c r="AI373" t="s">
        <v>66</v>
      </c>
      <c r="AJ373">
        <v>98117</v>
      </c>
      <c r="AS373" t="s">
        <v>1163</v>
      </c>
      <c r="AT373">
        <v>18779676</v>
      </c>
      <c r="AU373" s="12">
        <v>39495</v>
      </c>
      <c r="BB373" t="s">
        <v>911</v>
      </c>
      <c r="BC373" s="7">
        <v>39363</v>
      </c>
      <c r="BG373">
        <v>132</v>
      </c>
      <c r="BH373" s="17">
        <f t="shared" ca="1" si="5"/>
        <v>186</v>
      </c>
      <c r="BI373" s="17"/>
      <c r="BJ373" s="17"/>
    </row>
    <row r="374" spans="1:63" hidden="1">
      <c r="A374">
        <v>28013361</v>
      </c>
      <c r="B374" s="2" t="str">
        <f>HYPERLINK("http://www.windermere.com/index.cfm?fuseaction=Listing.ListingDetail&amp;ListingID=19264293","Subject To Inspection")</f>
        <v>Subject To Inspection</v>
      </c>
      <c r="D374" t="s">
        <v>1164</v>
      </c>
      <c r="E374" t="s">
        <v>1165</v>
      </c>
      <c r="F374" s="10">
        <v>524900</v>
      </c>
      <c r="G374" t="s">
        <v>164</v>
      </c>
      <c r="H374" s="1">
        <v>2320</v>
      </c>
      <c r="I374">
        <v>5100</v>
      </c>
      <c r="J374">
        <v>2</v>
      </c>
      <c r="K374">
        <v>2</v>
      </c>
      <c r="M374" s="2" t="str">
        <f>HYPERLINK("http://www.windermere.com/index.cfm?fuseaction=Listing.MapPropertyInteractive&amp;ListingID=19264293&amp;resize=true&amp;windowWidth=800&amp;windowHeight=600","Map")</f>
        <v>Map</v>
      </c>
      <c r="O374" s="2" t="str">
        <f>HYPERLINK("http://www.windermere.com/index.cfm?fuseaction=viewGallery.Home&amp;customTourID=205329&amp;wvt=0","More")</f>
        <v>More</v>
      </c>
      <c r="AI374" t="s">
        <v>66</v>
      </c>
      <c r="AJ374">
        <v>98117</v>
      </c>
      <c r="AS374" t="s">
        <v>1166</v>
      </c>
      <c r="AT374">
        <v>19264293</v>
      </c>
      <c r="AU374" s="12">
        <v>39495</v>
      </c>
      <c r="BB374" t="s">
        <v>911</v>
      </c>
      <c r="BC374" s="7">
        <v>39469</v>
      </c>
      <c r="BG374">
        <v>26</v>
      </c>
      <c r="BH374" s="17">
        <f t="shared" ca="1" si="5"/>
        <v>80</v>
      </c>
      <c r="BI374" s="17"/>
      <c r="BJ374" s="17"/>
      <c r="BK374" t="str">
        <f>B374</f>
        <v>Subject To Inspection</v>
      </c>
    </row>
    <row r="375" spans="1:63" hidden="1">
      <c r="A375">
        <v>28016773</v>
      </c>
      <c r="B375" s="2" t="str">
        <f>HYPERLINK("http://www.windermere.com/index.cfm?fuseaction=Listing.ListingDetail&amp;ListingID=19296030","Active")</f>
        <v>Active</v>
      </c>
      <c r="D375" t="s">
        <v>63</v>
      </c>
      <c r="E375" t="s">
        <v>1167</v>
      </c>
      <c r="F375" s="10">
        <v>524924</v>
      </c>
      <c r="G375" t="s">
        <v>140</v>
      </c>
      <c r="H375" s="1">
        <v>1520</v>
      </c>
      <c r="I375">
        <v>3750</v>
      </c>
      <c r="J375">
        <v>3</v>
      </c>
      <c r="K375">
        <v>1.75</v>
      </c>
      <c r="M375" s="2" t="str">
        <f>HYPERLINK("http://www.windermere.com/index.cfm?fuseaction=Listing.MapPropertyInteractive&amp;ListingID=19296030&amp;resize=true&amp;windowWidth=800&amp;windowHeight=600","Map")</f>
        <v>Map</v>
      </c>
      <c r="O375" s="2" t="str">
        <f>HYPERLINK("http://www.windermere.com/index.cfm?fuseaction=viewGallery.Home&amp;customTourID=205928&amp;wvt=0","More")</f>
        <v>More</v>
      </c>
      <c r="P375" t="s">
        <v>44</v>
      </c>
      <c r="AI375" t="s">
        <v>66</v>
      </c>
      <c r="AJ375">
        <v>98117</v>
      </c>
      <c r="AS375" t="s">
        <v>1168</v>
      </c>
      <c r="AT375">
        <v>19296030</v>
      </c>
      <c r="AU375" s="12">
        <v>39495</v>
      </c>
      <c r="BB375" t="s">
        <v>911</v>
      </c>
      <c r="BC375" s="7">
        <v>39478</v>
      </c>
      <c r="BG375">
        <v>17</v>
      </c>
      <c r="BH375" s="17">
        <f t="shared" ca="1" si="5"/>
        <v>71</v>
      </c>
      <c r="BI375" s="17"/>
      <c r="BJ375" s="17"/>
    </row>
    <row r="376" spans="1:63" hidden="1">
      <c r="A376">
        <v>28008105</v>
      </c>
      <c r="B376" s="2" t="str">
        <f>HYPERLINK("http://www.windermere.com/index.cfm?fuseaction=Listing.ListingDetail&amp;ListingID=19219049","Active")</f>
        <v>Active</v>
      </c>
      <c r="D376" t="s">
        <v>78</v>
      </c>
      <c r="E376" t="s">
        <v>1169</v>
      </c>
      <c r="F376" s="10">
        <v>524950</v>
      </c>
      <c r="G376" t="s">
        <v>146</v>
      </c>
      <c r="H376" s="1">
        <v>1540</v>
      </c>
      <c r="I376">
        <v>3880</v>
      </c>
      <c r="J376">
        <v>4</v>
      </c>
      <c r="K376">
        <v>2</v>
      </c>
      <c r="M376" s="2" t="str">
        <f>HYPERLINK("http://www.windermere.com/index.cfm?fuseaction=Listing.MapPropertyInteractive&amp;ListingID=19219049&amp;resize=true&amp;windowWidth=800&amp;windowHeight=600","Map")</f>
        <v>Map</v>
      </c>
      <c r="O376" s="2" t="str">
        <f>HYPERLINK("http://www.windermere.com/index.cfm?fuseaction=Listing.MultiImageViewer&amp;ListingID=19219049&amp;ln=28008105&amp;pub_mls=1","More")</f>
        <v>More</v>
      </c>
      <c r="P376" t="s">
        <v>44</v>
      </c>
      <c r="AI376" t="s">
        <v>66</v>
      </c>
      <c r="AJ376">
        <v>98117</v>
      </c>
      <c r="AS376" t="s">
        <v>1170</v>
      </c>
      <c r="AT376">
        <v>19219049</v>
      </c>
      <c r="AU376" s="12">
        <v>39495</v>
      </c>
      <c r="BB376" t="s">
        <v>911</v>
      </c>
      <c r="BC376" s="7">
        <v>39460</v>
      </c>
      <c r="BG376">
        <v>35</v>
      </c>
      <c r="BH376" s="17">
        <f t="shared" ca="1" si="5"/>
        <v>89</v>
      </c>
      <c r="BI376" s="17"/>
      <c r="BJ376" s="17"/>
    </row>
    <row r="377" spans="1:63" hidden="1">
      <c r="A377">
        <v>27049642</v>
      </c>
      <c r="B377" s="2" t="str">
        <f>HYPERLINK("http://www.windermere.com/index.cfm?fuseaction=Listing.ListingDetail&amp;ListingID=19326308","Active")</f>
        <v>Active</v>
      </c>
      <c r="D377" t="s">
        <v>63</v>
      </c>
      <c r="E377" t="s">
        <v>1171</v>
      </c>
      <c r="F377" s="10">
        <v>525000</v>
      </c>
      <c r="G377" t="s">
        <v>151</v>
      </c>
      <c r="H377" s="1">
        <v>3000</v>
      </c>
      <c r="I377">
        <v>4230</v>
      </c>
      <c r="J377">
        <v>5</v>
      </c>
      <c r="K377">
        <v>1.5</v>
      </c>
      <c r="M377" s="2" t="str">
        <f>HYPERLINK("http://www.windermere.com/index.cfm?fuseaction=Listing.MapPropertyInteractive&amp;ListingID=19326308&amp;resize=true&amp;windowWidth=800&amp;windowHeight=600","Map")</f>
        <v>Map</v>
      </c>
      <c r="O377" s="2" t="str">
        <f>HYPERLINK("http://www.windermere.com/index.cfm?fuseaction=Listing.MultiImageViewer&amp;ListingID=19326308&amp;ln=27049642&amp;pub_mls=1","More")</f>
        <v>More</v>
      </c>
      <c r="P377" t="s">
        <v>44</v>
      </c>
      <c r="AI377" t="s">
        <v>66</v>
      </c>
      <c r="AJ377">
        <v>98117</v>
      </c>
      <c r="AS377" t="s">
        <v>1172</v>
      </c>
      <c r="AT377">
        <v>19326308</v>
      </c>
      <c r="AU377" s="12">
        <v>39495</v>
      </c>
      <c r="BB377" t="s">
        <v>911</v>
      </c>
      <c r="BC377" s="7">
        <v>39169</v>
      </c>
      <c r="BD377">
        <v>1</v>
      </c>
      <c r="BG377">
        <v>326</v>
      </c>
      <c r="BH377" s="17">
        <f t="shared" ca="1" si="5"/>
        <v>380</v>
      </c>
      <c r="BI377" s="17"/>
      <c r="BJ377" s="17"/>
    </row>
    <row r="378" spans="1:63" hidden="1">
      <c r="A378">
        <v>27165871</v>
      </c>
      <c r="B378" s="2" t="str">
        <f>HYPERLINK("http://www.windermere.com/index.cfm?fuseaction=Listing.ListingDetail&amp;ListingID=18613160","Active")</f>
        <v>Active</v>
      </c>
      <c r="D378" t="s">
        <v>63</v>
      </c>
      <c r="E378" t="s">
        <v>1173</v>
      </c>
      <c r="F378" s="10">
        <v>535000</v>
      </c>
      <c r="G378" t="s">
        <v>157</v>
      </c>
      <c r="H378" s="1">
        <v>2060</v>
      </c>
      <c r="I378">
        <v>3796</v>
      </c>
      <c r="J378">
        <v>4</v>
      </c>
      <c r="K378">
        <v>2</v>
      </c>
      <c r="M378" s="2" t="str">
        <f>HYPERLINK("http://www.windermere.com/index.cfm?fuseaction=Listing.MapPropertyInteractive&amp;ListingID=18613160&amp;resize=true&amp;windowWidth=800&amp;windowHeight=600","Map")</f>
        <v>Map</v>
      </c>
      <c r="O378" s="2" t="str">
        <f>HYPERLINK("http://www.windermere.com/index.cfm?fuseaction=Listing.MultiImageViewer&amp;ListingID=18613160&amp;ln=27165871&amp;pub_mls=1","More")</f>
        <v>More</v>
      </c>
      <c r="AI378" t="s">
        <v>66</v>
      </c>
      <c r="AJ378">
        <v>98117</v>
      </c>
      <c r="AS378" t="s">
        <v>1174</v>
      </c>
      <c r="AT378">
        <v>18613160</v>
      </c>
      <c r="AU378" s="12">
        <v>39495</v>
      </c>
      <c r="BB378" t="s">
        <v>911</v>
      </c>
      <c r="BC378" s="7">
        <v>39336</v>
      </c>
      <c r="BD378">
        <v>1</v>
      </c>
      <c r="BE378" s="6" t="s">
        <v>1330</v>
      </c>
      <c r="BG378">
        <v>159</v>
      </c>
      <c r="BH378" s="17">
        <f t="shared" ca="1" si="5"/>
        <v>213</v>
      </c>
      <c r="BI378" s="17"/>
      <c r="BJ378" s="17"/>
    </row>
    <row r="379" spans="1:63" hidden="1">
      <c r="A379">
        <v>28018682</v>
      </c>
      <c r="B379" s="2" t="str">
        <f>HYPERLINK("http://www.windermere.com/index.cfm?fuseaction=Listing.ListingDetail&amp;ListingID=19304182","Subject To Inspection")</f>
        <v>Subject To Inspection</v>
      </c>
      <c r="D379" t="s">
        <v>88</v>
      </c>
      <c r="E379" t="s">
        <v>1175</v>
      </c>
      <c r="F379" s="10">
        <v>537000</v>
      </c>
      <c r="G379" t="s">
        <v>795</v>
      </c>
      <c r="H379" s="1">
        <v>2060</v>
      </c>
      <c r="I379">
        <v>3500</v>
      </c>
      <c r="J379">
        <v>4</v>
      </c>
      <c r="K379">
        <v>2.5</v>
      </c>
      <c r="M379" s="2" t="str">
        <f>HYPERLINK("http://www.windermere.com/index.cfm?fuseaction=Listing.MapPropertyInteractive&amp;ListingID=19304182&amp;resize=true&amp;windowWidth=800&amp;windowHeight=600","Map")</f>
        <v>Map</v>
      </c>
      <c r="O379" s="2" t="str">
        <f>HYPERLINK("http://www.windermere.com/index.cfm?fuseaction=Listing.MultiImageViewer&amp;ListingID=19304182&amp;ln=28018682&amp;pub_mls=1","More")</f>
        <v>More</v>
      </c>
      <c r="P379" t="s">
        <v>44</v>
      </c>
      <c r="AI379" t="s">
        <v>66</v>
      </c>
      <c r="AJ379">
        <v>98117</v>
      </c>
      <c r="AS379" t="s">
        <v>1176</v>
      </c>
      <c r="AT379">
        <v>19304182</v>
      </c>
      <c r="AU379" s="12">
        <v>39495</v>
      </c>
      <c r="BB379" t="s">
        <v>911</v>
      </c>
      <c r="BC379" s="7">
        <v>39478</v>
      </c>
      <c r="BG379">
        <v>17</v>
      </c>
      <c r="BH379" s="17">
        <f t="shared" ca="1" si="5"/>
        <v>71</v>
      </c>
      <c r="BI379" s="17"/>
      <c r="BJ379" s="17"/>
      <c r="BK379" t="str">
        <f>B379</f>
        <v>Subject To Inspection</v>
      </c>
    </row>
    <row r="380" spans="1:63" hidden="1">
      <c r="A380">
        <v>28024386</v>
      </c>
      <c r="B380" s="2" t="str">
        <f>HYPERLINK("http://www.windermere.com/index.cfm?fuseaction=Listing.ListingDetail&amp;ListingID=19347056","Active")</f>
        <v>Active</v>
      </c>
      <c r="D380" t="s">
        <v>101</v>
      </c>
      <c r="E380" t="s">
        <v>1177</v>
      </c>
      <c r="F380" s="13">
        <v>539500</v>
      </c>
      <c r="G380" t="s">
        <v>168</v>
      </c>
      <c r="I380">
        <v>5000</v>
      </c>
      <c r="J380">
        <v>3</v>
      </c>
      <c r="K380">
        <v>1.75</v>
      </c>
      <c r="M380" s="2" t="str">
        <f>HYPERLINK("http://www.windermere.com/index.cfm?fuseaction=Listing.MapPropertyInteractive&amp;ListingID=19347056&amp;resize=true&amp;windowWidth=800&amp;windowHeight=600","Map")</f>
        <v>Map</v>
      </c>
      <c r="O380" s="2" t="str">
        <f>HYPERLINK("http://www.windermere.com/index.cfm?fuseaction=Listing.MultiImageViewer&amp;ListingID=19347056&amp;ln=28024386&amp;pub_mls=1","More")</f>
        <v>More</v>
      </c>
      <c r="AI380" t="s">
        <v>66</v>
      </c>
      <c r="AJ380">
        <v>98117</v>
      </c>
      <c r="AS380" t="s">
        <v>1178</v>
      </c>
      <c r="AT380">
        <v>19347056</v>
      </c>
      <c r="AU380" s="12">
        <v>39495</v>
      </c>
      <c r="BB380" t="s">
        <v>911</v>
      </c>
      <c r="BC380" s="7">
        <v>39487</v>
      </c>
      <c r="BG380">
        <v>8</v>
      </c>
      <c r="BH380" s="17">
        <f t="shared" ca="1" si="5"/>
        <v>62</v>
      </c>
      <c r="BI380" s="17"/>
      <c r="BJ380" s="17"/>
    </row>
    <row r="381" spans="1:63" hidden="1">
      <c r="A381">
        <v>27185790</v>
      </c>
      <c r="B381" s="4" t="str">
        <f>HYPERLINK("http://www.windermere.com/index.cfm?fuseaction=Listing.ListingDetail&amp;ListingID=18811833","Subject To Inspection")</f>
        <v>Subject To Inspection</v>
      </c>
      <c r="D381" t="s">
        <v>63</v>
      </c>
      <c r="E381" t="s">
        <v>1179</v>
      </c>
      <c r="F381" s="10">
        <v>549950</v>
      </c>
      <c r="G381" t="s">
        <v>151</v>
      </c>
      <c r="H381" s="1">
        <v>2490</v>
      </c>
      <c r="I381">
        <v>3350</v>
      </c>
      <c r="J381">
        <v>3</v>
      </c>
      <c r="K381">
        <v>1.75</v>
      </c>
      <c r="M381" s="2" t="str">
        <f>HYPERLINK("http://www.windermere.com/index.cfm?fuseaction=Listing.MapPropertyInteractive&amp;ListingID=18811833&amp;resize=true&amp;windowWidth=800&amp;windowHeight=600","Map")</f>
        <v>Map</v>
      </c>
      <c r="O381" s="2" t="str">
        <f>HYPERLINK("http://www.windermere.com/index.cfm?fuseaction=viewGallery.Home&amp;customTourID=197410&amp;wvt=0","More")</f>
        <v>More</v>
      </c>
      <c r="P381" t="s">
        <v>44</v>
      </c>
      <c r="AI381" t="s">
        <v>66</v>
      </c>
      <c r="AJ381">
        <v>98117</v>
      </c>
      <c r="AS381" t="s">
        <v>1180</v>
      </c>
      <c r="AT381">
        <v>18811833</v>
      </c>
      <c r="AU381" s="12">
        <v>39495</v>
      </c>
      <c r="BB381" t="s">
        <v>911</v>
      </c>
      <c r="BC381" s="7">
        <v>39370</v>
      </c>
      <c r="BG381">
        <v>125</v>
      </c>
      <c r="BH381" s="17">
        <f t="shared" ca="1" si="5"/>
        <v>179</v>
      </c>
      <c r="BI381" s="17"/>
      <c r="BJ381" s="17"/>
    </row>
    <row r="382" spans="1:63" hidden="1">
      <c r="A382">
        <v>28007665</v>
      </c>
      <c r="B382" s="2" t="str">
        <f>HYPERLINK("http://www.windermere.com/index.cfm?fuseaction=Listing.ListingDetail&amp;ListingID=19215921","Active")</f>
        <v>Active</v>
      </c>
      <c r="D382" t="s">
        <v>88</v>
      </c>
      <c r="E382" t="s">
        <v>1181</v>
      </c>
      <c r="F382" s="13">
        <v>535000</v>
      </c>
      <c r="G382" t="s">
        <v>126</v>
      </c>
      <c r="H382" s="1">
        <v>2010</v>
      </c>
      <c r="J382">
        <v>4</v>
      </c>
      <c r="K382">
        <v>2</v>
      </c>
      <c r="M382" s="2" t="str">
        <f>HYPERLINK("http://www.windermere.com/index.cfm?fuseaction=Listing.MapPropertyInteractive&amp;ListingID=19215921&amp;resize=true&amp;windowWidth=800&amp;windowHeight=600","Map")</f>
        <v>Map</v>
      </c>
      <c r="O382" s="2" t="str">
        <f>HYPERLINK("http://www.windermere.com/index.cfm?fuseaction=viewGallery.Home&amp;customTourID=204275&amp;wvt=0","More")</f>
        <v>More</v>
      </c>
      <c r="P382" t="s">
        <v>44</v>
      </c>
      <c r="AI382" t="s">
        <v>66</v>
      </c>
      <c r="AJ382">
        <v>98117</v>
      </c>
      <c r="AS382" t="s">
        <v>1182</v>
      </c>
      <c r="AT382">
        <v>19215921</v>
      </c>
      <c r="AU382" s="12">
        <v>39495</v>
      </c>
      <c r="BB382" t="s">
        <v>911</v>
      </c>
      <c r="BC382" s="7">
        <v>39459</v>
      </c>
      <c r="BG382">
        <v>36</v>
      </c>
      <c r="BH382" s="17">
        <f t="shared" ca="1" si="5"/>
        <v>90</v>
      </c>
      <c r="BI382" s="17"/>
      <c r="BJ382" s="17"/>
    </row>
    <row r="383" spans="1:63" hidden="1">
      <c r="A383">
        <v>28021052</v>
      </c>
      <c r="B383" s="2" t="str">
        <f>HYPERLINK("http://www.windermere.com/index.cfm?fuseaction=Listing.ListingDetail&amp;ListingID=19327126","Active")</f>
        <v>Active</v>
      </c>
      <c r="D383" t="s">
        <v>99</v>
      </c>
      <c r="E383" t="s">
        <v>1183</v>
      </c>
      <c r="F383" s="10">
        <v>550000</v>
      </c>
      <c r="G383" t="s">
        <v>717</v>
      </c>
      <c r="H383" s="1">
        <v>2100</v>
      </c>
      <c r="I383">
        <v>7204</v>
      </c>
      <c r="J383">
        <v>3</v>
      </c>
      <c r="K383">
        <v>2.75</v>
      </c>
      <c r="M383" s="2" t="str">
        <f>HYPERLINK("http://www.windermere.com/index.cfm?fuseaction=Listing.MapPropertyInteractive&amp;ListingID=19327126&amp;resize=true&amp;windowWidth=800&amp;windowHeight=600","Map")</f>
        <v>Map</v>
      </c>
      <c r="O383" s="2" t="str">
        <f>HYPERLINK("http://www.windermere.com/index.cfm?fuseaction=Listing.MultiImageViewer&amp;ListingID=19327126&amp;ln=28021052&amp;pub_mls=1","More")</f>
        <v>More</v>
      </c>
      <c r="P383" t="s">
        <v>44</v>
      </c>
      <c r="AI383" t="s">
        <v>66</v>
      </c>
      <c r="AJ383">
        <v>98117</v>
      </c>
      <c r="AS383" t="s">
        <v>1184</v>
      </c>
      <c r="AT383">
        <v>19327126</v>
      </c>
      <c r="AU383" s="12">
        <v>39495</v>
      </c>
      <c r="BB383" t="s">
        <v>911</v>
      </c>
      <c r="BC383" s="7">
        <v>39483</v>
      </c>
      <c r="BG383">
        <v>12</v>
      </c>
      <c r="BH383" s="17">
        <f t="shared" ca="1" si="5"/>
        <v>66</v>
      </c>
      <c r="BI383" s="17"/>
      <c r="BJ383" s="17"/>
    </row>
    <row r="384" spans="1:63" hidden="1">
      <c r="A384">
        <v>27136843</v>
      </c>
      <c r="B384" s="2" t="str">
        <f>HYPERLINK("http://www.windermere.com/index.cfm?fuseaction=Listing.ListingDetail&amp;ListingID=18370665","Active")</f>
        <v>Active</v>
      </c>
      <c r="D384" t="s">
        <v>99</v>
      </c>
      <c r="E384" t="s">
        <v>1185</v>
      </c>
      <c r="F384" s="10">
        <v>555000</v>
      </c>
      <c r="G384" t="s">
        <v>1186</v>
      </c>
      <c r="H384" s="1">
        <v>2000</v>
      </c>
      <c r="I384">
        <v>7359</v>
      </c>
      <c r="J384">
        <v>4</v>
      </c>
      <c r="K384">
        <v>3</v>
      </c>
      <c r="M384" s="2" t="str">
        <f>HYPERLINK("http://www.windermere.com/index.cfm?fuseaction=Listing.MapPropertyInteractive&amp;ListingID=18370665&amp;resize=true&amp;windowWidth=800&amp;windowHeight=600","Map")</f>
        <v>Map</v>
      </c>
      <c r="O384" s="2" t="str">
        <f>HYPERLINK("http://www.windermere.com/index.cfm?fuseaction=Listing.MultiImageViewer&amp;ListingID=18370665&amp;ln=27136843&amp;pub_mls=1","More")</f>
        <v>More</v>
      </c>
      <c r="P384" t="s">
        <v>44</v>
      </c>
      <c r="AI384" t="s">
        <v>66</v>
      </c>
      <c r="AJ384">
        <v>98117</v>
      </c>
      <c r="AS384" t="s">
        <v>1187</v>
      </c>
      <c r="AT384">
        <v>18370665</v>
      </c>
      <c r="AU384" s="12">
        <v>39495</v>
      </c>
      <c r="BB384" t="s">
        <v>911</v>
      </c>
      <c r="BC384" s="7">
        <v>39290</v>
      </c>
      <c r="BD384">
        <v>-2</v>
      </c>
      <c r="BE384" s="6" t="s">
        <v>1319</v>
      </c>
      <c r="BG384">
        <v>205</v>
      </c>
      <c r="BH384" s="17">
        <f t="shared" ca="1" si="5"/>
        <v>259</v>
      </c>
      <c r="BI384" s="17"/>
      <c r="BJ384" s="17"/>
    </row>
    <row r="385" spans="1:63" hidden="1">
      <c r="A385">
        <v>27168320</v>
      </c>
      <c r="B385" s="2" t="str">
        <f>HYPERLINK("http://www.windermere.com/index.cfm?fuseaction=Listing.ListingDetail&amp;ListingID=18631941","Active")</f>
        <v>Active</v>
      </c>
      <c r="D385" t="s">
        <v>99</v>
      </c>
      <c r="E385" t="s">
        <v>1188</v>
      </c>
      <c r="F385" s="13">
        <v>509000</v>
      </c>
      <c r="G385" t="s">
        <v>643</v>
      </c>
      <c r="H385" s="14">
        <v>1962</v>
      </c>
      <c r="I385">
        <v>5415</v>
      </c>
      <c r="J385">
        <v>5</v>
      </c>
      <c r="K385">
        <v>3</v>
      </c>
      <c r="M385" s="2" t="str">
        <f>HYPERLINK("http://www.windermere.com/index.cfm?fuseaction=Listing.MapPropertyInteractive&amp;ListingID=18631941&amp;resize=true&amp;windowWidth=800&amp;windowHeight=600","Map")</f>
        <v>Map</v>
      </c>
      <c r="O385" s="2" t="str">
        <f>HYPERLINK("http://www.windermere.com/index.cfm?fuseaction=Listing.MultiImageViewer&amp;ListingID=18631941&amp;ln=27168320&amp;pub_mls=1","More")</f>
        <v>More</v>
      </c>
      <c r="P385" t="s">
        <v>44</v>
      </c>
      <c r="AI385" t="s">
        <v>66</v>
      </c>
      <c r="AJ385">
        <v>98117</v>
      </c>
      <c r="AS385" t="s">
        <v>1189</v>
      </c>
      <c r="AT385">
        <v>18631941</v>
      </c>
      <c r="AU385" s="12">
        <v>39495</v>
      </c>
      <c r="BB385" t="s">
        <v>911</v>
      </c>
      <c r="BC385" s="7">
        <v>39338</v>
      </c>
      <c r="BG385">
        <v>157</v>
      </c>
      <c r="BH385" s="17">
        <f t="shared" ca="1" si="5"/>
        <v>211</v>
      </c>
      <c r="BI385" s="17"/>
      <c r="BJ385" s="17"/>
    </row>
    <row r="386" spans="1:63" hidden="1">
      <c r="A386">
        <v>27207271</v>
      </c>
      <c r="B386" s="2" t="str">
        <f>HYPERLINK("http://www.windermere.com/index.cfm?fuseaction=Listing.ListingDetail&amp;ListingID=19038432","Active")</f>
        <v>Active</v>
      </c>
      <c r="D386" t="s">
        <v>63</v>
      </c>
      <c r="E386" t="s">
        <v>1190</v>
      </c>
      <c r="F386" s="10">
        <v>559950</v>
      </c>
      <c r="G386" t="s">
        <v>129</v>
      </c>
      <c r="H386" s="1">
        <v>2870</v>
      </c>
      <c r="I386">
        <v>4158</v>
      </c>
      <c r="J386">
        <v>3</v>
      </c>
      <c r="K386">
        <v>1.75</v>
      </c>
      <c r="M386" s="2" t="str">
        <f>HYPERLINK("http://www.windermere.com/index.cfm?fuseaction=Listing.MapPropertyInteractive&amp;ListingID=19038432&amp;resize=true&amp;windowWidth=800&amp;windowHeight=600","Map")</f>
        <v>Map</v>
      </c>
      <c r="O386" s="2" t="str">
        <f>HYPERLINK("http://www.windermere.com/index.cfm?fuseaction=Listing.MultiImageViewer&amp;ListingID=19038432&amp;ln=27207271&amp;pub_mls=1","More")</f>
        <v>More</v>
      </c>
      <c r="P386" t="s">
        <v>44</v>
      </c>
      <c r="AI386" t="s">
        <v>66</v>
      </c>
      <c r="AJ386">
        <v>98117</v>
      </c>
      <c r="AS386" t="s">
        <v>1191</v>
      </c>
      <c r="AT386">
        <v>19038432</v>
      </c>
      <c r="AU386" s="12">
        <v>39495</v>
      </c>
      <c r="BB386" t="s">
        <v>911</v>
      </c>
      <c r="BC386" s="7">
        <v>39417</v>
      </c>
      <c r="BG386">
        <v>78</v>
      </c>
      <c r="BH386" s="17">
        <f t="shared" ca="1" si="5"/>
        <v>132</v>
      </c>
      <c r="BI386" s="17"/>
      <c r="BJ386" s="17"/>
    </row>
    <row r="387" spans="1:63" hidden="1">
      <c r="A387">
        <v>28019206</v>
      </c>
      <c r="B387" s="2" t="str">
        <f>HYPERLINK("http://www.windermere.com/index.cfm?fuseaction=Listing.ListingDetail&amp;ListingID=19308826","Subject To Inspection")</f>
        <v>Subject To Inspection</v>
      </c>
      <c r="D387" t="s">
        <v>55</v>
      </c>
      <c r="E387" t="s">
        <v>1192</v>
      </c>
      <c r="F387" s="10">
        <v>560000</v>
      </c>
      <c r="G387" t="s">
        <v>177</v>
      </c>
      <c r="H387" s="1">
        <v>2700</v>
      </c>
      <c r="I387">
        <v>5648</v>
      </c>
      <c r="J387">
        <v>4</v>
      </c>
      <c r="K387">
        <v>2.5</v>
      </c>
      <c r="M387" s="2" t="str">
        <f>HYPERLINK("http://www.windermere.com/index.cfm?fuseaction=Listing.MapPropertyInteractive&amp;ListingID=19308826&amp;resize=true&amp;windowWidth=800&amp;windowHeight=600","Map")</f>
        <v>Map</v>
      </c>
      <c r="O387" s="2" t="str">
        <f>HYPERLINK("http://www.windermere.com/index.cfm?fuseaction=Listing.MultiImageViewer&amp;ListingID=19308826&amp;ln=28019206&amp;pub_mls=1","More")</f>
        <v>More</v>
      </c>
      <c r="AI387" t="s">
        <v>66</v>
      </c>
      <c r="AJ387">
        <v>98117</v>
      </c>
      <c r="AS387" t="s">
        <v>1193</v>
      </c>
      <c r="AT387">
        <v>19308826</v>
      </c>
      <c r="AU387" s="12">
        <v>39495</v>
      </c>
      <c r="BB387" t="s">
        <v>911</v>
      </c>
      <c r="BC387" s="7">
        <v>39479</v>
      </c>
      <c r="BG387">
        <v>16</v>
      </c>
      <c r="BH387" s="17">
        <f t="shared" ref="BH387:BH442" ca="1" si="6">TODAY()-BC387</f>
        <v>70</v>
      </c>
      <c r="BI387" s="17"/>
      <c r="BJ387" s="17"/>
      <c r="BK387" t="str">
        <f>B387</f>
        <v>Subject To Inspection</v>
      </c>
    </row>
    <row r="388" spans="1:63" hidden="1">
      <c r="A388">
        <v>28017090</v>
      </c>
      <c r="B388" s="2" t="str">
        <f>HYPERLINK("http://www.windermere.com/index.cfm?fuseaction=Listing.ListingDetail&amp;ListingID=19295724","Active")</f>
        <v>Active</v>
      </c>
      <c r="D388" s="19" t="s">
        <v>63</v>
      </c>
      <c r="E388" t="s">
        <v>1194</v>
      </c>
      <c r="F388" s="13">
        <v>554950</v>
      </c>
      <c r="G388" t="s">
        <v>176</v>
      </c>
      <c r="H388" s="1">
        <v>2590</v>
      </c>
      <c r="I388">
        <v>4224</v>
      </c>
      <c r="J388">
        <v>3</v>
      </c>
      <c r="K388">
        <v>2</v>
      </c>
      <c r="M388" s="2" t="str">
        <f>HYPERLINK("http://www.windermere.com/index.cfm?fuseaction=Listing.MapPropertyInteractive&amp;ListingID=19295724&amp;resize=true&amp;windowWidth=800&amp;windowHeight=600","Map")</f>
        <v>Map</v>
      </c>
      <c r="O388" s="2" t="str">
        <f>HYPERLINK("http://www.windermere.com/index.cfm?fuseaction=Listing.MultiImageViewer&amp;ListingID=19295724&amp;ln=28017090&amp;pub_mls=1","More")</f>
        <v>More</v>
      </c>
      <c r="AI388" t="s">
        <v>66</v>
      </c>
      <c r="AJ388">
        <v>98117</v>
      </c>
      <c r="AS388" t="s">
        <v>1195</v>
      </c>
      <c r="AT388">
        <v>19295724</v>
      </c>
      <c r="AU388" s="12">
        <v>39495</v>
      </c>
      <c r="BB388" t="s">
        <v>911</v>
      </c>
      <c r="BC388" s="7">
        <v>39477</v>
      </c>
      <c r="BG388">
        <v>18</v>
      </c>
      <c r="BH388" s="17">
        <f t="shared" ca="1" si="6"/>
        <v>72</v>
      </c>
      <c r="BI388" s="17"/>
      <c r="BJ388" s="17"/>
    </row>
    <row r="389" spans="1:63" hidden="1">
      <c r="A389">
        <v>28026215</v>
      </c>
      <c r="B389" s="15" t="str">
        <f>HYPERLINK("http://www.windermere.com/index.cfm?fuseaction=Listing.ListingDetail&amp;ListingID=19368908","Subject To Inspection")</f>
        <v>Subject To Inspection</v>
      </c>
      <c r="D389" t="s">
        <v>63</v>
      </c>
      <c r="E389" t="s">
        <v>1196</v>
      </c>
      <c r="F389" s="10">
        <v>569500</v>
      </c>
      <c r="G389" t="s">
        <v>153</v>
      </c>
      <c r="H389" s="1">
        <v>2860</v>
      </c>
      <c r="I389">
        <v>4000</v>
      </c>
      <c r="J389">
        <v>4</v>
      </c>
      <c r="K389">
        <v>2</v>
      </c>
      <c r="M389" s="2" t="str">
        <f>HYPERLINK("http://www.windermere.com/index.cfm?fuseaction=Listing.MapPropertyInteractive&amp;ListingID=19368908&amp;resize=true&amp;windowWidth=800&amp;windowHeight=600","Map")</f>
        <v>Map</v>
      </c>
      <c r="O389" s="2" t="str">
        <f>HYPERLINK("http://www.windermere.com/index.cfm?fuseaction=Listing.MultiImageViewer&amp;ListingID=19368908&amp;ln=28026215&amp;pub_mls=1","More")</f>
        <v>More</v>
      </c>
      <c r="P389" t="s">
        <v>44</v>
      </c>
      <c r="AI389" t="s">
        <v>66</v>
      </c>
      <c r="AJ389">
        <v>98117</v>
      </c>
      <c r="AS389" t="s">
        <v>1197</v>
      </c>
      <c r="AT389">
        <v>19368908</v>
      </c>
      <c r="AU389" s="12">
        <v>39495</v>
      </c>
      <c r="BB389" t="s">
        <v>911</v>
      </c>
      <c r="BC389" s="7">
        <v>39492</v>
      </c>
      <c r="BG389">
        <v>3</v>
      </c>
      <c r="BH389" s="17">
        <f t="shared" ca="1" si="6"/>
        <v>57</v>
      </c>
      <c r="BI389" s="17"/>
      <c r="BJ389" s="17"/>
    </row>
    <row r="390" spans="1:63" hidden="1">
      <c r="A390">
        <v>28000608</v>
      </c>
      <c r="B390" s="2" t="str">
        <f>HYPERLINK("http://www.windermere.com/index.cfm?fuseaction=Listing.ListingDetail&amp;ListingID=19146533","Active")</f>
        <v>Active</v>
      </c>
      <c r="D390" t="s">
        <v>88</v>
      </c>
      <c r="E390" t="s">
        <v>1200</v>
      </c>
      <c r="F390" s="10">
        <v>575000</v>
      </c>
      <c r="G390" t="s">
        <v>170</v>
      </c>
      <c r="J390">
        <v>3</v>
      </c>
      <c r="K390">
        <v>2</v>
      </c>
      <c r="M390" s="2" t="str">
        <f>HYPERLINK("http://www.windermere.com/index.cfm?fuseaction=Listing.MapPropertyInteractive&amp;ListingID=19146533&amp;resize=true&amp;windowWidth=800&amp;windowHeight=600","Map")</f>
        <v>Map</v>
      </c>
      <c r="O390" s="2" t="str">
        <f>HYPERLINK("http://www.windermere.com/index.cfm?fuseaction=Listing.MultiImageViewer&amp;ListingID=19146533&amp;ln=28000608&amp;pub_mls=1","More")</f>
        <v>More</v>
      </c>
      <c r="AI390" t="s">
        <v>66</v>
      </c>
      <c r="AJ390">
        <v>98117</v>
      </c>
      <c r="AS390" t="s">
        <v>1201</v>
      </c>
      <c r="AT390">
        <v>19146533</v>
      </c>
      <c r="AU390" s="12">
        <v>39495</v>
      </c>
      <c r="BB390" t="s">
        <v>911</v>
      </c>
      <c r="BC390" s="7">
        <v>39449</v>
      </c>
      <c r="BG390">
        <v>46</v>
      </c>
      <c r="BH390" s="17">
        <f t="shared" ca="1" si="6"/>
        <v>100</v>
      </c>
      <c r="BI390" s="17"/>
      <c r="BJ390" s="17"/>
    </row>
    <row r="391" spans="1:63" hidden="1">
      <c r="A391">
        <v>28005685</v>
      </c>
      <c r="B391" s="2" t="str">
        <f>HYPERLINK("http://www.windermere.com/index.cfm?fuseaction=Listing.ListingDetail&amp;ListingID=19187084","Active")</f>
        <v>Active</v>
      </c>
      <c r="D391" t="s">
        <v>1023</v>
      </c>
      <c r="E391" t="s">
        <v>1198</v>
      </c>
      <c r="F391" s="13">
        <v>565000</v>
      </c>
      <c r="G391" t="s">
        <v>227</v>
      </c>
      <c r="H391" s="1">
        <v>2520</v>
      </c>
      <c r="I391">
        <v>5000</v>
      </c>
      <c r="J391">
        <v>3</v>
      </c>
      <c r="K391">
        <v>1.75</v>
      </c>
      <c r="M391" s="2" t="str">
        <f>HYPERLINK("http://www.windermere.com/index.cfm?fuseaction=Listing.MapPropertyInteractive&amp;ListingID=19187084&amp;resize=true&amp;windowWidth=800&amp;windowHeight=600","Map")</f>
        <v>Map</v>
      </c>
      <c r="O391" s="2" t="str">
        <f>HYPERLINK("http://www.windermere.com/index.cfm?fuseaction=Listing.MultiImageViewer&amp;ListingID=19187084&amp;ln=28005685&amp;pub_mls=1","More")</f>
        <v>More</v>
      </c>
      <c r="P391" t="s">
        <v>44</v>
      </c>
      <c r="AI391" t="s">
        <v>66</v>
      </c>
      <c r="AJ391">
        <v>98117</v>
      </c>
      <c r="AS391" t="s">
        <v>1199</v>
      </c>
      <c r="AT391">
        <v>19187084</v>
      </c>
      <c r="AU391" s="12">
        <v>39495</v>
      </c>
      <c r="BB391" t="s">
        <v>911</v>
      </c>
      <c r="BC391" s="7">
        <v>39456</v>
      </c>
      <c r="BG391">
        <v>39</v>
      </c>
      <c r="BH391" s="17">
        <f t="shared" ca="1" si="6"/>
        <v>93</v>
      </c>
      <c r="BI391" s="17"/>
      <c r="BJ391" s="17"/>
    </row>
    <row r="392" spans="1:63" hidden="1">
      <c r="A392">
        <v>27213643</v>
      </c>
      <c r="B392" s="2" t="str">
        <f>HYPERLINK("http://www.windermere.com/index.cfm?fuseaction=Listing.ListingDetail&amp;ListingID=19103376","Subject To Inspection")</f>
        <v>Subject To Inspection</v>
      </c>
      <c r="D392" t="s">
        <v>1202</v>
      </c>
      <c r="E392" t="s">
        <v>1203</v>
      </c>
      <c r="F392" s="10">
        <v>580000</v>
      </c>
      <c r="G392" t="s">
        <v>418</v>
      </c>
      <c r="H392" s="1">
        <v>2120</v>
      </c>
      <c r="I392">
        <v>6009</v>
      </c>
      <c r="J392">
        <v>3</v>
      </c>
      <c r="K392">
        <v>1.75</v>
      </c>
      <c r="M392" s="2" t="str">
        <f>HYPERLINK("http://www.windermere.com/index.cfm?fuseaction=Listing.MapPropertyInteractive&amp;ListingID=19103376&amp;resize=true&amp;windowWidth=800&amp;windowHeight=600","Map")</f>
        <v>Map</v>
      </c>
      <c r="O392" s="2" t="str">
        <f>HYPERLINK("http://www.windermere.com/index.cfm?fuseaction=Listing.MultiImageViewer&amp;ListingID=19103376&amp;ln=27213643&amp;pub_mls=1","More")</f>
        <v>More</v>
      </c>
      <c r="P392" t="s">
        <v>44</v>
      </c>
      <c r="AI392" t="s">
        <v>66</v>
      </c>
      <c r="AJ392">
        <v>98117</v>
      </c>
      <c r="AS392" t="s">
        <v>1204</v>
      </c>
      <c r="AT392">
        <v>19103376</v>
      </c>
      <c r="AU392" s="12">
        <v>39495</v>
      </c>
      <c r="BB392" t="s">
        <v>911</v>
      </c>
      <c r="BC392" s="7">
        <v>39433</v>
      </c>
      <c r="BG392">
        <v>62</v>
      </c>
      <c r="BH392" s="17">
        <f t="shared" ca="1" si="6"/>
        <v>116</v>
      </c>
      <c r="BI392" s="17"/>
      <c r="BJ392" s="17"/>
      <c r="BK392" t="str">
        <f>B392</f>
        <v>Subject To Inspection</v>
      </c>
    </row>
    <row r="393" spans="1:63" hidden="1">
      <c r="A393">
        <v>28010205</v>
      </c>
      <c r="B393" s="2" t="str">
        <f>HYPERLINK("http://www.windermere.com/index.cfm?fuseaction=Listing.ListingDetail&amp;ListingID=19234794","Active")</f>
        <v>Active</v>
      </c>
      <c r="D393" t="s">
        <v>63</v>
      </c>
      <c r="E393" t="s">
        <v>1205</v>
      </c>
      <c r="F393" s="10">
        <v>585000</v>
      </c>
      <c r="G393" t="s">
        <v>161</v>
      </c>
      <c r="H393" s="1">
        <v>1650</v>
      </c>
      <c r="I393">
        <v>4640</v>
      </c>
      <c r="J393">
        <v>4</v>
      </c>
      <c r="K393">
        <v>2</v>
      </c>
      <c r="M393" s="2" t="str">
        <f>HYPERLINK("http://www.windermere.com/index.cfm?fuseaction=Listing.MapPropertyInteractive&amp;ListingID=19234794&amp;resize=true&amp;windowWidth=800&amp;windowHeight=600","Map")</f>
        <v>Map</v>
      </c>
      <c r="O393" s="2" t="str">
        <f>HYPERLINK("http://www.windermere.com/index.cfm?fuseaction=Listing.MultiImageViewer&amp;ListingID=19234794&amp;ln=28010205&amp;pub_mls=1","More")</f>
        <v>More</v>
      </c>
      <c r="P393" t="s">
        <v>44</v>
      </c>
      <c r="AI393" t="s">
        <v>66</v>
      </c>
      <c r="AJ393">
        <v>98117</v>
      </c>
      <c r="AS393" t="s">
        <v>1206</v>
      </c>
      <c r="AT393">
        <v>19234794</v>
      </c>
      <c r="AU393" s="12">
        <v>39495</v>
      </c>
      <c r="BB393" t="s">
        <v>911</v>
      </c>
      <c r="BC393" s="7">
        <v>39463</v>
      </c>
      <c r="BG393">
        <v>32</v>
      </c>
      <c r="BH393" s="17">
        <f t="shared" ca="1" si="6"/>
        <v>86</v>
      </c>
      <c r="BI393" s="17"/>
      <c r="BJ393" s="17"/>
    </row>
    <row r="394" spans="1:63" hidden="1">
      <c r="A394">
        <v>28005197</v>
      </c>
      <c r="B394" s="2" t="str">
        <f>HYPERLINK("http://www.windermere.com/index.cfm?fuseaction=Listing.ListingDetail&amp;ListingID=19182010","Subject To Inspection")</f>
        <v>Subject To Inspection</v>
      </c>
      <c r="D394" t="s">
        <v>63</v>
      </c>
      <c r="E394" t="s">
        <v>1207</v>
      </c>
      <c r="F394" s="10">
        <v>589000</v>
      </c>
      <c r="G394" t="s">
        <v>146</v>
      </c>
      <c r="I394">
        <v>6250</v>
      </c>
      <c r="J394">
        <v>3</v>
      </c>
      <c r="K394">
        <v>2</v>
      </c>
      <c r="M394" s="2" t="str">
        <f>HYPERLINK("http://www.windermere.com/index.cfm?fuseaction=Listing.MapPropertyInteractive&amp;ListingID=19182010&amp;resize=true&amp;windowWidth=800&amp;windowHeight=600","Map")</f>
        <v>Map</v>
      </c>
      <c r="O394" s="2" t="str">
        <f>HYPERLINK("http://www.windermere.com/index.cfm?fuseaction=Listing.MultiImageViewer&amp;ListingID=19182010&amp;ln=28005197&amp;pub_mls=1","More")</f>
        <v>More</v>
      </c>
      <c r="P394" t="s">
        <v>44</v>
      </c>
      <c r="AI394" t="s">
        <v>66</v>
      </c>
      <c r="AJ394">
        <v>98117</v>
      </c>
      <c r="AS394" t="s">
        <v>1208</v>
      </c>
      <c r="AT394">
        <v>19182010</v>
      </c>
      <c r="AU394" s="12">
        <v>39495</v>
      </c>
      <c r="BB394" t="s">
        <v>911</v>
      </c>
      <c r="BC394" s="7">
        <v>39455</v>
      </c>
      <c r="BG394">
        <v>40</v>
      </c>
      <c r="BH394" s="17">
        <f t="shared" ca="1" si="6"/>
        <v>94</v>
      </c>
      <c r="BI394" s="17"/>
      <c r="BJ394" s="17"/>
      <c r="BK394" t="str">
        <f>B394</f>
        <v>Subject To Inspection</v>
      </c>
    </row>
    <row r="395" spans="1:63" hidden="1">
      <c r="A395">
        <v>28000534</v>
      </c>
      <c r="B395" s="2" t="str">
        <f>HYPERLINK("http://www.windermere.com/index.cfm?fuseaction=Listing.ListingDetail&amp;ListingID=19146142","Active")</f>
        <v>Active</v>
      </c>
      <c r="D395" t="s">
        <v>1023</v>
      </c>
      <c r="E395" t="s">
        <v>1209</v>
      </c>
      <c r="F395" s="10">
        <v>590000</v>
      </c>
      <c r="G395" t="s">
        <v>132</v>
      </c>
      <c r="I395">
        <v>7640</v>
      </c>
      <c r="J395">
        <v>3</v>
      </c>
      <c r="K395">
        <v>1.75</v>
      </c>
      <c r="M395" s="2" t="str">
        <f>HYPERLINK("http://www.windermere.com/index.cfm?fuseaction=Listing.MapPropertyInteractive&amp;ListingID=19146142&amp;resize=true&amp;windowWidth=800&amp;windowHeight=600","Map")</f>
        <v>Map</v>
      </c>
      <c r="O395" s="2" t="str">
        <f>HYPERLINK("http://www.windermere.com/index.cfm?fuseaction=Listing.MultiImageViewer&amp;ListingID=19146142&amp;ln=28000534&amp;pub_mls=1","More")</f>
        <v>More</v>
      </c>
      <c r="P395" t="s">
        <v>44</v>
      </c>
      <c r="AI395" t="s">
        <v>66</v>
      </c>
      <c r="AJ395">
        <v>98117</v>
      </c>
      <c r="AS395" t="s">
        <v>1210</v>
      </c>
      <c r="AT395">
        <v>19146142</v>
      </c>
      <c r="AU395" s="12">
        <v>39495</v>
      </c>
      <c r="BB395" t="s">
        <v>911</v>
      </c>
      <c r="BC395" s="7">
        <v>39449</v>
      </c>
      <c r="BG395">
        <v>46</v>
      </c>
      <c r="BH395" s="17">
        <f t="shared" ca="1" si="6"/>
        <v>100</v>
      </c>
      <c r="BI395" s="17"/>
      <c r="BJ395" s="17"/>
    </row>
    <row r="396" spans="1:63" hidden="1">
      <c r="A396">
        <v>28000049</v>
      </c>
      <c r="B396" s="2" t="str">
        <f>HYPERLINK("http://www.windermere.com/index.cfm?fuseaction=Listing.ListingDetail&amp;ListingID=19141822","Active")</f>
        <v>Active</v>
      </c>
      <c r="D396" t="s">
        <v>1023</v>
      </c>
      <c r="E396" t="s">
        <v>1211</v>
      </c>
      <c r="F396" s="10">
        <v>594950</v>
      </c>
      <c r="G396" t="s">
        <v>146</v>
      </c>
      <c r="H396" s="1">
        <v>2300</v>
      </c>
      <c r="I396">
        <v>4756</v>
      </c>
      <c r="J396">
        <v>4</v>
      </c>
      <c r="K396">
        <v>2.5</v>
      </c>
      <c r="M396" s="2" t="str">
        <f>HYPERLINK("http://www.windermere.com/index.cfm?fuseaction=Listing.MapPropertyInteractive&amp;ListingID=19141822&amp;resize=true&amp;windowWidth=800&amp;windowHeight=600","Map")</f>
        <v>Map</v>
      </c>
      <c r="O396" s="2" t="str">
        <f>HYPERLINK("http://www.windermere.com/index.cfm?fuseaction=Listing.MultiImageViewer&amp;ListingID=19141822&amp;ln=28000049&amp;pub_mls=1","More")</f>
        <v>More</v>
      </c>
      <c r="P396" t="s">
        <v>44</v>
      </c>
      <c r="AI396" t="s">
        <v>66</v>
      </c>
      <c r="AJ396">
        <v>98117</v>
      </c>
      <c r="AS396" t="s">
        <v>1212</v>
      </c>
      <c r="AT396">
        <v>19141822</v>
      </c>
      <c r="AU396" s="12">
        <v>39495</v>
      </c>
      <c r="BB396" t="s">
        <v>911</v>
      </c>
      <c r="BC396" s="7">
        <v>39448</v>
      </c>
      <c r="BG396">
        <v>47</v>
      </c>
      <c r="BH396" s="17">
        <f t="shared" ca="1" si="6"/>
        <v>101</v>
      </c>
      <c r="BI396" s="17"/>
      <c r="BJ396" s="17"/>
    </row>
    <row r="397" spans="1:63" hidden="1">
      <c r="A397">
        <v>28023397</v>
      </c>
      <c r="B397" s="2" t="str">
        <f>HYPERLINK("http://www.windermere.com/index.cfm?fuseaction=Listing.ListingDetail&amp;ListingID=19338665","Active")</f>
        <v>Active</v>
      </c>
      <c r="D397" t="s">
        <v>63</v>
      </c>
      <c r="E397" t="s">
        <v>1213</v>
      </c>
      <c r="F397" s="10">
        <v>595000</v>
      </c>
      <c r="G397" t="s">
        <v>1214</v>
      </c>
      <c r="H397" s="1">
        <v>1840</v>
      </c>
      <c r="I397">
        <v>3960</v>
      </c>
      <c r="J397">
        <v>3</v>
      </c>
      <c r="K397">
        <v>2</v>
      </c>
      <c r="M397" s="2" t="str">
        <f>HYPERLINK("http://www.windermere.com/index.cfm?fuseaction=Listing.MapPropertyInteractive&amp;ListingID=19338665&amp;resize=true&amp;windowWidth=800&amp;windowHeight=600","Map")</f>
        <v>Map</v>
      </c>
      <c r="O397" s="2" t="str">
        <f>HYPERLINK("http://www.windermere.com/index.cfm?fuseaction=Listing.MultiImageViewer&amp;ListingID=19338665&amp;ln=28023397&amp;pub_mls=1","More")</f>
        <v>More</v>
      </c>
      <c r="AI397" t="s">
        <v>66</v>
      </c>
      <c r="AJ397">
        <v>98117</v>
      </c>
      <c r="AS397" t="s">
        <v>1215</v>
      </c>
      <c r="AT397">
        <v>19338665</v>
      </c>
      <c r="AU397" s="12">
        <v>39495</v>
      </c>
      <c r="BB397" t="s">
        <v>911</v>
      </c>
      <c r="BC397" s="7">
        <v>39485</v>
      </c>
      <c r="BG397">
        <v>10</v>
      </c>
      <c r="BH397" s="17">
        <f t="shared" ca="1" si="6"/>
        <v>64</v>
      </c>
      <c r="BI397" s="17"/>
      <c r="BJ397" s="17"/>
    </row>
    <row r="398" spans="1:63" hidden="1">
      <c r="A398">
        <v>27214711</v>
      </c>
      <c r="B398" s="2" t="str">
        <f>HYPERLINK("http://www.windermere.com/index.cfm?fuseaction=Listing.ListingDetail&amp;ListingID=19115696","Active")</f>
        <v>Active</v>
      </c>
      <c r="D398" t="s">
        <v>63</v>
      </c>
      <c r="E398" t="s">
        <v>1218</v>
      </c>
      <c r="F398" s="10">
        <v>599000</v>
      </c>
      <c r="G398" t="s">
        <v>137</v>
      </c>
      <c r="H398" s="1">
        <v>2000</v>
      </c>
      <c r="I398">
        <v>5750</v>
      </c>
      <c r="J398">
        <v>3</v>
      </c>
      <c r="K398">
        <v>1.75</v>
      </c>
      <c r="M398" s="2" t="str">
        <f>HYPERLINK("http://www.windermere.com/index.cfm?fuseaction=Listing.MapPropertyInteractive&amp;ListingID=19115696&amp;resize=true&amp;windowWidth=800&amp;windowHeight=600","Map")</f>
        <v>Map</v>
      </c>
      <c r="O398" s="2" t="str">
        <f>HYPERLINK("http://www.windermere.com/index.cfm?fuseaction=Listing.MultiImageViewer&amp;ListingID=19115696&amp;ln=27214711&amp;pub_mls=1","More")</f>
        <v>More</v>
      </c>
      <c r="P398" t="s">
        <v>44</v>
      </c>
      <c r="AI398" t="s">
        <v>66</v>
      </c>
      <c r="AJ398">
        <v>98117</v>
      </c>
      <c r="AS398" t="s">
        <v>1219</v>
      </c>
      <c r="AT398">
        <v>19115696</v>
      </c>
      <c r="AU398" s="12">
        <v>39495</v>
      </c>
      <c r="BB398" t="s">
        <v>911</v>
      </c>
      <c r="BC398" s="7">
        <v>39436</v>
      </c>
      <c r="BG398">
        <v>59</v>
      </c>
      <c r="BH398" s="17">
        <f t="shared" ca="1" si="6"/>
        <v>113</v>
      </c>
      <c r="BI398" s="17"/>
      <c r="BJ398" s="17"/>
    </row>
    <row r="399" spans="1:63" hidden="1">
      <c r="A399">
        <v>28009407</v>
      </c>
      <c r="B399" s="2" t="str">
        <f>HYPERLINK("http://www.windermere.com/index.cfm?fuseaction=Listing.ListingDetail&amp;ListingID=19227645","Active")</f>
        <v>Active</v>
      </c>
      <c r="D399" t="s">
        <v>1023</v>
      </c>
      <c r="E399" t="s">
        <v>1216</v>
      </c>
      <c r="F399" s="10">
        <v>599000</v>
      </c>
      <c r="G399" t="s">
        <v>171</v>
      </c>
      <c r="H399" s="1">
        <v>3020</v>
      </c>
      <c r="J399">
        <v>4</v>
      </c>
      <c r="K399">
        <v>2.5</v>
      </c>
      <c r="M399" s="2" t="str">
        <f>HYPERLINK("http://www.windermere.com/index.cfm?fuseaction=Listing.MapPropertyInteractive&amp;ListingID=19227645&amp;resize=true&amp;windowWidth=800&amp;windowHeight=600","Map")</f>
        <v>Map</v>
      </c>
      <c r="O399" s="2" t="str">
        <f>HYPERLINK("http://www.windermere.com/index.cfm?fuseaction=Listing.MultiImageViewer&amp;ListingID=19227645&amp;ln=28009407&amp;pub_mls=1","More")</f>
        <v>More</v>
      </c>
      <c r="P399" t="s">
        <v>44</v>
      </c>
      <c r="AI399" t="s">
        <v>66</v>
      </c>
      <c r="AJ399">
        <v>98117</v>
      </c>
      <c r="AS399" t="s">
        <v>1217</v>
      </c>
      <c r="AT399">
        <v>19227645</v>
      </c>
      <c r="AU399" s="12">
        <v>39495</v>
      </c>
      <c r="BB399" t="s">
        <v>911</v>
      </c>
      <c r="BC399" s="7">
        <v>39463</v>
      </c>
      <c r="BG399">
        <v>32</v>
      </c>
      <c r="BH399" s="17">
        <f t="shared" ca="1" si="6"/>
        <v>86</v>
      </c>
      <c r="BI399" s="17"/>
      <c r="BJ399" s="17"/>
    </row>
    <row r="400" spans="1:63" hidden="1">
      <c r="A400">
        <v>28011619</v>
      </c>
      <c r="B400" s="2" t="str">
        <f>HYPERLINK("http://www.windermere.com/index.cfm?fuseaction=Listing.ListingDetail&amp;ListingID=19262546","Subject To Inspection")</f>
        <v>Subject To Inspection</v>
      </c>
      <c r="D400" t="s">
        <v>88</v>
      </c>
      <c r="E400" t="s">
        <v>1220</v>
      </c>
      <c r="F400" s="10">
        <v>599900</v>
      </c>
      <c r="G400" t="s">
        <v>173</v>
      </c>
      <c r="H400" s="1">
        <v>2080</v>
      </c>
      <c r="I400">
        <v>5000</v>
      </c>
      <c r="J400">
        <v>2</v>
      </c>
      <c r="K400">
        <v>1</v>
      </c>
      <c r="M400" s="2" t="str">
        <f>HYPERLINK("http://www.windermere.com/index.cfm?fuseaction=Listing.MapPropertyInteractive&amp;ListingID=19262546&amp;resize=true&amp;windowWidth=800&amp;windowHeight=600","Map")</f>
        <v>Map</v>
      </c>
      <c r="O400" s="2" t="str">
        <f>HYPERLINK("http://www.windermere.com/index.cfm?fuseaction=viewGallery.Home&amp;customTourID=204973&amp;wvt=0","More")</f>
        <v>More</v>
      </c>
      <c r="P400" t="s">
        <v>44</v>
      </c>
      <c r="AI400" t="s">
        <v>66</v>
      </c>
      <c r="AJ400">
        <v>98117</v>
      </c>
      <c r="AS400" t="s">
        <v>1221</v>
      </c>
      <c r="AT400">
        <v>19262546</v>
      </c>
      <c r="AU400" s="12">
        <v>39495</v>
      </c>
      <c r="BB400" t="s">
        <v>911</v>
      </c>
      <c r="BC400" s="7">
        <v>39469</v>
      </c>
      <c r="BG400">
        <v>26</v>
      </c>
      <c r="BH400" s="17">
        <f t="shared" ca="1" si="6"/>
        <v>80</v>
      </c>
      <c r="BI400" s="17"/>
      <c r="BJ400" s="17"/>
      <c r="BK400" t="str">
        <f>B400</f>
        <v>Subject To Inspection</v>
      </c>
    </row>
    <row r="401" spans="1:63" hidden="1">
      <c r="A401">
        <v>28028148</v>
      </c>
      <c r="B401" s="2" t="str">
        <f>HYPERLINK("http://www.windermere.com/index.cfm?fuseaction=Listing.ListingDetail&amp;ListingID=19378194","Active")</f>
        <v>Active</v>
      </c>
      <c r="D401" t="s">
        <v>99</v>
      </c>
      <c r="E401" t="s">
        <v>1222</v>
      </c>
      <c r="F401" s="13">
        <v>599900</v>
      </c>
      <c r="G401" t="s">
        <v>124</v>
      </c>
      <c r="H401" s="1">
        <v>2440</v>
      </c>
      <c r="I401">
        <v>8910</v>
      </c>
      <c r="J401">
        <v>3</v>
      </c>
      <c r="K401">
        <v>1.75</v>
      </c>
      <c r="M401" s="2" t="str">
        <f>HYPERLINK("http://www.windermere.com/index.cfm?fuseaction=Listing.MapPropertyInteractive&amp;ListingID=19378194&amp;resize=true&amp;windowWidth=800&amp;windowHeight=600","Map")</f>
        <v>Map</v>
      </c>
      <c r="O401" s="2" t="str">
        <f>HYPERLINK("http://www.windermere.com/index.cfm?fuseaction=Listing.MultiImageViewer&amp;ListingID=19378194&amp;ln=28028148&amp;pub_mls=1","More")</f>
        <v>More</v>
      </c>
      <c r="AI401" t="s">
        <v>66</v>
      </c>
      <c r="AJ401">
        <v>98117</v>
      </c>
      <c r="AS401" t="s">
        <v>1223</v>
      </c>
      <c r="AT401">
        <v>19378194</v>
      </c>
      <c r="AU401" s="12">
        <v>39495</v>
      </c>
      <c r="BB401" t="s">
        <v>911</v>
      </c>
      <c r="BC401" s="7">
        <v>39493</v>
      </c>
      <c r="BG401">
        <v>2</v>
      </c>
      <c r="BH401" s="17">
        <f t="shared" ca="1" si="6"/>
        <v>56</v>
      </c>
      <c r="BI401" s="17"/>
      <c r="BJ401" s="17"/>
    </row>
    <row r="402" spans="1:63" hidden="1">
      <c r="A402">
        <v>28023849</v>
      </c>
      <c r="B402" s="2" t="str">
        <f>HYPERLINK("http://www.windermere.com/index.cfm?fuseaction=Listing.ListingDetail&amp;ListingID=19342514","Active")</f>
        <v>Active</v>
      </c>
      <c r="D402" t="s">
        <v>99</v>
      </c>
      <c r="E402" t="s">
        <v>1224</v>
      </c>
      <c r="F402" s="10">
        <v>618000</v>
      </c>
      <c r="G402" t="s">
        <v>146</v>
      </c>
      <c r="H402" s="1">
        <v>1720</v>
      </c>
      <c r="I402">
        <v>11653</v>
      </c>
      <c r="J402">
        <v>3</v>
      </c>
      <c r="K402">
        <v>1.5</v>
      </c>
      <c r="M402" s="2" t="str">
        <f>HYPERLINK("http://www.windermere.com/index.cfm?fuseaction=Listing.MapPropertyInteractive&amp;ListingID=19342514&amp;resize=true&amp;windowWidth=800&amp;windowHeight=600","Map")</f>
        <v>Map</v>
      </c>
      <c r="O402" s="2" t="str">
        <f>HYPERLINK("http://www.windermere.com/index.cfm?fuseaction=Listing.MultiImageViewer&amp;ListingID=19342514&amp;ln=28023849&amp;pub_mls=1","More")</f>
        <v>More</v>
      </c>
      <c r="P402" t="s">
        <v>44</v>
      </c>
      <c r="AI402" t="s">
        <v>66</v>
      </c>
      <c r="AJ402">
        <v>98117</v>
      </c>
      <c r="AS402" t="s">
        <v>1225</v>
      </c>
      <c r="AT402">
        <v>19342514</v>
      </c>
      <c r="AU402" s="12">
        <v>39495</v>
      </c>
      <c r="BB402" t="s">
        <v>911</v>
      </c>
      <c r="BC402" s="7">
        <v>39486</v>
      </c>
      <c r="BG402">
        <v>9</v>
      </c>
      <c r="BH402" s="17">
        <f t="shared" ca="1" si="6"/>
        <v>63</v>
      </c>
      <c r="BI402" s="17"/>
      <c r="BJ402" s="17"/>
    </row>
    <row r="403" spans="1:63" hidden="1">
      <c r="A403">
        <v>27138728</v>
      </c>
      <c r="B403" s="2" t="str">
        <f>HYPERLINK("http://www.windermere.com/index.cfm?fuseaction=Listing.ListingDetail&amp;ListingID=18900215","Active")</f>
        <v>Active</v>
      </c>
      <c r="D403" t="s">
        <v>101</v>
      </c>
      <c r="E403" t="s">
        <v>1226</v>
      </c>
      <c r="F403" s="10">
        <v>625000</v>
      </c>
      <c r="G403" t="s">
        <v>168</v>
      </c>
      <c r="H403" s="1">
        <v>2140</v>
      </c>
      <c r="I403">
        <v>6600</v>
      </c>
      <c r="J403">
        <v>4</v>
      </c>
      <c r="K403">
        <v>1.75</v>
      </c>
      <c r="M403" s="2" t="str">
        <f>HYPERLINK("http://www.windermere.com/index.cfm?fuseaction=Listing.MapPropertyInteractive&amp;ListingID=18900215&amp;resize=true&amp;windowWidth=800&amp;windowHeight=600","Map")</f>
        <v>Map</v>
      </c>
      <c r="O403" s="2" t="str">
        <f>HYPERLINK("http://www.windermere.com/index.cfm?fuseaction=Listing.MultiImageViewer&amp;ListingID=18900215&amp;ln=27138728&amp;pub_mls=1","More")</f>
        <v>More</v>
      </c>
      <c r="P403" t="s">
        <v>44</v>
      </c>
      <c r="AI403" t="s">
        <v>66</v>
      </c>
      <c r="AJ403">
        <v>98117</v>
      </c>
      <c r="AS403" t="s">
        <v>1227</v>
      </c>
      <c r="AT403">
        <v>18900215</v>
      </c>
      <c r="AU403" s="12">
        <v>39495</v>
      </c>
      <c r="BB403" t="s">
        <v>911</v>
      </c>
      <c r="BC403" s="7">
        <v>39293</v>
      </c>
      <c r="BD403">
        <v>2</v>
      </c>
      <c r="BG403">
        <v>202</v>
      </c>
      <c r="BH403" s="17">
        <f t="shared" ca="1" si="6"/>
        <v>256</v>
      </c>
      <c r="BI403" s="17"/>
      <c r="BJ403" s="17"/>
    </row>
    <row r="404" spans="1:63" hidden="1">
      <c r="A404">
        <v>28025594</v>
      </c>
      <c r="B404" s="2" t="str">
        <f>HYPERLINK("http://www.windermere.com/index.cfm?fuseaction=Listing.ListingDetail&amp;ListingID=19356196","Active")</f>
        <v>Active</v>
      </c>
      <c r="D404" t="s">
        <v>88</v>
      </c>
      <c r="E404" t="s">
        <v>1228</v>
      </c>
      <c r="F404" s="10">
        <v>625000</v>
      </c>
      <c r="G404" t="s">
        <v>439</v>
      </c>
      <c r="H404" s="1">
        <v>3380</v>
      </c>
      <c r="I404">
        <v>3750</v>
      </c>
      <c r="J404">
        <v>3</v>
      </c>
      <c r="K404">
        <v>2.5</v>
      </c>
      <c r="M404" s="2" t="str">
        <f>HYPERLINK("http://www.windermere.com/index.cfm?fuseaction=Listing.MapPropertyInteractive&amp;ListingID=19356196&amp;resize=true&amp;windowWidth=800&amp;windowHeight=600","Map")</f>
        <v>Map</v>
      </c>
      <c r="O404" s="2" t="str">
        <f>HYPERLINK("http://www.windermere.com/index.cfm?fuseaction=Listing.MultiImageViewer&amp;ListingID=19356196&amp;ln=28025594&amp;pub_mls=1","More")</f>
        <v>More</v>
      </c>
      <c r="P404" t="s">
        <v>44</v>
      </c>
      <c r="AI404" t="s">
        <v>66</v>
      </c>
      <c r="AJ404">
        <v>98117</v>
      </c>
      <c r="AS404" t="s">
        <v>1229</v>
      </c>
      <c r="AT404">
        <v>19356196</v>
      </c>
      <c r="AU404" s="12">
        <v>39495</v>
      </c>
      <c r="BB404" t="s">
        <v>911</v>
      </c>
      <c r="BC404" s="7">
        <v>39490</v>
      </c>
      <c r="BG404">
        <v>5</v>
      </c>
      <c r="BH404" s="17">
        <f t="shared" ca="1" si="6"/>
        <v>59</v>
      </c>
      <c r="BI404" s="17"/>
      <c r="BJ404" s="17"/>
    </row>
    <row r="405" spans="1:63" hidden="1">
      <c r="A405">
        <v>28024868</v>
      </c>
      <c r="B405" s="2" t="str">
        <f>HYPERLINK("http://www.windermere.com/index.cfm?fuseaction=Listing.ListingDetail&amp;ListingID=19351026","Active")</f>
        <v>Active</v>
      </c>
      <c r="D405" t="s">
        <v>101</v>
      </c>
      <c r="E405" t="s">
        <v>1230</v>
      </c>
      <c r="F405" s="10">
        <v>659950</v>
      </c>
      <c r="G405" t="s">
        <v>147</v>
      </c>
      <c r="H405" s="1">
        <v>2659</v>
      </c>
      <c r="J405">
        <v>4</v>
      </c>
      <c r="K405">
        <v>3.5</v>
      </c>
      <c r="M405" s="2" t="str">
        <f>HYPERLINK("http://www.windermere.com/index.cfm?fuseaction=Listing.MapPropertyInteractive&amp;ListingID=19351026&amp;resize=true&amp;windowWidth=800&amp;windowHeight=600","Map")</f>
        <v>Map</v>
      </c>
      <c r="O405" s="2" t="str">
        <f>HYPERLINK("http://www.windermere.com/index.cfm?fuseaction=Listing.MultiImageViewer&amp;ListingID=19351026&amp;ln=28024868&amp;pub_mls=1","More")</f>
        <v>More</v>
      </c>
      <c r="AI405" t="s">
        <v>66</v>
      </c>
      <c r="AJ405">
        <v>98117</v>
      </c>
      <c r="AS405" t="s">
        <v>1231</v>
      </c>
      <c r="AT405">
        <v>19351026</v>
      </c>
      <c r="AU405" s="12">
        <v>39495</v>
      </c>
      <c r="BB405" t="s">
        <v>911</v>
      </c>
      <c r="BC405" s="7">
        <v>39489</v>
      </c>
      <c r="BG405">
        <v>6</v>
      </c>
      <c r="BH405" s="17">
        <f t="shared" ca="1" si="6"/>
        <v>60</v>
      </c>
      <c r="BI405" s="17"/>
      <c r="BJ405" s="17"/>
    </row>
    <row r="406" spans="1:63" hidden="1">
      <c r="A406">
        <v>27187552</v>
      </c>
      <c r="B406" s="2" t="str">
        <f>HYPERLINK("http://www.windermere.com/index.cfm?fuseaction=Listing.ListingDetail&amp;ListingID=18825661","Subject To Inspection")</f>
        <v>Subject To Inspection</v>
      </c>
      <c r="D406" t="s">
        <v>63</v>
      </c>
      <c r="E406" t="s">
        <v>1232</v>
      </c>
      <c r="F406" s="10">
        <v>669500</v>
      </c>
      <c r="G406" t="s">
        <v>147</v>
      </c>
      <c r="H406" s="1">
        <v>2425</v>
      </c>
      <c r="J406">
        <v>4</v>
      </c>
      <c r="K406">
        <v>3.5</v>
      </c>
      <c r="M406" s="2" t="str">
        <f>HYPERLINK("http://www.windermere.com/index.cfm?fuseaction=Listing.MapPropertyInteractive&amp;ListingID=18825661&amp;resize=true&amp;windowWidth=800&amp;windowHeight=600","Map")</f>
        <v>Map</v>
      </c>
      <c r="O406" s="2" t="str">
        <f>HYPERLINK("http://www.windermere.com/index.cfm?fuseaction=viewGallery.Home&amp;customTourID=197563&amp;wvt=0","More")</f>
        <v>More</v>
      </c>
      <c r="AI406" t="s">
        <v>66</v>
      </c>
      <c r="AJ406">
        <v>98117</v>
      </c>
      <c r="AS406" t="s">
        <v>1233</v>
      </c>
      <c r="AT406">
        <v>18825661</v>
      </c>
      <c r="AU406" s="12">
        <v>39495</v>
      </c>
      <c r="BB406" t="s">
        <v>911</v>
      </c>
      <c r="BC406" s="7">
        <v>39372</v>
      </c>
      <c r="BG406">
        <v>123</v>
      </c>
      <c r="BH406" s="17">
        <f t="shared" ca="1" si="6"/>
        <v>177</v>
      </c>
      <c r="BI406" s="17"/>
      <c r="BJ406" s="17"/>
      <c r="BK406" t="str">
        <f>B406</f>
        <v>Subject To Inspection</v>
      </c>
    </row>
    <row r="407" spans="1:63" hidden="1">
      <c r="A407">
        <v>27203745</v>
      </c>
      <c r="B407" s="2" t="str">
        <f>HYPERLINK("http://www.windermere.com/index.cfm?fuseaction=Listing.ListingDetail&amp;ListingID=18992860","Active")</f>
        <v>Active</v>
      </c>
      <c r="D407" t="s">
        <v>63</v>
      </c>
      <c r="E407" t="s">
        <v>1234</v>
      </c>
      <c r="F407" s="10">
        <v>674950</v>
      </c>
      <c r="G407" t="s">
        <v>134</v>
      </c>
      <c r="H407" s="1">
        <v>2140</v>
      </c>
      <c r="I407">
        <v>3877</v>
      </c>
      <c r="J407">
        <v>3</v>
      </c>
      <c r="K407">
        <v>2.75</v>
      </c>
      <c r="M407" s="2" t="str">
        <f>HYPERLINK("http://www.windermere.com/index.cfm?fuseaction=Listing.MapPropertyInteractive&amp;ListingID=18992860&amp;resize=true&amp;windowWidth=800&amp;windowHeight=600","Map")</f>
        <v>Map</v>
      </c>
      <c r="O407" s="2" t="str">
        <f>HYPERLINK("http://www.windermere.com/index.cfm?fuseaction=Listing.MultiImageViewer&amp;ListingID=18992860&amp;ln=27203745&amp;pub_mls=1","More")</f>
        <v>More</v>
      </c>
      <c r="P407" t="s">
        <v>44</v>
      </c>
      <c r="AI407" t="s">
        <v>66</v>
      </c>
      <c r="AJ407">
        <v>98117</v>
      </c>
      <c r="AS407" t="s">
        <v>1235</v>
      </c>
      <c r="AT407">
        <v>18992860</v>
      </c>
      <c r="AU407" s="12">
        <v>39495</v>
      </c>
      <c r="BB407" t="s">
        <v>911</v>
      </c>
      <c r="BC407" s="7">
        <v>39489</v>
      </c>
      <c r="BG407">
        <v>93</v>
      </c>
      <c r="BH407" s="17">
        <f t="shared" ca="1" si="6"/>
        <v>60</v>
      </c>
      <c r="BI407" s="17"/>
      <c r="BJ407" s="17"/>
    </row>
    <row r="408" spans="1:63" hidden="1">
      <c r="A408">
        <v>27212473</v>
      </c>
      <c r="B408" s="2" t="str">
        <f>HYPERLINK("http://www.windermere.com/index.cfm?fuseaction=Listing.ListingDetail&amp;ListingID=19092155","Active")</f>
        <v>Active</v>
      </c>
      <c r="D408" t="s">
        <v>63</v>
      </c>
      <c r="E408" t="s">
        <v>1236</v>
      </c>
      <c r="F408" s="10">
        <v>674950</v>
      </c>
      <c r="G408" t="s">
        <v>135</v>
      </c>
      <c r="H408" s="1">
        <v>2260</v>
      </c>
      <c r="J408">
        <v>4</v>
      </c>
      <c r="K408">
        <v>2.25</v>
      </c>
      <c r="M408" s="2" t="str">
        <f>HYPERLINK("http://www.windermere.com/index.cfm?fuseaction=Listing.MapPropertyInteractive&amp;ListingID=19092155&amp;resize=true&amp;windowWidth=800&amp;windowHeight=600","Map")</f>
        <v>Map</v>
      </c>
      <c r="O408" s="2" t="str">
        <f>HYPERLINK("http://www.windermere.com/index.cfm?fuseaction=Listing.MultiImageViewer&amp;ListingID=19092155&amp;ln=27212473&amp;pub_mls=1","More")</f>
        <v>More</v>
      </c>
      <c r="AI408" t="s">
        <v>66</v>
      </c>
      <c r="AJ408">
        <v>98117</v>
      </c>
      <c r="AS408" t="s">
        <v>1237</v>
      </c>
      <c r="AT408">
        <v>19092155</v>
      </c>
      <c r="AU408" s="12">
        <v>39495</v>
      </c>
      <c r="BB408" t="s">
        <v>911</v>
      </c>
      <c r="BC408" s="7">
        <v>39429</v>
      </c>
      <c r="BG408">
        <v>69</v>
      </c>
      <c r="BH408" s="17">
        <f t="shared" ca="1" si="6"/>
        <v>120</v>
      </c>
      <c r="BI408" s="17"/>
      <c r="BJ408" s="17"/>
      <c r="BK408" t="s">
        <v>1413</v>
      </c>
    </row>
    <row r="409" spans="1:63" hidden="1">
      <c r="A409">
        <v>27207281</v>
      </c>
      <c r="B409" s="2" t="str">
        <f>HYPERLINK("http://www.windermere.com/index.cfm?fuseaction=Listing.ListingDetail&amp;ListingID=19034826","Active")</f>
        <v>Active</v>
      </c>
      <c r="D409" t="s">
        <v>1238</v>
      </c>
      <c r="E409" t="s">
        <v>1239</v>
      </c>
      <c r="F409" s="13">
        <v>629950</v>
      </c>
      <c r="G409" t="s">
        <v>246</v>
      </c>
      <c r="H409" s="1">
        <v>1785</v>
      </c>
      <c r="J409">
        <v>3</v>
      </c>
      <c r="K409">
        <v>2.5</v>
      </c>
      <c r="M409" s="2" t="str">
        <f>HYPERLINK("http://www.windermere.com/index.cfm?fuseaction=Listing.MapPropertyInteractive&amp;ListingID=19034826&amp;resize=true&amp;windowWidth=800&amp;windowHeight=600","Map")</f>
        <v>Map</v>
      </c>
      <c r="O409" s="2" t="str">
        <f>HYPERLINK("http://www.windermere.com/index.cfm?fuseaction=Listing.MultiImageViewer&amp;ListingID=19034826&amp;ln=27207281&amp;pub_mls=1","More")</f>
        <v>More</v>
      </c>
      <c r="P409" t="s">
        <v>44</v>
      </c>
      <c r="AI409" t="s">
        <v>66</v>
      </c>
      <c r="AJ409">
        <v>98117</v>
      </c>
      <c r="AS409" t="s">
        <v>1240</v>
      </c>
      <c r="AT409">
        <v>19034826</v>
      </c>
      <c r="AU409" s="12">
        <v>39495</v>
      </c>
      <c r="BB409" t="s">
        <v>911</v>
      </c>
      <c r="BC409" s="7">
        <v>39416</v>
      </c>
      <c r="BG409">
        <v>82</v>
      </c>
      <c r="BH409" s="17">
        <f t="shared" ca="1" si="6"/>
        <v>133</v>
      </c>
      <c r="BI409" s="17"/>
      <c r="BJ409" s="17"/>
    </row>
    <row r="410" spans="1:63" hidden="1">
      <c r="A410">
        <v>28011311</v>
      </c>
      <c r="B410" s="2" t="str">
        <f>HYPERLINK("http://www.windermere.com/index.cfm?fuseaction=Listing.ListingDetail&amp;ListingID=19243527","Active")</f>
        <v>Active</v>
      </c>
      <c r="D410" t="s">
        <v>63</v>
      </c>
      <c r="E410" t="s">
        <v>1241</v>
      </c>
      <c r="F410" s="10">
        <v>695000</v>
      </c>
      <c r="G410" t="s">
        <v>177</v>
      </c>
      <c r="H410" s="1">
        <v>1940</v>
      </c>
      <c r="I410">
        <v>3000</v>
      </c>
      <c r="J410">
        <v>3</v>
      </c>
      <c r="K410">
        <v>2.75</v>
      </c>
      <c r="M410" s="2" t="str">
        <f>HYPERLINK("http://www.windermere.com/index.cfm?fuseaction=Listing.MapPropertyInteractive&amp;ListingID=19243527&amp;resize=true&amp;windowWidth=800&amp;windowHeight=600","Map")</f>
        <v>Map</v>
      </c>
      <c r="O410" s="2" t="str">
        <f>HYPERLINK("http://www.windermere.com/index.cfm?fuseaction=Listing.MultiImageViewer&amp;ListingID=19243527&amp;ln=28011311&amp;pub_mls=1","More")</f>
        <v>More</v>
      </c>
      <c r="P410" t="s">
        <v>44</v>
      </c>
      <c r="AI410" t="s">
        <v>66</v>
      </c>
      <c r="AJ410">
        <v>98117</v>
      </c>
      <c r="AS410" t="s">
        <v>1242</v>
      </c>
      <c r="AT410">
        <v>19243527</v>
      </c>
      <c r="AU410" s="12">
        <v>39495</v>
      </c>
      <c r="BB410" t="s">
        <v>911</v>
      </c>
      <c r="BC410" s="7">
        <v>39465</v>
      </c>
      <c r="BG410">
        <v>33</v>
      </c>
      <c r="BH410" s="17">
        <f t="shared" ca="1" si="6"/>
        <v>84</v>
      </c>
      <c r="BI410" s="17"/>
      <c r="BJ410" s="17"/>
    </row>
    <row r="411" spans="1:63" hidden="1">
      <c r="A411">
        <v>28004731</v>
      </c>
      <c r="B411" s="2" t="str">
        <f>HYPERLINK("http://www.windermere.com/index.cfm?fuseaction=Listing.ListingDetail&amp;ListingID=19181505","Active")</f>
        <v>Active</v>
      </c>
      <c r="D411" t="s">
        <v>1238</v>
      </c>
      <c r="E411" t="s">
        <v>1249</v>
      </c>
      <c r="F411" s="13">
        <v>689950</v>
      </c>
      <c r="G411" t="s">
        <v>246</v>
      </c>
      <c r="H411" s="1">
        <v>2093</v>
      </c>
      <c r="J411">
        <v>3</v>
      </c>
      <c r="K411">
        <v>2.5</v>
      </c>
      <c r="M411" s="2" t="str">
        <f>HYPERLINK("http://www.windermere.com/index.cfm?fuseaction=Listing.MapPropertyInteractive&amp;ListingID=19181505&amp;resize=true&amp;windowWidth=800&amp;windowHeight=600","Map")</f>
        <v>Map</v>
      </c>
      <c r="O411" s="2" t="str">
        <f>HYPERLINK("http://www.windermere.com/index.cfm?fuseaction=Listing.MultiImageViewer&amp;ListingID=19181505&amp;ln=28004731&amp;pub_mls=1","More")</f>
        <v>More</v>
      </c>
      <c r="P411" t="s">
        <v>44</v>
      </c>
      <c r="AI411" t="s">
        <v>66</v>
      </c>
      <c r="AJ411">
        <v>98117</v>
      </c>
      <c r="AS411" t="s">
        <v>1250</v>
      </c>
      <c r="AT411">
        <v>19181505</v>
      </c>
      <c r="AU411" s="12">
        <v>39495</v>
      </c>
      <c r="BB411" t="s">
        <v>911</v>
      </c>
      <c r="BC411" s="7">
        <v>39455</v>
      </c>
      <c r="BG411">
        <v>43</v>
      </c>
      <c r="BH411" s="17">
        <f t="shared" ca="1" si="6"/>
        <v>94</v>
      </c>
      <c r="BI411" s="17"/>
      <c r="BJ411" s="17"/>
    </row>
    <row r="412" spans="1:63" hidden="1">
      <c r="A412">
        <v>28004734</v>
      </c>
      <c r="B412" s="2" t="str">
        <f>HYPERLINK("http://www.windermere.com/index.cfm?fuseaction=Listing.ListingDetail&amp;ListingID=19181506","Active")</f>
        <v>Active</v>
      </c>
      <c r="D412" t="s">
        <v>1238</v>
      </c>
      <c r="E412" t="s">
        <v>1243</v>
      </c>
      <c r="F412" s="13">
        <v>689950</v>
      </c>
      <c r="G412" t="s">
        <v>246</v>
      </c>
      <c r="H412" s="1">
        <v>2094</v>
      </c>
      <c r="J412">
        <v>3</v>
      </c>
      <c r="K412">
        <v>2.5</v>
      </c>
      <c r="M412" s="2" t="str">
        <f>HYPERLINK("http://www.windermere.com/index.cfm?fuseaction=Listing.MapPropertyInteractive&amp;ListingID=19181506&amp;resize=true&amp;windowWidth=800&amp;windowHeight=600","Map")</f>
        <v>Map</v>
      </c>
      <c r="O412" s="2" t="str">
        <f>HYPERLINK("http://www.windermere.com/index.cfm?fuseaction=Listing.MultiImageViewer&amp;ListingID=19181506&amp;ln=28004734&amp;pub_mls=1","More")</f>
        <v>More</v>
      </c>
      <c r="P412" t="s">
        <v>44</v>
      </c>
      <c r="AI412" t="s">
        <v>66</v>
      </c>
      <c r="AJ412">
        <v>98117</v>
      </c>
      <c r="AS412" t="s">
        <v>1244</v>
      </c>
      <c r="AT412">
        <v>19181506</v>
      </c>
      <c r="AU412" s="12">
        <v>39495</v>
      </c>
      <c r="BB412" t="s">
        <v>911</v>
      </c>
      <c r="BC412" s="7">
        <v>39455</v>
      </c>
      <c r="BG412">
        <v>43</v>
      </c>
      <c r="BH412" s="17">
        <f t="shared" ca="1" si="6"/>
        <v>94</v>
      </c>
      <c r="BI412" s="17"/>
      <c r="BJ412" s="17"/>
    </row>
    <row r="413" spans="1:63" hidden="1">
      <c r="A413">
        <v>28004743</v>
      </c>
      <c r="B413" s="2" t="str">
        <f>HYPERLINK("http://www.windermere.com/index.cfm?fuseaction=Listing.ListingDetail&amp;ListingID=19181512","Active")</f>
        <v>Active</v>
      </c>
      <c r="D413" t="s">
        <v>1238</v>
      </c>
      <c r="E413" t="s">
        <v>1245</v>
      </c>
      <c r="F413" s="13">
        <v>689950</v>
      </c>
      <c r="G413" t="s">
        <v>246</v>
      </c>
      <c r="H413" s="1">
        <v>2093</v>
      </c>
      <c r="J413">
        <v>3</v>
      </c>
      <c r="K413">
        <v>2.5</v>
      </c>
      <c r="M413" s="2" t="str">
        <f>HYPERLINK("http://www.windermere.com/index.cfm?fuseaction=Listing.MapPropertyInteractive&amp;ListingID=19181512&amp;resize=true&amp;windowWidth=800&amp;windowHeight=600","Map")</f>
        <v>Map</v>
      </c>
      <c r="O413" s="2" t="str">
        <f>HYPERLINK("http://www.windermere.com/index.cfm?fuseaction=Listing.MultiImageViewer&amp;ListingID=19181512&amp;ln=28004743&amp;pub_mls=1","More")</f>
        <v>More</v>
      </c>
      <c r="P413" t="s">
        <v>44</v>
      </c>
      <c r="AI413" t="s">
        <v>66</v>
      </c>
      <c r="AJ413">
        <v>98117</v>
      </c>
      <c r="AS413" t="s">
        <v>1246</v>
      </c>
      <c r="AT413">
        <v>19181512</v>
      </c>
      <c r="AU413" s="12">
        <v>39495</v>
      </c>
      <c r="BB413" t="s">
        <v>911</v>
      </c>
      <c r="BC413" s="7">
        <v>39455</v>
      </c>
      <c r="BG413">
        <v>43</v>
      </c>
      <c r="BH413" s="17">
        <f t="shared" ca="1" si="6"/>
        <v>94</v>
      </c>
      <c r="BI413" s="17"/>
      <c r="BJ413" s="17"/>
    </row>
    <row r="414" spans="1:63" hidden="1">
      <c r="A414">
        <v>28004745</v>
      </c>
      <c r="B414" s="2" t="str">
        <f>HYPERLINK("http://www.windermere.com/index.cfm?fuseaction=Listing.ListingDetail&amp;ListingID=19181513","Active")</f>
        <v>Active</v>
      </c>
      <c r="D414" t="s">
        <v>1238</v>
      </c>
      <c r="E414" t="s">
        <v>1247</v>
      </c>
      <c r="F414" s="13">
        <v>694950</v>
      </c>
      <c r="G414" t="s">
        <v>246</v>
      </c>
      <c r="H414" s="1">
        <v>2094</v>
      </c>
      <c r="J414">
        <v>3</v>
      </c>
      <c r="K414">
        <v>2.5</v>
      </c>
      <c r="M414" s="2" t="str">
        <f>HYPERLINK("http://www.windermere.com/index.cfm?fuseaction=Listing.MapPropertyInteractive&amp;ListingID=19181513&amp;resize=true&amp;windowWidth=800&amp;windowHeight=600","Map")</f>
        <v>Map</v>
      </c>
      <c r="O414" s="2" t="str">
        <f>HYPERLINK("http://www.windermere.com/index.cfm?fuseaction=Listing.MultiImageViewer&amp;ListingID=19181513&amp;ln=28004745&amp;pub_mls=1","More")</f>
        <v>More</v>
      </c>
      <c r="P414" t="s">
        <v>44</v>
      </c>
      <c r="AI414" t="s">
        <v>66</v>
      </c>
      <c r="AJ414">
        <v>98117</v>
      </c>
      <c r="AS414" t="s">
        <v>1248</v>
      </c>
      <c r="AT414">
        <v>19181513</v>
      </c>
      <c r="AU414" s="12">
        <v>39495</v>
      </c>
      <c r="BB414" t="s">
        <v>911</v>
      </c>
      <c r="BC414" s="7">
        <v>39455</v>
      </c>
      <c r="BG414">
        <v>43</v>
      </c>
      <c r="BH414" s="17">
        <f t="shared" ca="1" si="6"/>
        <v>94</v>
      </c>
      <c r="BI414" s="17"/>
      <c r="BJ414" s="17"/>
    </row>
    <row r="415" spans="1:63" hidden="1">
      <c r="A415">
        <v>28027450</v>
      </c>
      <c r="B415" s="2" t="str">
        <f>HYPERLINK("http://www.windermere.com/index.cfm?fuseaction=Listing.ListingDetail&amp;ListingID=19373391","Active")</f>
        <v>Active</v>
      </c>
      <c r="D415" t="s">
        <v>1202</v>
      </c>
      <c r="E415" t="s">
        <v>1251</v>
      </c>
      <c r="F415" s="10">
        <v>700000</v>
      </c>
      <c r="G415" t="s">
        <v>418</v>
      </c>
      <c r="H415" s="1">
        <v>2550</v>
      </c>
      <c r="I415">
        <v>7440</v>
      </c>
      <c r="J415">
        <v>3</v>
      </c>
      <c r="K415">
        <v>2.5</v>
      </c>
      <c r="M415" s="2" t="str">
        <f>HYPERLINK("http://www.windermere.com/index.cfm?fuseaction=Listing.MapPropertyInteractive&amp;ListingID=19373391&amp;resize=true&amp;windowWidth=800&amp;windowHeight=600","Map")</f>
        <v>Map</v>
      </c>
      <c r="O415" s="2" t="str">
        <f>HYPERLINK("http://www.windermere.com/index.cfm?fuseaction=Listing.MultiImageViewer&amp;ListingID=19373391&amp;ln=28027450&amp;pub_mls=1","More")</f>
        <v>More</v>
      </c>
      <c r="P415" t="s">
        <v>44</v>
      </c>
      <c r="AI415" t="s">
        <v>66</v>
      </c>
      <c r="AJ415">
        <v>98117</v>
      </c>
      <c r="AS415" t="s">
        <v>1252</v>
      </c>
      <c r="AT415">
        <v>19373391</v>
      </c>
      <c r="AU415" s="12">
        <v>39495</v>
      </c>
      <c r="BB415" t="s">
        <v>911</v>
      </c>
      <c r="BC415" s="7">
        <v>39492</v>
      </c>
      <c r="BG415">
        <v>6</v>
      </c>
      <c r="BH415" s="17">
        <f t="shared" ca="1" si="6"/>
        <v>57</v>
      </c>
      <c r="BI415" s="17"/>
      <c r="BJ415" s="17"/>
    </row>
    <row r="416" spans="1:63" hidden="1">
      <c r="A416">
        <v>28004740</v>
      </c>
      <c r="B416" s="2" t="str">
        <f>HYPERLINK("http://www.windermere.com/index.cfm?fuseaction=Listing.ListingDetail&amp;ListingID=19181511","Active")</f>
        <v>Active</v>
      </c>
      <c r="D416" t="s">
        <v>1238</v>
      </c>
      <c r="E416" t="s">
        <v>1253</v>
      </c>
      <c r="F416" s="13">
        <v>689950</v>
      </c>
      <c r="G416" t="s">
        <v>246</v>
      </c>
      <c r="H416" s="1">
        <v>2072</v>
      </c>
      <c r="J416">
        <v>3</v>
      </c>
      <c r="K416">
        <v>2.5</v>
      </c>
      <c r="M416" s="2" t="str">
        <f>HYPERLINK("http://www.windermere.com/index.cfm?fuseaction=Listing.MapPropertyInteractive&amp;ListingID=19181511&amp;resize=true&amp;windowWidth=800&amp;windowHeight=600","Map")</f>
        <v>Map</v>
      </c>
      <c r="O416" s="2" t="str">
        <f>HYPERLINK("http://www.windermere.com/index.cfm?fuseaction=Listing.MultiImageViewer&amp;ListingID=19181511&amp;ln=28004740&amp;pub_mls=1","More")</f>
        <v>More</v>
      </c>
      <c r="P416" t="s">
        <v>44</v>
      </c>
      <c r="AI416" t="s">
        <v>66</v>
      </c>
      <c r="AJ416">
        <v>98117</v>
      </c>
      <c r="AS416" t="s">
        <v>1254</v>
      </c>
      <c r="AT416">
        <v>19181511</v>
      </c>
      <c r="AU416" s="12">
        <v>39495</v>
      </c>
      <c r="BB416" t="s">
        <v>911</v>
      </c>
      <c r="BC416" s="7">
        <v>39455</v>
      </c>
      <c r="BG416">
        <v>43</v>
      </c>
      <c r="BH416" s="17">
        <f t="shared" ca="1" si="6"/>
        <v>94</v>
      </c>
      <c r="BI416" s="17"/>
      <c r="BJ416" s="17"/>
    </row>
    <row r="417" spans="1:62" hidden="1">
      <c r="A417">
        <v>28004738</v>
      </c>
      <c r="B417" s="2" t="str">
        <f>HYPERLINK("http://www.windermere.com/index.cfm?fuseaction=Listing.ListingDetail&amp;ListingID=19181507","Active")</f>
        <v>Active</v>
      </c>
      <c r="D417" t="s">
        <v>1238</v>
      </c>
      <c r="E417" t="s">
        <v>1255</v>
      </c>
      <c r="F417" s="13">
        <v>699950</v>
      </c>
      <c r="G417" t="s">
        <v>246</v>
      </c>
      <c r="H417" s="1">
        <v>2089</v>
      </c>
      <c r="J417">
        <v>3</v>
      </c>
      <c r="K417">
        <v>2.5</v>
      </c>
      <c r="M417" s="2" t="str">
        <f>HYPERLINK("http://www.windermere.com/index.cfm?fuseaction=Listing.MapPropertyInteractive&amp;ListingID=19181507&amp;resize=true&amp;windowWidth=800&amp;windowHeight=600","Map")</f>
        <v>Map</v>
      </c>
      <c r="O417" s="2" t="str">
        <f>HYPERLINK("http://www.windermere.com/index.cfm?fuseaction=Listing.MultiImageViewer&amp;ListingID=19181507&amp;ln=28004738&amp;pub_mls=1","More")</f>
        <v>More</v>
      </c>
      <c r="P417" t="s">
        <v>44</v>
      </c>
      <c r="AI417" t="s">
        <v>66</v>
      </c>
      <c r="AJ417">
        <v>98117</v>
      </c>
      <c r="AS417" t="s">
        <v>1256</v>
      </c>
      <c r="AT417">
        <v>19181507</v>
      </c>
      <c r="AU417" s="12">
        <v>39495</v>
      </c>
      <c r="BB417" t="s">
        <v>911</v>
      </c>
      <c r="BC417" s="7">
        <v>39455</v>
      </c>
      <c r="BG417">
        <v>43</v>
      </c>
      <c r="BH417" s="17">
        <f t="shared" ca="1" si="6"/>
        <v>94</v>
      </c>
      <c r="BI417" s="17"/>
      <c r="BJ417" s="17"/>
    </row>
    <row r="418" spans="1:62" hidden="1">
      <c r="A418">
        <v>28000387</v>
      </c>
      <c r="B418" s="2" t="str">
        <f>HYPERLINK("http://www.windermere.com/index.cfm?fuseaction=Listing.ListingDetail&amp;ListingID=19143759","Active")</f>
        <v>Active</v>
      </c>
      <c r="D418" t="s">
        <v>101</v>
      </c>
      <c r="E418" t="s">
        <v>1257</v>
      </c>
      <c r="F418" s="10">
        <v>729000</v>
      </c>
      <c r="G418" t="s">
        <v>162</v>
      </c>
      <c r="H418" s="1">
        <v>2240</v>
      </c>
      <c r="I418">
        <v>7094</v>
      </c>
      <c r="J418">
        <v>3</v>
      </c>
      <c r="K418">
        <v>2</v>
      </c>
      <c r="M418" s="2" t="str">
        <f>HYPERLINK("http://www.windermere.com/index.cfm?fuseaction=Listing.MapPropertyInteractive&amp;ListingID=19143759&amp;resize=true&amp;windowWidth=800&amp;windowHeight=600","Map")</f>
        <v>Map</v>
      </c>
      <c r="O418" s="2" t="str">
        <f>HYPERLINK("http://www.windermere.com/index.cfm?fuseaction=Listing.MultiImageViewer&amp;ListingID=19143759&amp;ln=28000387&amp;pub_mls=1","More")</f>
        <v>More</v>
      </c>
      <c r="P418" t="s">
        <v>44</v>
      </c>
      <c r="AI418" t="s">
        <v>66</v>
      </c>
      <c r="AJ418">
        <v>98117</v>
      </c>
      <c r="AS418" t="s">
        <v>1258</v>
      </c>
      <c r="AT418">
        <v>19143759</v>
      </c>
      <c r="AU418" s="12">
        <v>39495</v>
      </c>
      <c r="BB418" t="s">
        <v>911</v>
      </c>
      <c r="BC418" s="7">
        <v>39448</v>
      </c>
      <c r="BG418">
        <v>50</v>
      </c>
      <c r="BH418" s="17">
        <f t="shared" ca="1" si="6"/>
        <v>101</v>
      </c>
      <c r="BI418" s="17"/>
      <c r="BJ418" s="17"/>
    </row>
    <row r="419" spans="1:62" hidden="1">
      <c r="A419">
        <v>28009535</v>
      </c>
      <c r="B419" s="2" t="str">
        <f>HYPERLINK("http://www.windermere.com/index.cfm?fuseaction=Listing.ListingDetail&amp;ListingID=19233166","Active")</f>
        <v>Active</v>
      </c>
      <c r="D419" t="s">
        <v>1259</v>
      </c>
      <c r="E419" t="s">
        <v>1260</v>
      </c>
      <c r="F419" s="10">
        <v>735000</v>
      </c>
      <c r="G419" t="s">
        <v>151</v>
      </c>
      <c r="H419" s="1">
        <v>2760</v>
      </c>
      <c r="I419">
        <v>4500</v>
      </c>
      <c r="J419">
        <v>2</v>
      </c>
      <c r="K419">
        <v>1.75</v>
      </c>
      <c r="M419" s="2" t="str">
        <f>HYPERLINK("http://www.windermere.com/index.cfm?fuseaction=Listing.MapPropertyInteractive&amp;ListingID=19233166&amp;resize=true&amp;windowWidth=800&amp;windowHeight=600","Map")</f>
        <v>Map</v>
      </c>
      <c r="O419" s="2" t="str">
        <f>HYPERLINK("http://www.windermere.com/index.cfm?fuseaction=viewGallery.Home&amp;customTourID=197820&amp;wvt=0","More")</f>
        <v>More</v>
      </c>
      <c r="P419" t="s">
        <v>44</v>
      </c>
      <c r="AI419" t="s">
        <v>66</v>
      </c>
      <c r="AJ419">
        <v>98117</v>
      </c>
      <c r="AS419" t="s">
        <v>1261</v>
      </c>
      <c r="AT419">
        <v>19233166</v>
      </c>
      <c r="AU419" s="12">
        <v>39495</v>
      </c>
      <c r="BB419" t="s">
        <v>911</v>
      </c>
      <c r="BC419" s="7">
        <v>39463</v>
      </c>
      <c r="BG419">
        <v>35</v>
      </c>
      <c r="BH419" s="17">
        <f t="shared" ca="1" si="6"/>
        <v>86</v>
      </c>
      <c r="BI419" s="17"/>
      <c r="BJ419" s="17"/>
    </row>
    <row r="420" spans="1:62" hidden="1">
      <c r="A420">
        <v>27172480</v>
      </c>
      <c r="B420" s="2" t="str">
        <f>HYPERLINK("http://www.windermere.com/index.cfm?fuseaction=Listing.ListingDetail&amp;ListingID=18675948","Active")</f>
        <v>Active</v>
      </c>
      <c r="D420" t="s">
        <v>1238</v>
      </c>
      <c r="E420" t="s">
        <v>1262</v>
      </c>
      <c r="F420" s="13">
        <v>725950</v>
      </c>
      <c r="G420" t="s">
        <v>246</v>
      </c>
      <c r="H420" s="1">
        <v>2083</v>
      </c>
      <c r="J420">
        <v>3</v>
      </c>
      <c r="K420">
        <v>2.5</v>
      </c>
      <c r="M420" s="2" t="str">
        <f>HYPERLINK("http://www.windermere.com/index.cfm?fuseaction=Listing.MapPropertyInteractive&amp;ListingID=18675948&amp;resize=true&amp;windowWidth=800&amp;windowHeight=600","Map")</f>
        <v>Map</v>
      </c>
      <c r="O420" s="2" t="str">
        <f>HYPERLINK("http://www.windermere.com/index.cfm?fuseaction=Listing.MultiImageViewer&amp;ListingID=18675948&amp;ln=27172480&amp;pub_mls=1","More")</f>
        <v>More</v>
      </c>
      <c r="P420" t="s">
        <v>44</v>
      </c>
      <c r="AI420" t="s">
        <v>66</v>
      </c>
      <c r="AJ420">
        <v>98117</v>
      </c>
      <c r="AS420" t="s">
        <v>1263</v>
      </c>
      <c r="AT420">
        <v>18675948</v>
      </c>
      <c r="AU420" s="12">
        <v>39495</v>
      </c>
      <c r="BB420" t="s">
        <v>911</v>
      </c>
      <c r="BC420" s="7">
        <v>39346</v>
      </c>
      <c r="BG420">
        <v>152</v>
      </c>
      <c r="BH420" s="17">
        <f t="shared" ca="1" si="6"/>
        <v>203</v>
      </c>
      <c r="BI420" s="17"/>
      <c r="BJ420" s="17"/>
    </row>
    <row r="421" spans="1:62" hidden="1">
      <c r="A421">
        <v>28019954</v>
      </c>
      <c r="B421" s="2" t="str">
        <f>HYPERLINK("http://www.windermere.com/index.cfm?fuseaction=Listing.ListingDetail&amp;ListingID=19315379","Active")</f>
        <v>Active</v>
      </c>
      <c r="D421" s="3" t="s">
        <v>1615</v>
      </c>
      <c r="E421" t="s">
        <v>1264</v>
      </c>
      <c r="F421" s="10">
        <v>776000</v>
      </c>
      <c r="G421" t="s">
        <v>157</v>
      </c>
      <c r="H421" s="1">
        <v>1940</v>
      </c>
      <c r="I421">
        <v>8650</v>
      </c>
      <c r="J421">
        <v>2</v>
      </c>
      <c r="K421">
        <v>1.75</v>
      </c>
      <c r="M421" s="2" t="str">
        <f>HYPERLINK("http://www.windermere.com/index.cfm?fuseaction=Listing.MapPropertyInteractive&amp;ListingID=19315379&amp;resize=true&amp;windowWidth=800&amp;windowHeight=600","Map")</f>
        <v>Map</v>
      </c>
      <c r="O421" s="2" t="str">
        <f>HYPERLINK("http://www.windermere.com/index.cfm?fuseaction=viewGallery.Home&amp;customTourID=206456&amp;wvt=0","More")</f>
        <v>More</v>
      </c>
      <c r="P421" t="s">
        <v>44</v>
      </c>
      <c r="AI421" t="s">
        <v>66</v>
      </c>
      <c r="AJ421">
        <v>98117</v>
      </c>
      <c r="AS421" t="s">
        <v>1265</v>
      </c>
      <c r="AT421">
        <v>19315379</v>
      </c>
      <c r="AU421" s="12">
        <v>39495</v>
      </c>
      <c r="BB421" t="s">
        <v>911</v>
      </c>
      <c r="BC421" s="7">
        <v>39480</v>
      </c>
      <c r="BG421">
        <v>18</v>
      </c>
      <c r="BH421" s="17">
        <f t="shared" ca="1" si="6"/>
        <v>69</v>
      </c>
      <c r="BI421" s="17"/>
      <c r="BJ421" s="17"/>
    </row>
    <row r="422" spans="1:62" hidden="1">
      <c r="A422">
        <v>28005243</v>
      </c>
      <c r="B422" s="2" t="str">
        <f>HYPERLINK("http://www.windermere.com/index.cfm?fuseaction=Listing.ListingDetail&amp;ListingID=19213443","Active")</f>
        <v>Active</v>
      </c>
      <c r="D422" t="s">
        <v>101</v>
      </c>
      <c r="E422" t="s">
        <v>1266</v>
      </c>
      <c r="F422" s="10">
        <v>799000</v>
      </c>
      <c r="G422" t="s">
        <v>153</v>
      </c>
      <c r="H422" s="1">
        <v>2150</v>
      </c>
      <c r="I422">
        <v>5215</v>
      </c>
      <c r="J422">
        <v>3</v>
      </c>
      <c r="K422">
        <v>1.75</v>
      </c>
      <c r="M422" s="2" t="str">
        <f>HYPERLINK("http://www.windermere.com/index.cfm?fuseaction=Listing.MapPropertyInteractive&amp;ListingID=19213443&amp;resize=true&amp;windowWidth=800&amp;windowHeight=600","Map")</f>
        <v>Map</v>
      </c>
      <c r="O422" s="2" t="str">
        <f>HYPERLINK("http://www.windermere.com/index.cfm?fuseaction=viewGallery.Home&amp;customTourID=203898&amp;wvt=0","More")</f>
        <v>More</v>
      </c>
      <c r="P422" t="s">
        <v>44</v>
      </c>
      <c r="AI422" t="s">
        <v>66</v>
      </c>
      <c r="AJ422">
        <v>98117</v>
      </c>
      <c r="AS422" t="s">
        <v>1267</v>
      </c>
      <c r="AT422">
        <v>19213443</v>
      </c>
      <c r="AU422" s="12">
        <v>39495</v>
      </c>
      <c r="BB422" t="s">
        <v>911</v>
      </c>
      <c r="BC422" s="7">
        <v>39458</v>
      </c>
      <c r="BG422">
        <v>40</v>
      </c>
      <c r="BH422" s="17">
        <f t="shared" ca="1" si="6"/>
        <v>91</v>
      </c>
      <c r="BI422" s="17"/>
      <c r="BJ422" s="17"/>
    </row>
    <row r="423" spans="1:62" hidden="1">
      <c r="A423">
        <v>27163418</v>
      </c>
      <c r="B423" s="15" t="str">
        <f>HYPERLINK("http://www.windermere.com/index.cfm?fuseaction=Listing.ListingDetail&amp;ListingID=18576148","Subject To Inspection")</f>
        <v>Subject To Inspection</v>
      </c>
      <c r="D423" t="s">
        <v>78</v>
      </c>
      <c r="E423" t="s">
        <v>1268</v>
      </c>
      <c r="F423" s="10">
        <v>799950</v>
      </c>
      <c r="G423" t="s">
        <v>403</v>
      </c>
      <c r="H423" s="1">
        <v>2630</v>
      </c>
      <c r="I423">
        <v>6600</v>
      </c>
      <c r="J423">
        <v>4</v>
      </c>
      <c r="K423">
        <v>2.75</v>
      </c>
      <c r="M423" s="2" t="str">
        <f>HYPERLINK("http://www.windermere.com/index.cfm?fuseaction=Listing.MapPropertyInteractive&amp;ListingID=18576148&amp;resize=true&amp;windowWidth=800&amp;windowHeight=600","Map")</f>
        <v>Map</v>
      </c>
      <c r="O423" s="2" t="str">
        <f>HYPERLINK("http://www.windermere.com/index.cfm?fuseaction=Listing.MultiImageViewer&amp;ListingID=18576148&amp;ln=27163418&amp;pub_mls=1","More")</f>
        <v>More</v>
      </c>
      <c r="AI423" t="s">
        <v>66</v>
      </c>
      <c r="AJ423">
        <v>98117</v>
      </c>
      <c r="AS423" t="s">
        <v>1269</v>
      </c>
      <c r="AT423">
        <v>18576148</v>
      </c>
      <c r="AU423" s="12">
        <v>39495</v>
      </c>
      <c r="BB423" t="s">
        <v>911</v>
      </c>
      <c r="BC423" s="7">
        <v>39331</v>
      </c>
      <c r="BD423">
        <v>3</v>
      </c>
      <c r="BE423" s="6" t="s">
        <v>1327</v>
      </c>
      <c r="BG423">
        <v>167</v>
      </c>
      <c r="BH423" s="17">
        <f t="shared" ca="1" si="6"/>
        <v>218</v>
      </c>
      <c r="BI423" s="17"/>
      <c r="BJ423" s="17"/>
    </row>
    <row r="424" spans="1:62" hidden="1">
      <c r="A424">
        <v>28006190</v>
      </c>
      <c r="B424" s="2" t="str">
        <f>HYPERLINK("http://www.windermere.com/index.cfm?fuseaction=Listing.ListingDetail&amp;ListingID=19191851","Active")</f>
        <v>Active</v>
      </c>
      <c r="D424" t="s">
        <v>1202</v>
      </c>
      <c r="E424" t="s">
        <v>1270</v>
      </c>
      <c r="F424" s="10">
        <v>824500</v>
      </c>
      <c r="G424" t="s">
        <v>131</v>
      </c>
      <c r="H424" s="1">
        <v>2780</v>
      </c>
      <c r="I424">
        <v>6600</v>
      </c>
      <c r="J424">
        <v>4</v>
      </c>
      <c r="K424">
        <v>2.75</v>
      </c>
      <c r="M424" s="2" t="str">
        <f>HYPERLINK("http://www.windermere.com/index.cfm?fuseaction=Listing.MapPropertyInteractive&amp;ListingID=19191851&amp;resize=true&amp;windowWidth=800&amp;windowHeight=600","Map")</f>
        <v>Map</v>
      </c>
      <c r="O424" s="2" t="str">
        <f>HYPERLINK("http://www.windermere.com/index.cfm?fuseaction=viewGallery.Home&amp;customTourID=201998&amp;wvt=0","More")</f>
        <v>More</v>
      </c>
      <c r="P424" t="s">
        <v>44</v>
      </c>
      <c r="AI424" t="s">
        <v>66</v>
      </c>
      <c r="AJ424">
        <v>98117</v>
      </c>
      <c r="AS424" t="s">
        <v>1271</v>
      </c>
      <c r="AT424">
        <v>19191851</v>
      </c>
      <c r="AU424" s="12">
        <v>39495</v>
      </c>
      <c r="BB424" t="s">
        <v>911</v>
      </c>
      <c r="BC424" s="7">
        <v>39457</v>
      </c>
      <c r="BG424">
        <v>41</v>
      </c>
      <c r="BH424" s="17">
        <f t="shared" ca="1" si="6"/>
        <v>92</v>
      </c>
      <c r="BI424" s="17"/>
      <c r="BJ424" s="17"/>
    </row>
    <row r="425" spans="1:62" hidden="1">
      <c r="A425">
        <v>27189613</v>
      </c>
      <c r="B425" s="2" t="str">
        <f>HYPERLINK("http://www.windermere.com/index.cfm?fuseaction=Listing.ListingDetail&amp;ListingID=18844447","Active")</f>
        <v>Active</v>
      </c>
      <c r="D425" t="s">
        <v>55</v>
      </c>
      <c r="E425" t="s">
        <v>1272</v>
      </c>
      <c r="F425" s="10">
        <v>824900</v>
      </c>
      <c r="G425" t="s">
        <v>147</v>
      </c>
      <c r="H425" s="1">
        <v>2500</v>
      </c>
      <c r="I425">
        <v>5100</v>
      </c>
      <c r="J425">
        <v>3</v>
      </c>
      <c r="K425">
        <v>2.5</v>
      </c>
      <c r="M425" s="2" t="str">
        <f>HYPERLINK("http://www.windermere.com/index.cfm?fuseaction=Listing.MapPropertyInteractive&amp;ListingID=18844447&amp;resize=true&amp;windowWidth=800&amp;windowHeight=600","Map")</f>
        <v>Map</v>
      </c>
      <c r="O425" s="2" t="str">
        <f>HYPERLINK("http://www.windermere.com/index.cfm?fuseaction=Listing.MultiImageViewer&amp;ListingID=18844447&amp;ln=27189613&amp;pub_mls=1","More")</f>
        <v>More</v>
      </c>
      <c r="P425" t="s">
        <v>44</v>
      </c>
      <c r="AI425" t="s">
        <v>66</v>
      </c>
      <c r="AJ425">
        <v>98117</v>
      </c>
      <c r="AS425" t="s">
        <v>1273</v>
      </c>
      <c r="AT425">
        <v>18844447</v>
      </c>
      <c r="AU425" s="12">
        <v>39495</v>
      </c>
      <c r="BB425" t="s">
        <v>911</v>
      </c>
      <c r="BC425" s="7">
        <v>39375</v>
      </c>
      <c r="BG425">
        <v>123</v>
      </c>
      <c r="BH425" s="17">
        <f t="shared" ca="1" si="6"/>
        <v>174</v>
      </c>
      <c r="BI425" s="17"/>
      <c r="BJ425" s="17"/>
    </row>
    <row r="426" spans="1:62" hidden="1">
      <c r="A426">
        <v>27211767</v>
      </c>
      <c r="B426" s="2" t="str">
        <f>HYPERLINK("http://www.windermere.com/index.cfm?fuseaction=Listing.ListingDetail&amp;ListingID=19082599","Active")</f>
        <v>Active</v>
      </c>
      <c r="D426" t="s">
        <v>78</v>
      </c>
      <c r="E426" t="s">
        <v>1274</v>
      </c>
      <c r="F426" s="10">
        <v>839950</v>
      </c>
      <c r="G426" t="s">
        <v>147</v>
      </c>
      <c r="H426" s="1">
        <v>3111</v>
      </c>
      <c r="I426">
        <v>5500</v>
      </c>
      <c r="J426">
        <v>4</v>
      </c>
      <c r="K426">
        <v>2.75</v>
      </c>
      <c r="M426" s="2" t="str">
        <f>HYPERLINK("http://www.windermere.com/index.cfm?fuseaction=Listing.MapPropertyInteractive&amp;ListingID=19082599&amp;resize=true&amp;windowWidth=800&amp;windowHeight=600","Map")</f>
        <v>Map</v>
      </c>
      <c r="O426" s="2" t="str">
        <f>HYPERLINK("http://www.windermere.com/index.cfm?fuseaction=Listing.MultiImageViewer&amp;ListingID=19082599&amp;ln=27211767&amp;pub_mls=1","More")</f>
        <v>More</v>
      </c>
      <c r="P426" t="s">
        <v>44</v>
      </c>
      <c r="AI426" t="s">
        <v>66</v>
      </c>
      <c r="AJ426">
        <v>98117</v>
      </c>
      <c r="AS426" t="s">
        <v>1275</v>
      </c>
      <c r="AT426">
        <v>19082599</v>
      </c>
      <c r="AU426" s="12">
        <v>39495</v>
      </c>
      <c r="BB426" t="s">
        <v>911</v>
      </c>
      <c r="BC426" s="7">
        <v>39427</v>
      </c>
      <c r="BG426">
        <v>71</v>
      </c>
      <c r="BH426" s="17">
        <f t="shared" ca="1" si="6"/>
        <v>122</v>
      </c>
      <c r="BI426" s="17"/>
      <c r="BJ426" s="17"/>
    </row>
    <row r="427" spans="1:62" hidden="1">
      <c r="A427">
        <v>28026275</v>
      </c>
      <c r="B427" s="2" t="str">
        <f>HYPERLINK("http://www.windermere.com/index.cfm?fuseaction=Listing.ListingDetail&amp;ListingID=19361391","Active")</f>
        <v>Active</v>
      </c>
      <c r="D427" t="s">
        <v>101</v>
      </c>
      <c r="E427" t="s">
        <v>1276</v>
      </c>
      <c r="F427" s="10">
        <v>849950</v>
      </c>
      <c r="G427" t="s">
        <v>176</v>
      </c>
      <c r="H427" s="1">
        <v>2878</v>
      </c>
      <c r="I427">
        <v>21344</v>
      </c>
      <c r="J427">
        <v>4</v>
      </c>
      <c r="K427">
        <v>2.75</v>
      </c>
      <c r="M427" s="2" t="str">
        <f>HYPERLINK("http://www.windermere.com/index.cfm?fuseaction=Listing.MapPropertyInteractive&amp;ListingID=19361391&amp;resize=true&amp;windowWidth=800&amp;windowHeight=600","Map")</f>
        <v>Map</v>
      </c>
      <c r="O427" s="2" t="str">
        <f>HYPERLINK("http://www.windermere.com/index.cfm?fuseaction=Listing.MultiImageViewer&amp;ListingID=19361391&amp;ln=28026275&amp;pub_mls=1","More")</f>
        <v>More</v>
      </c>
      <c r="P427" t="s">
        <v>44</v>
      </c>
      <c r="AI427" t="s">
        <v>66</v>
      </c>
      <c r="AJ427">
        <v>98117</v>
      </c>
      <c r="AS427" t="s">
        <v>1277</v>
      </c>
      <c r="AT427">
        <v>19361391</v>
      </c>
      <c r="AU427" s="12">
        <v>39495</v>
      </c>
      <c r="BB427" t="s">
        <v>911</v>
      </c>
      <c r="BC427" s="7">
        <v>39491</v>
      </c>
      <c r="BG427">
        <v>7</v>
      </c>
      <c r="BH427" s="17">
        <f t="shared" ca="1" si="6"/>
        <v>58</v>
      </c>
      <c r="BI427" s="17"/>
      <c r="BJ427" s="17"/>
    </row>
    <row r="428" spans="1:62" hidden="1">
      <c r="A428">
        <v>28011833</v>
      </c>
      <c r="B428" s="15" t="str">
        <f>HYPERLINK("http://www.windermere.com/index.cfm?fuseaction=Listing.ListingDetail&amp;ListingID=19247573","Subject To Inspection")</f>
        <v>Subject To Inspection</v>
      </c>
      <c r="D428" t="s">
        <v>55</v>
      </c>
      <c r="E428" t="s">
        <v>1278</v>
      </c>
      <c r="F428" s="10">
        <v>899000</v>
      </c>
      <c r="G428" t="s">
        <v>147</v>
      </c>
      <c r="H428" s="1">
        <v>2820</v>
      </c>
      <c r="I428">
        <v>4650</v>
      </c>
      <c r="J428">
        <v>4</v>
      </c>
      <c r="K428">
        <v>3</v>
      </c>
      <c r="M428" s="2" t="str">
        <f>HYPERLINK("http://www.windermere.com/index.cfm?fuseaction=Listing.MapPropertyInteractive&amp;ListingID=19247573&amp;resize=true&amp;windowWidth=800&amp;windowHeight=600","Map")</f>
        <v>Map</v>
      </c>
      <c r="O428" s="2" t="str">
        <f>HYPERLINK("http://www.windermere.com/index.cfm?fuseaction=viewGallery.Home&amp;customTourID=198814&amp;wvt=0","More")</f>
        <v>More</v>
      </c>
      <c r="P428" t="s">
        <v>44</v>
      </c>
      <c r="AI428" t="s">
        <v>66</v>
      </c>
      <c r="AJ428">
        <v>98117</v>
      </c>
      <c r="AS428" t="s">
        <v>1279</v>
      </c>
      <c r="AT428">
        <v>19247573</v>
      </c>
      <c r="AU428" s="12">
        <v>39495</v>
      </c>
      <c r="BB428" t="s">
        <v>911</v>
      </c>
      <c r="BC428" s="7">
        <v>39465</v>
      </c>
      <c r="BG428">
        <v>33</v>
      </c>
      <c r="BH428" s="17">
        <f t="shared" ca="1" si="6"/>
        <v>84</v>
      </c>
      <c r="BI428" s="17"/>
      <c r="BJ428" s="17"/>
    </row>
    <row r="429" spans="1:62" hidden="1">
      <c r="A429">
        <v>28019761</v>
      </c>
      <c r="B429" s="2" t="str">
        <f>HYPERLINK("http://www.windermere.com/index.cfm?fuseaction=Listing.ListingDetail&amp;ListingID=19311701","Active")</f>
        <v>Active</v>
      </c>
      <c r="D429" t="s">
        <v>88</v>
      </c>
      <c r="E429" t="s">
        <v>1280</v>
      </c>
      <c r="F429" s="10">
        <v>959000</v>
      </c>
      <c r="G429" t="s">
        <v>246</v>
      </c>
      <c r="H429" s="1">
        <v>3200</v>
      </c>
      <c r="I429">
        <v>3750</v>
      </c>
      <c r="J429">
        <v>4</v>
      </c>
      <c r="K429">
        <v>3.5</v>
      </c>
      <c r="M429" s="2" t="str">
        <f>HYPERLINK("http://www.windermere.com/index.cfm?fuseaction=Listing.MapPropertyInteractive&amp;ListingID=19311701&amp;resize=true&amp;windowWidth=800&amp;windowHeight=600","Map")</f>
        <v>Map</v>
      </c>
      <c r="O429" s="2" t="str">
        <f>HYPERLINK("http://www.windermere.com/index.cfm?fuseaction=Listing.MultiImageViewer&amp;ListingID=19311701&amp;ln=28019761&amp;pub_mls=1","More")</f>
        <v>More</v>
      </c>
      <c r="P429" t="s">
        <v>44</v>
      </c>
      <c r="AI429" t="s">
        <v>66</v>
      </c>
      <c r="AJ429">
        <v>98117</v>
      </c>
      <c r="AS429" t="s">
        <v>1281</v>
      </c>
      <c r="AT429">
        <v>19311701</v>
      </c>
      <c r="AU429" s="12">
        <v>39495</v>
      </c>
      <c r="BB429" t="s">
        <v>911</v>
      </c>
      <c r="BC429" s="7">
        <v>39479</v>
      </c>
      <c r="BG429">
        <v>19</v>
      </c>
      <c r="BH429" s="17">
        <f t="shared" ca="1" si="6"/>
        <v>70</v>
      </c>
      <c r="BI429" s="17"/>
      <c r="BJ429" s="17"/>
    </row>
    <row r="430" spans="1:62" hidden="1">
      <c r="A430">
        <v>28015865</v>
      </c>
      <c r="B430" s="2" t="str">
        <f>HYPERLINK("http://www.windermere.com/index.cfm?fuseaction=Listing.ListingDetail&amp;ListingID=19280114","Active")</f>
        <v>Active</v>
      </c>
      <c r="D430" t="s">
        <v>78</v>
      </c>
      <c r="E430" t="s">
        <v>1282</v>
      </c>
      <c r="F430" s="18">
        <v>948950</v>
      </c>
      <c r="G430" t="s">
        <v>246</v>
      </c>
      <c r="H430" s="1">
        <v>3395</v>
      </c>
      <c r="I430">
        <v>4046</v>
      </c>
      <c r="J430">
        <v>4</v>
      </c>
      <c r="K430">
        <v>3.5</v>
      </c>
      <c r="M430" s="2" t="str">
        <f>HYPERLINK("http://www.windermere.com/index.cfm?fuseaction=Listing.MapPropertyInteractive&amp;ListingID=19280114&amp;resize=true&amp;windowWidth=800&amp;windowHeight=600","Map")</f>
        <v>Map</v>
      </c>
      <c r="O430" s="2" t="str">
        <f>HYPERLINK("http://www.windermere.com/index.cfm?fuseaction=Listing.MultiImageViewer&amp;ListingID=19280114&amp;ln=28015865&amp;pub_mls=1","More")</f>
        <v>More</v>
      </c>
      <c r="P430" t="s">
        <v>44</v>
      </c>
      <c r="AI430" t="s">
        <v>66</v>
      </c>
      <c r="AJ430">
        <v>98117</v>
      </c>
      <c r="AS430" t="s">
        <v>1283</v>
      </c>
      <c r="AT430">
        <v>19280114</v>
      </c>
      <c r="AU430" s="12">
        <v>39495</v>
      </c>
      <c r="BB430" t="s">
        <v>911</v>
      </c>
      <c r="BC430" s="7">
        <v>39472</v>
      </c>
      <c r="BG430">
        <v>26</v>
      </c>
      <c r="BH430" s="17">
        <f t="shared" ca="1" si="6"/>
        <v>77</v>
      </c>
      <c r="BI430" s="17"/>
      <c r="BJ430" s="17"/>
    </row>
    <row r="431" spans="1:62" hidden="1">
      <c r="A431">
        <v>28018874</v>
      </c>
      <c r="B431" s="2" t="str">
        <f>HYPERLINK("http://www.windermere.com/index.cfm?fuseaction=Listing.ListingDetail&amp;ListingID=19305262","Active")</f>
        <v>Active</v>
      </c>
      <c r="D431" t="s">
        <v>78</v>
      </c>
      <c r="E431" t="s">
        <v>1284</v>
      </c>
      <c r="F431" s="10">
        <v>988950</v>
      </c>
      <c r="G431" t="s">
        <v>147</v>
      </c>
      <c r="H431" s="1">
        <v>3654</v>
      </c>
      <c r="I431">
        <v>3880</v>
      </c>
      <c r="J431">
        <v>4</v>
      </c>
      <c r="K431">
        <v>3.25</v>
      </c>
      <c r="M431" s="2" t="str">
        <f>HYPERLINK("http://www.windermere.com/index.cfm?fuseaction=Listing.MapPropertyInteractive&amp;ListingID=19305262&amp;resize=true&amp;windowWidth=800&amp;windowHeight=600","Map")</f>
        <v>Map</v>
      </c>
      <c r="O431" s="2" t="str">
        <f>HYPERLINK("http://www.windermere.com/index.cfm?fuseaction=Listing.MultiImageViewer&amp;ListingID=19305262&amp;ln=28018874&amp;pub_mls=1","More")</f>
        <v>More</v>
      </c>
      <c r="P431" t="s">
        <v>44</v>
      </c>
      <c r="AI431" t="s">
        <v>66</v>
      </c>
      <c r="AJ431">
        <v>98117</v>
      </c>
      <c r="AS431" t="s">
        <v>1285</v>
      </c>
      <c r="AT431">
        <v>19305262</v>
      </c>
      <c r="AU431" s="12">
        <v>39495</v>
      </c>
      <c r="BB431" t="s">
        <v>911</v>
      </c>
      <c r="BC431" s="7">
        <v>39478</v>
      </c>
      <c r="BG431">
        <v>20</v>
      </c>
      <c r="BH431" s="17">
        <f t="shared" ca="1" si="6"/>
        <v>71</v>
      </c>
      <c r="BI431" s="17"/>
      <c r="BJ431" s="17"/>
    </row>
    <row r="432" spans="1:62" hidden="1">
      <c r="A432">
        <v>28015062</v>
      </c>
      <c r="B432" s="2" t="str">
        <f>HYPERLINK("http://www.windermere.com/index.cfm?fuseaction=Listing.ListingDetail&amp;ListingID=19280039","Active")</f>
        <v>Active</v>
      </c>
      <c r="D432" t="s">
        <v>1023</v>
      </c>
      <c r="E432" t="s">
        <v>1286</v>
      </c>
      <c r="F432" s="10">
        <v>997000</v>
      </c>
      <c r="G432" t="s">
        <v>246</v>
      </c>
      <c r="H432" s="1">
        <v>3078</v>
      </c>
      <c r="I432">
        <v>6476</v>
      </c>
      <c r="J432">
        <v>5</v>
      </c>
      <c r="K432">
        <v>3</v>
      </c>
      <c r="M432" s="2" t="str">
        <f>HYPERLINK("http://www.windermere.com/index.cfm?fuseaction=Listing.MapPropertyInteractive&amp;ListingID=19280039&amp;resize=true&amp;windowWidth=800&amp;windowHeight=600","Map")</f>
        <v>Map</v>
      </c>
      <c r="O432" s="2" t="str">
        <f>HYPERLINK("http://www.windermere.com/index.cfm?fuseaction=Listing.MultiImageViewer&amp;ListingID=19280039&amp;ln=28015062&amp;pub_mls=1","More")</f>
        <v>More</v>
      </c>
      <c r="P432" t="s">
        <v>44</v>
      </c>
      <c r="AI432" t="s">
        <v>66</v>
      </c>
      <c r="AJ432">
        <v>98117</v>
      </c>
      <c r="AS432" t="s">
        <v>1287</v>
      </c>
      <c r="AT432">
        <v>19280039</v>
      </c>
      <c r="AU432" s="12">
        <v>39495</v>
      </c>
      <c r="BB432" t="s">
        <v>911</v>
      </c>
      <c r="BC432" s="7">
        <v>39472</v>
      </c>
      <c r="BG432">
        <v>26</v>
      </c>
      <c r="BH432" s="17">
        <f t="shared" ca="1" si="6"/>
        <v>77</v>
      </c>
      <c r="BI432" s="17"/>
      <c r="BJ432" s="17"/>
    </row>
    <row r="433" spans="1:62" hidden="1">
      <c r="A433">
        <v>28019183</v>
      </c>
      <c r="B433" s="2" t="str">
        <f>HYPERLINK("http://www.windermere.com/index.cfm?fuseaction=Listing.ListingDetail&amp;ListingID=19308744","Active")</f>
        <v>Active</v>
      </c>
      <c r="D433" s="19" t="s">
        <v>1434</v>
      </c>
      <c r="E433" t="s">
        <v>1288</v>
      </c>
      <c r="F433" s="10">
        <v>1089000</v>
      </c>
      <c r="G433" t="s">
        <v>147</v>
      </c>
      <c r="H433" s="1">
        <v>2978</v>
      </c>
      <c r="I433">
        <v>5000</v>
      </c>
      <c r="J433">
        <v>3</v>
      </c>
      <c r="K433">
        <v>2.5</v>
      </c>
      <c r="M433" s="2" t="str">
        <f>HYPERLINK("http://www.windermere.com/index.cfm?fuseaction=Listing.MapPropertyInteractive&amp;ListingID=19308744&amp;resize=true&amp;windowWidth=800&amp;windowHeight=600","Map")</f>
        <v>Map</v>
      </c>
      <c r="O433" s="2" t="str">
        <f>HYPERLINK("http://www.windermere.com/index.cfm?fuseaction=viewGallery.Home&amp;customTourID=206358&amp;wvt=0","More")</f>
        <v>More</v>
      </c>
      <c r="P433" t="s">
        <v>44</v>
      </c>
      <c r="AI433" t="s">
        <v>66</v>
      </c>
      <c r="AJ433">
        <v>98117</v>
      </c>
      <c r="AS433" t="s">
        <v>1289</v>
      </c>
      <c r="AT433">
        <v>19308744</v>
      </c>
      <c r="AU433" s="12">
        <v>39495</v>
      </c>
      <c r="BB433" t="s">
        <v>911</v>
      </c>
      <c r="BC433" s="7">
        <v>39479</v>
      </c>
      <c r="BG433">
        <v>19</v>
      </c>
      <c r="BH433" s="17">
        <f t="shared" ca="1" si="6"/>
        <v>70</v>
      </c>
      <c r="BI433" s="17"/>
      <c r="BJ433" s="17"/>
    </row>
    <row r="434" spans="1:62" hidden="1">
      <c r="A434">
        <v>27209198</v>
      </c>
      <c r="B434" s="2" t="str">
        <f>HYPERLINK("http://www.windermere.com/index.cfm?fuseaction=Listing.ListingDetail&amp;ListingID=19048331","Active")</f>
        <v>Active</v>
      </c>
      <c r="D434" t="s">
        <v>101</v>
      </c>
      <c r="E434" t="s">
        <v>1290</v>
      </c>
      <c r="F434" s="10">
        <v>1099950</v>
      </c>
      <c r="G434" t="s">
        <v>171</v>
      </c>
      <c r="H434" s="1">
        <v>3900</v>
      </c>
      <c r="I434">
        <v>12635</v>
      </c>
      <c r="J434">
        <v>4</v>
      </c>
      <c r="K434">
        <v>3</v>
      </c>
      <c r="M434" s="2" t="str">
        <f>HYPERLINK("http://www.windermere.com/index.cfm?fuseaction=Listing.MapPropertyInteractive&amp;ListingID=19048331&amp;resize=true&amp;windowWidth=800&amp;windowHeight=600","Map")</f>
        <v>Map</v>
      </c>
      <c r="O434" s="2" t="str">
        <f>HYPERLINK("http://www.windermere.com/index.cfm?fuseaction=Listing.MultiImageViewer&amp;ListingID=19048331&amp;ln=27209198&amp;pub_mls=1","More")</f>
        <v>More</v>
      </c>
      <c r="P434" t="s">
        <v>44</v>
      </c>
      <c r="AI434" t="s">
        <v>66</v>
      </c>
      <c r="AJ434">
        <v>98117</v>
      </c>
      <c r="AS434" t="s">
        <v>1291</v>
      </c>
      <c r="AT434">
        <v>19048331</v>
      </c>
      <c r="AU434" s="12">
        <v>39495</v>
      </c>
      <c r="BB434" t="s">
        <v>911</v>
      </c>
      <c r="BC434" s="7">
        <v>39420</v>
      </c>
      <c r="BG434">
        <v>78</v>
      </c>
      <c r="BH434" s="17">
        <f t="shared" ca="1" si="6"/>
        <v>129</v>
      </c>
      <c r="BI434" s="17"/>
      <c r="BJ434" s="17"/>
    </row>
    <row r="435" spans="1:62" hidden="1">
      <c r="A435">
        <v>27135714</v>
      </c>
      <c r="B435" s="15" t="str">
        <f>HYPERLINK("http://www.windermere.com/index.cfm?fuseaction=Listing.ListingDetail&amp;ListingID=18893411","Subject To Inspection")</f>
        <v>Subject To Inspection</v>
      </c>
      <c r="D435" t="s">
        <v>63</v>
      </c>
      <c r="E435" t="s">
        <v>1292</v>
      </c>
      <c r="F435" s="10">
        <v>1105000</v>
      </c>
      <c r="G435" t="s">
        <v>147</v>
      </c>
      <c r="H435" s="1">
        <v>3439</v>
      </c>
      <c r="I435">
        <v>5000</v>
      </c>
      <c r="J435">
        <v>3</v>
      </c>
      <c r="K435">
        <v>2.5</v>
      </c>
      <c r="M435" s="2" t="str">
        <f>HYPERLINK("http://www.windermere.com/index.cfm?fuseaction=Listing.MapPropertyInteractive&amp;ListingID=18893411&amp;resize=true&amp;windowWidth=800&amp;windowHeight=600","Map")</f>
        <v>Map</v>
      </c>
      <c r="O435" s="2" t="str">
        <f>HYPERLINK("http://www.windermere.com/index.cfm?fuseaction=Listing.MultiImageViewer&amp;ListingID=18893411&amp;ln=27135714&amp;pub_mls=1","More")</f>
        <v>More</v>
      </c>
      <c r="P435" t="s">
        <v>44</v>
      </c>
      <c r="AI435" t="s">
        <v>66</v>
      </c>
      <c r="AJ435">
        <v>98117</v>
      </c>
      <c r="AS435" t="s">
        <v>1293</v>
      </c>
      <c r="AT435">
        <v>18893411</v>
      </c>
      <c r="AU435" s="12">
        <v>39495</v>
      </c>
      <c r="BB435" t="s">
        <v>911</v>
      </c>
      <c r="BC435" s="7">
        <v>39290</v>
      </c>
      <c r="BD435">
        <v>-2</v>
      </c>
      <c r="BE435" s="6" t="s">
        <v>1318</v>
      </c>
      <c r="BG435">
        <v>208</v>
      </c>
      <c r="BH435" s="17">
        <f t="shared" ca="1" si="6"/>
        <v>259</v>
      </c>
      <c r="BI435" s="17"/>
      <c r="BJ435" s="17"/>
    </row>
    <row r="436" spans="1:62" hidden="1">
      <c r="A436">
        <v>28026968</v>
      </c>
      <c r="B436" s="2" t="str">
        <f>HYPERLINK("http://www.windermere.com/index.cfm?fuseaction=Listing.ListingDetail&amp;ListingID=19370188","Active")</f>
        <v>Active</v>
      </c>
      <c r="D436" t="s">
        <v>88</v>
      </c>
      <c r="E436" t="s">
        <v>1294</v>
      </c>
      <c r="F436" s="10">
        <v>1149000</v>
      </c>
      <c r="G436" t="s">
        <v>147</v>
      </c>
      <c r="H436" s="1">
        <v>4240</v>
      </c>
      <c r="I436">
        <v>6180</v>
      </c>
      <c r="J436">
        <v>5</v>
      </c>
      <c r="K436">
        <v>3.5</v>
      </c>
      <c r="M436" s="2" t="str">
        <f>HYPERLINK("http://www.windermere.com/index.cfm?fuseaction=Listing.MapPropertyInteractive&amp;ListingID=19370188&amp;resize=true&amp;windowWidth=800&amp;windowHeight=600","Map")</f>
        <v>Map</v>
      </c>
      <c r="O436" s="2" t="str">
        <f>HYPERLINK("http://www.windermere.com/index.cfm?fuseaction=Listing.MultiImageViewer&amp;ListingID=19370188&amp;ln=28026968&amp;pub_mls=1","More")</f>
        <v>More</v>
      </c>
      <c r="P436" t="s">
        <v>44</v>
      </c>
      <c r="AI436" t="s">
        <v>66</v>
      </c>
      <c r="AJ436">
        <v>98117</v>
      </c>
      <c r="AS436" t="s">
        <v>1295</v>
      </c>
      <c r="AT436">
        <v>19370188</v>
      </c>
      <c r="AU436" s="12">
        <v>39495</v>
      </c>
      <c r="BB436" t="s">
        <v>911</v>
      </c>
      <c r="BC436" s="7">
        <v>39492</v>
      </c>
      <c r="BG436">
        <v>6</v>
      </c>
      <c r="BH436" s="17">
        <f t="shared" ca="1" si="6"/>
        <v>57</v>
      </c>
      <c r="BI436" s="17"/>
      <c r="BJ436" s="17"/>
    </row>
    <row r="437" spans="1:62" hidden="1">
      <c r="A437">
        <v>27186503</v>
      </c>
      <c r="B437" s="2" t="str">
        <f>HYPERLINK("http://www.windermere.com/index.cfm?fuseaction=Listing.ListingDetail&amp;ListingID=18821044","Active")</f>
        <v>Active</v>
      </c>
      <c r="D437" t="s">
        <v>1202</v>
      </c>
      <c r="E437" t="s">
        <v>1298</v>
      </c>
      <c r="F437" s="10">
        <v>1250000</v>
      </c>
      <c r="G437" t="s">
        <v>1299</v>
      </c>
      <c r="H437" s="1">
        <v>4790</v>
      </c>
      <c r="I437">
        <v>13735</v>
      </c>
      <c r="J437">
        <v>4</v>
      </c>
      <c r="K437">
        <v>3.25</v>
      </c>
      <c r="M437" s="2" t="str">
        <f>HYPERLINK("http://www.windermere.com/index.cfm?fuseaction=Listing.MapPropertyInteractive&amp;ListingID=18821044&amp;resize=true&amp;windowWidth=800&amp;windowHeight=600","Map")</f>
        <v>Map</v>
      </c>
      <c r="O437" s="2" t="str">
        <f>HYPERLINK("http://www.windermere.com/index.cfm?fuseaction=viewGallery.Home&amp;customTourID=197784&amp;wvt=0","More")</f>
        <v>More</v>
      </c>
      <c r="P437" t="s">
        <v>44</v>
      </c>
      <c r="AI437" t="s">
        <v>66</v>
      </c>
      <c r="AJ437">
        <v>98117</v>
      </c>
      <c r="AS437" t="s">
        <v>1300</v>
      </c>
      <c r="AT437">
        <v>18821044</v>
      </c>
      <c r="AU437" s="12">
        <v>39495</v>
      </c>
      <c r="BB437" t="s">
        <v>911</v>
      </c>
      <c r="BC437" s="7">
        <v>39372</v>
      </c>
      <c r="BG437">
        <v>126</v>
      </c>
      <c r="BH437" s="17">
        <f t="shared" ca="1" si="6"/>
        <v>177</v>
      </c>
      <c r="BI437" s="17"/>
      <c r="BJ437" s="17"/>
    </row>
    <row r="438" spans="1:62" hidden="1">
      <c r="A438">
        <v>28000688</v>
      </c>
      <c r="B438" s="2" t="str">
        <f>HYPERLINK("http://www.windermere.com/index.cfm?fuseaction=Listing.ListingDetail&amp;ListingID=19147071","Active")</f>
        <v>Active</v>
      </c>
      <c r="D438" t="s">
        <v>1023</v>
      </c>
      <c r="E438" t="s">
        <v>1296</v>
      </c>
      <c r="F438" s="10">
        <v>1250000</v>
      </c>
      <c r="G438" t="s">
        <v>494</v>
      </c>
      <c r="H438" s="1">
        <v>3930</v>
      </c>
      <c r="I438">
        <v>4800</v>
      </c>
      <c r="J438">
        <v>5</v>
      </c>
      <c r="K438">
        <v>4</v>
      </c>
      <c r="M438" s="2" t="str">
        <f>HYPERLINK("http://www.windermere.com/index.cfm?fuseaction=Listing.MapPropertyInteractive&amp;ListingID=19147071&amp;resize=true&amp;windowWidth=800&amp;windowHeight=600","Map")</f>
        <v>Map</v>
      </c>
      <c r="O438" s="2" t="str">
        <f>HYPERLINK("http://www.windermere.com/index.cfm?fuseaction=Listing.MultiImageViewer&amp;ListingID=19147071&amp;ln=28000688&amp;pub_mls=1","More")</f>
        <v>More</v>
      </c>
      <c r="P438" t="s">
        <v>44</v>
      </c>
      <c r="AI438" t="s">
        <v>66</v>
      </c>
      <c r="AJ438">
        <v>98117</v>
      </c>
      <c r="AS438" t="s">
        <v>1297</v>
      </c>
      <c r="AT438">
        <v>19147071</v>
      </c>
      <c r="AU438" s="12">
        <v>39495</v>
      </c>
      <c r="BB438" t="s">
        <v>911</v>
      </c>
      <c r="BC438" s="7">
        <v>39449</v>
      </c>
      <c r="BG438">
        <v>49</v>
      </c>
      <c r="BH438" s="17">
        <f t="shared" ca="1" si="6"/>
        <v>100</v>
      </c>
      <c r="BI438" s="17"/>
      <c r="BJ438" s="17"/>
    </row>
    <row r="439" spans="1:62" hidden="1">
      <c r="A439">
        <v>27167528</v>
      </c>
      <c r="B439" s="2" t="str">
        <f>HYPERLINK("http://www.windermere.com/index.cfm?fuseaction=Listing.ListingDetail&amp;ListingID=18622733","Active")</f>
        <v>Active</v>
      </c>
      <c r="D439" t="s">
        <v>78</v>
      </c>
      <c r="E439" t="s">
        <v>1301</v>
      </c>
      <c r="F439" s="10">
        <v>1445000</v>
      </c>
      <c r="G439" t="s">
        <v>1299</v>
      </c>
      <c r="H439" s="1">
        <v>2310</v>
      </c>
      <c r="I439">
        <v>11283</v>
      </c>
      <c r="J439">
        <v>4</v>
      </c>
      <c r="K439">
        <v>3</v>
      </c>
      <c r="M439" s="2" t="str">
        <f>HYPERLINK("http://www.windermere.com/index.cfm?fuseaction=Listing.MapPropertyInteractive&amp;ListingID=18622733&amp;resize=true&amp;windowWidth=800&amp;windowHeight=600","Map")</f>
        <v>Map</v>
      </c>
      <c r="O439" s="2" t="str">
        <f>HYPERLINK("http://www.windermere.com/index.cfm?fuseaction=Listing.MultiImageViewer&amp;ListingID=18622733&amp;ln=27167528&amp;pub_mls=1","More")</f>
        <v>More</v>
      </c>
      <c r="P439" t="s">
        <v>44</v>
      </c>
      <c r="AI439" t="s">
        <v>66</v>
      </c>
      <c r="AJ439">
        <v>98117</v>
      </c>
      <c r="AS439" t="s">
        <v>1302</v>
      </c>
      <c r="AT439">
        <v>18622733</v>
      </c>
      <c r="AU439" s="12">
        <v>39495</v>
      </c>
      <c r="BB439" t="s">
        <v>911</v>
      </c>
      <c r="BC439" s="7">
        <v>39337</v>
      </c>
      <c r="BG439">
        <v>161</v>
      </c>
      <c r="BH439" s="17">
        <f t="shared" ca="1" si="6"/>
        <v>212</v>
      </c>
      <c r="BI439" s="17"/>
      <c r="BJ439" s="17"/>
    </row>
    <row r="440" spans="1:62" hidden="1">
      <c r="A440">
        <v>27198848</v>
      </c>
      <c r="B440" s="2" t="str">
        <f>HYPERLINK("http://www.windermere.com/index.cfm?fuseaction=Listing.ListingDetail&amp;ListingID=18930143","Active")</f>
        <v>Active</v>
      </c>
      <c r="D440" t="s">
        <v>101</v>
      </c>
      <c r="E440" t="s">
        <v>1303</v>
      </c>
      <c r="F440" s="10">
        <v>1590000</v>
      </c>
      <c r="G440" t="s">
        <v>1186</v>
      </c>
      <c r="H440" s="1">
        <v>2870</v>
      </c>
      <c r="J440">
        <v>4</v>
      </c>
      <c r="K440">
        <v>3.5</v>
      </c>
      <c r="M440" s="2" t="str">
        <f>HYPERLINK("http://www.windermere.com/index.cfm?fuseaction=Listing.MapPropertyInteractive&amp;ListingID=18930143&amp;resize=true&amp;windowWidth=800&amp;windowHeight=600","Map")</f>
        <v>Map</v>
      </c>
      <c r="O440" s="2" t="str">
        <f>HYPERLINK("http://www.windermere.com/index.cfm?fuseaction=Listing.MultiImageViewer&amp;ListingID=18930143&amp;ln=27198848&amp;pub_mls=1","More")</f>
        <v>More</v>
      </c>
      <c r="P440" t="s">
        <v>44</v>
      </c>
      <c r="AI440" t="s">
        <v>66</v>
      </c>
      <c r="AJ440">
        <v>98117</v>
      </c>
      <c r="AS440" t="s">
        <v>1304</v>
      </c>
      <c r="AT440">
        <v>18930143</v>
      </c>
      <c r="AU440" s="12">
        <v>39495</v>
      </c>
      <c r="BB440" t="s">
        <v>911</v>
      </c>
      <c r="BC440" s="7">
        <v>39396</v>
      </c>
      <c r="BG440">
        <v>102</v>
      </c>
      <c r="BH440" s="17">
        <f t="shared" ca="1" si="6"/>
        <v>153</v>
      </c>
      <c r="BI440" s="17"/>
      <c r="BJ440" s="17"/>
    </row>
    <row r="441" spans="1:62" hidden="1">
      <c r="A441">
        <v>27209871</v>
      </c>
      <c r="B441" s="2" t="str">
        <f>HYPERLINK("http://www.windermere.com/index.cfm?fuseaction=Listing.ListingDetail&amp;ListingID=19461870","Active")</f>
        <v>Active</v>
      </c>
      <c r="D441" t="s">
        <v>1023</v>
      </c>
      <c r="E441" t="s">
        <v>1305</v>
      </c>
      <c r="F441" s="18">
        <v>1575000</v>
      </c>
      <c r="G441" t="s">
        <v>173</v>
      </c>
      <c r="H441" s="1">
        <v>4550</v>
      </c>
      <c r="I441">
        <v>10000</v>
      </c>
      <c r="J441">
        <v>4</v>
      </c>
      <c r="K441">
        <v>3</v>
      </c>
      <c r="M441" s="2" t="str">
        <f>HYPERLINK("http://www.windermere.com/index.cfm?fuseaction=Listing.MapPropertyInteractive&amp;ListingID=19461870&amp;resize=true&amp;windowWidth=800&amp;windowHeight=600","Map")</f>
        <v>Map</v>
      </c>
      <c r="O441" s="2" t="str">
        <f>HYPERLINK("http://www.windermere.com/index.cfm?fuseaction=Listing.MultiImageViewer&amp;ListingID=19461870&amp;ln=27209871&amp;pub_mls=1","More")</f>
        <v>More</v>
      </c>
      <c r="P441" t="s">
        <v>44</v>
      </c>
      <c r="AI441" t="s">
        <v>66</v>
      </c>
      <c r="AJ441">
        <v>98117</v>
      </c>
      <c r="AS441" s="3" t="s">
        <v>1618</v>
      </c>
      <c r="AT441" s="3">
        <v>19461870</v>
      </c>
      <c r="AU441" s="12">
        <v>39495</v>
      </c>
      <c r="BB441" t="s">
        <v>911</v>
      </c>
      <c r="BC441" s="7">
        <v>39426</v>
      </c>
      <c r="BG441">
        <v>72</v>
      </c>
      <c r="BH441" s="17">
        <f t="shared" ca="1" si="6"/>
        <v>123</v>
      </c>
      <c r="BI441" s="17"/>
      <c r="BJ441" s="17"/>
    </row>
    <row r="442" spans="1:62" hidden="1">
      <c r="A442">
        <v>28008620</v>
      </c>
      <c r="B442" s="2" t="str">
        <f>HYPERLINK("http://www.windermere.com/index.cfm?fuseaction=Listing.ListingDetail&amp;ListingID=19229227","Active")</f>
        <v>Active</v>
      </c>
      <c r="D442" t="s">
        <v>101</v>
      </c>
      <c r="E442" t="s">
        <v>1306</v>
      </c>
      <c r="F442" s="10">
        <v>1795000</v>
      </c>
      <c r="G442" t="s">
        <v>1307</v>
      </c>
      <c r="H442" s="1">
        <v>3830</v>
      </c>
      <c r="I442">
        <v>16048</v>
      </c>
      <c r="J442">
        <v>4</v>
      </c>
      <c r="K442">
        <v>3.5</v>
      </c>
      <c r="M442" s="2" t="str">
        <f>HYPERLINK("http://www.windermere.com/index.cfm?fuseaction=Listing.MapPropertyInteractive&amp;ListingID=19229227&amp;resize=true&amp;windowWidth=800&amp;windowHeight=600","Map")</f>
        <v>Map</v>
      </c>
      <c r="O442" s="2" t="str">
        <f>HYPERLINK("http://www.windermere.com/index.cfm?fuseaction=viewGallery.Home&amp;customTourID=203992&amp;wvt=0","More")</f>
        <v>More</v>
      </c>
      <c r="P442" t="s">
        <v>44</v>
      </c>
      <c r="AI442" t="s">
        <v>66</v>
      </c>
      <c r="AJ442">
        <v>98117</v>
      </c>
      <c r="AS442" t="s">
        <v>1308</v>
      </c>
      <c r="AT442">
        <v>19229227</v>
      </c>
      <c r="AU442" s="12">
        <v>39495</v>
      </c>
      <c r="BB442" t="s">
        <v>911</v>
      </c>
      <c r="BC442" s="7">
        <v>39466</v>
      </c>
      <c r="BG442">
        <v>32</v>
      </c>
      <c r="BH442" s="17">
        <f t="shared" ca="1" si="6"/>
        <v>83</v>
      </c>
      <c r="BI442" s="17"/>
      <c r="BJ442" s="17"/>
    </row>
    <row r="443" spans="1:62" hidden="1">
      <c r="A443">
        <v>28026914</v>
      </c>
      <c r="B443" s="2" t="str">
        <f>HYPERLINK("http://www.windermere.com/index.cfm?fuseaction=Listing.ListingDetail&amp;ListingID=19387987","Active")</f>
        <v>Active</v>
      </c>
      <c r="D443" t="s">
        <v>42</v>
      </c>
      <c r="E443" t="s">
        <v>1351</v>
      </c>
      <c r="F443" s="10">
        <v>349950</v>
      </c>
      <c r="G443" t="s">
        <v>132</v>
      </c>
      <c r="H443" s="1">
        <v>870</v>
      </c>
      <c r="I443">
        <v>5460</v>
      </c>
      <c r="J443">
        <v>2</v>
      </c>
      <c r="K443">
        <v>1</v>
      </c>
      <c r="M443" s="2" t="str">
        <f>HYPERLINK("http://www.windermere.com/index.cfm?fuseaction=Listing.MapPropertyInteractive&amp;ListingID=19387987&amp;resize=true&amp;windowWidth=800&amp;windowHeight=600","Map")</f>
        <v>Map</v>
      </c>
      <c r="O443" s="2" t="str">
        <f>HYPERLINK("http://www.windermere.com/index.cfm?fuseaction=viewGallery.Home&amp;customTourID=207470&amp;wvt=0","More")</f>
        <v>More</v>
      </c>
      <c r="AI443" t="s">
        <v>66</v>
      </c>
      <c r="AJ443">
        <v>98133</v>
      </c>
      <c r="AS443" t="s">
        <v>1352</v>
      </c>
      <c r="AT443">
        <v>19387987</v>
      </c>
      <c r="AU443" s="7">
        <v>39497</v>
      </c>
      <c r="BB443" t="s">
        <v>911</v>
      </c>
      <c r="BC443" s="7">
        <v>39496</v>
      </c>
      <c r="BD443">
        <v>2</v>
      </c>
      <c r="BE443" t="s">
        <v>1382</v>
      </c>
      <c r="BG443">
        <v>2</v>
      </c>
    </row>
    <row r="444" spans="1:62" hidden="1">
      <c r="A444">
        <v>28029437</v>
      </c>
      <c r="B444" s="2" t="str">
        <f>HYPERLINK("http://www.windermere.com/index.cfm?fuseaction=Listing.ListingDetail&amp;ListingID=19389689","Active")</f>
        <v>Active</v>
      </c>
      <c r="D444" t="s">
        <v>60</v>
      </c>
      <c r="E444" t="s">
        <v>1353</v>
      </c>
      <c r="F444" s="10">
        <v>350000</v>
      </c>
      <c r="G444" t="s">
        <v>137</v>
      </c>
      <c r="H444">
        <v>840</v>
      </c>
      <c r="I444">
        <v>5904</v>
      </c>
      <c r="J444">
        <v>2</v>
      </c>
      <c r="K444">
        <v>1</v>
      </c>
      <c r="M444" s="2" t="str">
        <f>HYPERLINK("http://www.windermere.com/index.cfm?fuseaction=Listing.MapPropertyInteractive&amp;ListingID=19389689&amp;resize=true&amp;windowWidth=800&amp;windowHeight=600","Map")</f>
        <v>Map</v>
      </c>
      <c r="AI444" t="s">
        <v>66</v>
      </c>
      <c r="AJ444">
        <v>98103</v>
      </c>
      <c r="AS444" t="s">
        <v>1354</v>
      </c>
      <c r="AT444">
        <v>19389689</v>
      </c>
      <c r="AU444" s="7">
        <v>39497</v>
      </c>
      <c r="BB444" t="s">
        <v>911</v>
      </c>
      <c r="BC444" s="7">
        <v>39497</v>
      </c>
      <c r="BD444">
        <v>2</v>
      </c>
      <c r="BE444" t="s">
        <v>1381</v>
      </c>
      <c r="BG444">
        <v>1</v>
      </c>
    </row>
    <row r="445" spans="1:62" hidden="1">
      <c r="A445">
        <v>28029674</v>
      </c>
      <c r="B445" s="2" t="str">
        <f>HYPERLINK("http://www.windermere.com/index.cfm?fuseaction=Listing.ListingDetail&amp;ListingID=19390786","Active")</f>
        <v>Active</v>
      </c>
      <c r="D445" t="s">
        <v>919</v>
      </c>
      <c r="E445" t="s">
        <v>1355</v>
      </c>
      <c r="F445" s="10">
        <v>376900</v>
      </c>
      <c r="G445" t="s">
        <v>246</v>
      </c>
      <c r="H445" s="1">
        <v>1845</v>
      </c>
      <c r="J445">
        <v>3</v>
      </c>
      <c r="K445">
        <v>3.5</v>
      </c>
      <c r="M445" s="2" t="str">
        <f>HYPERLINK("http://www.windermere.com/index.cfm?fuseaction=Listing.MapPropertyInteractive&amp;ListingID=19390786&amp;resize=true&amp;windowWidth=800&amp;windowHeight=600","Map")</f>
        <v>Map</v>
      </c>
      <c r="O445" s="2" t="str">
        <f>HYPERLINK("http://www.windermere.com/index.cfm?fuseaction=Listing.MultiImageViewer&amp;ListingID=19390786&amp;ln=28029674&amp;pub_mls=1","More")</f>
        <v>More</v>
      </c>
      <c r="AI445" t="s">
        <v>66</v>
      </c>
      <c r="AJ445">
        <v>98125</v>
      </c>
      <c r="AS445" t="s">
        <v>1356</v>
      </c>
      <c r="AT445">
        <v>19390786</v>
      </c>
      <c r="AU445" s="7">
        <v>39497</v>
      </c>
      <c r="BB445" t="s">
        <v>911</v>
      </c>
      <c r="BC445" s="7">
        <v>39497</v>
      </c>
      <c r="BD445">
        <v>3</v>
      </c>
      <c r="BE445" t="s">
        <v>1326</v>
      </c>
      <c r="BG445">
        <v>1</v>
      </c>
    </row>
    <row r="446" spans="1:62" hidden="1">
      <c r="A446">
        <v>28029629</v>
      </c>
      <c r="B446" s="2" t="str">
        <f>HYPERLINK("http://www.windermere.com/index.cfm?fuseaction=Listing.ListingDetail&amp;ListingID=19390529","Active")</f>
        <v>Active</v>
      </c>
      <c r="D446" t="s">
        <v>919</v>
      </c>
      <c r="E446" t="s">
        <v>1357</v>
      </c>
      <c r="F446" s="10">
        <v>376900</v>
      </c>
      <c r="G446" t="s">
        <v>147</v>
      </c>
      <c r="H446" s="1">
        <v>1680</v>
      </c>
      <c r="J446">
        <v>3</v>
      </c>
      <c r="K446">
        <v>3.5</v>
      </c>
      <c r="M446" s="2" t="str">
        <f>HYPERLINK("http://www.windermere.com/index.cfm?fuseaction=Listing.MapPropertyInteractive&amp;ListingID=19390529&amp;resize=true&amp;windowWidth=800&amp;windowHeight=600","Map")</f>
        <v>Map</v>
      </c>
      <c r="O446" s="2" t="str">
        <f>HYPERLINK("http://www.windermere.com/index.cfm?fuseaction=Listing.MultiImageViewer&amp;ListingID=19390529&amp;ln=28029629&amp;pub_mls=1","More")</f>
        <v>More</v>
      </c>
      <c r="AI446" t="s">
        <v>66</v>
      </c>
      <c r="AJ446">
        <v>98125</v>
      </c>
      <c r="AS446" t="s">
        <v>1358</v>
      </c>
      <c r="AT446">
        <v>19390529</v>
      </c>
      <c r="AU446" s="7">
        <v>39497</v>
      </c>
      <c r="BB446" t="s">
        <v>911</v>
      </c>
      <c r="BC446" s="7">
        <v>39497</v>
      </c>
      <c r="BD446">
        <v>3</v>
      </c>
      <c r="BE446" t="s">
        <v>1326</v>
      </c>
      <c r="BG446">
        <v>1</v>
      </c>
    </row>
    <row r="447" spans="1:62" hidden="1">
      <c r="A447">
        <v>28029687</v>
      </c>
      <c r="B447" s="2" t="str">
        <f>HYPERLINK("http://www.windermere.com/index.cfm?fuseaction=Listing.ListingDetail&amp;ListingID=19390872","Active")</f>
        <v>Active</v>
      </c>
      <c r="D447" t="s">
        <v>919</v>
      </c>
      <c r="E447" t="s">
        <v>1359</v>
      </c>
      <c r="F447" s="10">
        <v>383900</v>
      </c>
      <c r="G447" t="s">
        <v>246</v>
      </c>
      <c r="H447" s="1">
        <v>1845</v>
      </c>
      <c r="J447">
        <v>3</v>
      </c>
      <c r="K447">
        <v>3.5</v>
      </c>
      <c r="M447" s="2" t="str">
        <f>HYPERLINK("http://www.windermere.com/index.cfm?fuseaction=Listing.MapPropertyInteractive&amp;ListingID=19390872&amp;resize=true&amp;windowWidth=800&amp;windowHeight=600","Map")</f>
        <v>Map</v>
      </c>
      <c r="O447" s="2" t="str">
        <f>HYPERLINK("http://www.windermere.com/index.cfm?fuseaction=Listing.MultiImageViewer&amp;ListingID=19390872&amp;ln=28029687&amp;pub_mls=1","More")</f>
        <v>More</v>
      </c>
      <c r="AI447" t="s">
        <v>66</v>
      </c>
      <c r="AJ447">
        <v>98125</v>
      </c>
      <c r="AS447" t="s">
        <v>1360</v>
      </c>
      <c r="AT447">
        <v>19390872</v>
      </c>
      <c r="AU447" s="7">
        <v>39497</v>
      </c>
      <c r="BB447" t="s">
        <v>911</v>
      </c>
      <c r="BC447" s="7">
        <v>39497</v>
      </c>
      <c r="BD447">
        <v>3</v>
      </c>
      <c r="BE447" t="s">
        <v>1326</v>
      </c>
      <c r="BG447">
        <v>1</v>
      </c>
    </row>
    <row r="448" spans="1:62" hidden="1">
      <c r="A448">
        <v>28029300</v>
      </c>
      <c r="B448" s="15" t="str">
        <f>HYPERLINK("http://www.windermere.com/index.cfm?fuseaction=Listing.ListingDetail&amp;ListingID=19389098","Subject To Inspection")</f>
        <v>Subject To Inspection</v>
      </c>
      <c r="D448" t="s">
        <v>213</v>
      </c>
      <c r="E448" t="s">
        <v>1361</v>
      </c>
      <c r="F448" s="10">
        <v>389000</v>
      </c>
      <c r="G448" t="s">
        <v>135</v>
      </c>
      <c r="H448" s="1">
        <v>1100</v>
      </c>
      <c r="I448">
        <v>8657</v>
      </c>
      <c r="J448">
        <v>2</v>
      </c>
      <c r="K448">
        <v>1</v>
      </c>
      <c r="M448" s="2" t="str">
        <f>HYPERLINK("http://www.windermere.com/index.cfm?fuseaction=Listing.MapPropertyInteractive&amp;ListingID=19389098&amp;resize=true&amp;windowWidth=800&amp;windowHeight=600","Map")</f>
        <v>Map</v>
      </c>
      <c r="O448" s="2" t="str">
        <f>HYPERLINK("http://www.windermere.com/index.cfm?fuseaction=Listing.MultiImageViewer&amp;ListingID=19389098&amp;ln=28029300&amp;pub_mls=1","More")</f>
        <v>More</v>
      </c>
      <c r="AI448" t="s">
        <v>66</v>
      </c>
      <c r="AJ448">
        <v>98125</v>
      </c>
      <c r="AS448" t="s">
        <v>1362</v>
      </c>
      <c r="AT448">
        <v>19389098</v>
      </c>
      <c r="AU448" s="7">
        <v>39497</v>
      </c>
      <c r="BB448" t="s">
        <v>911</v>
      </c>
      <c r="BC448" s="7">
        <v>39497</v>
      </c>
      <c r="BD448">
        <v>4</v>
      </c>
      <c r="BE448" t="s">
        <v>1383</v>
      </c>
      <c r="BF448" t="s">
        <v>1344</v>
      </c>
      <c r="BG448">
        <v>1</v>
      </c>
    </row>
    <row r="449" spans="1:59" hidden="1">
      <c r="A449">
        <v>28029872</v>
      </c>
      <c r="B449" s="15" t="str">
        <f>HYPERLINK("http://www.windermere.com/index.cfm?fuseaction=Listing.ListingDetail&amp;ListingID=19391774","Subject To Inspection")</f>
        <v>Subject To Inspection</v>
      </c>
      <c r="D449" t="s">
        <v>919</v>
      </c>
      <c r="E449" t="s">
        <v>1337</v>
      </c>
      <c r="F449" s="10">
        <v>398000</v>
      </c>
      <c r="G449" t="s">
        <v>616</v>
      </c>
      <c r="H449" s="1">
        <v>1290</v>
      </c>
      <c r="I449">
        <v>6397</v>
      </c>
      <c r="J449">
        <v>3</v>
      </c>
      <c r="K449">
        <v>1.5</v>
      </c>
      <c r="M449" s="2" t="str">
        <f>HYPERLINK("http://www.windermere.com/index.cfm?fuseaction=Listing.MapPropertyInteractive&amp;ListingID=19391774&amp;resize=true&amp;windowWidth=800&amp;windowHeight=600","Map")</f>
        <v>Map</v>
      </c>
      <c r="O449" s="2" t="str">
        <f>HYPERLINK("http://www.windermere.com/index.cfm?fuseaction=Listing.MultiImageViewer&amp;ListingID=19391774&amp;ln=28029872&amp;pub_mls=1","More")</f>
        <v>More</v>
      </c>
      <c r="AI449" t="s">
        <v>66</v>
      </c>
      <c r="AJ449">
        <v>98103</v>
      </c>
      <c r="AS449" t="s">
        <v>1363</v>
      </c>
      <c r="AT449">
        <v>19391774</v>
      </c>
      <c r="AU449" s="7">
        <v>39497</v>
      </c>
      <c r="BB449" t="s">
        <v>911</v>
      </c>
      <c r="BC449" s="7">
        <v>39497</v>
      </c>
      <c r="BD449">
        <v>4</v>
      </c>
      <c r="BE449" t="s">
        <v>1384</v>
      </c>
      <c r="BF449" t="s">
        <v>1344</v>
      </c>
      <c r="BG449">
        <v>1</v>
      </c>
    </row>
    <row r="450" spans="1:59" hidden="1">
      <c r="A450">
        <v>28029600</v>
      </c>
      <c r="B450" s="15" t="str">
        <f>HYPERLINK("http://www.windermere.com/index.cfm?fuseaction=Listing.ListingDetail&amp;ListingID=19390333","Subject To Inspection")</f>
        <v>Subject To Inspection</v>
      </c>
      <c r="D450" t="s">
        <v>967</v>
      </c>
      <c r="E450" t="s">
        <v>1365</v>
      </c>
      <c r="F450" s="10">
        <v>429950</v>
      </c>
      <c r="G450" t="s">
        <v>186</v>
      </c>
      <c r="H450" s="1">
        <v>1580</v>
      </c>
      <c r="I450">
        <v>6891</v>
      </c>
      <c r="J450">
        <v>3</v>
      </c>
      <c r="K450">
        <v>1.75</v>
      </c>
      <c r="M450" s="2" t="str">
        <f>HYPERLINK("http://www.windermere.com/index.cfm?fuseaction=Listing.MapPropertyInteractive&amp;ListingID=19390333&amp;resize=true&amp;windowWidth=800&amp;windowHeight=600","Map")</f>
        <v>Map</v>
      </c>
      <c r="O450" s="2" t="str">
        <f>HYPERLINK("http://www.windermere.com/index.cfm?fuseaction=Listing.MultiImageViewer&amp;ListingID=19390333&amp;ln=28029600&amp;pub_mls=1","More")</f>
        <v>More</v>
      </c>
      <c r="AI450" t="s">
        <v>66</v>
      </c>
      <c r="AJ450">
        <v>98125</v>
      </c>
      <c r="AS450" t="s">
        <v>1366</v>
      </c>
      <c r="AT450">
        <v>19390333</v>
      </c>
      <c r="AU450" s="7">
        <v>39497</v>
      </c>
      <c r="BB450" t="s">
        <v>911</v>
      </c>
      <c r="BC450" s="7">
        <v>39497</v>
      </c>
      <c r="BD450">
        <v>4</v>
      </c>
      <c r="BE450" t="s">
        <v>1385</v>
      </c>
      <c r="BG450">
        <v>1</v>
      </c>
    </row>
    <row r="451" spans="1:59" hidden="1">
      <c r="A451">
        <v>28008686</v>
      </c>
      <c r="B451" s="2" t="str">
        <f>HYPERLINK("http://www.windermere.com/index.cfm?fuseaction=Listing.ListingDetail&amp;ListingID=19223951","Active")</f>
        <v>Active</v>
      </c>
      <c r="D451" t="s">
        <v>204</v>
      </c>
      <c r="E451" t="s">
        <v>1367</v>
      </c>
      <c r="F451" s="10">
        <v>495950</v>
      </c>
      <c r="G451" t="s">
        <v>1368</v>
      </c>
      <c r="H451" s="1">
        <v>1890</v>
      </c>
      <c r="I451">
        <v>7200</v>
      </c>
      <c r="J451">
        <v>3</v>
      </c>
      <c r="K451">
        <v>2.5</v>
      </c>
      <c r="M451" s="2" t="str">
        <f>HYPERLINK("http://www.windermere.com/index.cfm?fuseaction=Listing.MapPropertyInteractive&amp;ListingID=19223951&amp;resize=true&amp;windowWidth=800&amp;windowHeight=600","Map")</f>
        <v>Map</v>
      </c>
      <c r="O451" s="2" t="str">
        <f>HYPERLINK("http://www.windermere.com/index.cfm?fuseaction=Listing.MultiImageViewer&amp;ListingID=19223951&amp;ln=28008686&amp;pub_mls=1","More")</f>
        <v>More</v>
      </c>
      <c r="AI451" t="s">
        <v>66</v>
      </c>
      <c r="AJ451">
        <v>98125</v>
      </c>
      <c r="AS451" t="s">
        <v>1369</v>
      </c>
      <c r="AT451">
        <v>19223951</v>
      </c>
      <c r="AU451" s="7">
        <v>39497</v>
      </c>
      <c r="BB451" t="s">
        <v>911</v>
      </c>
      <c r="BC451" s="7">
        <v>39497</v>
      </c>
      <c r="BD451">
        <v>1</v>
      </c>
      <c r="BE451" t="s">
        <v>1386</v>
      </c>
      <c r="BG451">
        <v>1</v>
      </c>
    </row>
    <row r="452" spans="1:59" hidden="1">
      <c r="A452">
        <v>28029324</v>
      </c>
      <c r="B452" s="2" t="str">
        <f>HYPERLINK("http://www.windermere.com/index.cfm?fuseaction=Listing.ListingDetail&amp;ListingID=19390093","Active")</f>
        <v>Active</v>
      </c>
      <c r="D452" t="s">
        <v>63</v>
      </c>
      <c r="E452" t="s">
        <v>1371</v>
      </c>
      <c r="F452" s="10">
        <v>508000</v>
      </c>
      <c r="G452" t="s">
        <v>159</v>
      </c>
      <c r="H452" s="1">
        <v>1760</v>
      </c>
      <c r="I452">
        <v>4013</v>
      </c>
      <c r="J452">
        <v>3</v>
      </c>
      <c r="K452">
        <v>1.75</v>
      </c>
      <c r="M452" s="2" t="str">
        <f>HYPERLINK("http://www.windermere.com/index.cfm?fuseaction=Listing.MapPropertyInteractive&amp;ListingID=19390093&amp;resize=true&amp;windowWidth=800&amp;windowHeight=600","Map")</f>
        <v>Map</v>
      </c>
      <c r="O452" s="2" t="str">
        <f>HYPERLINK("http://www.windermere.com/index.cfm?fuseaction=Listing.MultiImageViewer&amp;ListingID=19390093&amp;ln=28029324&amp;pub_mls=1","More")</f>
        <v>More</v>
      </c>
      <c r="P452" t="s">
        <v>44</v>
      </c>
      <c r="AI452" t="s">
        <v>66</v>
      </c>
      <c r="AJ452">
        <v>98117</v>
      </c>
      <c r="AS452" t="s">
        <v>1372</v>
      </c>
      <c r="AT452">
        <v>19390093</v>
      </c>
      <c r="AU452" s="7">
        <v>39497</v>
      </c>
      <c r="BB452" t="s">
        <v>911</v>
      </c>
      <c r="BC452" s="7">
        <v>39497</v>
      </c>
      <c r="BD452">
        <v>2</v>
      </c>
      <c r="BE452" t="s">
        <v>1387</v>
      </c>
      <c r="BG452">
        <v>1</v>
      </c>
    </row>
    <row r="453" spans="1:59" hidden="1">
      <c r="A453">
        <v>28030154</v>
      </c>
      <c r="B453" s="2" t="str">
        <f>HYPERLINK("http://www.windermere.com/index.cfm?fuseaction=Listing.ListingDetail&amp;ListingID=19394909","Active")</f>
        <v>Active</v>
      </c>
      <c r="D453" t="s">
        <v>55</v>
      </c>
      <c r="E453" t="s">
        <v>1388</v>
      </c>
      <c r="F453" s="10">
        <v>319000</v>
      </c>
      <c r="G453" t="s">
        <v>126</v>
      </c>
      <c r="H453">
        <v>970</v>
      </c>
      <c r="I453">
        <v>6350</v>
      </c>
      <c r="J453">
        <v>2</v>
      </c>
      <c r="K453">
        <v>1</v>
      </c>
      <c r="M453" s="2" t="str">
        <f>HYPERLINK("http://www.windermere.com/index.cfm?fuseaction=Listing.MapPropertyInteractive&amp;ListingID=19394909&amp;resize=true&amp;windowWidth=800&amp;windowHeight=600","Map")</f>
        <v>Map</v>
      </c>
      <c r="O453" s="2" t="str">
        <f>HYPERLINK("http://www.windermere.com/index.cfm?fuseaction=Listing.MultiImageViewer&amp;ListingID=19394909&amp;ln=28030154&amp;pub_mls=1","More")</f>
        <v>More</v>
      </c>
      <c r="AI453" t="s">
        <v>66</v>
      </c>
      <c r="AJ453">
        <v>98117</v>
      </c>
      <c r="AS453" t="s">
        <v>1389</v>
      </c>
      <c r="AT453">
        <v>19394909</v>
      </c>
      <c r="AU453" s="7">
        <v>39498</v>
      </c>
      <c r="BB453" t="s">
        <v>911</v>
      </c>
      <c r="BC453" s="7">
        <v>39497</v>
      </c>
      <c r="BD453">
        <v>-4</v>
      </c>
      <c r="BE453" t="s">
        <v>1408</v>
      </c>
      <c r="BG453">
        <v>1</v>
      </c>
    </row>
    <row r="454" spans="1:59" hidden="1">
      <c r="A454">
        <v>28030632</v>
      </c>
      <c r="B454" s="2" t="str">
        <f>HYPERLINK("http://www.windermere.com/index.cfm?fuseaction=Listing.ListingDetail&amp;ListingID=19398213","Active")</f>
        <v>Active</v>
      </c>
      <c r="D454" t="s">
        <v>55</v>
      </c>
      <c r="E454" t="s">
        <v>1390</v>
      </c>
      <c r="F454" s="10">
        <v>349000</v>
      </c>
      <c r="G454" t="s">
        <v>246</v>
      </c>
      <c r="H454" s="1">
        <v>1409</v>
      </c>
      <c r="J454">
        <v>3</v>
      </c>
      <c r="K454" s="19">
        <v>3.25</v>
      </c>
      <c r="M454" s="2" t="str">
        <f>HYPERLINK("http://www.windermere.com/index.cfm?fuseaction=Listing.MapPropertyInteractive&amp;ListingID=19398213&amp;resize=true&amp;windowWidth=800&amp;windowHeight=600","Map")</f>
        <v>Map</v>
      </c>
      <c r="O454" s="2" t="str">
        <f>HYPERLINK("http://www.windermere.com/index.cfm?fuseaction=Listing.MultiImageViewer&amp;ListingID=19398213&amp;ln=28030632&amp;pub_mls=1","More")</f>
        <v>More</v>
      </c>
      <c r="AI454" t="s">
        <v>66</v>
      </c>
      <c r="AJ454">
        <v>98133</v>
      </c>
      <c r="AS454" t="s">
        <v>1391</v>
      </c>
      <c r="AT454">
        <v>19398213</v>
      </c>
      <c r="AU454" s="7">
        <v>39498</v>
      </c>
      <c r="BB454" t="s">
        <v>911</v>
      </c>
      <c r="BC454" s="7">
        <v>39497</v>
      </c>
      <c r="BD454">
        <v>-3</v>
      </c>
      <c r="BE454" t="s">
        <v>1326</v>
      </c>
      <c r="BG454">
        <v>1</v>
      </c>
    </row>
    <row r="455" spans="1:59" hidden="1">
      <c r="A455">
        <v>28030545</v>
      </c>
      <c r="B455" s="15" t="str">
        <f>HYPERLINK("http://www.windermere.com/index.cfm?fuseaction=Listing.ListingDetail&amp;ListingID=19397485","Subject To Inspection")</f>
        <v>Subject To Inspection</v>
      </c>
      <c r="D455" t="s">
        <v>66</v>
      </c>
      <c r="E455" t="s">
        <v>1392</v>
      </c>
      <c r="F455" s="10">
        <v>424900</v>
      </c>
      <c r="G455" t="s">
        <v>747</v>
      </c>
      <c r="H455" s="1">
        <v>2010</v>
      </c>
      <c r="I455">
        <v>11245</v>
      </c>
      <c r="J455">
        <v>4</v>
      </c>
      <c r="K455">
        <v>2.5</v>
      </c>
      <c r="M455" s="2" t="str">
        <f>HYPERLINK("http://www.windermere.com/index.cfm?fuseaction=Listing.MapPropertyInteractive&amp;ListingID=19397485&amp;resize=true&amp;windowWidth=800&amp;windowHeight=600","Map")</f>
        <v>Map</v>
      </c>
      <c r="O455" s="2" t="str">
        <f>HYPERLINK("http://www.windermere.com/index.cfm?fuseaction=Listing.MultiImageViewer&amp;ListingID=19397485&amp;ln=28030545&amp;pub_mls=1","More")</f>
        <v>More</v>
      </c>
      <c r="AI455" t="s">
        <v>395</v>
      </c>
      <c r="AJ455">
        <v>98155</v>
      </c>
      <c r="AS455" t="s">
        <v>1393</v>
      </c>
      <c r="AT455">
        <v>19397485</v>
      </c>
      <c r="AU455" s="7">
        <v>39498</v>
      </c>
      <c r="BB455" t="s">
        <v>911</v>
      </c>
      <c r="BC455" s="7">
        <v>39497</v>
      </c>
      <c r="BD455">
        <v>1</v>
      </c>
      <c r="BE455" t="s">
        <v>1409</v>
      </c>
      <c r="BG455">
        <v>1</v>
      </c>
    </row>
    <row r="456" spans="1:59" hidden="1">
      <c r="A456">
        <v>28029921</v>
      </c>
      <c r="B456" s="2" t="str">
        <f>HYPERLINK("http://www.windermere.com/index.cfm?fuseaction=Listing.ListingDetail&amp;ListingID=19393632","Active")</f>
        <v>Active</v>
      </c>
      <c r="D456" t="s">
        <v>60</v>
      </c>
      <c r="E456" t="s">
        <v>1394</v>
      </c>
      <c r="F456" s="10">
        <v>449950</v>
      </c>
      <c r="G456" t="s">
        <v>154</v>
      </c>
      <c r="H456" s="1">
        <v>2280</v>
      </c>
      <c r="I456">
        <v>5100</v>
      </c>
      <c r="J456">
        <v>3</v>
      </c>
      <c r="K456">
        <v>1</v>
      </c>
      <c r="M456" s="2" t="str">
        <f>HYPERLINK("http://www.windermere.com/index.cfm?fuseaction=Listing.MapPropertyInteractive&amp;ListingID=19393632&amp;resize=true&amp;windowWidth=800&amp;windowHeight=600","Map")</f>
        <v>Map</v>
      </c>
      <c r="O456" s="2" t="str">
        <f>HYPERLINK("http://www.windermere.com/index.cfm?fuseaction=Listing.MultiImageViewer&amp;ListingID=19393632&amp;ln=28029921&amp;pub_mls=1","More")</f>
        <v>More</v>
      </c>
      <c r="AI456" t="s">
        <v>66</v>
      </c>
      <c r="AJ456">
        <v>98103</v>
      </c>
      <c r="AS456" t="s">
        <v>1395</v>
      </c>
      <c r="AT456">
        <v>19393632</v>
      </c>
      <c r="AU456" s="7">
        <v>39498</v>
      </c>
      <c r="BB456" t="s">
        <v>911</v>
      </c>
      <c r="BC456" s="7">
        <v>39497</v>
      </c>
      <c r="BD456">
        <v>2</v>
      </c>
      <c r="BE456" t="s">
        <v>1410</v>
      </c>
      <c r="BG456">
        <v>1</v>
      </c>
    </row>
    <row r="457" spans="1:59" hidden="1">
      <c r="A457">
        <v>28030039</v>
      </c>
      <c r="B457" s="2" t="str">
        <f>HYPERLINK("http://www.windermere.com/index.cfm?fuseaction=Listing.ListingDetail&amp;ListingID=19394453","Active")</f>
        <v>Active</v>
      </c>
      <c r="D457" t="s">
        <v>63</v>
      </c>
      <c r="E457" t="s">
        <v>1396</v>
      </c>
      <c r="F457" s="10">
        <v>450000</v>
      </c>
      <c r="G457" t="s">
        <v>227</v>
      </c>
      <c r="H457" s="1">
        <v>1050</v>
      </c>
      <c r="I457">
        <v>2550</v>
      </c>
      <c r="J457">
        <v>2</v>
      </c>
      <c r="K457">
        <v>1</v>
      </c>
      <c r="M457" s="2" t="str">
        <f>HYPERLINK("http://www.windermere.com/index.cfm?fuseaction=Listing.MapPropertyInteractive&amp;ListingID=19394453&amp;resize=true&amp;windowWidth=800&amp;windowHeight=600","Map")</f>
        <v>Map</v>
      </c>
      <c r="O457" s="2" t="str">
        <f>HYPERLINK("http://www.windermere.com/index.cfm?fuseaction=Listing.MultiImageViewer&amp;ListingID=19394453&amp;ln=28030039&amp;pub_mls=1","More")</f>
        <v>More</v>
      </c>
      <c r="AI457" t="s">
        <v>66</v>
      </c>
      <c r="AJ457">
        <v>98117</v>
      </c>
      <c r="AS457" t="s">
        <v>1397</v>
      </c>
      <c r="AT457">
        <v>19394453</v>
      </c>
      <c r="AU457" s="7">
        <v>39498</v>
      </c>
      <c r="BB457" t="s">
        <v>911</v>
      </c>
      <c r="BC457" s="7">
        <v>39497</v>
      </c>
      <c r="BD457">
        <v>-3</v>
      </c>
      <c r="BE457" t="s">
        <v>1411</v>
      </c>
      <c r="BG457">
        <v>1</v>
      </c>
    </row>
    <row r="458" spans="1:59" hidden="1">
      <c r="A458">
        <v>28029447</v>
      </c>
      <c r="B458" s="2" t="str">
        <f>HYPERLINK("http://www.windermere.com/index.cfm?fuseaction=Listing.ListingDetail&amp;ListingID=19395167","Active")</f>
        <v>Active</v>
      </c>
      <c r="D458" t="s">
        <v>202</v>
      </c>
      <c r="E458" t="s">
        <v>1398</v>
      </c>
      <c r="F458" s="10">
        <v>499000</v>
      </c>
      <c r="G458" t="s">
        <v>168</v>
      </c>
      <c r="H458" s="1">
        <v>1500</v>
      </c>
      <c r="I458">
        <v>6030</v>
      </c>
      <c r="J458">
        <v>3</v>
      </c>
      <c r="K458">
        <v>1.75</v>
      </c>
      <c r="M458" s="2" t="str">
        <f>HYPERLINK("http://www.windermere.com/index.cfm?fuseaction=Listing.MapPropertyInteractive&amp;ListingID=19395167&amp;resize=true&amp;windowWidth=800&amp;windowHeight=600","Map")</f>
        <v>Map</v>
      </c>
      <c r="O458" s="2" t="str">
        <f>HYPERLINK("http://www.windermere.com/index.cfm?fuseaction=Listing.MultiImageViewer&amp;ListingID=19395167&amp;ln=28029447&amp;pub_mls=1","More")</f>
        <v>More</v>
      </c>
      <c r="P458" t="s">
        <v>44</v>
      </c>
      <c r="AI458" t="s">
        <v>66</v>
      </c>
      <c r="AJ458">
        <v>98125</v>
      </c>
      <c r="AS458" t="s">
        <v>1399</v>
      </c>
      <c r="AT458">
        <v>19395167</v>
      </c>
      <c r="AU458" s="7">
        <v>39498</v>
      </c>
      <c r="BB458" t="s">
        <v>911</v>
      </c>
      <c r="BC458" s="7">
        <v>39497</v>
      </c>
      <c r="BD458">
        <v>4</v>
      </c>
      <c r="BF458" t="s">
        <v>1344</v>
      </c>
      <c r="BG458">
        <v>1</v>
      </c>
    </row>
    <row r="459" spans="1:59" hidden="1">
      <c r="A459">
        <v>28030832</v>
      </c>
      <c r="B459" s="15" t="str">
        <f>HYPERLINK("http://www.windermere.com/index.cfm?fuseaction=Listing.ListingDetail&amp;ListingID=19400611","Subject To Inspection")</f>
        <v>Subject To Inspection</v>
      </c>
      <c r="D459" t="s">
        <v>1022</v>
      </c>
      <c r="E459" t="s">
        <v>1414</v>
      </c>
      <c r="F459" s="10">
        <v>362000</v>
      </c>
      <c r="G459" t="s">
        <v>142</v>
      </c>
      <c r="H459" s="1">
        <v>2130</v>
      </c>
      <c r="I459">
        <v>6534</v>
      </c>
      <c r="J459">
        <v>4</v>
      </c>
      <c r="K459">
        <v>2</v>
      </c>
      <c r="M459" s="2" t="str">
        <f>HYPERLINK("http://www.windermere.com/index.cfm?fuseaction=Listing.MapPropertyInteractive&amp;ListingID=19400611&amp;resize=true&amp;windowWidth=800&amp;windowHeight=600","Map")</f>
        <v>Map</v>
      </c>
      <c r="O459" s="2" t="str">
        <f>HYPERLINK("http://www.windermere.com/index.cfm?fuseaction=Listing.MultiImageViewer&amp;ListingID=19400611&amp;ln=28030832&amp;pub_mls=1","More")</f>
        <v>More</v>
      </c>
      <c r="AI459" t="s">
        <v>66</v>
      </c>
      <c r="AJ459">
        <v>98117</v>
      </c>
      <c r="AS459" t="s">
        <v>1415</v>
      </c>
      <c r="AT459">
        <v>19400611</v>
      </c>
      <c r="AU459" s="7">
        <v>39499</v>
      </c>
      <c r="BB459" t="s">
        <v>911</v>
      </c>
      <c r="BC459" s="7">
        <v>39499</v>
      </c>
      <c r="BD459">
        <v>-4</v>
      </c>
      <c r="BE459" t="s">
        <v>1444</v>
      </c>
      <c r="BG459">
        <v>1</v>
      </c>
    </row>
    <row r="460" spans="1:59" hidden="1">
      <c r="A460">
        <v>28030482</v>
      </c>
      <c r="B460" s="2" t="str">
        <f>HYPERLINK("http://www.windermere.com/index.cfm?fuseaction=Listing.ListingDetail&amp;ListingID=19402080","Active")</f>
        <v>Active</v>
      </c>
      <c r="D460" t="s">
        <v>70</v>
      </c>
      <c r="E460" t="s">
        <v>1416</v>
      </c>
      <c r="F460" s="10">
        <v>375000</v>
      </c>
      <c r="G460" t="s">
        <v>494</v>
      </c>
      <c r="H460" s="1">
        <v>1396</v>
      </c>
      <c r="I460">
        <v>3227</v>
      </c>
      <c r="J460">
        <v>3</v>
      </c>
      <c r="K460">
        <v>2</v>
      </c>
      <c r="M460" s="2" t="str">
        <f>HYPERLINK("http://www.windermere.com/index.cfm?fuseaction=Listing.MapPropertyInteractive&amp;ListingID=19402080&amp;resize=true&amp;windowWidth=800&amp;windowHeight=600","Map")</f>
        <v>Map</v>
      </c>
      <c r="O460" s="2" t="str">
        <f>HYPERLINK("http://www.windermere.com/index.cfm?fuseaction=Listing.MultiImageViewer&amp;ListingID=19402080&amp;ln=28030482&amp;pub_mls=1","More")</f>
        <v>More</v>
      </c>
      <c r="P460" t="s">
        <v>44</v>
      </c>
      <c r="AI460" t="s">
        <v>66</v>
      </c>
      <c r="AJ460">
        <v>98177</v>
      </c>
      <c r="AS460" t="s">
        <v>1417</v>
      </c>
      <c r="AT460">
        <v>19402080</v>
      </c>
      <c r="AU460" s="7">
        <v>39499</v>
      </c>
      <c r="BB460" t="s">
        <v>911</v>
      </c>
      <c r="BC460" s="7">
        <v>39499</v>
      </c>
      <c r="BD460">
        <v>-1</v>
      </c>
      <c r="BE460" t="s">
        <v>1445</v>
      </c>
      <c r="BG460">
        <v>1</v>
      </c>
    </row>
    <row r="461" spans="1:59" hidden="1">
      <c r="A461">
        <v>28031236</v>
      </c>
      <c r="B461" s="2" t="str">
        <f>HYPERLINK("http://www.windermere.com/index.cfm?fuseaction=Listing.ListingDetail&amp;ListingID=19403464","Active")</f>
        <v>Active</v>
      </c>
      <c r="D461" t="s">
        <v>100</v>
      </c>
      <c r="E461" t="s">
        <v>1418</v>
      </c>
      <c r="F461" s="10">
        <v>415000</v>
      </c>
      <c r="G461" t="s">
        <v>423</v>
      </c>
      <c r="H461">
        <v>905</v>
      </c>
      <c r="J461">
        <v>2</v>
      </c>
      <c r="K461">
        <v>1.5</v>
      </c>
      <c r="M461" s="2" t="str">
        <f>HYPERLINK("http://www.windermere.com/index.cfm?fuseaction=Listing.MapPropertyInteractive&amp;ListingID=19403464&amp;resize=true&amp;windowWidth=800&amp;windowHeight=600","Map")</f>
        <v>Map</v>
      </c>
      <c r="O461" s="2" t="str">
        <f>HYPERLINK("http://www.windermere.com/index.cfm?fuseaction=Listing.MultiImageViewer&amp;ListingID=19403464&amp;ln=28031236&amp;pub_mls=1","More")</f>
        <v>More</v>
      </c>
      <c r="P461" t="s">
        <v>44</v>
      </c>
      <c r="AI461" t="s">
        <v>66</v>
      </c>
      <c r="AJ461">
        <v>98103</v>
      </c>
      <c r="AS461" t="s">
        <v>1419</v>
      </c>
      <c r="AT461">
        <v>19403464</v>
      </c>
      <c r="AU461" s="7">
        <v>39499</v>
      </c>
      <c r="BB461" t="s">
        <v>911</v>
      </c>
      <c r="BC461" s="7">
        <v>39499</v>
      </c>
      <c r="BD461">
        <v>-4</v>
      </c>
      <c r="BE461" t="s">
        <v>1446</v>
      </c>
      <c r="BG461">
        <v>1</v>
      </c>
    </row>
    <row r="462" spans="1:59" hidden="1">
      <c r="A462">
        <v>28030415</v>
      </c>
      <c r="B462" s="2" t="str">
        <f>HYPERLINK("http://www.windermere.com/index.cfm?fuseaction=Listing.ListingDetail&amp;ListingID=19403826","Active")</f>
        <v>Active</v>
      </c>
      <c r="D462" t="s">
        <v>100</v>
      </c>
      <c r="E462" s="3" t="s">
        <v>1460</v>
      </c>
      <c r="F462" s="10">
        <v>419000</v>
      </c>
      <c r="G462" t="s">
        <v>173</v>
      </c>
      <c r="H462" s="1">
        <v>1300</v>
      </c>
      <c r="J462">
        <v>4</v>
      </c>
      <c r="K462">
        <v>2</v>
      </c>
      <c r="M462" s="2" t="str">
        <f>HYPERLINK("http://www.windermere.com/index.cfm?fuseaction=Listing.MapPropertyInteractive&amp;ListingID=19403826&amp;resize=true&amp;windowWidth=800&amp;windowHeight=600","Map")</f>
        <v>Map</v>
      </c>
      <c r="O462" s="2" t="str">
        <f>HYPERLINK("http://www.windermere.com/index.cfm?fuseaction=Listing.MultiImageViewer&amp;ListingID=19403826&amp;ln=28030415&amp;pub_mls=1","More")</f>
        <v>More</v>
      </c>
      <c r="AI462" t="s">
        <v>66</v>
      </c>
      <c r="AJ462">
        <v>98103</v>
      </c>
      <c r="AS462" t="s">
        <v>1420</v>
      </c>
      <c r="AT462">
        <v>19403826</v>
      </c>
      <c r="AU462" s="7">
        <v>39499</v>
      </c>
      <c r="BB462" t="s">
        <v>911</v>
      </c>
      <c r="BC462" s="7">
        <v>39499</v>
      </c>
      <c r="BD462">
        <v>-3</v>
      </c>
      <c r="BE462" t="s">
        <v>1447</v>
      </c>
      <c r="BG462">
        <v>1</v>
      </c>
    </row>
    <row r="463" spans="1:59" hidden="1">
      <c r="A463">
        <v>28031354</v>
      </c>
      <c r="B463" s="15" t="str">
        <f>HYPERLINK("http://www.windermere.com/index.cfm?fuseaction=Listing.ListingDetail&amp;ListingID=19404486","Subject To Inspection")</f>
        <v>Subject To Inspection</v>
      </c>
      <c r="D463" t="s">
        <v>70</v>
      </c>
      <c r="E463" t="s">
        <v>1421</v>
      </c>
      <c r="F463" s="10">
        <v>429000</v>
      </c>
      <c r="G463" t="s">
        <v>1422</v>
      </c>
      <c r="H463" s="1">
        <v>1740</v>
      </c>
      <c r="I463">
        <v>7140</v>
      </c>
      <c r="J463">
        <v>3</v>
      </c>
      <c r="K463" s="19">
        <v>2.5</v>
      </c>
      <c r="M463" s="2" t="str">
        <f>HYPERLINK("http://www.windermere.com/index.cfm?fuseaction=Listing.MapPropertyInteractive&amp;ListingID=19404486&amp;resize=true&amp;windowWidth=800&amp;windowHeight=600","Map")</f>
        <v>Map</v>
      </c>
      <c r="AI463" t="s">
        <v>66</v>
      </c>
      <c r="AJ463">
        <v>98177</v>
      </c>
      <c r="AS463" t="s">
        <v>1423</v>
      </c>
      <c r="AT463">
        <v>19404486</v>
      </c>
      <c r="AU463" s="7">
        <v>39499</v>
      </c>
      <c r="BB463" t="s">
        <v>911</v>
      </c>
      <c r="BC463" s="7">
        <v>39499</v>
      </c>
      <c r="BD463">
        <v>1</v>
      </c>
      <c r="BE463" t="s">
        <v>1448</v>
      </c>
      <c r="BG463">
        <v>1</v>
      </c>
    </row>
    <row r="464" spans="1:59" hidden="1">
      <c r="A464">
        <v>28030626</v>
      </c>
      <c r="B464" s="2" t="str">
        <f>HYPERLINK("http://www.windermere.com/index.cfm?fuseaction=Listing.ListingDetail&amp;ListingID=19399436","Active")</f>
        <v>Active</v>
      </c>
      <c r="D464" t="s">
        <v>100</v>
      </c>
      <c r="E464" t="s">
        <v>1424</v>
      </c>
      <c r="F464" s="10">
        <v>459000</v>
      </c>
      <c r="G464" t="s">
        <v>159</v>
      </c>
      <c r="H464" s="1">
        <v>1670</v>
      </c>
      <c r="I464">
        <v>3025</v>
      </c>
      <c r="J464">
        <v>2</v>
      </c>
      <c r="K464">
        <v>1.75</v>
      </c>
      <c r="M464" s="2" t="str">
        <f>HYPERLINK("http://www.windermere.com/index.cfm?fuseaction=Listing.MapPropertyInteractive&amp;ListingID=19399436&amp;resize=true&amp;windowWidth=800&amp;windowHeight=600","Map")</f>
        <v>Map</v>
      </c>
      <c r="P464" t="s">
        <v>44</v>
      </c>
      <c r="AI464" t="s">
        <v>66</v>
      </c>
      <c r="AJ464">
        <v>98107</v>
      </c>
      <c r="AS464" t="s">
        <v>1425</v>
      </c>
      <c r="AT464">
        <v>19399436</v>
      </c>
      <c r="AU464" s="7">
        <v>39499</v>
      </c>
      <c r="BB464" t="s">
        <v>911</v>
      </c>
      <c r="BC464" s="7">
        <v>39499</v>
      </c>
      <c r="BD464">
        <v>2</v>
      </c>
      <c r="BE464" t="s">
        <v>1449</v>
      </c>
      <c r="BG464">
        <v>1</v>
      </c>
    </row>
    <row r="465" spans="1:59" hidden="1">
      <c r="A465">
        <v>28030509</v>
      </c>
      <c r="B465" s="2" t="str">
        <f>HYPERLINK("http://www.windermere.com/index.cfm?fuseaction=Listing.ListingDetail&amp;ListingID=19403814","Active")</f>
        <v>Active</v>
      </c>
      <c r="D465" t="s">
        <v>100</v>
      </c>
      <c r="E465" t="s">
        <v>1426</v>
      </c>
      <c r="F465" s="10">
        <v>484950</v>
      </c>
      <c r="G465" t="s">
        <v>673</v>
      </c>
      <c r="H465" s="1">
        <v>1630</v>
      </c>
      <c r="I465">
        <v>1350</v>
      </c>
      <c r="J465">
        <v>2</v>
      </c>
      <c r="K465">
        <v>2.25</v>
      </c>
      <c r="M465" s="2" t="str">
        <f>HYPERLINK("http://www.windermere.com/index.cfm?fuseaction=Listing.MapPropertyInteractive&amp;ListingID=19403814&amp;resize=true&amp;windowWidth=800&amp;windowHeight=600","Map")</f>
        <v>Map</v>
      </c>
      <c r="O465" s="2" t="str">
        <f>HYPERLINK("http://www.windermere.com/index.cfm?fuseaction=Listing.MultiImageViewer&amp;ListingID=19403814&amp;ln=28030509&amp;pub_mls=1","More")</f>
        <v>More</v>
      </c>
      <c r="P465" t="s">
        <v>44</v>
      </c>
      <c r="AI465" t="s">
        <v>66</v>
      </c>
      <c r="AJ465">
        <v>98103</v>
      </c>
      <c r="AS465" t="s">
        <v>1427</v>
      </c>
      <c r="AT465">
        <v>19403814</v>
      </c>
      <c r="AU465" s="7">
        <v>39499</v>
      </c>
      <c r="BB465" t="s">
        <v>911</v>
      </c>
      <c r="BC465" s="7">
        <v>39499</v>
      </c>
      <c r="BD465">
        <v>-4</v>
      </c>
      <c r="BE465" t="s">
        <v>1326</v>
      </c>
      <c r="BG465">
        <v>1</v>
      </c>
    </row>
    <row r="466" spans="1:59" hidden="1">
      <c r="A466">
        <v>28008254</v>
      </c>
      <c r="B466" s="2" t="str">
        <f>HYPERLINK("http://www.windermere.com/index.cfm?fuseaction=Listing.ListingDetail&amp;ListingID=19224161","Active")</f>
        <v>Active</v>
      </c>
      <c r="D466" t="s">
        <v>63</v>
      </c>
      <c r="E466" t="s">
        <v>1428</v>
      </c>
      <c r="F466" s="10">
        <v>499950</v>
      </c>
      <c r="G466" t="s">
        <v>246</v>
      </c>
      <c r="H466" s="1">
        <v>1780</v>
      </c>
      <c r="J466">
        <v>3</v>
      </c>
      <c r="K466">
        <v>3</v>
      </c>
      <c r="M466" s="2" t="str">
        <f>HYPERLINK("http://www.windermere.com/index.cfm?fuseaction=Listing.MapPropertyInteractive&amp;ListingID=19224161&amp;resize=true&amp;windowWidth=800&amp;windowHeight=600","Map")</f>
        <v>Map</v>
      </c>
      <c r="P466" t="s">
        <v>44</v>
      </c>
      <c r="AI466" t="s">
        <v>66</v>
      </c>
      <c r="AJ466" s="19">
        <v>98107</v>
      </c>
      <c r="AS466" t="s">
        <v>1429</v>
      </c>
      <c r="AT466">
        <v>19224161</v>
      </c>
      <c r="AU466" s="7">
        <v>39499</v>
      </c>
      <c r="BB466" t="s">
        <v>911</v>
      </c>
      <c r="BC466" s="7">
        <v>39462</v>
      </c>
      <c r="BD466">
        <v>-4</v>
      </c>
      <c r="BE466" t="s">
        <v>1450</v>
      </c>
      <c r="BG466">
        <v>38</v>
      </c>
    </row>
    <row r="467" spans="1:59" hidden="1">
      <c r="A467">
        <v>28030680</v>
      </c>
      <c r="B467" s="2" t="str">
        <f>HYPERLINK("http://www.windermere.com/index.cfm?fuseaction=Listing.ListingDetail&amp;ListingID=19398832","Active")</f>
        <v>Active</v>
      </c>
      <c r="D467" t="s">
        <v>207</v>
      </c>
      <c r="E467" t="s">
        <v>1430</v>
      </c>
      <c r="F467" s="10">
        <v>499950</v>
      </c>
      <c r="G467" t="s">
        <v>130</v>
      </c>
      <c r="H467" s="1">
        <v>1800</v>
      </c>
      <c r="I467">
        <v>5243</v>
      </c>
      <c r="J467">
        <v>4</v>
      </c>
      <c r="K467">
        <v>2</v>
      </c>
      <c r="M467" s="2" t="str">
        <f>HYPERLINK("http://www.windermere.com/index.cfm?fuseaction=Listing.MapPropertyInteractive&amp;ListingID=19398832&amp;resize=true&amp;windowWidth=800&amp;windowHeight=600","Map")</f>
        <v>Map</v>
      </c>
      <c r="O467" s="2" t="str">
        <f>HYPERLINK("http://www.windermere.com/index.cfm?fuseaction=Listing.MultiImageViewer&amp;ListingID=19398832&amp;ln=28030680&amp;pub_mls=1","More")</f>
        <v>More</v>
      </c>
      <c r="AI467" t="s">
        <v>66</v>
      </c>
      <c r="AJ467">
        <v>98115</v>
      </c>
      <c r="AS467" t="s">
        <v>1431</v>
      </c>
      <c r="AT467">
        <v>19398832</v>
      </c>
      <c r="AU467" s="7">
        <v>39499</v>
      </c>
      <c r="BB467" t="s">
        <v>911</v>
      </c>
      <c r="BC467" s="7">
        <v>39499</v>
      </c>
      <c r="BD467">
        <v>3</v>
      </c>
      <c r="BE467" t="s">
        <v>1451</v>
      </c>
      <c r="BG467">
        <v>1</v>
      </c>
    </row>
    <row r="468" spans="1:59" hidden="1">
      <c r="A468">
        <v>28030012</v>
      </c>
      <c r="B468" s="2" t="str">
        <f>HYPERLINK("http://www.windermere.com/index.cfm?fuseaction=Listing.ListingDetail&amp;ListingID=19403828","Active")</f>
        <v>Active</v>
      </c>
      <c r="D468" t="s">
        <v>88</v>
      </c>
      <c r="E468" t="s">
        <v>1432</v>
      </c>
      <c r="F468" s="10">
        <v>575000</v>
      </c>
      <c r="G468" t="s">
        <v>144</v>
      </c>
      <c r="H468" s="1">
        <v>2440</v>
      </c>
      <c r="J468">
        <v>4</v>
      </c>
      <c r="K468" s="19">
        <v>2</v>
      </c>
      <c r="M468" s="2" t="str">
        <f>HYPERLINK("http://www.windermere.com/index.cfm?fuseaction=Listing.MapPropertyInteractive&amp;ListingID=19403828&amp;resize=true&amp;windowWidth=800&amp;windowHeight=600","Map")</f>
        <v>Map</v>
      </c>
      <c r="O468" s="2" t="str">
        <f>HYPERLINK("http://www.windermere.com/index.cfm?fuseaction=Listing.MultiImageViewer&amp;ListingID=19403828&amp;ln=28030012&amp;pub_mls=1","More")</f>
        <v>More</v>
      </c>
      <c r="P468" t="s">
        <v>44</v>
      </c>
      <c r="AI468" t="s">
        <v>66</v>
      </c>
      <c r="AJ468">
        <v>98117</v>
      </c>
      <c r="AS468" t="s">
        <v>1433</v>
      </c>
      <c r="AT468">
        <v>19403828</v>
      </c>
      <c r="AU468" s="7">
        <v>39499</v>
      </c>
      <c r="BB468" t="s">
        <v>911</v>
      </c>
      <c r="BC468" s="7">
        <v>39499</v>
      </c>
      <c r="BD468">
        <v>2</v>
      </c>
      <c r="BE468" t="s">
        <v>1452</v>
      </c>
      <c r="BG468">
        <v>1</v>
      </c>
    </row>
    <row r="469" spans="1:59" hidden="1">
      <c r="A469">
        <v>28032147</v>
      </c>
      <c r="B469" s="2" t="str">
        <f>HYPERLINK("http://www.windermere.com/index.cfm?fuseaction=Listing.ListingDetail&amp;ListingID=19412092","Active")</f>
        <v>Active</v>
      </c>
      <c r="D469" t="s">
        <v>42</v>
      </c>
      <c r="E469" t="s">
        <v>1475</v>
      </c>
      <c r="F469" s="10">
        <v>314000</v>
      </c>
      <c r="G469" t="s">
        <v>147</v>
      </c>
      <c r="H469" s="1">
        <v>1432</v>
      </c>
      <c r="J469">
        <v>3</v>
      </c>
      <c r="K469">
        <v>2.5</v>
      </c>
      <c r="M469" s="2" t="str">
        <f>HYPERLINK("http://www.windermere.com/index.cfm?fuseaction=Listing.MapPropertyInteractive&amp;ListingID=19412092&amp;resize=true&amp;windowWidth=800&amp;windowHeight=600","Map")</f>
        <v>Map</v>
      </c>
      <c r="O469" s="2" t="str">
        <f>HYPERLINK("http://www.windermere.com/index.cfm?fuseaction=Listing.MultiImageViewer&amp;ListingID=19412092&amp;ln=28032147&amp;pub_mls=1","More")</f>
        <v>More</v>
      </c>
      <c r="AI469" t="s">
        <v>66</v>
      </c>
      <c r="AJ469">
        <v>98133</v>
      </c>
      <c r="AS469" t="s">
        <v>1476</v>
      </c>
      <c r="AT469">
        <v>19412092</v>
      </c>
      <c r="AU469" s="7">
        <v>39501</v>
      </c>
      <c r="BB469" t="s">
        <v>911</v>
      </c>
    </row>
    <row r="470" spans="1:59" hidden="1">
      <c r="A470">
        <v>28031803</v>
      </c>
      <c r="B470" s="2" t="str">
        <f>HYPERLINK("http://www.windermere.com/index.cfm?fuseaction=Listing.ListingDetail&amp;ListingID=19408082","Active")</f>
        <v>Active</v>
      </c>
      <c r="D470" t="s">
        <v>66</v>
      </c>
      <c r="E470" t="s">
        <v>1453</v>
      </c>
      <c r="F470" s="10">
        <v>320000</v>
      </c>
      <c r="G470" t="s">
        <v>378</v>
      </c>
      <c r="H470" s="1">
        <v>1140</v>
      </c>
      <c r="I470">
        <v>9240</v>
      </c>
      <c r="J470">
        <v>4</v>
      </c>
      <c r="K470">
        <v>1</v>
      </c>
      <c r="M470" s="2" t="str">
        <f>HYPERLINK("http://www.windermere.com/index.cfm?fuseaction=Listing.MapPropertyInteractive&amp;ListingID=19408082&amp;resize=true&amp;windowWidth=800&amp;windowHeight=600","Map")</f>
        <v>Map</v>
      </c>
      <c r="O470" s="2" t="str">
        <f>HYPERLINK("http://www.windermere.com/index.cfm?fuseaction=Listing.MultiImageViewer&amp;ListingID=19408082&amp;ln=28031803&amp;pub_mls=1","More")</f>
        <v>More</v>
      </c>
      <c r="AI470" t="s">
        <v>66</v>
      </c>
      <c r="AJ470" s="19">
        <v>98155</v>
      </c>
      <c r="AS470" t="s">
        <v>1454</v>
      </c>
      <c r="AT470">
        <v>19408082</v>
      </c>
      <c r="AU470" s="7">
        <v>39501</v>
      </c>
      <c r="BB470" t="s">
        <v>911</v>
      </c>
    </row>
    <row r="471" spans="1:59" hidden="1">
      <c r="A471">
        <v>28031593</v>
      </c>
      <c r="B471" s="2" t="str">
        <f>HYPERLINK("http://www.windermere.com/index.cfm?fuseaction=Listing.ListingDetail&amp;ListingID=19407034","Active")</f>
        <v>Active</v>
      </c>
      <c r="D471" t="s">
        <v>199</v>
      </c>
      <c r="E471" t="s">
        <v>1456</v>
      </c>
      <c r="F471" s="10">
        <v>399000</v>
      </c>
      <c r="G471" t="s">
        <v>168</v>
      </c>
      <c r="J471">
        <v>4</v>
      </c>
      <c r="K471">
        <v>2</v>
      </c>
      <c r="M471" s="2" t="str">
        <f>HYPERLINK("http://www.windermere.com/index.cfm?fuseaction=Listing.MapPropertyInteractive&amp;ListingID=19407034&amp;resize=true&amp;windowWidth=800&amp;windowHeight=600","Map")</f>
        <v>Map</v>
      </c>
      <c r="O471" s="2" t="str">
        <f>HYPERLINK("http://www.windermere.com/index.cfm?fuseaction=viewGallery.Home&amp;customTourID=208435&amp;wvt=0","More")</f>
        <v>More</v>
      </c>
      <c r="AI471" t="s">
        <v>66</v>
      </c>
      <c r="AJ471">
        <v>98125</v>
      </c>
      <c r="AS471" t="s">
        <v>1457</v>
      </c>
      <c r="AT471">
        <v>19407034</v>
      </c>
      <c r="AU471" s="7">
        <v>39501</v>
      </c>
      <c r="BB471" t="s">
        <v>911</v>
      </c>
    </row>
    <row r="472" spans="1:59" hidden="1">
      <c r="A472">
        <v>28031815</v>
      </c>
      <c r="B472" s="2" t="str">
        <f>HYPERLINK("http://www.windermere.com/index.cfm?fuseaction=Listing.ListingDetail&amp;ListingID=19409882","Active")</f>
        <v>Active</v>
      </c>
      <c r="D472" t="s">
        <v>109</v>
      </c>
      <c r="E472" t="s">
        <v>1458</v>
      </c>
      <c r="F472" s="10">
        <v>399800</v>
      </c>
      <c r="G472" t="s">
        <v>154</v>
      </c>
      <c r="H472">
        <v>910</v>
      </c>
      <c r="I472">
        <v>5100</v>
      </c>
      <c r="J472">
        <v>2</v>
      </c>
      <c r="K472">
        <v>1</v>
      </c>
      <c r="M472" s="2" t="str">
        <f>HYPERLINK("http://www.windermere.com/index.cfm?fuseaction=Listing.MapPropertyInteractive&amp;ListingID=19409882&amp;resize=true&amp;windowWidth=800&amp;windowHeight=600","Map")</f>
        <v>Map</v>
      </c>
      <c r="O472" s="2" t="str">
        <f>HYPERLINK("http://www.windermere.com/index.cfm?fuseaction=Listing.MultiImageViewer&amp;ListingID=19409882&amp;ln=28031815&amp;pub_mls=1","More")</f>
        <v>More</v>
      </c>
      <c r="P472" t="s">
        <v>44</v>
      </c>
      <c r="AI472" t="s">
        <v>66</v>
      </c>
      <c r="AJ472">
        <v>98105</v>
      </c>
      <c r="AS472" t="s">
        <v>1459</v>
      </c>
      <c r="AT472">
        <v>19409882</v>
      </c>
      <c r="AU472" s="7">
        <v>39501</v>
      </c>
      <c r="BB472" t="s">
        <v>911</v>
      </c>
    </row>
    <row r="473" spans="1:59" hidden="1">
      <c r="A473">
        <v>28031984</v>
      </c>
      <c r="B473" s="2" t="str">
        <f>HYPERLINK("http://www.windermere.com/index.cfm?fuseaction=Listing.ListingDetail&amp;ListingID=19409141","Active")</f>
        <v>Active</v>
      </c>
      <c r="D473" t="s">
        <v>60</v>
      </c>
      <c r="E473" t="s">
        <v>1461</v>
      </c>
      <c r="F473" s="10">
        <v>425000</v>
      </c>
      <c r="G473" t="s">
        <v>219</v>
      </c>
      <c r="H473" s="1">
        <v>1280</v>
      </c>
      <c r="I473">
        <v>3060</v>
      </c>
      <c r="J473">
        <v>3</v>
      </c>
      <c r="K473">
        <v>1.5</v>
      </c>
      <c r="M473" s="2" t="str">
        <f>HYPERLINK("http://www.windermere.com/index.cfm?fuseaction=Listing.MapPropertyInteractive&amp;ListingID=19409141&amp;resize=true&amp;windowWidth=800&amp;windowHeight=600","Map")</f>
        <v>Map</v>
      </c>
      <c r="O473" s="2" t="str">
        <f>HYPERLINK("http://www.windermere.com/index.cfm?fuseaction=viewGallery.Home&amp;customTourID=208553&amp;wvt=0","More")</f>
        <v>More</v>
      </c>
      <c r="AI473" t="s">
        <v>66</v>
      </c>
      <c r="AJ473">
        <v>98103</v>
      </c>
      <c r="AS473" t="s">
        <v>1462</v>
      </c>
      <c r="AT473">
        <v>19409141</v>
      </c>
      <c r="AU473" s="7">
        <v>39501</v>
      </c>
      <c r="BB473" t="s">
        <v>911</v>
      </c>
    </row>
    <row r="474" spans="1:59" hidden="1">
      <c r="A474">
        <v>28032200</v>
      </c>
      <c r="B474" s="2" t="str">
        <f>HYPERLINK("http://www.windermere.com/index.cfm?fuseaction=Listing.ListingDetail&amp;ListingID=19412399","Active")</f>
        <v>Active</v>
      </c>
      <c r="D474" t="s">
        <v>63</v>
      </c>
      <c r="E474" t="s">
        <v>1483</v>
      </c>
      <c r="F474" s="10">
        <v>439950</v>
      </c>
      <c r="G474" t="s">
        <v>147</v>
      </c>
      <c r="H474" s="1">
        <v>1469</v>
      </c>
      <c r="J474">
        <v>3</v>
      </c>
      <c r="K474">
        <v>3.5</v>
      </c>
      <c r="M474" s="2" t="str">
        <f>HYPERLINK("http://www.windermere.com/index.cfm?fuseaction=Listing.MapPropertyInteractive&amp;ListingID=19412399&amp;resize=true&amp;windowWidth=800&amp;windowHeight=600","Map")</f>
        <v>Map</v>
      </c>
      <c r="AI474" t="s">
        <v>66</v>
      </c>
      <c r="AJ474">
        <v>98107</v>
      </c>
      <c r="AS474" t="s">
        <v>1484</v>
      </c>
      <c r="AT474">
        <v>19412399</v>
      </c>
      <c r="AU474" s="7">
        <v>39501</v>
      </c>
      <c r="BB474" t="s">
        <v>911</v>
      </c>
    </row>
    <row r="475" spans="1:59" hidden="1">
      <c r="A475">
        <v>28031588</v>
      </c>
      <c r="B475" s="2" t="str">
        <f>HYPERLINK("http://www.windermere.com/index.cfm?fuseaction=Listing.ListingDetail&amp;ListingID=19407733","Active")</f>
        <v>Active</v>
      </c>
      <c r="D475" t="s">
        <v>109</v>
      </c>
      <c r="E475" t="s">
        <v>1464</v>
      </c>
      <c r="F475" s="10">
        <v>449950</v>
      </c>
      <c r="G475" t="s">
        <v>246</v>
      </c>
      <c r="H475" s="1">
        <v>1439</v>
      </c>
      <c r="J475">
        <v>2</v>
      </c>
      <c r="K475">
        <v>2.25</v>
      </c>
      <c r="M475" s="2" t="str">
        <f>HYPERLINK("http://www.windermere.com/index.cfm?fuseaction=Listing.MapPropertyInteractive&amp;ListingID=19407733&amp;resize=true&amp;windowWidth=800&amp;windowHeight=600","Map")</f>
        <v>Map</v>
      </c>
      <c r="O475" s="2" t="str">
        <f>HYPERLINK("http://www.windermere.com/index.cfm?fuseaction=Listing.MultiImageViewer&amp;ListingID=19407733&amp;ln=28031588&amp;pub_mls=1","More")</f>
        <v>More</v>
      </c>
      <c r="P475" t="s">
        <v>44</v>
      </c>
      <c r="AI475" t="s">
        <v>66</v>
      </c>
      <c r="AJ475">
        <v>98103</v>
      </c>
      <c r="AS475" t="s">
        <v>1465</v>
      </c>
      <c r="AT475">
        <v>19407733</v>
      </c>
      <c r="AU475" s="7">
        <v>39501</v>
      </c>
      <c r="BB475" t="s">
        <v>911</v>
      </c>
    </row>
    <row r="476" spans="1:59" hidden="1">
      <c r="A476">
        <v>28031574</v>
      </c>
      <c r="B476" s="2" t="str">
        <f>HYPERLINK("http://www.windermere.com/index.cfm?fuseaction=Listing.ListingDetail&amp;ListingID=19407101","Active")</f>
        <v>Active</v>
      </c>
      <c r="D476" t="s">
        <v>109</v>
      </c>
      <c r="E476" t="s">
        <v>1466</v>
      </c>
      <c r="F476" s="10">
        <v>464950</v>
      </c>
      <c r="G476" t="s">
        <v>246</v>
      </c>
      <c r="H476" s="1">
        <v>1439</v>
      </c>
      <c r="J476">
        <v>2</v>
      </c>
      <c r="K476">
        <v>2.25</v>
      </c>
      <c r="M476" s="2" t="str">
        <f>HYPERLINK("http://www.windermere.com/index.cfm?fuseaction=Listing.MapPropertyInteractive&amp;ListingID=19407101&amp;resize=true&amp;windowWidth=800&amp;windowHeight=600","Map")</f>
        <v>Map</v>
      </c>
      <c r="O476" s="2" t="str">
        <f>HYPERLINK("http://www.windermere.com/index.cfm?fuseaction=Listing.MultiImageViewer&amp;ListingID=19407101&amp;ln=28031574&amp;pub_mls=1","More")</f>
        <v>More</v>
      </c>
      <c r="P476" t="s">
        <v>44</v>
      </c>
      <c r="AI476" t="s">
        <v>66</v>
      </c>
      <c r="AJ476">
        <v>98103</v>
      </c>
      <c r="AS476" t="s">
        <v>1467</v>
      </c>
      <c r="AT476">
        <v>19407101</v>
      </c>
      <c r="AU476" s="7">
        <v>39501</v>
      </c>
      <c r="BB476" t="s">
        <v>911</v>
      </c>
    </row>
    <row r="477" spans="1:59">
      <c r="A477">
        <v>28031494</v>
      </c>
      <c r="B477" s="2" t="str">
        <f>HYPERLINK("http://www.windermere.com/index.cfm?fuseaction=Listing.ListingDetail&amp;ListingID=19406599","Active")</f>
        <v>Active</v>
      </c>
      <c r="D477" t="s">
        <v>63</v>
      </c>
      <c r="E477" t="s">
        <v>1469</v>
      </c>
      <c r="F477" s="10">
        <v>482800</v>
      </c>
      <c r="G477" t="s">
        <v>161</v>
      </c>
      <c r="H477" s="1">
        <v>1337</v>
      </c>
      <c r="I477">
        <v>5110</v>
      </c>
      <c r="J477">
        <v>3</v>
      </c>
      <c r="K477">
        <v>1.75</v>
      </c>
      <c r="M477" s="2" t="str">
        <f>HYPERLINK("http://www.windermere.com/index.cfm?fuseaction=Listing.MapPropertyInteractive&amp;ListingID=19406599&amp;resize=true&amp;windowWidth=800&amp;windowHeight=600","Map")</f>
        <v>Map</v>
      </c>
      <c r="O477" s="2" t="str">
        <f>HYPERLINK("http://www.windermere.com/index.cfm?fuseaction=Listing.MultiImageViewer&amp;ListingID=19406599&amp;ln=28031494&amp;pub_mls=1","More")</f>
        <v>More</v>
      </c>
      <c r="P477" t="s">
        <v>44</v>
      </c>
      <c r="AI477" t="s">
        <v>66</v>
      </c>
      <c r="AJ477">
        <v>98117</v>
      </c>
      <c r="AS477" t="s">
        <v>1470</v>
      </c>
      <c r="AT477">
        <v>19406599</v>
      </c>
      <c r="AU477" s="7">
        <v>39501</v>
      </c>
      <c r="BB477" t="s">
        <v>911</v>
      </c>
      <c r="BD477" t="s">
        <v>1624</v>
      </c>
      <c r="BE477" t="s">
        <v>1626</v>
      </c>
      <c r="BF477" s="7">
        <v>39508</v>
      </c>
    </row>
    <row r="478" spans="1:59" hidden="1">
      <c r="A478">
        <v>28031548</v>
      </c>
      <c r="B478" s="15" t="str">
        <f>HYPERLINK("http://www.windermere.com/index.cfm?fuseaction=Listing.ListingDetail&amp;ListingID=19406985","Subject To Inspection")</f>
        <v>Subject To Inspection</v>
      </c>
      <c r="D478" t="s">
        <v>109</v>
      </c>
      <c r="E478" t="s">
        <v>1471</v>
      </c>
      <c r="F478" s="10">
        <v>499000</v>
      </c>
      <c r="G478" t="s">
        <v>439</v>
      </c>
      <c r="H478" s="1">
        <v>1910</v>
      </c>
      <c r="I478">
        <v>2942</v>
      </c>
      <c r="J478">
        <v>3</v>
      </c>
      <c r="K478">
        <v>1.75</v>
      </c>
      <c r="M478" s="2" t="str">
        <f>HYPERLINK("http://www.windermere.com/index.cfm?fuseaction=Listing.MapPropertyInteractive&amp;ListingID=19406985&amp;resize=true&amp;windowWidth=800&amp;windowHeight=600","Map")</f>
        <v>Map</v>
      </c>
      <c r="O478" s="2" t="str">
        <f>HYPERLINK("http://www.windermere.com/index.cfm?fuseaction=Listing.MultiImageViewer&amp;ListingID=19406985&amp;ln=28031548&amp;pub_mls=1","More")</f>
        <v>More</v>
      </c>
      <c r="AI478" t="s">
        <v>66</v>
      </c>
      <c r="AJ478">
        <v>98105</v>
      </c>
      <c r="AS478" t="s">
        <v>1472</v>
      </c>
      <c r="AT478">
        <v>19406985</v>
      </c>
      <c r="AU478" s="7">
        <v>39501</v>
      </c>
      <c r="BB478" t="s">
        <v>911</v>
      </c>
    </row>
    <row r="479" spans="1:59" hidden="1">
      <c r="A479">
        <v>27182990</v>
      </c>
      <c r="B479" s="2" t="str">
        <f>HYPERLINK("http://www.windermere.com/index.cfm?fuseaction=Listing.ListingDetail&amp;ListingID=19409788","Active")</f>
        <v>Active</v>
      </c>
      <c r="D479" t="s">
        <v>204</v>
      </c>
      <c r="E479" t="s">
        <v>1473</v>
      </c>
      <c r="F479" s="10">
        <v>500000</v>
      </c>
      <c r="G479" t="s">
        <v>132</v>
      </c>
      <c r="H479" s="1">
        <v>3340</v>
      </c>
      <c r="I479">
        <v>11994</v>
      </c>
      <c r="J479">
        <v>4</v>
      </c>
      <c r="K479">
        <v>2.25</v>
      </c>
      <c r="M479" s="2" t="str">
        <f>HYPERLINK("http://www.windermere.com/index.cfm?fuseaction=Listing.MapPropertyInteractive&amp;ListingID=19409788&amp;resize=true&amp;windowWidth=800&amp;windowHeight=600","Map")</f>
        <v>Map</v>
      </c>
      <c r="O479" s="2" t="str">
        <f>HYPERLINK("http://www.windermere.com/index.cfm?fuseaction=viewGallery.Home&amp;customTourID=196755&amp;wvt=0","More")</f>
        <v>More</v>
      </c>
      <c r="P479" t="s">
        <v>44</v>
      </c>
      <c r="AI479" t="s">
        <v>66</v>
      </c>
      <c r="AJ479">
        <v>98125</v>
      </c>
      <c r="AS479" t="s">
        <v>1474</v>
      </c>
      <c r="AT479">
        <v>19409788</v>
      </c>
      <c r="AU479" s="7">
        <v>39501</v>
      </c>
      <c r="BB479" t="s">
        <v>911</v>
      </c>
    </row>
    <row r="480" spans="1:59" hidden="1">
      <c r="A480">
        <v>28031990</v>
      </c>
      <c r="B480" s="2" t="str">
        <f>HYPERLINK("http://www.windermere.com/index.cfm?fuseaction=Listing.ListingDetail&amp;ListingID=19409790","Active")</f>
        <v>Active</v>
      </c>
      <c r="D480" t="s">
        <v>101</v>
      </c>
      <c r="E480" t="s">
        <v>1477</v>
      </c>
      <c r="F480" s="10">
        <v>579950</v>
      </c>
      <c r="G480" t="s">
        <v>1422</v>
      </c>
      <c r="H480" s="1">
        <v>2090</v>
      </c>
      <c r="I480">
        <v>7800</v>
      </c>
      <c r="J480">
        <v>4</v>
      </c>
      <c r="K480">
        <v>3</v>
      </c>
      <c r="M480" s="2" t="str">
        <f>HYPERLINK("http://www.windermere.com/index.cfm?fuseaction=Listing.MapPropertyInteractive&amp;ListingID=19409790&amp;resize=true&amp;windowWidth=800&amp;windowHeight=600","Map")</f>
        <v>Map</v>
      </c>
      <c r="O480" s="2" t="str">
        <f>HYPERLINK("http://www.windermere.com/index.cfm?fuseaction=Listing.MultiImageViewer&amp;ListingID=19409790&amp;ln=28031990&amp;pub_mls=1","More")</f>
        <v>More</v>
      </c>
      <c r="P480" t="s">
        <v>44</v>
      </c>
      <c r="AI480" t="s">
        <v>66</v>
      </c>
      <c r="AJ480">
        <v>98117</v>
      </c>
      <c r="AS480" t="s">
        <v>1478</v>
      </c>
      <c r="AT480">
        <v>19409790</v>
      </c>
      <c r="AU480" s="7">
        <v>39501</v>
      </c>
      <c r="BB480" t="s">
        <v>911</v>
      </c>
    </row>
    <row r="481" spans="1:58" hidden="1">
      <c r="A481">
        <v>28031979</v>
      </c>
      <c r="B481" s="2" t="str">
        <f>HYPERLINK("http://www.windermere.com/index.cfm?fuseaction=Listing.ListingDetail&amp;ListingID=19409140","Active")</f>
        <v>Active</v>
      </c>
      <c r="D481" t="s">
        <v>78</v>
      </c>
      <c r="E481" t="s">
        <v>1479</v>
      </c>
      <c r="F481" s="10">
        <v>714950</v>
      </c>
      <c r="G481" t="s">
        <v>180</v>
      </c>
      <c r="H481" s="1">
        <v>2320</v>
      </c>
      <c r="I481">
        <v>4046</v>
      </c>
      <c r="J481">
        <v>4</v>
      </c>
      <c r="K481">
        <v>2.5</v>
      </c>
      <c r="M481" s="2" t="str">
        <f>HYPERLINK("http://www.windermere.com/index.cfm?fuseaction=Listing.MapPropertyInteractive&amp;ListingID=19409140&amp;resize=true&amp;windowWidth=800&amp;windowHeight=600","Map")</f>
        <v>Map</v>
      </c>
      <c r="O481" s="2" t="str">
        <f>HYPERLINK("http://www.windermere.com/index.cfm?fuseaction=Listing.MultiImageViewer&amp;ListingID=19409140&amp;ln=28031979&amp;pub_mls=1","More")</f>
        <v>More</v>
      </c>
      <c r="P481" t="s">
        <v>44</v>
      </c>
      <c r="AI481" t="s">
        <v>66</v>
      </c>
      <c r="AJ481">
        <v>98117</v>
      </c>
      <c r="AS481" t="s">
        <v>1480</v>
      </c>
      <c r="AT481">
        <v>19409140</v>
      </c>
      <c r="AU481" s="7">
        <v>39501</v>
      </c>
      <c r="BB481" t="s">
        <v>911</v>
      </c>
    </row>
    <row r="482" spans="1:58" hidden="1">
      <c r="A482">
        <v>28033159</v>
      </c>
      <c r="B482" s="2" t="str">
        <f>HYPERLINK("http://www.windermere.com/index.cfm?fuseaction=Listing.ListingDetail&amp;ListingID=19438383","Active")</f>
        <v>Active</v>
      </c>
      <c r="D482" t="s">
        <v>55</v>
      </c>
      <c r="E482" t="s">
        <v>1485</v>
      </c>
      <c r="F482" s="10">
        <v>359000</v>
      </c>
      <c r="G482" t="s">
        <v>147</v>
      </c>
      <c r="J482">
        <v>3</v>
      </c>
      <c r="K482">
        <v>2</v>
      </c>
      <c r="M482" s="2" t="str">
        <f>HYPERLINK("http://www.windermere.com/index.cfm?fuseaction=Listing.MapPropertyInteractive&amp;ListingID=19438383&amp;resize=true&amp;windowWidth=800&amp;windowHeight=600","Map")</f>
        <v>Map</v>
      </c>
      <c r="O482" s="2" t="str">
        <f>HYPERLINK("http://www.windermere.com/index.cfm?fuseaction=Listing.MultiImageViewer&amp;ListingID=19438383&amp;ln=28033159&amp;pub_mls=1","More")</f>
        <v>More</v>
      </c>
      <c r="AI482" t="s">
        <v>66</v>
      </c>
      <c r="AJ482">
        <v>98177</v>
      </c>
      <c r="AS482" t="s">
        <v>1486</v>
      </c>
      <c r="AT482">
        <v>19438383</v>
      </c>
      <c r="AU482" s="7">
        <v>39503</v>
      </c>
      <c r="BB482" t="s">
        <v>911</v>
      </c>
    </row>
    <row r="483" spans="1:58" hidden="1">
      <c r="A483">
        <v>28032469</v>
      </c>
      <c r="B483" s="2" t="str">
        <f>HYPERLINK("http://www.windermere.com/index.cfm?fuseaction=Listing.ListingDetail&amp;ListingID=19437800","Active")</f>
        <v>Active</v>
      </c>
      <c r="D483" t="s">
        <v>919</v>
      </c>
      <c r="E483" t="s">
        <v>1487</v>
      </c>
      <c r="F483" s="10">
        <v>385000</v>
      </c>
      <c r="G483" t="s">
        <v>156</v>
      </c>
      <c r="H483" s="1">
        <v>1960</v>
      </c>
      <c r="I483">
        <v>9815</v>
      </c>
      <c r="J483">
        <v>3</v>
      </c>
      <c r="K483">
        <v>1.75</v>
      </c>
      <c r="M483" s="2" t="str">
        <f>HYPERLINK("http://www.windermere.com/index.cfm?fuseaction=Listing.MapPropertyInteractive&amp;ListingID=19437800&amp;resize=true&amp;windowWidth=800&amp;windowHeight=600","Map")</f>
        <v>Map</v>
      </c>
      <c r="O483" s="2" t="str">
        <f>HYPERLINK("http://www.windermere.com/index.cfm?fuseaction=viewGallery.Home&amp;customTourID=208729&amp;wvt=0","More")</f>
        <v>More</v>
      </c>
      <c r="AI483" t="s">
        <v>66</v>
      </c>
      <c r="AJ483">
        <v>98125</v>
      </c>
      <c r="AS483" t="s">
        <v>1488</v>
      </c>
      <c r="AT483">
        <v>19437800</v>
      </c>
      <c r="AU483" s="7">
        <v>39503</v>
      </c>
      <c r="BB483" t="s">
        <v>911</v>
      </c>
    </row>
    <row r="484" spans="1:58" hidden="1">
      <c r="A484">
        <v>28032301</v>
      </c>
      <c r="B484" s="2" t="str">
        <f>HYPERLINK("http://www.windermere.com/index.cfm?fuseaction=Listing.ListingDetail&amp;ListingID=19413443","Active")</f>
        <v>Active</v>
      </c>
      <c r="D484" t="s">
        <v>60</v>
      </c>
      <c r="E484" t="s">
        <v>1489</v>
      </c>
      <c r="F484" s="10">
        <v>390000</v>
      </c>
      <c r="G484" t="s">
        <v>171</v>
      </c>
      <c r="H484" s="1">
        <v>1530</v>
      </c>
      <c r="I484">
        <v>5000</v>
      </c>
      <c r="J484">
        <v>3</v>
      </c>
      <c r="K484">
        <v>1.5</v>
      </c>
      <c r="M484" s="2" t="str">
        <f>HYPERLINK("http://www.windermere.com/index.cfm?fuseaction=Listing.MapPropertyInteractive&amp;ListingID=19413443&amp;resize=true&amp;windowWidth=800&amp;windowHeight=600","Map")</f>
        <v>Map</v>
      </c>
      <c r="O484" s="2" t="str">
        <f>HYPERLINK("http://www.windermere.com/index.cfm?fuseaction=Listing.MultiImageViewer&amp;ListingID=19413443&amp;ln=28032301&amp;pub_mls=1","More")</f>
        <v>More</v>
      </c>
      <c r="P484" t="s">
        <v>44</v>
      </c>
      <c r="AI484" t="s">
        <v>66</v>
      </c>
      <c r="AJ484">
        <v>98103</v>
      </c>
      <c r="AS484" t="s">
        <v>1490</v>
      </c>
      <c r="AT484">
        <v>19413443</v>
      </c>
      <c r="AU484" s="7">
        <v>39503</v>
      </c>
      <c r="BB484" t="s">
        <v>911</v>
      </c>
    </row>
    <row r="485" spans="1:58" hidden="1">
      <c r="A485">
        <v>28032926</v>
      </c>
      <c r="B485" s="2" t="str">
        <f>HYPERLINK("http://www.windermere.com/index.cfm?fuseaction=Listing.ListingDetail&amp;ListingID=19438316","Active")</f>
        <v>Active</v>
      </c>
      <c r="D485" t="s">
        <v>70</v>
      </c>
      <c r="E485" t="s">
        <v>1491</v>
      </c>
      <c r="F485" s="10">
        <v>425000</v>
      </c>
      <c r="G485" t="s">
        <v>227</v>
      </c>
      <c r="H485" s="1">
        <v>2360</v>
      </c>
      <c r="I485">
        <v>7500</v>
      </c>
      <c r="J485">
        <v>3</v>
      </c>
      <c r="K485">
        <v>2</v>
      </c>
      <c r="M485" s="2" t="str">
        <f>HYPERLINK("http://www.windermere.com/index.cfm?fuseaction=Listing.MapPropertyInteractive&amp;ListingID=19438316&amp;resize=true&amp;windowWidth=800&amp;windowHeight=600","Map")</f>
        <v>Map</v>
      </c>
      <c r="O485" s="2" t="str">
        <f>HYPERLINK("http://www.windermere.com/index.cfm?fuseaction=Listing.MultiImageViewer&amp;ListingID=19438316&amp;ln=28032926&amp;pub_mls=1","More")</f>
        <v>More</v>
      </c>
      <c r="P485" t="s">
        <v>44</v>
      </c>
      <c r="AI485" t="s">
        <v>66</v>
      </c>
      <c r="AJ485">
        <v>98133</v>
      </c>
      <c r="AS485" t="s">
        <v>1492</v>
      </c>
      <c r="AT485">
        <v>19438316</v>
      </c>
      <c r="AU485" s="7">
        <v>39503</v>
      </c>
      <c r="BB485" t="s">
        <v>911</v>
      </c>
    </row>
    <row r="486" spans="1:58" hidden="1">
      <c r="A486">
        <v>28033132</v>
      </c>
      <c r="B486" s="2" t="str">
        <f>HYPERLINK("http://www.windermere.com/index.cfm?fuseaction=Listing.ListingDetail&amp;ListingID=19438452","Active")</f>
        <v>Active</v>
      </c>
      <c r="D486" t="s">
        <v>63</v>
      </c>
      <c r="E486" t="s">
        <v>1493</v>
      </c>
      <c r="F486" s="10">
        <v>439500</v>
      </c>
      <c r="G486" t="s">
        <v>494</v>
      </c>
      <c r="H486" s="1">
        <v>1690</v>
      </c>
      <c r="J486">
        <v>3</v>
      </c>
      <c r="K486">
        <v>2.5</v>
      </c>
      <c r="M486" s="2" t="str">
        <f>HYPERLINK("http://www.windermere.com/index.cfm?fuseaction=Listing.MapPropertyInteractive&amp;ListingID=19438452&amp;resize=true&amp;windowWidth=800&amp;windowHeight=600","Map")</f>
        <v>Map</v>
      </c>
      <c r="O486" s="2" t="str">
        <f>HYPERLINK("http://www.windermere.com/index.cfm?fuseaction=viewGallery.Home&amp;customTourID=208671&amp;wvt=0","More")</f>
        <v>More</v>
      </c>
      <c r="P486" t="s">
        <v>44</v>
      </c>
      <c r="AI486" t="s">
        <v>66</v>
      </c>
      <c r="AJ486">
        <v>98107</v>
      </c>
      <c r="AS486" t="s">
        <v>1494</v>
      </c>
      <c r="AT486">
        <v>19438452</v>
      </c>
      <c r="AU486" s="7">
        <v>39503</v>
      </c>
      <c r="BB486" t="s">
        <v>911</v>
      </c>
    </row>
    <row r="487" spans="1:58" hidden="1">
      <c r="A487">
        <v>28032372</v>
      </c>
      <c r="B487" s="2" t="str">
        <f>HYPERLINK("http://www.windermere.com/index.cfm?fuseaction=Listing.ListingDetail&amp;ListingID=19414449","Active")</f>
        <v>Active</v>
      </c>
      <c r="D487" t="s">
        <v>199</v>
      </c>
      <c r="E487" t="s">
        <v>1495</v>
      </c>
      <c r="F487" s="13">
        <v>439950</v>
      </c>
      <c r="G487" t="s">
        <v>171</v>
      </c>
      <c r="H487" s="1">
        <v>1970</v>
      </c>
      <c r="I487">
        <v>9746</v>
      </c>
      <c r="J487">
        <v>4</v>
      </c>
      <c r="K487">
        <v>2</v>
      </c>
      <c r="M487" s="2" t="str">
        <f>HYPERLINK("http://www.windermere.com/index.cfm?fuseaction=Listing.MapPropertyInteractive&amp;ListingID=19414449&amp;resize=true&amp;windowWidth=800&amp;windowHeight=600","Map")</f>
        <v>Map</v>
      </c>
      <c r="O487" s="2" t="str">
        <f>HYPERLINK("http://www.windermere.com/index.cfm?fuseaction=Listing.MultiImageViewer&amp;ListingID=19414449&amp;ln=28032372&amp;pub_mls=1","More")</f>
        <v>More</v>
      </c>
      <c r="AI487" t="s">
        <v>66</v>
      </c>
      <c r="AJ487">
        <v>98125</v>
      </c>
      <c r="AS487" t="s">
        <v>1496</v>
      </c>
      <c r="AT487">
        <v>19414449</v>
      </c>
      <c r="AU487" s="7">
        <v>39503</v>
      </c>
      <c r="BB487" t="s">
        <v>911</v>
      </c>
    </row>
    <row r="488" spans="1:58" hidden="1">
      <c r="A488">
        <v>28032617</v>
      </c>
      <c r="B488" s="2" t="str">
        <f>HYPERLINK("http://www.windermere.com/index.cfm?fuseaction=Listing.ListingDetail&amp;ListingID=19416957","Active")</f>
        <v>Active</v>
      </c>
      <c r="D488" t="s">
        <v>207</v>
      </c>
      <c r="E488" t="s">
        <v>1497</v>
      </c>
      <c r="F488" s="10">
        <v>475000</v>
      </c>
      <c r="G488" t="s">
        <v>144</v>
      </c>
      <c r="H488" s="1">
        <v>1410</v>
      </c>
      <c r="I488">
        <v>3500</v>
      </c>
      <c r="J488">
        <v>2</v>
      </c>
      <c r="K488">
        <v>1</v>
      </c>
      <c r="M488" s="2" t="str">
        <f>HYPERLINK("http://www.windermere.com/index.cfm?fuseaction=Listing.MapPropertyInteractive&amp;ListingID=19416957&amp;resize=true&amp;windowWidth=800&amp;windowHeight=600","Map")</f>
        <v>Map</v>
      </c>
      <c r="O488" s="2" t="str">
        <f>HYPERLINK("http://www.windermere.com/index.cfm?fuseaction=viewGallery.Home&amp;customTourID=208603&amp;wvt=0","More")</f>
        <v>More</v>
      </c>
      <c r="AI488" t="s">
        <v>66</v>
      </c>
      <c r="AJ488">
        <v>98115</v>
      </c>
      <c r="AS488" t="s">
        <v>1498</v>
      </c>
      <c r="AT488">
        <v>19416957</v>
      </c>
      <c r="AU488" s="7">
        <v>39503</v>
      </c>
      <c r="BB488" t="s">
        <v>911</v>
      </c>
    </row>
    <row r="489" spans="1:58" hidden="1">
      <c r="A489">
        <v>28032560</v>
      </c>
      <c r="B489" s="2" t="str">
        <f>HYPERLINK("http://www.windermere.com/index.cfm?fuseaction=Listing.ListingDetail&amp;ListingID=19416095","Active")</f>
        <v>Active</v>
      </c>
      <c r="D489" t="s">
        <v>218</v>
      </c>
      <c r="E489" t="s">
        <v>1499</v>
      </c>
      <c r="F489" s="10">
        <v>499000</v>
      </c>
      <c r="G489" t="s">
        <v>142</v>
      </c>
      <c r="H489" s="1">
        <v>1930</v>
      </c>
      <c r="I489">
        <v>3348</v>
      </c>
      <c r="J489">
        <v>3</v>
      </c>
      <c r="K489">
        <v>1.5</v>
      </c>
      <c r="M489" s="2" t="str">
        <f>HYPERLINK("http://www.windermere.com/index.cfm?fuseaction=Listing.MapPropertyInteractive&amp;ListingID=19416095&amp;resize=true&amp;windowWidth=800&amp;windowHeight=600","Map")</f>
        <v>Map</v>
      </c>
      <c r="O489" s="2" t="str">
        <f>HYPERLINK("http://www.windermere.com/index.cfm?fuseaction=Listing.MultiImageViewer&amp;ListingID=19416095&amp;ln=28032560&amp;pub_mls=1","More")</f>
        <v>More</v>
      </c>
      <c r="P489" t="s">
        <v>44</v>
      </c>
      <c r="AI489" t="s">
        <v>66</v>
      </c>
      <c r="AJ489">
        <v>98115</v>
      </c>
      <c r="AS489" t="s">
        <v>1500</v>
      </c>
      <c r="AT489">
        <v>19416095</v>
      </c>
      <c r="AU489" s="7">
        <v>39503</v>
      </c>
      <c r="BB489" t="s">
        <v>911</v>
      </c>
    </row>
    <row r="490" spans="1:58" hidden="1">
      <c r="A490">
        <v>28030136</v>
      </c>
      <c r="B490" s="2" t="str">
        <f>HYPERLINK("http://www.windermere.com/index.cfm?fuseaction=Listing.ListingDetail&amp;ListingID=19420266","Active")</f>
        <v>Active</v>
      </c>
      <c r="D490" t="s">
        <v>190</v>
      </c>
      <c r="E490" t="s">
        <v>1501</v>
      </c>
      <c r="F490" s="10">
        <v>499950</v>
      </c>
      <c r="G490" t="s">
        <v>393</v>
      </c>
      <c r="H490" s="1">
        <v>2010</v>
      </c>
      <c r="I490">
        <v>3153</v>
      </c>
      <c r="J490">
        <v>4</v>
      </c>
      <c r="K490">
        <v>1.75</v>
      </c>
      <c r="M490" s="2" t="str">
        <f>HYPERLINK("http://www.windermere.com/index.cfm?fuseaction=Listing.MapPropertyInteractive&amp;ListingID=19420266&amp;resize=true&amp;windowWidth=800&amp;windowHeight=600","Map")</f>
        <v>Map</v>
      </c>
      <c r="O490" s="2" t="str">
        <f>HYPERLINK("http://www.windermere.com/index.cfm?fuseaction=viewGallery.Home&amp;customTourID=207859&amp;wvt=0","More")</f>
        <v>More</v>
      </c>
      <c r="AI490" t="s">
        <v>66</v>
      </c>
      <c r="AJ490">
        <v>98115</v>
      </c>
      <c r="AS490" t="s">
        <v>1502</v>
      </c>
      <c r="AT490">
        <v>19420266</v>
      </c>
      <c r="AU490" s="7">
        <v>39503</v>
      </c>
      <c r="BB490" t="s">
        <v>911</v>
      </c>
    </row>
    <row r="491" spans="1:58" hidden="1">
      <c r="A491">
        <v>28032855</v>
      </c>
      <c r="B491" s="2" t="str">
        <f>HYPERLINK("http://www.windermere.com/index.cfm?fuseaction=Listing.ListingDetail&amp;ListingID=19419027","Active")</f>
        <v>Active</v>
      </c>
      <c r="D491" t="s">
        <v>63</v>
      </c>
      <c r="E491" t="s">
        <v>1503</v>
      </c>
      <c r="F491" s="10">
        <v>549500</v>
      </c>
      <c r="G491" t="s">
        <v>180</v>
      </c>
      <c r="H491" s="1">
        <v>2610</v>
      </c>
      <c r="I491">
        <v>5000</v>
      </c>
      <c r="J491">
        <v>5</v>
      </c>
      <c r="K491">
        <v>1.75</v>
      </c>
      <c r="M491" s="2" t="str">
        <f>HYPERLINK("http://www.windermere.com/index.cfm?fuseaction=Listing.MapPropertyInteractive&amp;ListingID=19419027&amp;resize=true&amp;windowWidth=800&amp;windowHeight=600","Map")</f>
        <v>Map</v>
      </c>
      <c r="O491" s="2" t="str">
        <f>HYPERLINK("http://www.windermere.com/index.cfm?fuseaction=Listing.MultiImageViewer&amp;ListingID=19419027&amp;ln=28032855&amp;pub_mls=1","More")</f>
        <v>More</v>
      </c>
      <c r="AI491" t="s">
        <v>66</v>
      </c>
      <c r="AJ491">
        <v>98117</v>
      </c>
      <c r="AS491" t="s">
        <v>1504</v>
      </c>
      <c r="AT491">
        <v>19419027</v>
      </c>
      <c r="AU491" s="7">
        <v>39503</v>
      </c>
      <c r="BB491" t="s">
        <v>911</v>
      </c>
    </row>
    <row r="492" spans="1:58" hidden="1">
      <c r="A492">
        <v>28032356</v>
      </c>
      <c r="B492" s="2" t="str">
        <f>HYPERLINK("http://www.windermere.com/index.cfm?fuseaction=Listing.ListingDetail&amp;ListingID=19416193","Active")</f>
        <v>Active</v>
      </c>
      <c r="D492" t="s">
        <v>88</v>
      </c>
      <c r="E492" t="s">
        <v>1505</v>
      </c>
      <c r="F492" s="10">
        <v>634500</v>
      </c>
      <c r="G492" t="s">
        <v>135</v>
      </c>
      <c r="H492" s="1">
        <v>2960</v>
      </c>
      <c r="I492">
        <v>4680</v>
      </c>
      <c r="J492">
        <v>4</v>
      </c>
      <c r="K492">
        <v>2</v>
      </c>
      <c r="M492" s="2" t="str">
        <f>HYPERLINK("http://www.windermere.com/index.cfm?fuseaction=Listing.MapPropertyInteractive&amp;ListingID=19416193&amp;resize=true&amp;windowWidth=800&amp;windowHeight=600","Map")</f>
        <v>Map</v>
      </c>
      <c r="O492" s="2" t="str">
        <f>HYPERLINK("http://www.windermere.com/index.cfm?fuseaction=Listing.MultiImageViewer&amp;ListingID=19416193&amp;ln=28032356&amp;pub_mls=1","More")</f>
        <v>More</v>
      </c>
      <c r="AI492" t="s">
        <v>66</v>
      </c>
      <c r="AJ492">
        <v>98117</v>
      </c>
      <c r="AS492" t="s">
        <v>1506</v>
      </c>
      <c r="AT492">
        <v>19416193</v>
      </c>
      <c r="AU492" s="7">
        <v>39503</v>
      </c>
      <c r="BB492" t="s">
        <v>911</v>
      </c>
    </row>
    <row r="493" spans="1:58" hidden="1">
      <c r="A493">
        <v>28034263</v>
      </c>
      <c r="B493" s="2" t="str">
        <f>HYPERLINK("http://www.windermere.com/index.cfm?fuseaction=Listing.ListingDetail&amp;ListingID=19449307","Active")</f>
        <v>Active</v>
      </c>
      <c r="D493" t="s">
        <v>55</v>
      </c>
      <c r="E493" t="s">
        <v>1507</v>
      </c>
      <c r="F493" s="10">
        <v>344950</v>
      </c>
      <c r="G493" t="s">
        <v>246</v>
      </c>
      <c r="H493" s="1">
        <v>1320</v>
      </c>
      <c r="J493">
        <v>2</v>
      </c>
      <c r="K493">
        <v>2.5</v>
      </c>
      <c r="M493" s="2" t="str">
        <f>HYPERLINK("http://www.windermere.com/index.cfm?fuseaction=Listing.MapPropertyInteractive&amp;ListingID=19449307&amp;resize=true&amp;windowWidth=800&amp;windowHeight=600","Map")</f>
        <v>Map</v>
      </c>
      <c r="P493" t="s">
        <v>44</v>
      </c>
      <c r="AI493" t="s">
        <v>66</v>
      </c>
      <c r="AJ493">
        <v>98133</v>
      </c>
      <c r="AS493" t="s">
        <v>1508</v>
      </c>
      <c r="AT493">
        <v>19449307</v>
      </c>
      <c r="AU493" s="7">
        <v>39505</v>
      </c>
      <c r="BB493" t="s">
        <v>911</v>
      </c>
    </row>
    <row r="494" spans="1:58" hidden="1">
      <c r="A494">
        <v>28033800</v>
      </c>
      <c r="B494" s="2" t="str">
        <f>HYPERLINK("http://www.windermere.com/index.cfm?fuseaction=Listing.ListingDetail&amp;ListingID=19444295","Active")</f>
        <v>Active</v>
      </c>
      <c r="D494" t="s">
        <v>63</v>
      </c>
      <c r="E494" t="s">
        <v>365</v>
      </c>
      <c r="F494" s="10">
        <v>360000</v>
      </c>
      <c r="G494" t="s">
        <v>134</v>
      </c>
      <c r="H494">
        <v>980</v>
      </c>
      <c r="I494">
        <v>3200</v>
      </c>
      <c r="J494">
        <v>2</v>
      </c>
      <c r="K494">
        <v>1</v>
      </c>
      <c r="M494" s="2" t="str">
        <f>HYPERLINK("http://www.windermere.com/index.cfm?fuseaction=Listing.MapPropertyInteractive&amp;ListingID=19444295&amp;resize=true&amp;windowWidth=800&amp;windowHeight=600","Map")</f>
        <v>Map</v>
      </c>
      <c r="O494" s="2" t="str">
        <f>HYPERLINK("http://www.windermere.com/index.cfm?fuseaction=Listing.MultiImageViewer&amp;ListingID=19444295&amp;ln=28033800&amp;pub_mls=1","More")</f>
        <v>More</v>
      </c>
      <c r="AI494" t="s">
        <v>66</v>
      </c>
      <c r="AJ494">
        <v>98117</v>
      </c>
      <c r="AS494" t="s">
        <v>1509</v>
      </c>
      <c r="AT494">
        <v>19444295</v>
      </c>
      <c r="AU494" s="7">
        <v>39505</v>
      </c>
      <c r="BB494" t="s">
        <v>911</v>
      </c>
    </row>
    <row r="495" spans="1:58">
      <c r="A495">
        <v>28033985</v>
      </c>
      <c r="B495" s="2" t="str">
        <f>HYPERLINK("http://www.windermere.com/index.cfm?fuseaction=Listing.ListingDetail&amp;ListingID=19447885","Active")</f>
        <v>Active</v>
      </c>
      <c r="D495" t="s">
        <v>63</v>
      </c>
      <c r="E495" t="s">
        <v>234</v>
      </c>
      <c r="F495" s="10">
        <v>375000</v>
      </c>
      <c r="G495" t="s">
        <v>124</v>
      </c>
      <c r="I495">
        <v>3000</v>
      </c>
      <c r="J495">
        <v>2</v>
      </c>
      <c r="K495">
        <v>1</v>
      </c>
      <c r="M495" s="2" t="str">
        <f>HYPERLINK("http://www.windermere.com/index.cfm?fuseaction=Listing.MapPropertyInteractive&amp;ListingID=19447885&amp;resize=true&amp;windowWidth=800&amp;windowHeight=600","Map")</f>
        <v>Map</v>
      </c>
      <c r="O495" s="2" t="str">
        <f>HYPERLINK("http://www.windermere.com/index.cfm?fuseaction=Listing.MultiImageViewer&amp;ListingID=19447885&amp;ln=28033985&amp;pub_mls=1","More")</f>
        <v>More</v>
      </c>
      <c r="AI495" t="s">
        <v>66</v>
      </c>
      <c r="AJ495">
        <v>98117</v>
      </c>
      <c r="AS495" t="s">
        <v>1510</v>
      </c>
      <c r="AT495">
        <v>19447885</v>
      </c>
      <c r="AU495" s="7">
        <v>39505</v>
      </c>
      <c r="BB495" t="s">
        <v>911</v>
      </c>
      <c r="BD495" t="s">
        <v>1624</v>
      </c>
      <c r="BE495" t="s">
        <v>1628</v>
      </c>
      <c r="BF495" s="7">
        <v>39508</v>
      </c>
    </row>
    <row r="496" spans="1:58" hidden="1">
      <c r="A496">
        <v>28033526</v>
      </c>
      <c r="B496" s="2" t="str">
        <f>HYPERLINK("http://www.windermere.com/index.cfm?fuseaction=Listing.ListingDetail&amp;ListingID=19444687","Active")</f>
        <v>Active</v>
      </c>
      <c r="D496" t="s">
        <v>88</v>
      </c>
      <c r="E496" t="s">
        <v>1511</v>
      </c>
      <c r="F496" s="10">
        <v>379000</v>
      </c>
      <c r="G496" t="s">
        <v>135</v>
      </c>
      <c r="H496" s="1">
        <v>1010</v>
      </c>
      <c r="I496">
        <v>3800</v>
      </c>
      <c r="J496">
        <v>2</v>
      </c>
      <c r="K496">
        <v>1</v>
      </c>
      <c r="M496" s="2" t="str">
        <f>HYPERLINK("http://www.windermere.com/index.cfm?fuseaction=Listing.MapPropertyInteractive&amp;ListingID=19444687&amp;resize=true&amp;windowWidth=800&amp;windowHeight=600","Map")</f>
        <v>Map</v>
      </c>
      <c r="O496" s="2" t="str">
        <f>HYPERLINK("http://www.windermere.com/index.cfm?fuseaction=Listing.MultiImageViewer&amp;ListingID=19444687&amp;ln=28033526&amp;pub_mls=1","More")</f>
        <v>More</v>
      </c>
      <c r="P496" t="s">
        <v>44</v>
      </c>
      <c r="AI496" t="s">
        <v>66</v>
      </c>
      <c r="AJ496">
        <v>98107</v>
      </c>
      <c r="AS496" t="s">
        <v>1512</v>
      </c>
      <c r="AT496">
        <v>19444687</v>
      </c>
      <c r="AU496" s="7">
        <v>39505</v>
      </c>
      <c r="BB496" t="s">
        <v>911</v>
      </c>
    </row>
    <row r="497" spans="1:58" hidden="1">
      <c r="A497">
        <v>28033639</v>
      </c>
      <c r="B497" s="2" t="str">
        <f>HYPERLINK("http://www.windermere.com/index.cfm?fuseaction=Listing.ListingDetail&amp;ListingID=19443392","Active")</f>
        <v>Active</v>
      </c>
      <c r="D497" t="s">
        <v>55</v>
      </c>
      <c r="E497" t="s">
        <v>1513</v>
      </c>
      <c r="F497" s="10">
        <v>379000</v>
      </c>
      <c r="G497" t="s">
        <v>1514</v>
      </c>
      <c r="H497" s="1">
        <v>1860</v>
      </c>
      <c r="I497">
        <v>3762</v>
      </c>
      <c r="J497">
        <v>4</v>
      </c>
      <c r="K497">
        <v>3</v>
      </c>
      <c r="M497" s="2" t="str">
        <f>HYPERLINK("http://www.windermere.com/index.cfm?fuseaction=Listing.MapPropertyInteractive&amp;ListingID=19443392&amp;resize=true&amp;windowWidth=800&amp;windowHeight=600","Map")</f>
        <v>Map</v>
      </c>
      <c r="O497" s="2" t="str">
        <f>HYPERLINK("http://www.windermere.com/index.cfm?fuseaction=Listing.MultiImageViewer&amp;ListingID=19443392&amp;ln=28033639&amp;pub_mls=1","More")</f>
        <v>More</v>
      </c>
      <c r="AI497" t="s">
        <v>66</v>
      </c>
      <c r="AJ497">
        <v>98133</v>
      </c>
      <c r="AS497" t="s">
        <v>1515</v>
      </c>
      <c r="AT497">
        <v>19443392</v>
      </c>
      <c r="AU497" s="7">
        <v>39505</v>
      </c>
      <c r="BB497" t="s">
        <v>911</v>
      </c>
    </row>
    <row r="498" spans="1:58" hidden="1">
      <c r="A498">
        <v>28033169</v>
      </c>
      <c r="B498" s="2" t="str">
        <f>HYPERLINK("http://www.windermere.com/index.cfm?fuseaction=Listing.ListingDetail&amp;ListingID=19444689","Active")</f>
        <v>Active</v>
      </c>
      <c r="D498" t="s">
        <v>213</v>
      </c>
      <c r="E498" t="s">
        <v>1516</v>
      </c>
      <c r="F498" s="10">
        <v>399950</v>
      </c>
      <c r="G498" t="s">
        <v>132</v>
      </c>
      <c r="H498" s="1">
        <v>1630</v>
      </c>
      <c r="I498">
        <v>8146</v>
      </c>
      <c r="J498">
        <v>2</v>
      </c>
      <c r="K498">
        <v>1.5</v>
      </c>
      <c r="M498" s="2" t="str">
        <f>HYPERLINK("http://www.windermere.com/index.cfm?fuseaction=Listing.MapPropertyInteractive&amp;ListingID=19444689&amp;resize=true&amp;windowWidth=800&amp;windowHeight=600","Map")</f>
        <v>Map</v>
      </c>
      <c r="O498" s="2" t="str">
        <f>HYPERLINK("http://www.windermere.com/index.cfm?fuseaction=Listing.MultiImageViewer&amp;ListingID=19444689&amp;ln=28033169&amp;pub_mls=1","More")</f>
        <v>More</v>
      </c>
      <c r="P498" t="s">
        <v>44</v>
      </c>
      <c r="AI498" t="s">
        <v>66</v>
      </c>
      <c r="AJ498">
        <v>98125</v>
      </c>
      <c r="AS498" t="s">
        <v>1517</v>
      </c>
      <c r="AT498">
        <v>19444689</v>
      </c>
      <c r="AU498" s="7">
        <v>39505</v>
      </c>
      <c r="BB498" t="s">
        <v>911</v>
      </c>
    </row>
    <row r="499" spans="1:58" hidden="1">
      <c r="A499">
        <v>28034506</v>
      </c>
      <c r="B499" s="2" t="str">
        <f>HYPERLINK("http://www.windermere.com/index.cfm?fuseaction=Listing.ListingDetail&amp;ListingID=19449958","Active")</f>
        <v>Active</v>
      </c>
      <c r="D499" t="s">
        <v>218</v>
      </c>
      <c r="E499" t="s">
        <v>1518</v>
      </c>
      <c r="F499" s="10">
        <v>400000</v>
      </c>
      <c r="G499" t="s">
        <v>132</v>
      </c>
      <c r="I499">
        <v>4156</v>
      </c>
      <c r="J499">
        <v>3</v>
      </c>
      <c r="K499">
        <v>1</v>
      </c>
      <c r="M499" s="2" t="str">
        <f>HYPERLINK("http://www.windermere.com/index.cfm?fuseaction=Listing.MapPropertyInteractive&amp;ListingID=19449958&amp;resize=true&amp;windowWidth=800&amp;windowHeight=600","Map")</f>
        <v>Map</v>
      </c>
      <c r="O499" s="2" t="str">
        <f>HYPERLINK("http://www.windermere.com/index.cfm?fuseaction=Listing.MultiImageViewer&amp;ListingID=19449958&amp;ln=28034506&amp;pub_mls=1","More")</f>
        <v>More</v>
      </c>
      <c r="AI499" t="s">
        <v>66</v>
      </c>
      <c r="AJ499">
        <v>98115</v>
      </c>
      <c r="AS499" t="s">
        <v>1519</v>
      </c>
      <c r="AT499">
        <v>19449958</v>
      </c>
      <c r="AU499" s="7">
        <v>39505</v>
      </c>
      <c r="BB499" t="s">
        <v>911</v>
      </c>
    </row>
    <row r="500" spans="1:58">
      <c r="A500">
        <v>28031818</v>
      </c>
      <c r="B500" s="2" t="str">
        <f>HYPERLINK("http://www.windermere.com/index.cfm?fuseaction=Listing.ListingDetail&amp;ListingID=19439266","Active")</f>
        <v>Active</v>
      </c>
      <c r="D500" t="s">
        <v>63</v>
      </c>
      <c r="E500" t="s">
        <v>1520</v>
      </c>
      <c r="F500" s="10">
        <v>400000</v>
      </c>
      <c r="G500" t="s">
        <v>181</v>
      </c>
      <c r="H500" s="1">
        <v>1809</v>
      </c>
      <c r="I500">
        <v>3915</v>
      </c>
      <c r="J500">
        <v>3</v>
      </c>
      <c r="K500">
        <v>2</v>
      </c>
      <c r="M500" s="2" t="str">
        <f>HYPERLINK("http://www.windermere.com/index.cfm?fuseaction=Listing.MapPropertyInteractive&amp;ListingID=19439266&amp;resize=true&amp;windowWidth=800&amp;windowHeight=600","Map")</f>
        <v>Map</v>
      </c>
      <c r="O500" s="2" t="str">
        <f>HYPERLINK("http://www.windermere.com/index.cfm?fuseaction=Listing.MultiImageViewer&amp;ListingID=19439266&amp;ln=28031818&amp;pub_mls=1","More")</f>
        <v>More</v>
      </c>
      <c r="P500" t="s">
        <v>44</v>
      </c>
      <c r="AI500" t="s">
        <v>66</v>
      </c>
      <c r="AJ500">
        <v>98107</v>
      </c>
      <c r="AS500" t="s">
        <v>1521</v>
      </c>
      <c r="AT500">
        <v>19439266</v>
      </c>
      <c r="AU500" s="7">
        <v>39505</v>
      </c>
      <c r="BB500" t="s">
        <v>911</v>
      </c>
      <c r="BD500" t="s">
        <v>1624</v>
      </c>
      <c r="BE500" t="s">
        <v>1625</v>
      </c>
      <c r="BF500" s="7">
        <v>39508</v>
      </c>
    </row>
    <row r="501" spans="1:58" hidden="1">
      <c r="A501">
        <v>28032668</v>
      </c>
      <c r="B501" s="2" t="str">
        <f>HYPERLINK("http://www.windermere.com/index.cfm?fuseaction=Listing.ListingDetail&amp;ListingID=19445556","Active")</f>
        <v>Active</v>
      </c>
      <c r="D501" t="s">
        <v>63</v>
      </c>
      <c r="E501" t="s">
        <v>1522</v>
      </c>
      <c r="F501" s="10">
        <v>425000</v>
      </c>
      <c r="G501" t="s">
        <v>172</v>
      </c>
      <c r="H501" s="1">
        <v>1590</v>
      </c>
      <c r="I501">
        <v>7000</v>
      </c>
      <c r="J501">
        <v>2</v>
      </c>
      <c r="K501">
        <v>1</v>
      </c>
      <c r="M501" s="2" t="str">
        <f>HYPERLINK("http://www.windermere.com/index.cfm?fuseaction=Listing.MapPropertyInteractive&amp;ListingID=19445556&amp;resize=true&amp;windowWidth=800&amp;windowHeight=600","Map")</f>
        <v>Map</v>
      </c>
      <c r="O501" s="2" t="str">
        <f>HYPERLINK("http://www.windermere.com/index.cfm?fuseaction=viewGallery.Home&amp;customTourID=208682&amp;wvt=0","More")</f>
        <v>More</v>
      </c>
      <c r="P501" t="s">
        <v>44</v>
      </c>
      <c r="AI501" t="s">
        <v>66</v>
      </c>
      <c r="AJ501">
        <v>98107</v>
      </c>
      <c r="AS501" t="s">
        <v>1523</v>
      </c>
      <c r="AT501">
        <v>19445556</v>
      </c>
      <c r="AU501" s="7">
        <v>39505</v>
      </c>
      <c r="BB501" t="s">
        <v>911</v>
      </c>
    </row>
    <row r="502" spans="1:58">
      <c r="A502">
        <v>28033328</v>
      </c>
      <c r="B502" s="2" t="str">
        <f>HYPERLINK("http://www.windermere.com/index.cfm?fuseaction=Listing.ListingDetail&amp;ListingID=19441098","Active")</f>
        <v>Active</v>
      </c>
      <c r="D502" t="s">
        <v>63</v>
      </c>
      <c r="E502" t="s">
        <v>1524</v>
      </c>
      <c r="F502" s="10">
        <v>439000</v>
      </c>
      <c r="G502" t="s">
        <v>172</v>
      </c>
      <c r="H502" s="1">
        <v>1480</v>
      </c>
      <c r="I502">
        <v>5000</v>
      </c>
      <c r="J502">
        <v>2</v>
      </c>
      <c r="K502">
        <v>1</v>
      </c>
      <c r="M502" s="2" t="str">
        <f>HYPERLINK("http://www.windermere.com/index.cfm?fuseaction=Listing.MapPropertyInteractive&amp;ListingID=19441098&amp;resize=true&amp;windowWidth=800&amp;windowHeight=600","Map")</f>
        <v>Map</v>
      </c>
      <c r="O502" s="2" t="str">
        <f>HYPERLINK("http://www.windermere.com/index.cfm?fuseaction=viewGallery.Home&amp;customTourID=208733&amp;wvt=0","More")</f>
        <v>More</v>
      </c>
      <c r="AI502" t="s">
        <v>66</v>
      </c>
      <c r="AJ502">
        <v>98107</v>
      </c>
      <c r="AS502" t="s">
        <v>1525</v>
      </c>
      <c r="AT502">
        <v>19441098</v>
      </c>
      <c r="AU502" s="7">
        <v>39505</v>
      </c>
      <c r="BB502" t="s">
        <v>911</v>
      </c>
      <c r="BD502" t="s">
        <v>1621</v>
      </c>
      <c r="BE502" t="s">
        <v>1623</v>
      </c>
      <c r="BF502" s="7">
        <v>39508</v>
      </c>
    </row>
    <row r="503" spans="1:58" hidden="1">
      <c r="A503">
        <v>28033433</v>
      </c>
      <c r="B503" s="2" t="str">
        <f>HYPERLINK("http://www.windermere.com/index.cfm?fuseaction=Listing.ListingDetail&amp;ListingID=19444419","Active")</f>
        <v>Active</v>
      </c>
      <c r="D503" t="s">
        <v>192</v>
      </c>
      <c r="E503" t="s">
        <v>1526</v>
      </c>
      <c r="F503" s="10">
        <v>445000</v>
      </c>
      <c r="G503" t="s">
        <v>161</v>
      </c>
      <c r="H503" s="1">
        <v>2240</v>
      </c>
      <c r="I503">
        <v>5400</v>
      </c>
      <c r="J503">
        <v>3</v>
      </c>
      <c r="K503">
        <v>1</v>
      </c>
      <c r="M503" s="2" t="str">
        <f>HYPERLINK("http://www.windermere.com/index.cfm?fuseaction=Listing.MapPropertyInteractive&amp;ListingID=19444419&amp;resize=true&amp;windowWidth=800&amp;windowHeight=600","Map")</f>
        <v>Map</v>
      </c>
      <c r="O503" s="2" t="str">
        <f>HYPERLINK("http://www.windermere.com/index.cfm?fuseaction=viewGallery.Home&amp;customTourID=208760&amp;wvt=0","More")</f>
        <v>More</v>
      </c>
      <c r="P503" t="s">
        <v>44</v>
      </c>
      <c r="AI503" t="s">
        <v>66</v>
      </c>
      <c r="AJ503">
        <v>98115</v>
      </c>
      <c r="AS503" t="s">
        <v>1527</v>
      </c>
      <c r="AT503">
        <v>19444419</v>
      </c>
      <c r="AU503" s="7">
        <v>39505</v>
      </c>
      <c r="BB503" t="s">
        <v>911</v>
      </c>
    </row>
    <row r="504" spans="1:58" hidden="1">
      <c r="A504">
        <v>28033698</v>
      </c>
      <c r="B504" s="2" t="str">
        <f>HYPERLINK("http://www.windermere.com/index.cfm?fuseaction=Listing.ListingDetail&amp;ListingID=19444422","Active")</f>
        <v>Active</v>
      </c>
      <c r="D504" t="s">
        <v>207</v>
      </c>
      <c r="E504" t="s">
        <v>1528</v>
      </c>
      <c r="F504" s="10">
        <v>450000</v>
      </c>
      <c r="G504" t="s">
        <v>227</v>
      </c>
      <c r="H504" s="1">
        <v>2200</v>
      </c>
      <c r="I504">
        <v>5000</v>
      </c>
      <c r="J504">
        <v>3</v>
      </c>
      <c r="K504">
        <v>1</v>
      </c>
      <c r="M504" s="2" t="str">
        <f>HYPERLINK("http://www.windermere.com/index.cfm?fuseaction=Listing.MapPropertyInteractive&amp;ListingID=19444422&amp;resize=true&amp;windowWidth=800&amp;windowHeight=600","Map")</f>
        <v>Map</v>
      </c>
      <c r="O504" s="2" t="str">
        <f>HYPERLINK("http://www.windermere.com/index.cfm?fuseaction=Listing.MultiImageViewer&amp;ListingID=19444422&amp;ln=28033698&amp;pub_mls=1","More")</f>
        <v>More</v>
      </c>
      <c r="P504" t="s">
        <v>44</v>
      </c>
      <c r="AI504" t="s">
        <v>66</v>
      </c>
      <c r="AJ504">
        <v>98105</v>
      </c>
      <c r="AS504" t="s">
        <v>1529</v>
      </c>
      <c r="AT504">
        <v>19444422</v>
      </c>
      <c r="AU504" s="7">
        <v>39505</v>
      </c>
      <c r="BB504" t="s">
        <v>911</v>
      </c>
    </row>
    <row r="505" spans="1:58" hidden="1">
      <c r="A505">
        <v>28032421</v>
      </c>
      <c r="B505" s="2" t="str">
        <f>HYPERLINK("http://www.windermere.com/index.cfm?fuseaction=Listing.ListingDetail&amp;ListingID=19439314","Active")</f>
        <v>Active</v>
      </c>
      <c r="D505" t="s">
        <v>192</v>
      </c>
      <c r="E505" t="s">
        <v>1530</v>
      </c>
      <c r="F505" s="10">
        <v>475000</v>
      </c>
      <c r="G505" t="s">
        <v>1136</v>
      </c>
      <c r="H505" s="1">
        <v>1610</v>
      </c>
      <c r="I505">
        <v>2550</v>
      </c>
      <c r="J505">
        <v>3</v>
      </c>
      <c r="K505">
        <v>1.75</v>
      </c>
      <c r="M505" s="2" t="str">
        <f>HYPERLINK("http://www.windermere.com/index.cfm?fuseaction=Listing.MapPropertyInteractive&amp;ListingID=19439314&amp;resize=true&amp;windowWidth=800&amp;windowHeight=600","Map")</f>
        <v>Map</v>
      </c>
      <c r="O505" s="2" t="str">
        <f>HYPERLINK("http://www.windermere.com/index.cfm?fuseaction=Listing.MultiImageViewer&amp;ListingID=19439314&amp;ln=28032421&amp;pub_mls=1","More")</f>
        <v>More</v>
      </c>
      <c r="P505" t="s">
        <v>44</v>
      </c>
      <c r="AI505" t="s">
        <v>66</v>
      </c>
      <c r="AJ505">
        <v>98115</v>
      </c>
      <c r="AS505" t="s">
        <v>1531</v>
      </c>
      <c r="AT505">
        <v>19439314</v>
      </c>
      <c r="AU505" s="7">
        <v>39505</v>
      </c>
      <c r="BB505" t="s">
        <v>911</v>
      </c>
    </row>
    <row r="506" spans="1:58" hidden="1">
      <c r="A506">
        <v>28032145</v>
      </c>
      <c r="B506" s="2" t="str">
        <f>HYPERLINK("http://www.windermere.com/index.cfm?fuseaction=Listing.ListingDetail&amp;ListingID=19443385","Active")</f>
        <v>Active</v>
      </c>
      <c r="D506" t="s">
        <v>55</v>
      </c>
      <c r="E506" t="s">
        <v>1532</v>
      </c>
      <c r="F506" s="10">
        <v>475000</v>
      </c>
      <c r="G506" t="s">
        <v>393</v>
      </c>
      <c r="H506" s="1">
        <v>1640</v>
      </c>
      <c r="I506">
        <v>3790</v>
      </c>
      <c r="J506">
        <v>3</v>
      </c>
      <c r="K506">
        <v>1</v>
      </c>
      <c r="M506" s="2" t="str">
        <f>HYPERLINK("http://www.windermere.com/index.cfm?fuseaction=Listing.MapPropertyInteractive&amp;ListingID=19443385&amp;resize=true&amp;windowWidth=800&amp;windowHeight=600","Map")</f>
        <v>Map</v>
      </c>
      <c r="O506" s="2" t="str">
        <f>HYPERLINK("http://www.windermere.com/index.cfm?fuseaction=Listing.MultiImageViewer&amp;ListingID=19443385&amp;ln=28032145&amp;pub_mls=1","More")</f>
        <v>More</v>
      </c>
      <c r="P506" t="s">
        <v>44</v>
      </c>
      <c r="AI506" t="s">
        <v>66</v>
      </c>
      <c r="AJ506">
        <v>98103</v>
      </c>
      <c r="AS506" t="s">
        <v>1533</v>
      </c>
      <c r="AT506">
        <v>19443385</v>
      </c>
      <c r="AU506" s="7">
        <v>39505</v>
      </c>
      <c r="BB506" t="s">
        <v>911</v>
      </c>
    </row>
    <row r="507" spans="1:58" hidden="1">
      <c r="A507">
        <v>28033762</v>
      </c>
      <c r="B507" s="2" t="str">
        <f>HYPERLINK("http://www.windermere.com/index.cfm?fuseaction=Listing.ListingDetail&amp;ListingID=19444303","Active")</f>
        <v>Active</v>
      </c>
      <c r="D507" t="s">
        <v>99</v>
      </c>
      <c r="E507" t="s">
        <v>268</v>
      </c>
      <c r="F507" s="10">
        <v>489500</v>
      </c>
      <c r="G507" t="s">
        <v>138</v>
      </c>
      <c r="H507" s="1">
        <v>1980</v>
      </c>
      <c r="I507">
        <v>8538</v>
      </c>
      <c r="J507">
        <v>3</v>
      </c>
      <c r="K507">
        <v>2</v>
      </c>
      <c r="M507" s="2" t="str">
        <f>HYPERLINK("http://www.windermere.com/index.cfm?fuseaction=Listing.MapPropertyInteractive&amp;ListingID=19444303&amp;resize=true&amp;windowWidth=800&amp;windowHeight=600","Map")</f>
        <v>Map</v>
      </c>
      <c r="O507" s="2" t="str">
        <f>HYPERLINK("http://www.windermere.com/index.cfm?fuseaction=Listing.MultiImageViewer&amp;ListingID=19444303&amp;ln=28033762&amp;pub_mls=1","More")</f>
        <v>More</v>
      </c>
      <c r="P507" t="s">
        <v>44</v>
      </c>
      <c r="AI507" t="s">
        <v>66</v>
      </c>
      <c r="AJ507">
        <v>98117</v>
      </c>
      <c r="AS507" t="s">
        <v>1534</v>
      </c>
      <c r="AT507">
        <v>19444303</v>
      </c>
      <c r="AU507" s="7">
        <v>39505</v>
      </c>
      <c r="BB507" t="s">
        <v>911</v>
      </c>
    </row>
    <row r="508" spans="1:58" hidden="1">
      <c r="A508">
        <v>28033947</v>
      </c>
      <c r="B508" s="2" t="str">
        <f>HYPERLINK("http://www.windermere.com/index.cfm?fuseaction=Listing.ListingDetail&amp;ListingID=19447251","Active")</f>
        <v>Active</v>
      </c>
      <c r="D508" t="s">
        <v>60</v>
      </c>
      <c r="E508" t="s">
        <v>1535</v>
      </c>
      <c r="F508" s="10">
        <v>499950</v>
      </c>
      <c r="G508" t="s">
        <v>135</v>
      </c>
      <c r="H508" s="1">
        <v>1540</v>
      </c>
      <c r="I508">
        <v>4284</v>
      </c>
      <c r="J508">
        <v>3</v>
      </c>
      <c r="K508">
        <v>1.75</v>
      </c>
      <c r="M508" s="2" t="str">
        <f>HYPERLINK("http://www.windermere.com/index.cfm?fuseaction=Listing.MapPropertyInteractive&amp;ListingID=19447251&amp;resize=true&amp;windowWidth=800&amp;windowHeight=600","Map")</f>
        <v>Map</v>
      </c>
      <c r="O508" s="2" t="str">
        <f>HYPERLINK("http://www.windermere.com/index.cfm?fuseaction=Listing.MultiImageViewer&amp;ListingID=19447251&amp;ln=28033947&amp;pub_mls=1","More")</f>
        <v>More</v>
      </c>
      <c r="AI508" t="s">
        <v>66</v>
      </c>
      <c r="AJ508">
        <v>98105</v>
      </c>
      <c r="AS508" t="s">
        <v>1536</v>
      </c>
      <c r="AT508">
        <v>19447251</v>
      </c>
      <c r="AU508" s="7">
        <v>39505</v>
      </c>
      <c r="BB508" t="s">
        <v>911</v>
      </c>
    </row>
    <row r="509" spans="1:58" hidden="1">
      <c r="A509">
        <v>27202179</v>
      </c>
      <c r="B509" s="2" t="str">
        <f>HYPERLINK("http://www.windermere.com/index.cfm?fuseaction=Listing.ListingDetail&amp;ListingID=18991194","Active")</f>
        <v>Active</v>
      </c>
      <c r="D509" t="s">
        <v>55</v>
      </c>
      <c r="E509" t="s">
        <v>1537</v>
      </c>
      <c r="F509" s="10">
        <v>499950</v>
      </c>
      <c r="G509" t="s">
        <v>147</v>
      </c>
      <c r="H509" s="1">
        <v>1840</v>
      </c>
      <c r="I509">
        <v>4340</v>
      </c>
      <c r="J509">
        <v>4</v>
      </c>
      <c r="K509">
        <v>2.5</v>
      </c>
      <c r="M509" s="2" t="str">
        <f>HYPERLINK("http://www.windermere.com/index.cfm?fuseaction=Listing.MapPropertyInteractive&amp;ListingID=18991194&amp;resize=true&amp;windowWidth=800&amp;windowHeight=600","Map")</f>
        <v>Map</v>
      </c>
      <c r="O509" s="2" t="str">
        <f>HYPERLINK("http://www.windermere.com/index.cfm?fuseaction=Listing.MultiImageViewer&amp;ListingID=18991194&amp;ln=27202179&amp;pub_mls=1","More")</f>
        <v>More</v>
      </c>
      <c r="AI509" t="s">
        <v>66</v>
      </c>
      <c r="AJ509">
        <v>98133</v>
      </c>
      <c r="AS509" t="s">
        <v>1538</v>
      </c>
      <c r="AT509">
        <v>18991194</v>
      </c>
      <c r="AU509" s="7">
        <v>39505</v>
      </c>
      <c r="BB509" t="s">
        <v>911</v>
      </c>
    </row>
    <row r="510" spans="1:58" hidden="1">
      <c r="A510">
        <v>28033954</v>
      </c>
      <c r="B510" s="2" t="str">
        <f>HYPERLINK("http://www.windermere.com/index.cfm?fuseaction=Listing.ListingDetail&amp;ListingID=19447573","Active")</f>
        <v>Active</v>
      </c>
      <c r="D510" t="s">
        <v>63</v>
      </c>
      <c r="E510" t="s">
        <v>1539</v>
      </c>
      <c r="F510" s="10">
        <v>549950</v>
      </c>
      <c r="G510" t="s">
        <v>142</v>
      </c>
      <c r="H510" s="1">
        <v>2260</v>
      </c>
      <c r="I510">
        <v>3638</v>
      </c>
      <c r="J510">
        <v>3</v>
      </c>
      <c r="K510">
        <v>1.75</v>
      </c>
      <c r="M510" s="2" t="str">
        <f>HYPERLINK("http://www.windermere.com/index.cfm?fuseaction=Listing.MapPropertyInteractive&amp;ListingID=19447573&amp;resize=true&amp;windowWidth=800&amp;windowHeight=600","Map")</f>
        <v>Map</v>
      </c>
      <c r="AI510" t="s">
        <v>66</v>
      </c>
      <c r="AJ510">
        <v>98117</v>
      </c>
      <c r="AS510" t="s">
        <v>1540</v>
      </c>
      <c r="AT510">
        <v>19447573</v>
      </c>
      <c r="AU510" s="7">
        <v>39505</v>
      </c>
      <c r="BB510" t="s">
        <v>911</v>
      </c>
    </row>
    <row r="511" spans="1:58" hidden="1">
      <c r="A511">
        <v>28033971</v>
      </c>
      <c r="B511" s="2" t="str">
        <f>HYPERLINK("http://www.windermere.com/index.cfm?fuseaction=Listing.ListingDetail&amp;ListingID=19448225","Active")</f>
        <v>Active</v>
      </c>
      <c r="D511" t="s">
        <v>88</v>
      </c>
      <c r="E511" t="s">
        <v>1260</v>
      </c>
      <c r="F511" s="10">
        <v>698500</v>
      </c>
      <c r="G511" t="s">
        <v>151</v>
      </c>
      <c r="H511" s="1">
        <v>2760</v>
      </c>
      <c r="I511">
        <v>4500</v>
      </c>
      <c r="J511">
        <v>2</v>
      </c>
      <c r="K511">
        <v>1.75</v>
      </c>
      <c r="M511" s="2" t="str">
        <f>HYPERLINK("http://www.windermere.com/index.cfm?fuseaction=Listing.MapPropertyInteractive&amp;ListingID=19448225&amp;resize=true&amp;windowWidth=800&amp;windowHeight=600","Map")</f>
        <v>Map</v>
      </c>
      <c r="O511" s="2" t="str">
        <f>HYPERLINK("http://www.windermere.com/index.cfm?fuseaction=viewGallery.Home&amp;customTourID=197820&amp;wvt=0","More")</f>
        <v>More</v>
      </c>
      <c r="P511" t="s">
        <v>44</v>
      </c>
      <c r="AI511" t="s">
        <v>66</v>
      </c>
      <c r="AJ511">
        <v>98117</v>
      </c>
      <c r="AS511" t="s">
        <v>1541</v>
      </c>
      <c r="AT511">
        <v>19448225</v>
      </c>
      <c r="AU511" s="7">
        <v>39505</v>
      </c>
      <c r="BB511" t="s">
        <v>911</v>
      </c>
    </row>
    <row r="512" spans="1:58" hidden="1">
      <c r="A512">
        <v>28032011</v>
      </c>
      <c r="B512" s="2" t="str">
        <f>HYPERLINK("http://www.windermere.com/index.cfm?fuseaction=Listing.ListingDetail&amp;ListingID=19445431","Active")</f>
        <v>Active</v>
      </c>
      <c r="D512" t="s">
        <v>63</v>
      </c>
      <c r="E512" t="s">
        <v>1542</v>
      </c>
      <c r="F512" s="10">
        <v>725000</v>
      </c>
      <c r="G512" t="s">
        <v>622</v>
      </c>
      <c r="I512">
        <v>5300</v>
      </c>
      <c r="J512">
        <v>4</v>
      </c>
      <c r="K512">
        <v>2</v>
      </c>
      <c r="M512" s="2" t="str">
        <f>HYPERLINK("http://www.windermere.com/index.cfm?fuseaction=Listing.MapPropertyInteractive&amp;ListingID=19445431&amp;resize=true&amp;windowWidth=800&amp;windowHeight=600","Map")</f>
        <v>Map</v>
      </c>
      <c r="O512" s="2" t="str">
        <f>HYPERLINK("http://www.windermere.com/index.cfm?fuseaction=viewGallery.Home&amp;customTourID=209263&amp;wvt=0","More")</f>
        <v>More</v>
      </c>
      <c r="P512" t="s">
        <v>44</v>
      </c>
      <c r="AI512" t="s">
        <v>66</v>
      </c>
      <c r="AJ512">
        <v>98117</v>
      </c>
      <c r="AS512" t="s">
        <v>1543</v>
      </c>
      <c r="AT512">
        <v>19445431</v>
      </c>
      <c r="AU512" s="7">
        <v>39505</v>
      </c>
      <c r="BB512" t="s">
        <v>911</v>
      </c>
    </row>
    <row r="513" spans="1:54" hidden="1">
      <c r="A513">
        <v>28033385</v>
      </c>
      <c r="B513" s="2" t="str">
        <f>HYPERLINK("http://www.windermere.com/index.cfm?fuseaction=Listing.ListingDetail&amp;ListingID=19441832","Active")</f>
        <v>Active</v>
      </c>
      <c r="D513" t="s">
        <v>101</v>
      </c>
      <c r="E513" t="s">
        <v>1290</v>
      </c>
      <c r="F513" s="10">
        <v>949000</v>
      </c>
      <c r="G513" t="s">
        <v>171</v>
      </c>
      <c r="H513" s="1">
        <v>3900</v>
      </c>
      <c r="I513">
        <v>12635</v>
      </c>
      <c r="J513">
        <v>4</v>
      </c>
      <c r="K513">
        <v>3</v>
      </c>
      <c r="M513" s="2" t="str">
        <f>HYPERLINK("http://www.windermere.com/index.cfm?fuseaction=Listing.MapPropertyInteractive&amp;ListingID=19441832&amp;resize=true&amp;windowWidth=800&amp;windowHeight=600","Map")</f>
        <v>Map</v>
      </c>
      <c r="O513" s="2" t="str">
        <f>HYPERLINK("http://www.windermere.com/index.cfm?fuseaction=Listing.MultiImageViewer&amp;ListingID=19441832&amp;ln=28033385&amp;pub_mls=1","More")</f>
        <v>More</v>
      </c>
      <c r="P513" t="s">
        <v>44</v>
      </c>
      <c r="AI513" t="s">
        <v>66</v>
      </c>
      <c r="AJ513">
        <v>98117</v>
      </c>
      <c r="AS513" t="s">
        <v>1544</v>
      </c>
      <c r="AT513">
        <v>19441832</v>
      </c>
      <c r="AU513" s="7">
        <v>39505</v>
      </c>
      <c r="BB513" t="s">
        <v>911</v>
      </c>
    </row>
    <row r="514" spans="1:54" hidden="1">
      <c r="A514">
        <v>28034656</v>
      </c>
      <c r="B514" s="2" t="str">
        <f>HYPERLINK("http://www.windermere.com/index.cfm?fuseaction=Listing.ListingDetail&amp;ListingID=19453125","Active")</f>
        <v>Active</v>
      </c>
      <c r="D514" t="s">
        <v>42</v>
      </c>
      <c r="E514" t="s">
        <v>1545</v>
      </c>
      <c r="F514" s="10">
        <v>375000</v>
      </c>
      <c r="G514" t="s">
        <v>168</v>
      </c>
      <c r="H514" s="1">
        <v>1150</v>
      </c>
      <c r="I514">
        <v>6000</v>
      </c>
      <c r="J514">
        <v>3</v>
      </c>
      <c r="K514">
        <v>1</v>
      </c>
      <c r="M514" s="2" t="str">
        <f>HYPERLINK("http://www.windermere.com/index.cfm?fuseaction=Listing.MapPropertyInteractive&amp;ListingID=19453125&amp;resize=true&amp;windowWidth=800&amp;windowHeight=600","Map")</f>
        <v>Map</v>
      </c>
      <c r="O514" s="2" t="str">
        <f>HYPERLINK("http://www.windermere.com/index.cfm?fuseaction=Listing.MultiImageViewer&amp;ListingID=19453125&amp;ln=28034656&amp;pub_mls=1","More")</f>
        <v>More</v>
      </c>
      <c r="P514" t="s">
        <v>44</v>
      </c>
      <c r="AI514" t="s">
        <v>66</v>
      </c>
      <c r="AJ514">
        <v>98133</v>
      </c>
      <c r="AS514" t="s">
        <v>1546</v>
      </c>
      <c r="AT514">
        <v>19453125</v>
      </c>
      <c r="AU514" s="7">
        <v>39506</v>
      </c>
      <c r="BB514" t="s">
        <v>911</v>
      </c>
    </row>
    <row r="515" spans="1:54" hidden="1">
      <c r="A515">
        <v>28030887</v>
      </c>
      <c r="B515" s="2" t="str">
        <f>HYPERLINK("http://www.windermere.com/index.cfm?fuseaction=Listing.ListingDetail&amp;ListingID=19451207","Active")</f>
        <v>Active</v>
      </c>
      <c r="D515" t="s">
        <v>99</v>
      </c>
      <c r="E515" t="s">
        <v>1548</v>
      </c>
      <c r="F515" s="10">
        <v>412000</v>
      </c>
      <c r="G515" t="s">
        <v>144</v>
      </c>
      <c r="H515" s="1">
        <v>1510</v>
      </c>
      <c r="I515">
        <v>4960</v>
      </c>
      <c r="J515">
        <v>3</v>
      </c>
      <c r="K515">
        <v>1.75</v>
      </c>
      <c r="M515" s="2" t="str">
        <f>HYPERLINK("http://www.windermere.com/index.cfm?fuseaction=Listing.MapPropertyInteractive&amp;ListingID=19451207&amp;resize=true&amp;windowWidth=800&amp;windowHeight=600","Map")</f>
        <v>Map</v>
      </c>
      <c r="O515" s="2" t="str">
        <f>HYPERLINK("http://www.windermere.com/index.cfm?fuseaction=Listing.MultiImageViewer&amp;ListingID=19451207&amp;ln=28030887&amp;pub_mls=1","More")</f>
        <v>More</v>
      </c>
      <c r="P515" t="s">
        <v>44</v>
      </c>
      <c r="AI515" t="s">
        <v>66</v>
      </c>
      <c r="AJ515">
        <v>98117</v>
      </c>
      <c r="AS515" t="s">
        <v>1549</v>
      </c>
      <c r="AT515">
        <v>19451207</v>
      </c>
      <c r="AU515" s="7">
        <v>39506</v>
      </c>
      <c r="BB515" t="s">
        <v>911</v>
      </c>
    </row>
    <row r="516" spans="1:54" hidden="1">
      <c r="A516">
        <v>28034241</v>
      </c>
      <c r="B516" s="2" t="str">
        <f>HYPERLINK("http://www.windermere.com/index.cfm?fuseaction=Listing.ListingDetail&amp;ListingID=19452854","Active")</f>
        <v>Active</v>
      </c>
      <c r="D516" t="s">
        <v>60</v>
      </c>
      <c r="E516" t="s">
        <v>1550</v>
      </c>
      <c r="F516" s="10">
        <v>463500</v>
      </c>
      <c r="G516" t="s">
        <v>159</v>
      </c>
      <c r="H516" s="1">
        <v>1420</v>
      </c>
      <c r="I516">
        <v>3000</v>
      </c>
      <c r="J516">
        <v>2</v>
      </c>
      <c r="K516">
        <v>1</v>
      </c>
      <c r="M516" s="2" t="str">
        <f>HYPERLINK("http://www.windermere.com/index.cfm?fuseaction=Listing.MapPropertyInteractive&amp;ListingID=19452854&amp;resize=true&amp;windowWidth=800&amp;windowHeight=600","Map")</f>
        <v>Map</v>
      </c>
      <c r="O516" s="2" t="str">
        <f>HYPERLINK("http://www.windermere.com/index.cfm?fuseaction=Listing.MultiImageViewer&amp;ListingID=19452854&amp;ln=28034241&amp;pub_mls=1","More")</f>
        <v>More</v>
      </c>
      <c r="AI516" t="s">
        <v>66</v>
      </c>
      <c r="AJ516">
        <v>98103</v>
      </c>
      <c r="AS516" t="s">
        <v>1551</v>
      </c>
      <c r="AT516">
        <v>19452854</v>
      </c>
      <c r="AU516" s="7">
        <v>39506</v>
      </c>
      <c r="BB516" t="s">
        <v>911</v>
      </c>
    </row>
    <row r="517" spans="1:54" hidden="1">
      <c r="A517">
        <v>28035261</v>
      </c>
      <c r="B517" s="2" t="str">
        <f>HYPERLINK("http://www.windermere.com/index.cfm?fuseaction=Listing.ListingDetail&amp;ListingID=19456959","Active")</f>
        <v>Active</v>
      </c>
      <c r="D517" s="3" t="s">
        <v>207</v>
      </c>
      <c r="E517" t="s">
        <v>1552</v>
      </c>
      <c r="F517" s="10">
        <v>474800</v>
      </c>
      <c r="G517" t="s">
        <v>180</v>
      </c>
      <c r="H517" s="1">
        <v>2020</v>
      </c>
      <c r="I517">
        <v>3600</v>
      </c>
      <c r="J517">
        <v>2</v>
      </c>
      <c r="K517">
        <v>1</v>
      </c>
      <c r="M517" s="2" t="str">
        <f>HYPERLINK("http://www.windermere.com/index.cfm?fuseaction=Listing.MapPropertyInteractive&amp;ListingID=19456959&amp;resize=true&amp;windowWidth=800&amp;windowHeight=600","Map")</f>
        <v>Map</v>
      </c>
      <c r="O517" s="2" t="str">
        <f>HYPERLINK("http://www.windermere.com/index.cfm?fuseaction=Listing.MultiImageViewer&amp;ListingID=19456959&amp;ln=28035261&amp;pub_mls=1","More")</f>
        <v>More</v>
      </c>
      <c r="P517" t="s">
        <v>44</v>
      </c>
      <c r="AI517" t="s">
        <v>66</v>
      </c>
      <c r="AJ517">
        <v>98105</v>
      </c>
      <c r="AS517" t="s">
        <v>1553</v>
      </c>
      <c r="AT517">
        <v>19456959</v>
      </c>
      <c r="AU517" s="7">
        <v>39506</v>
      </c>
      <c r="BB517" t="s">
        <v>911</v>
      </c>
    </row>
    <row r="518" spans="1:54" hidden="1">
      <c r="A518">
        <v>28034689</v>
      </c>
      <c r="B518" s="2" t="str">
        <f>HYPERLINK("http://www.windermere.com/index.cfm?fuseaction=Listing.ListingDetail&amp;ListingID=19453226","Active")</f>
        <v>Active</v>
      </c>
      <c r="D518" t="s">
        <v>63</v>
      </c>
      <c r="E518" t="s">
        <v>1554</v>
      </c>
      <c r="F518" s="10">
        <v>479950</v>
      </c>
      <c r="G518" t="s">
        <v>147</v>
      </c>
      <c r="H518" s="1">
        <v>2219</v>
      </c>
      <c r="J518">
        <v>3</v>
      </c>
      <c r="K518">
        <v>2.5</v>
      </c>
      <c r="M518" s="2" t="str">
        <f>HYPERLINK("http://www.windermere.com/index.cfm?fuseaction=Listing.MapPropertyInteractive&amp;ListingID=19453226&amp;resize=true&amp;windowWidth=800&amp;windowHeight=600","Map")</f>
        <v>Map</v>
      </c>
      <c r="O518" s="2" t="str">
        <f>HYPERLINK("http://www.windermere.com/index.cfm?fuseaction=Listing.MultiImageViewer&amp;ListingID=19453226&amp;ln=28034689&amp;pub_mls=1","More")</f>
        <v>More</v>
      </c>
      <c r="P518" t="s">
        <v>44</v>
      </c>
      <c r="AI518" t="s">
        <v>66</v>
      </c>
      <c r="AJ518">
        <v>98107</v>
      </c>
      <c r="AS518" t="s">
        <v>1555</v>
      </c>
      <c r="AT518">
        <v>19453226</v>
      </c>
      <c r="AU518" s="7">
        <v>39506</v>
      </c>
      <c r="BB518" t="s">
        <v>911</v>
      </c>
    </row>
    <row r="519" spans="1:54" hidden="1">
      <c r="A519">
        <v>28034825</v>
      </c>
      <c r="B519" s="2" t="str">
        <f>HYPERLINK("http://www.windermere.com/index.cfm?fuseaction=Listing.ListingDetail&amp;ListingID=19453712","Active")</f>
        <v>Active</v>
      </c>
      <c r="D519" t="s">
        <v>60</v>
      </c>
      <c r="E519" t="s">
        <v>1556</v>
      </c>
      <c r="F519" s="10">
        <v>485000</v>
      </c>
      <c r="G519" t="s">
        <v>139</v>
      </c>
      <c r="I519">
        <v>6000</v>
      </c>
      <c r="J519">
        <v>2</v>
      </c>
      <c r="K519">
        <v>1</v>
      </c>
      <c r="M519" s="2" t="str">
        <f>HYPERLINK("http://www.windermere.com/index.cfm?fuseaction=Listing.MapPropertyInteractive&amp;ListingID=19453712&amp;resize=true&amp;windowWidth=800&amp;windowHeight=600","Map")</f>
        <v>Map</v>
      </c>
      <c r="AI519" t="s">
        <v>66</v>
      </c>
      <c r="AJ519">
        <v>98103</v>
      </c>
      <c r="AS519" t="s">
        <v>1557</v>
      </c>
      <c r="AT519">
        <v>19453712</v>
      </c>
      <c r="AU519" s="7">
        <v>39506</v>
      </c>
      <c r="BB519" t="s">
        <v>911</v>
      </c>
    </row>
    <row r="520" spans="1:54" hidden="1">
      <c r="A520">
        <v>28000815</v>
      </c>
      <c r="B520" s="2" t="str">
        <f>HYPERLINK("http://www.windermere.com/index.cfm?fuseaction=Listing.ListingDetail&amp;ListingID=19147713","Active")</f>
        <v>Active</v>
      </c>
      <c r="D520" t="s">
        <v>226</v>
      </c>
      <c r="E520" t="s">
        <v>1558</v>
      </c>
      <c r="F520" s="10">
        <v>499000</v>
      </c>
      <c r="G520" t="s">
        <v>147</v>
      </c>
      <c r="H520" s="1">
        <v>1803</v>
      </c>
      <c r="J520">
        <v>3</v>
      </c>
      <c r="K520">
        <v>2.5</v>
      </c>
      <c r="M520" s="2" t="str">
        <f>HYPERLINK("http://www.windermere.com/index.cfm?fuseaction=Listing.MapPropertyInteractive&amp;ListingID=19147713&amp;resize=true&amp;windowWidth=800&amp;windowHeight=600","Map")</f>
        <v>Map</v>
      </c>
      <c r="O520" s="2" t="str">
        <f>HYPERLINK("http://www.windermere.com/index.cfm?fuseaction=Listing.MultiImageViewer&amp;ListingID=19147713&amp;ln=28000815&amp;pub_mls=1","More")</f>
        <v>More</v>
      </c>
      <c r="P520" t="s">
        <v>44</v>
      </c>
      <c r="AI520" t="s">
        <v>66</v>
      </c>
      <c r="AJ520">
        <v>98105</v>
      </c>
      <c r="AS520" t="s">
        <v>1559</v>
      </c>
      <c r="AT520">
        <v>19147713</v>
      </c>
      <c r="AU520" s="7">
        <v>39506</v>
      </c>
      <c r="BB520" t="s">
        <v>911</v>
      </c>
    </row>
    <row r="521" spans="1:54" hidden="1">
      <c r="A521">
        <v>28012499</v>
      </c>
      <c r="B521" s="2" t="str">
        <f>HYPERLINK("http://www.windermere.com/index.cfm?fuseaction=Listing.ListingDetail&amp;ListingID=19254876","Active")</f>
        <v>Active</v>
      </c>
      <c r="D521" t="s">
        <v>226</v>
      </c>
      <c r="E521" t="s">
        <v>1560</v>
      </c>
      <c r="F521" s="10">
        <v>499000</v>
      </c>
      <c r="G521" t="s">
        <v>147</v>
      </c>
      <c r="H521" s="1">
        <v>1803</v>
      </c>
      <c r="J521">
        <v>3</v>
      </c>
      <c r="K521">
        <v>2.5</v>
      </c>
      <c r="M521" s="2" t="str">
        <f>HYPERLINK("http://www.windermere.com/index.cfm?fuseaction=Listing.MapPropertyInteractive&amp;ListingID=19254876&amp;resize=true&amp;windowWidth=800&amp;windowHeight=600","Map")</f>
        <v>Map</v>
      </c>
      <c r="O521" s="2" t="str">
        <f>HYPERLINK("http://www.windermere.com/index.cfm?fuseaction=Listing.MultiImageViewer&amp;ListingID=19254876&amp;ln=28012499&amp;pub_mls=1","More")</f>
        <v>More</v>
      </c>
      <c r="P521" t="s">
        <v>44</v>
      </c>
      <c r="AI521" t="s">
        <v>66</v>
      </c>
      <c r="AJ521">
        <v>98105</v>
      </c>
      <c r="AS521" t="s">
        <v>1561</v>
      </c>
      <c r="AT521">
        <v>19254876</v>
      </c>
      <c r="AU521" s="7">
        <v>39506</v>
      </c>
      <c r="BB521" t="s">
        <v>911</v>
      </c>
    </row>
    <row r="522" spans="1:54" hidden="1">
      <c r="A522">
        <v>28035809</v>
      </c>
      <c r="B522" s="2" t="str">
        <f>HYPERLINK("http://www.windermere.com/index.cfm?fuseaction=Listing.ListingDetail&amp;ListingID=19461946","Active")</f>
        <v>Active</v>
      </c>
      <c r="D522" t="s">
        <v>184</v>
      </c>
      <c r="E522" t="s">
        <v>1565</v>
      </c>
      <c r="F522" s="10">
        <v>325000</v>
      </c>
      <c r="G522" t="s">
        <v>164</v>
      </c>
      <c r="H522" s="1">
        <v>1820</v>
      </c>
      <c r="I522">
        <v>13750</v>
      </c>
      <c r="J522">
        <v>2</v>
      </c>
      <c r="K522">
        <v>1</v>
      </c>
      <c r="M522" s="2" t="str">
        <f>HYPERLINK("http://www.windermere.com/index.cfm?fuseaction=Listing.MapPropertyInteractive&amp;ListingID=19461946&amp;resize=true&amp;windowWidth=800&amp;windowHeight=600","Map")</f>
        <v>Map</v>
      </c>
      <c r="AI522" t="s">
        <v>66</v>
      </c>
      <c r="AJ522">
        <v>98125</v>
      </c>
      <c r="AS522" t="s">
        <v>1566</v>
      </c>
      <c r="AT522">
        <v>19461946</v>
      </c>
      <c r="AU522" s="7">
        <v>39507</v>
      </c>
      <c r="BB522" t="s">
        <v>911</v>
      </c>
    </row>
    <row r="523" spans="1:54" hidden="1">
      <c r="A523">
        <v>28033065</v>
      </c>
      <c r="B523" s="2" t="str">
        <f>HYPERLINK("http://www.windermere.com/index.cfm?fuseaction=Listing.ListingDetail&amp;ListingID=19461955","Active")</f>
        <v>Active</v>
      </c>
      <c r="D523" t="s">
        <v>967</v>
      </c>
      <c r="E523" t="s">
        <v>1567</v>
      </c>
      <c r="F523" s="10">
        <v>345000</v>
      </c>
      <c r="G523" t="s">
        <v>598</v>
      </c>
      <c r="H523" s="1">
        <v>1390</v>
      </c>
      <c r="I523">
        <v>1402</v>
      </c>
      <c r="J523">
        <v>3</v>
      </c>
      <c r="K523">
        <v>2.25</v>
      </c>
      <c r="M523" s="2" t="str">
        <f>HYPERLINK("http://www.windermere.com/index.cfm?fuseaction=Listing.MapPropertyInteractive&amp;ListingID=19461955&amp;resize=true&amp;windowWidth=800&amp;windowHeight=600","Map")</f>
        <v>Map</v>
      </c>
      <c r="O523" s="2" t="str">
        <f>HYPERLINK("http://www.windermere.com/index.cfm?fuseaction=viewGallery.Home&amp;customTourID=208989&amp;wvt=0","More")</f>
        <v>More</v>
      </c>
      <c r="P523" t="s">
        <v>44</v>
      </c>
      <c r="AI523" t="s">
        <v>66</v>
      </c>
      <c r="AJ523">
        <v>98125</v>
      </c>
      <c r="AS523" t="s">
        <v>1568</v>
      </c>
      <c r="AT523">
        <v>19461955</v>
      </c>
      <c r="AU523" s="7">
        <v>39507</v>
      </c>
      <c r="BB523" t="s">
        <v>911</v>
      </c>
    </row>
    <row r="524" spans="1:54" hidden="1">
      <c r="A524">
        <v>28035871</v>
      </c>
      <c r="B524" s="2" t="str">
        <f>HYPERLINK("http://www.windermere.com/index.cfm?fuseaction=Listing.ListingDetail&amp;ListingID=19461894","Active")</f>
        <v>Active</v>
      </c>
      <c r="D524" t="s">
        <v>184</v>
      </c>
      <c r="E524" t="s">
        <v>1569</v>
      </c>
      <c r="F524" s="10">
        <v>349888</v>
      </c>
      <c r="G524" t="s">
        <v>246</v>
      </c>
      <c r="H524" s="1">
        <v>1400</v>
      </c>
      <c r="J524">
        <v>3</v>
      </c>
      <c r="K524">
        <v>2</v>
      </c>
      <c r="M524" s="2" t="str">
        <f>HYPERLINK("http://www.windermere.com/index.cfm?fuseaction=Listing.MapPropertyInteractive&amp;ListingID=19461894&amp;resize=true&amp;windowWidth=800&amp;windowHeight=600","Map")</f>
        <v>Map</v>
      </c>
      <c r="O524" s="2" t="str">
        <f>HYPERLINK("http://www.windermere.com/index.cfm?fuseaction=Listing.MultiImageViewer&amp;ListingID=19461894&amp;ln=28035871&amp;pub_mls=1","More")</f>
        <v>More</v>
      </c>
      <c r="P524" t="s">
        <v>44</v>
      </c>
      <c r="AI524" t="s">
        <v>66</v>
      </c>
      <c r="AJ524">
        <v>98125</v>
      </c>
      <c r="AS524" t="s">
        <v>1570</v>
      </c>
      <c r="AT524">
        <v>19461894</v>
      </c>
      <c r="AU524" s="7">
        <v>39507</v>
      </c>
      <c r="BB524" t="s">
        <v>911</v>
      </c>
    </row>
    <row r="525" spans="1:54" hidden="1">
      <c r="A525">
        <v>28035328</v>
      </c>
      <c r="B525" s="2" t="str">
        <f>HYPERLINK("http://www.windermere.com/index.cfm?fuseaction=Listing.ListingDetail&amp;ListingID=19457484","Active")</f>
        <v>Active</v>
      </c>
      <c r="D525" t="s">
        <v>70</v>
      </c>
      <c r="E525" t="s">
        <v>1571</v>
      </c>
      <c r="F525" s="10">
        <v>369000</v>
      </c>
      <c r="G525" t="s">
        <v>673</v>
      </c>
      <c r="H525" s="1">
        <v>1620</v>
      </c>
      <c r="I525">
        <v>1543</v>
      </c>
      <c r="J525">
        <v>3</v>
      </c>
      <c r="K525">
        <v>2.25</v>
      </c>
      <c r="M525" s="2" t="str">
        <f>HYPERLINK("http://www.windermere.com/index.cfm?fuseaction=Listing.MapPropertyInteractive&amp;ListingID=19457484&amp;resize=true&amp;windowWidth=800&amp;windowHeight=600","Map")</f>
        <v>Map</v>
      </c>
      <c r="O525" s="2" t="str">
        <f>HYPERLINK("http://www.windermere.com/index.cfm?fuseaction=Listing.MultiImageViewer&amp;ListingID=19457484&amp;ln=28035328&amp;pub_mls=1","More")</f>
        <v>More</v>
      </c>
      <c r="P525" t="s">
        <v>44</v>
      </c>
      <c r="AI525" t="s">
        <v>66</v>
      </c>
      <c r="AJ525">
        <v>98122</v>
      </c>
      <c r="AS525" t="s">
        <v>1572</v>
      </c>
      <c r="AT525">
        <v>19457484</v>
      </c>
      <c r="AU525" s="7">
        <v>39507</v>
      </c>
      <c r="BB525" t="s">
        <v>911</v>
      </c>
    </row>
    <row r="526" spans="1:54" hidden="1">
      <c r="A526">
        <v>28036011</v>
      </c>
      <c r="B526" s="2" t="str">
        <f>HYPERLINK("http://www.windermere.com/index.cfm?fuseaction=Listing.ListingDetail&amp;ListingID=19463328","Active")</f>
        <v>Active</v>
      </c>
      <c r="D526" t="s">
        <v>63</v>
      </c>
      <c r="E526" t="s">
        <v>1573</v>
      </c>
      <c r="F526" s="10">
        <v>399000</v>
      </c>
      <c r="G526" t="s">
        <v>246</v>
      </c>
      <c r="H526" s="1">
        <v>1250</v>
      </c>
      <c r="J526">
        <v>3</v>
      </c>
      <c r="K526">
        <v>2.5</v>
      </c>
      <c r="M526" s="2" t="str">
        <f>HYPERLINK("http://www.windermere.com/index.cfm?fuseaction=Listing.MapPropertyInteractive&amp;ListingID=19463328&amp;resize=true&amp;windowWidth=800&amp;windowHeight=600","Map")</f>
        <v>Map</v>
      </c>
      <c r="O526" s="2" t="str">
        <f>HYPERLINK("http://www.windermere.com/index.cfm?fuseaction=Listing.MultiImageViewer&amp;ListingID=19463328&amp;ln=28036011&amp;pub_mls=1","More")</f>
        <v>More</v>
      </c>
      <c r="AI526" t="s">
        <v>66</v>
      </c>
      <c r="AJ526">
        <v>98107</v>
      </c>
      <c r="AS526" t="s">
        <v>1574</v>
      </c>
      <c r="AT526">
        <v>19463328</v>
      </c>
      <c r="AU526" s="7">
        <v>39507</v>
      </c>
      <c r="BB526" t="s">
        <v>911</v>
      </c>
    </row>
    <row r="527" spans="1:54" hidden="1">
      <c r="A527">
        <v>28034396</v>
      </c>
      <c r="B527" s="2" t="str">
        <f>HYPERLINK("http://www.windermere.com/index.cfm?fuseaction=Listing.ListingDetail&amp;ListingID=19461116","Active")</f>
        <v>Active</v>
      </c>
      <c r="D527" t="s">
        <v>188</v>
      </c>
      <c r="E527" t="s">
        <v>1575</v>
      </c>
      <c r="F527" s="10">
        <v>399950</v>
      </c>
      <c r="G527" t="s">
        <v>124</v>
      </c>
      <c r="H527" s="1">
        <v>1260</v>
      </c>
      <c r="I527">
        <v>7733</v>
      </c>
      <c r="J527">
        <v>3</v>
      </c>
      <c r="K527">
        <v>1</v>
      </c>
      <c r="M527" s="2" t="str">
        <f>HYPERLINK("http://www.windermere.com/index.cfm?fuseaction=Listing.MapPropertyInteractive&amp;ListingID=19461116&amp;resize=true&amp;windowWidth=800&amp;windowHeight=600","Map")</f>
        <v>Map</v>
      </c>
      <c r="O527" s="2" t="str">
        <f>HYPERLINK("http://www.windermere.com/index.cfm?fuseaction=Listing.MultiImageViewer&amp;ListingID=19461116&amp;ln=28034396&amp;pub_mls=1","More")</f>
        <v>More</v>
      </c>
      <c r="AI527" t="s">
        <v>66</v>
      </c>
      <c r="AJ527">
        <v>98125</v>
      </c>
      <c r="AS527" t="s">
        <v>1576</v>
      </c>
      <c r="AT527">
        <v>19461116</v>
      </c>
      <c r="AU527" s="7">
        <v>39507</v>
      </c>
      <c r="BB527" t="s">
        <v>911</v>
      </c>
    </row>
    <row r="528" spans="1:54" hidden="1">
      <c r="A528">
        <v>28032706</v>
      </c>
      <c r="B528" s="2" t="str">
        <f>HYPERLINK("http://www.windermere.com/index.cfm?fuseaction=Listing.ListingDetail&amp;ListingID=19460715","Active")</f>
        <v>Active</v>
      </c>
      <c r="D528" t="s">
        <v>63</v>
      </c>
      <c r="E528" t="s">
        <v>178</v>
      </c>
      <c r="F528" s="10">
        <v>420000</v>
      </c>
      <c r="G528" t="s">
        <v>179</v>
      </c>
      <c r="H528" s="1">
        <v>1650</v>
      </c>
      <c r="I528">
        <v>5117</v>
      </c>
      <c r="J528">
        <v>3</v>
      </c>
      <c r="K528">
        <v>1</v>
      </c>
      <c r="M528" s="2" t="str">
        <f>HYPERLINK("http://www.windermere.com/index.cfm?fuseaction=Listing.MapPropertyInteractive&amp;ListingID=19460715&amp;resize=true&amp;windowWidth=800&amp;windowHeight=600","Map")</f>
        <v>Map</v>
      </c>
      <c r="O528" s="2" t="str">
        <f>HYPERLINK("http://www.windermere.com/index.cfm?fuseaction=viewGallery.Home&amp;customTourID=208636&amp;wvt=0","More")</f>
        <v>More</v>
      </c>
      <c r="P528" t="s">
        <v>44</v>
      </c>
      <c r="AI528" t="s">
        <v>66</v>
      </c>
      <c r="AJ528">
        <v>98107</v>
      </c>
      <c r="AS528" t="s">
        <v>1577</v>
      </c>
      <c r="AT528">
        <v>19460715</v>
      </c>
      <c r="AU528" s="7">
        <v>39507</v>
      </c>
      <c r="BB528" t="s">
        <v>911</v>
      </c>
    </row>
    <row r="529" spans="1:58" hidden="1">
      <c r="A529">
        <v>28036056</v>
      </c>
      <c r="B529" s="2" t="str">
        <f>HYPERLINK("http://www.windermere.com/index.cfm?fuseaction=Listing.ListingDetail&amp;ListingID=19463575","Active")</f>
        <v>Active</v>
      </c>
      <c r="D529" t="s">
        <v>78</v>
      </c>
      <c r="E529" t="s">
        <v>1578</v>
      </c>
      <c r="F529" s="10">
        <v>436900</v>
      </c>
      <c r="G529" t="s">
        <v>129</v>
      </c>
      <c r="H529" s="1">
        <v>2040</v>
      </c>
      <c r="I529">
        <v>5100</v>
      </c>
      <c r="J529">
        <v>2</v>
      </c>
      <c r="K529">
        <v>1.25</v>
      </c>
      <c r="M529" s="2" t="str">
        <f>HYPERLINK("http://www.windermere.com/index.cfm?fuseaction=Listing.MapPropertyInteractive&amp;ListingID=19463575&amp;resize=true&amp;windowWidth=800&amp;windowHeight=600","Map")</f>
        <v>Map</v>
      </c>
      <c r="O529" s="2" t="str">
        <f>HYPERLINK("http://www.windermere.com/index.cfm?fuseaction=Listing.MultiImageViewer&amp;ListingID=19463575&amp;ln=28036056&amp;pub_mls=1","More")</f>
        <v>More</v>
      </c>
      <c r="AI529" t="s">
        <v>66</v>
      </c>
      <c r="AJ529">
        <v>98117</v>
      </c>
      <c r="AS529" t="s">
        <v>1579</v>
      </c>
      <c r="AT529">
        <v>19463575</v>
      </c>
      <c r="AU529" s="7">
        <v>39507</v>
      </c>
      <c r="BB529" t="s">
        <v>911</v>
      </c>
    </row>
    <row r="530" spans="1:58" hidden="1">
      <c r="A530">
        <v>28032650</v>
      </c>
      <c r="B530" s="2" t="str">
        <f>HYPERLINK("http://www.windermere.com/index.cfm?fuseaction=Listing.ListingDetail&amp;ListingID=19459409","Active")</f>
        <v>Active</v>
      </c>
      <c r="D530" t="s">
        <v>1129</v>
      </c>
      <c r="E530" t="s">
        <v>1580</v>
      </c>
      <c r="F530" s="10">
        <v>439950</v>
      </c>
      <c r="G530" t="s">
        <v>137</v>
      </c>
      <c r="H530" s="1">
        <v>1460</v>
      </c>
      <c r="I530">
        <v>9900</v>
      </c>
      <c r="J530">
        <v>3</v>
      </c>
      <c r="K530">
        <v>1</v>
      </c>
      <c r="M530" s="2" t="str">
        <f>HYPERLINK("http://www.windermere.com/index.cfm?fuseaction=Listing.MapPropertyInteractive&amp;ListingID=19459409&amp;resize=true&amp;windowWidth=800&amp;windowHeight=600","Map")</f>
        <v>Map</v>
      </c>
      <c r="O530" s="2" t="str">
        <f>HYPERLINK("http://www.windermere.com/index.cfm?fuseaction=Listing.MultiImageViewer&amp;ListingID=19459409&amp;ln=28032650&amp;pub_mls=1","More")</f>
        <v>More</v>
      </c>
      <c r="P530" t="s">
        <v>44</v>
      </c>
      <c r="AI530" t="s">
        <v>66</v>
      </c>
      <c r="AJ530">
        <v>98125</v>
      </c>
      <c r="AS530" t="s">
        <v>1581</v>
      </c>
      <c r="AT530">
        <v>19459409</v>
      </c>
      <c r="AU530" s="7">
        <v>39507</v>
      </c>
      <c r="BB530" t="s">
        <v>911</v>
      </c>
    </row>
    <row r="531" spans="1:58" hidden="1">
      <c r="A531">
        <v>28035641</v>
      </c>
      <c r="B531" s="2" t="str">
        <f>HYPERLINK("http://www.windermere.com/index.cfm?fuseaction=Listing.ListingDetail&amp;ListingID=19461123","Active")</f>
        <v>Active</v>
      </c>
      <c r="D531" t="s">
        <v>100</v>
      </c>
      <c r="E531" t="s">
        <v>1582</v>
      </c>
      <c r="F531" s="10">
        <v>449950</v>
      </c>
      <c r="G531" t="s">
        <v>147</v>
      </c>
      <c r="H531" s="1">
        <v>1350</v>
      </c>
      <c r="J531">
        <v>3</v>
      </c>
      <c r="K531">
        <v>2.25</v>
      </c>
      <c r="M531" s="2" t="str">
        <f>HYPERLINK("http://www.windermere.com/index.cfm?fuseaction=Listing.MapPropertyInteractive&amp;ListingID=19461123&amp;resize=true&amp;windowWidth=800&amp;windowHeight=600","Map")</f>
        <v>Map</v>
      </c>
      <c r="P531" t="s">
        <v>44</v>
      </c>
      <c r="AI531" t="s">
        <v>66</v>
      </c>
      <c r="AJ531">
        <v>98103</v>
      </c>
      <c r="AS531" t="s">
        <v>1583</v>
      </c>
      <c r="AT531">
        <v>19461123</v>
      </c>
      <c r="AU531" s="7">
        <v>39507</v>
      </c>
      <c r="BB531" t="s">
        <v>911</v>
      </c>
    </row>
    <row r="532" spans="1:58" hidden="1">
      <c r="A532">
        <v>28035778</v>
      </c>
      <c r="B532" s="2" t="str">
        <f>HYPERLINK("http://www.windermere.com/index.cfm?fuseaction=Listing.ListingDetail&amp;ListingID=19461700","Active")</f>
        <v>Active</v>
      </c>
      <c r="D532" t="s">
        <v>109</v>
      </c>
      <c r="E532" t="s">
        <v>1584</v>
      </c>
      <c r="F532" s="10">
        <v>449950</v>
      </c>
      <c r="G532" t="s">
        <v>147</v>
      </c>
      <c r="H532" s="1">
        <v>1357</v>
      </c>
      <c r="J532">
        <v>3</v>
      </c>
      <c r="K532">
        <v>2.25</v>
      </c>
      <c r="M532" s="2" t="str">
        <f>HYPERLINK("http://www.windermere.com/index.cfm?fuseaction=Listing.MapPropertyInteractive&amp;ListingID=19461700&amp;resize=true&amp;windowWidth=800&amp;windowHeight=600","Map")</f>
        <v>Map</v>
      </c>
      <c r="O532" s="2" t="str">
        <f>HYPERLINK("http://www.windermere.com/index.cfm?fuseaction=Listing.MultiImageViewer&amp;ListingID=19461700&amp;ln=28035778&amp;pub_mls=1","More")</f>
        <v>More</v>
      </c>
      <c r="AI532" t="s">
        <v>66</v>
      </c>
      <c r="AJ532">
        <v>98103</v>
      </c>
      <c r="AS532" t="s">
        <v>1585</v>
      </c>
      <c r="AT532">
        <v>19461700</v>
      </c>
      <c r="AU532" s="7">
        <v>39507</v>
      </c>
      <c r="BB532" t="s">
        <v>911</v>
      </c>
    </row>
    <row r="533" spans="1:58" hidden="1">
      <c r="A533">
        <v>27200079</v>
      </c>
      <c r="B533" s="2" t="str">
        <f>HYPERLINK("http://www.windermere.com/index.cfm?fuseaction=Listing.ListingDetail&amp;ListingID=18942170","Active")</f>
        <v>Active</v>
      </c>
      <c r="D533" t="s">
        <v>100</v>
      </c>
      <c r="E533" t="s">
        <v>1586</v>
      </c>
      <c r="F533" s="10">
        <v>459950</v>
      </c>
      <c r="G533" t="s">
        <v>147</v>
      </c>
      <c r="H533" s="1">
        <v>1434</v>
      </c>
      <c r="J533">
        <v>3</v>
      </c>
      <c r="K533">
        <v>2.25</v>
      </c>
      <c r="M533" s="2" t="str">
        <f>HYPERLINK("http://www.windermere.com/index.cfm?fuseaction=Listing.MapPropertyInteractive&amp;ListingID=18942170&amp;resize=true&amp;windowWidth=800&amp;windowHeight=600","Map")</f>
        <v>Map</v>
      </c>
      <c r="O533" s="2" t="str">
        <f>HYPERLINK("http://www.windermere.com/index.cfm?fuseaction=Listing.MultiImageViewer&amp;ListingID=18942170&amp;ln=27200079&amp;pub_mls=1","More")</f>
        <v>More</v>
      </c>
      <c r="P533" t="s">
        <v>44</v>
      </c>
      <c r="AI533" t="s">
        <v>66</v>
      </c>
      <c r="AJ533">
        <v>98103</v>
      </c>
      <c r="AS533" t="s">
        <v>1587</v>
      </c>
      <c r="AT533">
        <v>18942170</v>
      </c>
      <c r="AU533" s="7">
        <v>39507</v>
      </c>
      <c r="BB533" t="s">
        <v>911</v>
      </c>
    </row>
    <row r="534" spans="1:58" hidden="1">
      <c r="A534">
        <v>27194889</v>
      </c>
      <c r="B534" s="2" t="str">
        <f>HYPERLINK("http://www.windermere.com/index.cfm?fuseaction=Listing.ListingDetail&amp;ListingID=18892760","Active")</f>
        <v>Active</v>
      </c>
      <c r="D534" t="s">
        <v>100</v>
      </c>
      <c r="E534" t="s">
        <v>1588</v>
      </c>
      <c r="F534" s="10">
        <v>459950</v>
      </c>
      <c r="G534" t="s">
        <v>147</v>
      </c>
      <c r="H534" s="1">
        <v>1434</v>
      </c>
      <c r="J534">
        <v>3</v>
      </c>
      <c r="K534">
        <v>2.25</v>
      </c>
      <c r="M534" s="2" t="str">
        <f>HYPERLINK("http://www.windermere.com/index.cfm?fuseaction=Listing.MapPropertyInteractive&amp;ListingID=18892760&amp;resize=true&amp;windowWidth=800&amp;windowHeight=600","Map")</f>
        <v>Map</v>
      </c>
      <c r="O534" s="2" t="str">
        <f>HYPERLINK("http://www.windermere.com/index.cfm?fuseaction=Listing.MultiImageViewer&amp;ListingID=18892760&amp;ln=27194889&amp;pub_mls=1","More")</f>
        <v>More</v>
      </c>
      <c r="P534" t="s">
        <v>44</v>
      </c>
      <c r="AI534" t="s">
        <v>66</v>
      </c>
      <c r="AJ534">
        <v>98103</v>
      </c>
      <c r="AS534" t="s">
        <v>1589</v>
      </c>
      <c r="AT534">
        <v>18892760</v>
      </c>
      <c r="AU534" s="7">
        <v>39507</v>
      </c>
      <c r="BB534" t="s">
        <v>911</v>
      </c>
    </row>
    <row r="535" spans="1:58" hidden="1">
      <c r="A535">
        <v>28035672</v>
      </c>
      <c r="B535" s="2" t="str">
        <f>HYPERLINK("http://www.windermere.com/index.cfm?fuseaction=Listing.ListingDetail&amp;ListingID=19463894","Active")</f>
        <v>Active</v>
      </c>
      <c r="D535" t="s">
        <v>218</v>
      </c>
      <c r="E535" t="s">
        <v>1590</v>
      </c>
      <c r="F535" s="10">
        <v>462000</v>
      </c>
      <c r="G535" t="s">
        <v>877</v>
      </c>
      <c r="H535" s="1">
        <v>1700</v>
      </c>
      <c r="I535">
        <v>4731</v>
      </c>
      <c r="J535">
        <v>2</v>
      </c>
      <c r="K535">
        <v>1</v>
      </c>
      <c r="M535" s="2" t="str">
        <f>HYPERLINK("http://www.windermere.com/index.cfm?fuseaction=Listing.MapPropertyInteractive&amp;ListingID=19463894&amp;resize=true&amp;windowWidth=800&amp;windowHeight=600","Map")</f>
        <v>Map</v>
      </c>
      <c r="O535" s="2" t="str">
        <f>HYPERLINK("http://www.windermere.com/index.cfm?fuseaction=Listing.MultiImageViewer&amp;ListingID=19463894&amp;ln=28035672&amp;pub_mls=1","More")</f>
        <v>More</v>
      </c>
      <c r="P535" t="s">
        <v>44</v>
      </c>
      <c r="AI535" t="s">
        <v>66</v>
      </c>
      <c r="AJ535">
        <v>98105</v>
      </c>
      <c r="AS535" t="s">
        <v>1591</v>
      </c>
      <c r="AT535">
        <v>19463894</v>
      </c>
      <c r="AU535" s="7">
        <v>39507</v>
      </c>
      <c r="BB535" t="s">
        <v>911</v>
      </c>
    </row>
    <row r="536" spans="1:58" hidden="1">
      <c r="A536">
        <v>28035582</v>
      </c>
      <c r="B536" s="2" t="str">
        <f>HYPERLINK("http://www.windermere.com/index.cfm?fuseaction=Listing.ListingDetail&amp;ListingID=19460759","Active")</f>
        <v>Active</v>
      </c>
      <c r="D536" t="s">
        <v>109</v>
      </c>
      <c r="E536" t="s">
        <v>1592</v>
      </c>
      <c r="F536" s="10">
        <v>464950</v>
      </c>
      <c r="G536" t="s">
        <v>246</v>
      </c>
      <c r="J536">
        <v>3</v>
      </c>
      <c r="K536">
        <v>2.5</v>
      </c>
      <c r="M536" s="2" t="str">
        <f>HYPERLINK("http://www.windermere.com/index.cfm?fuseaction=Listing.MapPropertyInteractive&amp;ListingID=19460759&amp;resize=true&amp;windowWidth=800&amp;windowHeight=600","Map")</f>
        <v>Map</v>
      </c>
      <c r="P536" t="s">
        <v>44</v>
      </c>
      <c r="AI536" t="s">
        <v>66</v>
      </c>
      <c r="AJ536">
        <v>98103</v>
      </c>
      <c r="AS536" t="s">
        <v>1593</v>
      </c>
      <c r="AT536">
        <v>19460759</v>
      </c>
      <c r="AU536" s="7">
        <v>39507</v>
      </c>
      <c r="BB536" t="s">
        <v>911</v>
      </c>
    </row>
    <row r="537" spans="1:58">
      <c r="A537">
        <v>28035428</v>
      </c>
      <c r="B537" s="2" t="str">
        <f>HYPERLINK("http://www.windermere.com/index.cfm?fuseaction=Listing.ListingDetail&amp;ListingID=19461135","Active")</f>
        <v>Active</v>
      </c>
      <c r="D537" t="s">
        <v>63</v>
      </c>
      <c r="E537" t="s">
        <v>1594</v>
      </c>
      <c r="F537" s="10">
        <v>469922</v>
      </c>
      <c r="G537" t="s">
        <v>149</v>
      </c>
      <c r="H537" s="1">
        <v>1840</v>
      </c>
      <c r="I537">
        <v>4000</v>
      </c>
      <c r="J537">
        <v>3</v>
      </c>
      <c r="K537">
        <v>1</v>
      </c>
      <c r="M537" s="2" t="str">
        <f>HYPERLINK("http://www.windermere.com/index.cfm?fuseaction=Listing.MapPropertyInteractive&amp;ListingID=19461135&amp;resize=true&amp;windowWidth=800&amp;windowHeight=600","Map")</f>
        <v>Map</v>
      </c>
      <c r="O537" s="2" t="str">
        <f>HYPERLINK("http://www.windermere.com/index.cfm?fuseaction=viewGallery.Home&amp;customTourID=208991&amp;wvt=0","More")</f>
        <v>More</v>
      </c>
      <c r="AI537" t="s">
        <v>66</v>
      </c>
      <c r="AJ537">
        <v>98117</v>
      </c>
      <c r="AS537" t="s">
        <v>1595</v>
      </c>
      <c r="AT537">
        <v>19461135</v>
      </c>
      <c r="AU537" s="7">
        <v>39507</v>
      </c>
      <c r="BB537" t="s">
        <v>911</v>
      </c>
      <c r="BD537" t="s">
        <v>1621</v>
      </c>
      <c r="BE537" t="s">
        <v>1622</v>
      </c>
      <c r="BF537" s="7">
        <v>39508</v>
      </c>
    </row>
    <row r="538" spans="1:58" hidden="1">
      <c r="A538">
        <v>28035422</v>
      </c>
      <c r="B538" s="2" t="str">
        <f>HYPERLINK("http://www.windermere.com/index.cfm?fuseaction=Listing.ListingDetail&amp;ListingID=19460087","Active")</f>
        <v>Active</v>
      </c>
      <c r="D538" t="s">
        <v>100</v>
      </c>
      <c r="E538" t="s">
        <v>1596</v>
      </c>
      <c r="F538" s="10">
        <v>469950</v>
      </c>
      <c r="G538" t="s">
        <v>147</v>
      </c>
      <c r="H538" s="1">
        <v>1586</v>
      </c>
      <c r="J538">
        <v>3</v>
      </c>
      <c r="K538">
        <v>2.25</v>
      </c>
      <c r="M538" s="2" t="str">
        <f>HYPERLINK("http://www.windermere.com/index.cfm?fuseaction=Listing.MapPropertyInteractive&amp;ListingID=19460087&amp;resize=true&amp;windowWidth=800&amp;windowHeight=600","Map")</f>
        <v>Map</v>
      </c>
      <c r="O538" s="2" t="str">
        <f>HYPERLINK("http://www.windermere.com/index.cfm?fuseaction=Listing.MultiImageViewer&amp;ListingID=19460087&amp;ln=28035422&amp;pub_mls=1","More")</f>
        <v>More</v>
      </c>
      <c r="P538" t="s">
        <v>44</v>
      </c>
      <c r="AI538" t="s">
        <v>66</v>
      </c>
      <c r="AJ538">
        <v>98103</v>
      </c>
      <c r="AS538" t="s">
        <v>1597</v>
      </c>
      <c r="AT538">
        <v>19460087</v>
      </c>
      <c r="AU538" s="7">
        <v>39507</v>
      </c>
      <c r="BB538" t="s">
        <v>911</v>
      </c>
    </row>
    <row r="539" spans="1:58" hidden="1">
      <c r="A539">
        <v>28035828</v>
      </c>
      <c r="B539" s="2" t="str">
        <f>HYPERLINK("http://www.windermere.com/index.cfm?fuseaction=Listing.ListingDetail&amp;ListingID=19461867","Active")</f>
        <v>Active</v>
      </c>
      <c r="D539" t="s">
        <v>100</v>
      </c>
      <c r="E539" t="s">
        <v>1598</v>
      </c>
      <c r="F539" s="10">
        <v>474900</v>
      </c>
      <c r="G539" t="s">
        <v>423</v>
      </c>
      <c r="H539" s="1">
        <v>1226</v>
      </c>
      <c r="J539">
        <v>2</v>
      </c>
      <c r="K539">
        <v>3</v>
      </c>
      <c r="M539" s="2" t="str">
        <f>HYPERLINK("http://www.windermere.com/index.cfm?fuseaction=Listing.MapPropertyInteractive&amp;ListingID=19461867&amp;resize=true&amp;windowWidth=800&amp;windowHeight=600","Map")</f>
        <v>Map</v>
      </c>
      <c r="O539" s="2" t="str">
        <f>HYPERLINK("http://www.windermere.com/index.cfm?fuseaction=Listing.MultiImageViewer&amp;ListingID=19461867&amp;ln=28035828&amp;pub_mls=1","More")</f>
        <v>More</v>
      </c>
      <c r="P539" t="s">
        <v>44</v>
      </c>
      <c r="AI539" t="s">
        <v>66</v>
      </c>
      <c r="AJ539">
        <v>98103</v>
      </c>
      <c r="AS539" t="s">
        <v>1599</v>
      </c>
      <c r="AT539">
        <v>19461867</v>
      </c>
      <c r="AU539" s="7">
        <v>39507</v>
      </c>
      <c r="BB539" t="s">
        <v>911</v>
      </c>
    </row>
    <row r="540" spans="1:58" hidden="1">
      <c r="A540">
        <v>28036132</v>
      </c>
      <c r="B540" s="2" t="str">
        <f>HYPERLINK("http://www.windermere.com/index.cfm?fuseaction=Listing.ListingDetail&amp;ListingID=19463710","Active")</f>
        <v>Active</v>
      </c>
      <c r="D540" t="s">
        <v>109</v>
      </c>
      <c r="E540" t="s">
        <v>1600</v>
      </c>
      <c r="F540" s="10">
        <v>478950</v>
      </c>
      <c r="G540" t="s">
        <v>246</v>
      </c>
      <c r="H540" s="1">
        <v>1439</v>
      </c>
      <c r="J540">
        <v>3</v>
      </c>
      <c r="K540">
        <v>2.25</v>
      </c>
      <c r="M540" s="2" t="str">
        <f>HYPERLINK("http://www.windermere.com/index.cfm?fuseaction=Listing.MapPropertyInteractive&amp;ListingID=19463710&amp;resize=true&amp;windowWidth=800&amp;windowHeight=600","Map")</f>
        <v>Map</v>
      </c>
      <c r="O540" s="2" t="str">
        <f>HYPERLINK("http://www.windermere.com/index.cfm?fuseaction=Listing.MultiImageViewer&amp;ListingID=19463710&amp;ln=28036132&amp;pub_mls=1","More")</f>
        <v>More</v>
      </c>
      <c r="P540" t="s">
        <v>44</v>
      </c>
      <c r="AI540" t="s">
        <v>66</v>
      </c>
      <c r="AJ540">
        <v>98103</v>
      </c>
      <c r="AS540" t="s">
        <v>1601</v>
      </c>
      <c r="AT540">
        <v>19463710</v>
      </c>
      <c r="AU540" s="7">
        <v>39507</v>
      </c>
      <c r="BB540" t="s">
        <v>911</v>
      </c>
    </row>
    <row r="541" spans="1:58" hidden="1">
      <c r="A541">
        <v>28035564</v>
      </c>
      <c r="B541" s="2" t="str">
        <f>HYPERLINK("http://www.windermere.com/index.cfm?fuseaction=Listing.ListingDetail&amp;ListingID=19463629","Active")</f>
        <v>Active</v>
      </c>
      <c r="D541" t="s">
        <v>42</v>
      </c>
      <c r="E541" t="s">
        <v>1602</v>
      </c>
      <c r="F541" s="10">
        <v>479950</v>
      </c>
      <c r="G541" t="s">
        <v>673</v>
      </c>
      <c r="H541" s="1">
        <v>1900</v>
      </c>
      <c r="I541">
        <v>5000</v>
      </c>
      <c r="J541">
        <v>3</v>
      </c>
      <c r="K541">
        <v>2.75</v>
      </c>
      <c r="M541" s="2" t="str">
        <f>HYPERLINK("http://www.windermere.com/index.cfm?fuseaction=Listing.MapPropertyInteractive&amp;ListingID=19463629&amp;resize=true&amp;windowWidth=800&amp;windowHeight=600","Map")</f>
        <v>Map</v>
      </c>
      <c r="O541" s="2" t="str">
        <f>HYPERLINK("http://www.windermere.com/index.cfm?fuseaction=Listing.MultiImageViewer&amp;ListingID=19463629&amp;ln=28035564&amp;pub_mls=1","More")</f>
        <v>More</v>
      </c>
      <c r="AI541" t="s">
        <v>66</v>
      </c>
      <c r="AJ541">
        <v>98133</v>
      </c>
      <c r="AS541" t="s">
        <v>1603</v>
      </c>
      <c r="AT541">
        <v>19463629</v>
      </c>
      <c r="AU541" s="7">
        <v>39507</v>
      </c>
      <c r="BB541" t="s">
        <v>911</v>
      </c>
    </row>
    <row r="542" spans="1:58" hidden="1">
      <c r="A542">
        <v>28011836</v>
      </c>
      <c r="B542" s="2" t="str">
        <f>HYPERLINK("http://www.windermere.com/index.cfm?fuseaction=Listing.ListingDetail&amp;ListingID=19247744","Active")</f>
        <v>Active</v>
      </c>
      <c r="D542" t="s">
        <v>100</v>
      </c>
      <c r="E542" t="s">
        <v>1604</v>
      </c>
      <c r="F542" s="10">
        <v>479950</v>
      </c>
      <c r="G542" t="s">
        <v>147</v>
      </c>
      <c r="H542" s="1">
        <v>1683</v>
      </c>
      <c r="J542">
        <v>3</v>
      </c>
      <c r="K542">
        <v>2.25</v>
      </c>
      <c r="M542" s="2" t="str">
        <f>HYPERLINK("http://www.windermere.com/index.cfm?fuseaction=Listing.MapPropertyInteractive&amp;ListingID=19247744&amp;resize=true&amp;windowWidth=800&amp;windowHeight=600","Map")</f>
        <v>Map</v>
      </c>
      <c r="O542" s="2" t="str">
        <f>HYPERLINK("http://www.windermere.com/index.cfm?fuseaction=Listing.MultiImageViewer&amp;ListingID=19247744&amp;ln=28011836&amp;pub_mls=1","More")</f>
        <v>More</v>
      </c>
      <c r="P542" t="s">
        <v>44</v>
      </c>
      <c r="AI542" t="s">
        <v>66</v>
      </c>
      <c r="AJ542">
        <v>98103</v>
      </c>
      <c r="AS542" t="s">
        <v>1605</v>
      </c>
      <c r="AT542">
        <v>19247744</v>
      </c>
      <c r="AU542" s="7">
        <v>39507</v>
      </c>
      <c r="BB542" t="s">
        <v>911</v>
      </c>
    </row>
    <row r="543" spans="1:58" hidden="1">
      <c r="A543">
        <v>27172649</v>
      </c>
      <c r="B543" s="2" t="str">
        <f>HYPERLINK("http://www.windermere.com/index.cfm?fuseaction=Listing.ListingDetail&amp;ListingID=18672127","Active")</f>
        <v>Active</v>
      </c>
      <c r="D543" t="s">
        <v>100</v>
      </c>
      <c r="E543" t="s">
        <v>1606</v>
      </c>
      <c r="F543" s="10">
        <v>479950</v>
      </c>
      <c r="G543" t="s">
        <v>147</v>
      </c>
      <c r="H543" s="1">
        <v>1185</v>
      </c>
      <c r="J543">
        <v>2</v>
      </c>
      <c r="K543">
        <v>2.25</v>
      </c>
      <c r="M543" s="2" t="str">
        <f>HYPERLINK("http://www.windermere.com/index.cfm?fuseaction=Listing.MapPropertyInteractive&amp;ListingID=18672127&amp;resize=true&amp;windowWidth=800&amp;windowHeight=600","Map")</f>
        <v>Map</v>
      </c>
      <c r="O543" s="2" t="str">
        <f>HYPERLINK("http://www.windermere.com/index.cfm?fuseaction=Listing.MultiImageViewer&amp;ListingID=18672127&amp;ln=27172649&amp;pub_mls=1","More")</f>
        <v>More</v>
      </c>
      <c r="P543" t="s">
        <v>44</v>
      </c>
      <c r="AI543" t="s">
        <v>66</v>
      </c>
      <c r="AJ543">
        <v>98103</v>
      </c>
      <c r="AS543" t="s">
        <v>1607</v>
      </c>
      <c r="AT543">
        <v>18672127</v>
      </c>
      <c r="AU543" s="7">
        <v>39507</v>
      </c>
      <c r="BB543" t="s">
        <v>911</v>
      </c>
    </row>
    <row r="544" spans="1:58" hidden="1">
      <c r="A544">
        <v>28034685</v>
      </c>
      <c r="B544" s="2" t="str">
        <f>HYPERLINK("http://www.windermere.com/index.cfm?fuseaction=Listing.ListingDetail&amp;ListingID=19459882","Active")</f>
        <v>Active</v>
      </c>
      <c r="D544" t="s">
        <v>63</v>
      </c>
      <c r="E544" t="s">
        <v>1608</v>
      </c>
      <c r="F544" s="10">
        <v>480000</v>
      </c>
      <c r="G544" t="s">
        <v>134</v>
      </c>
      <c r="H544" s="1">
        <v>2600</v>
      </c>
      <c r="I544">
        <v>4850</v>
      </c>
      <c r="J544">
        <v>3</v>
      </c>
      <c r="K544">
        <v>1</v>
      </c>
      <c r="M544" s="2" t="str">
        <f>HYPERLINK("http://www.windermere.com/index.cfm?fuseaction=Listing.MapPropertyInteractive&amp;ListingID=19459882&amp;resize=true&amp;windowWidth=800&amp;windowHeight=600","Map")</f>
        <v>Map</v>
      </c>
      <c r="O544" s="2" t="str">
        <f>HYPERLINK("http://www.windermere.com/index.cfm?fuseaction=Listing.MultiImageViewer&amp;ListingID=19459882&amp;ln=28034685&amp;pub_mls=1","More")</f>
        <v>More</v>
      </c>
      <c r="AI544" t="s">
        <v>66</v>
      </c>
      <c r="AJ544">
        <v>98107</v>
      </c>
      <c r="AS544" t="s">
        <v>1609</v>
      </c>
      <c r="AT544">
        <v>19459882</v>
      </c>
      <c r="AU544" s="7">
        <v>39507</v>
      </c>
      <c r="BB544" t="s">
        <v>911</v>
      </c>
    </row>
    <row r="545" spans="1:54" hidden="1">
      <c r="A545">
        <v>28035604</v>
      </c>
      <c r="B545" s="2" t="str">
        <f>HYPERLINK("http://www.windermere.com/index.cfm?fuseaction=Listing.ListingDetail&amp;ListingID=19460964","Active")</f>
        <v>Active</v>
      </c>
      <c r="D545" t="s">
        <v>60</v>
      </c>
      <c r="E545" t="s">
        <v>1610</v>
      </c>
      <c r="F545" s="10">
        <v>489000</v>
      </c>
      <c r="G545" t="s">
        <v>795</v>
      </c>
      <c r="H545" s="1">
        <v>2310</v>
      </c>
      <c r="I545">
        <v>4959</v>
      </c>
      <c r="J545">
        <v>6</v>
      </c>
      <c r="K545">
        <v>3</v>
      </c>
      <c r="M545" s="2" t="str">
        <f>HYPERLINK("http://www.windermere.com/index.cfm?fuseaction=Listing.MapPropertyInteractive&amp;ListingID=19460964&amp;resize=true&amp;windowWidth=800&amp;windowHeight=600","Map")</f>
        <v>Map</v>
      </c>
      <c r="O545" s="2" t="str">
        <f>HYPERLINK("http://www.windermere.com/index.cfm?fuseaction=Listing.MultiImageViewer&amp;ListingID=19460964&amp;ln=28035604&amp;pub_mls=1","More")</f>
        <v>More</v>
      </c>
      <c r="P545" t="s">
        <v>44</v>
      </c>
      <c r="AI545" t="s">
        <v>66</v>
      </c>
      <c r="AJ545">
        <v>98133</v>
      </c>
      <c r="AS545" t="s">
        <v>1611</v>
      </c>
      <c r="AT545">
        <v>19460964</v>
      </c>
      <c r="AU545" s="7">
        <v>39507</v>
      </c>
      <c r="BB545" t="s">
        <v>911</v>
      </c>
    </row>
    <row r="546" spans="1:54" hidden="1">
      <c r="A546">
        <v>28021572</v>
      </c>
      <c r="B546" s="2" t="str">
        <f>HYPERLINK("http://www.windermere.com/index.cfm?fuseaction=Listing.ListingDetail&amp;ListingID=19332845","Active")</f>
        <v>Active</v>
      </c>
      <c r="D546" t="s">
        <v>60</v>
      </c>
      <c r="E546" t="s">
        <v>1612</v>
      </c>
      <c r="F546" s="10">
        <v>500000</v>
      </c>
      <c r="G546" t="s">
        <v>128</v>
      </c>
      <c r="H546" s="1">
        <v>1520</v>
      </c>
      <c r="J546">
        <v>3</v>
      </c>
      <c r="K546">
        <v>2.5</v>
      </c>
      <c r="M546" s="2" t="str">
        <f>HYPERLINK("http://www.windermere.com/index.cfm?fuseaction=Listing.MapPropertyInteractive&amp;ListingID=19332845&amp;resize=true&amp;windowWidth=800&amp;windowHeight=600","Map")</f>
        <v>Map</v>
      </c>
      <c r="O546" s="2" t="str">
        <f>HYPERLINK("http://www.windermere.com/index.cfm?fuseaction=Listing.MultiImageViewer&amp;ListingID=19332845&amp;ln=28021572&amp;pub_mls=1","More")</f>
        <v>More</v>
      </c>
      <c r="AI546" t="s">
        <v>66</v>
      </c>
      <c r="AJ546">
        <v>98115</v>
      </c>
      <c r="AS546" t="s">
        <v>1613</v>
      </c>
      <c r="AT546">
        <v>19332845</v>
      </c>
      <c r="AU546" s="7">
        <v>39507</v>
      </c>
      <c r="BB546" t="s">
        <v>911</v>
      </c>
    </row>
    <row r="547" spans="1:54" hidden="1">
      <c r="A547">
        <v>28026043</v>
      </c>
      <c r="B547" s="2" t="str">
        <f>HYPERLINK("http://www.windermere.com/index.cfm?fuseaction=Listing.ListingDetail&amp;ListingID=19358432","Active")</f>
        <v>Active</v>
      </c>
      <c r="D547" t="s">
        <v>66</v>
      </c>
      <c r="E547" t="s">
        <v>1612</v>
      </c>
      <c r="F547" s="10">
        <v>500000</v>
      </c>
      <c r="G547" t="s">
        <v>128</v>
      </c>
      <c r="H547" s="1">
        <v>1520</v>
      </c>
      <c r="J547">
        <v>3</v>
      </c>
      <c r="K547">
        <v>2.5</v>
      </c>
      <c r="M547" s="2" t="str">
        <f>HYPERLINK("http://www.windermere.com/index.cfm?fuseaction=Listing.MapPropertyInteractive&amp;ListingID=19358432&amp;resize=true&amp;windowWidth=800&amp;windowHeight=600","Map")</f>
        <v>Map</v>
      </c>
      <c r="O547" s="2" t="str">
        <f>HYPERLINK("http://www.windermere.com/index.cfm?fuseaction=Listing.MultiImageViewer&amp;ListingID=19358432&amp;ln=28026043&amp;pub_mls=1","More")</f>
        <v>More</v>
      </c>
      <c r="AI547" t="s">
        <v>66</v>
      </c>
      <c r="AJ547">
        <v>98115</v>
      </c>
      <c r="AS547" t="s">
        <v>1614</v>
      </c>
      <c r="AT547">
        <v>19358432</v>
      </c>
      <c r="AU547" s="7">
        <v>39507</v>
      </c>
      <c r="BB547" t="s">
        <v>911</v>
      </c>
    </row>
    <row r="548" spans="1:54" hidden="1">
      <c r="A548">
        <v>28035950</v>
      </c>
      <c r="B548" s="2" t="str">
        <f>HYPERLINK("http://www.windermere.com/index.cfm?fuseaction=Listing.ListingDetail&amp;ListingID=19462672","Active")</f>
        <v>Active</v>
      </c>
      <c r="D548" t="s">
        <v>78</v>
      </c>
      <c r="E548" t="s">
        <v>1616</v>
      </c>
      <c r="F548" s="10">
        <v>928500</v>
      </c>
      <c r="G548" t="s">
        <v>246</v>
      </c>
      <c r="H548" s="1">
        <v>3395</v>
      </c>
      <c r="I548">
        <v>4046</v>
      </c>
      <c r="J548">
        <v>4</v>
      </c>
      <c r="K548">
        <v>3.5</v>
      </c>
      <c r="M548" s="2" t="str">
        <f>HYPERLINK("http://www.windermere.com/index.cfm?fuseaction=Listing.MapPropertyInteractive&amp;ListingID=19462672&amp;resize=true&amp;windowWidth=800&amp;windowHeight=600","Map")</f>
        <v>Map</v>
      </c>
      <c r="O548" s="2" t="str">
        <f>HYPERLINK("http://www.windermere.com/index.cfm?fuseaction=Listing.MultiImageViewer&amp;ListingID=19462672&amp;ln=28035950&amp;pub_mls=1","More")</f>
        <v>More</v>
      </c>
      <c r="P548" t="s">
        <v>44</v>
      </c>
      <c r="AI548" t="s">
        <v>66</v>
      </c>
      <c r="AJ548">
        <v>98117</v>
      </c>
      <c r="AS548" t="s">
        <v>1617</v>
      </c>
      <c r="AT548">
        <v>19462672</v>
      </c>
      <c r="AU548" s="7">
        <v>39507</v>
      </c>
      <c r="BB548" t="s">
        <v>911</v>
      </c>
    </row>
  </sheetData>
  <autoFilter ref="A1:BK548">
    <filterColumn colId="55">
      <filters>
        <filter val="Green"/>
        <filter val="Red"/>
        <filter val="Yellow"/>
      </filters>
    </filterColumn>
  </autoFilter>
  <conditionalFormatting sqref="A1:A548">
    <cfRule type="expression" dxfId="11" priority="1">
      <formula>ISBLANK($BD1)</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6"/>
  <dimension ref="E17:E18"/>
  <sheetViews>
    <sheetView workbookViewId="0">
      <selection activeCell="F40" sqref="F40"/>
    </sheetView>
  </sheetViews>
  <sheetFormatPr defaultRowHeight="12.75"/>
  <sheetData>
    <row r="17" spans="5:5">
      <c r="E17" s="7"/>
    </row>
    <row r="18" spans="5:5">
      <c r="E18" s="7"/>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3"/>
  <dimension ref="A1:G730"/>
  <sheetViews>
    <sheetView topLeftCell="A55" workbookViewId="0">
      <selection activeCell="F28" sqref="F28"/>
    </sheetView>
  </sheetViews>
  <sheetFormatPr defaultRowHeight="15"/>
  <cols>
    <col min="1" max="1" width="9.140625" style="23"/>
    <col min="2" max="2" width="22" style="23" customWidth="1"/>
    <col min="3" max="3" width="27.7109375" style="23" customWidth="1"/>
    <col min="4" max="6" width="9.140625" style="23"/>
    <col min="7" max="7" width="17.7109375" style="23" customWidth="1"/>
    <col min="8" max="16384" width="9.140625" style="23"/>
  </cols>
  <sheetData>
    <row r="1" spans="1:7">
      <c r="A1" s="23" t="s">
        <v>6</v>
      </c>
      <c r="B1" s="23" t="s">
        <v>4</v>
      </c>
      <c r="C1" s="23" t="s">
        <v>1309</v>
      </c>
      <c r="D1" s="23" t="s">
        <v>183</v>
      </c>
      <c r="E1" s="23" t="s">
        <v>230</v>
      </c>
      <c r="F1" s="23" t="s">
        <v>231</v>
      </c>
      <c r="G1" s="23" t="s">
        <v>300</v>
      </c>
    </row>
    <row r="2" spans="1:7">
      <c r="A2" s="23">
        <v>26060501</v>
      </c>
      <c r="B2" s="23" t="s">
        <v>1127</v>
      </c>
      <c r="C2" s="24">
        <v>38832</v>
      </c>
      <c r="D2" s="23">
        <v>-1</v>
      </c>
      <c r="G2" s="24">
        <v>39495</v>
      </c>
    </row>
    <row r="3" spans="1:7">
      <c r="A3" s="23">
        <v>27049642</v>
      </c>
      <c r="B3" s="23" t="s">
        <v>1171</v>
      </c>
      <c r="C3" s="24">
        <v>39169</v>
      </c>
      <c r="D3" s="23">
        <v>1</v>
      </c>
      <c r="G3" s="24">
        <v>39495</v>
      </c>
    </row>
    <row r="4" spans="1:7">
      <c r="A4" s="23">
        <v>27091504</v>
      </c>
      <c r="B4" s="23" t="s">
        <v>150</v>
      </c>
      <c r="C4" s="24">
        <v>39225</v>
      </c>
      <c r="D4" s="23">
        <v>2</v>
      </c>
      <c r="E4" s="23" t="s">
        <v>1311</v>
      </c>
      <c r="G4" s="24">
        <v>39495</v>
      </c>
    </row>
    <row r="5" spans="1:7">
      <c r="A5" s="23">
        <v>27096757</v>
      </c>
      <c r="B5" s="23" t="s">
        <v>603</v>
      </c>
      <c r="C5" s="24">
        <v>39233</v>
      </c>
      <c r="D5" s="23">
        <v>1</v>
      </c>
      <c r="G5" s="24">
        <v>39495</v>
      </c>
    </row>
    <row r="6" spans="1:7">
      <c r="A6" s="23">
        <v>27100755</v>
      </c>
      <c r="B6" s="23" t="s">
        <v>1116</v>
      </c>
      <c r="C6" s="23" t="s">
        <v>1412</v>
      </c>
      <c r="D6" s="23">
        <v>1</v>
      </c>
      <c r="G6" s="24">
        <v>39495</v>
      </c>
    </row>
    <row r="7" spans="1:7">
      <c r="A7" s="23">
        <v>27105286</v>
      </c>
      <c r="B7" s="23" t="s">
        <v>295</v>
      </c>
      <c r="C7" s="24">
        <v>39245</v>
      </c>
      <c r="D7" s="23">
        <v>-2</v>
      </c>
      <c r="E7" s="23" t="s">
        <v>1312</v>
      </c>
      <c r="G7" s="24">
        <v>39495</v>
      </c>
    </row>
    <row r="8" spans="1:7">
      <c r="A8" s="23">
        <v>27115725</v>
      </c>
      <c r="B8" s="23" t="s">
        <v>605</v>
      </c>
      <c r="C8" s="24">
        <v>39259</v>
      </c>
      <c r="D8" s="23">
        <v>1</v>
      </c>
      <c r="G8" s="24">
        <v>39495</v>
      </c>
    </row>
    <row r="9" spans="1:7">
      <c r="A9" s="23">
        <v>27115984</v>
      </c>
      <c r="B9" s="23" t="s">
        <v>531</v>
      </c>
      <c r="C9" s="24">
        <v>39260</v>
      </c>
      <c r="D9" s="23">
        <v>1</v>
      </c>
      <c r="E9" s="23" t="s">
        <v>1313</v>
      </c>
      <c r="G9" s="24">
        <v>39495</v>
      </c>
    </row>
    <row r="10" spans="1:7">
      <c r="A10" s="23">
        <v>27115997</v>
      </c>
      <c r="B10" s="23" t="s">
        <v>740</v>
      </c>
      <c r="C10" s="24">
        <v>39260</v>
      </c>
      <c r="D10" s="23">
        <v>1</v>
      </c>
      <c r="E10" s="23" t="s">
        <v>1314</v>
      </c>
      <c r="G10" s="24">
        <v>39495</v>
      </c>
    </row>
    <row r="11" spans="1:7">
      <c r="A11" s="23">
        <v>27124334</v>
      </c>
      <c r="B11" s="23" t="s">
        <v>1144</v>
      </c>
      <c r="C11" s="24">
        <v>39277</v>
      </c>
      <c r="D11" s="23">
        <v>1</v>
      </c>
      <c r="E11" s="23" t="s">
        <v>1315</v>
      </c>
      <c r="G11" s="24">
        <v>39495</v>
      </c>
    </row>
    <row r="12" spans="1:7">
      <c r="A12" s="23">
        <v>27132490</v>
      </c>
      <c r="B12" s="23" t="s">
        <v>185</v>
      </c>
      <c r="C12" s="24">
        <v>39283</v>
      </c>
      <c r="D12" s="23">
        <v>2</v>
      </c>
      <c r="E12" s="23" t="s">
        <v>1316</v>
      </c>
      <c r="G12" s="24">
        <v>39495</v>
      </c>
    </row>
    <row r="13" spans="1:7">
      <c r="A13" s="23">
        <v>27133411</v>
      </c>
      <c r="B13" s="23" t="s">
        <v>189</v>
      </c>
      <c r="C13" s="24">
        <v>39286</v>
      </c>
      <c r="D13" s="23">
        <v>2</v>
      </c>
      <c r="E13" s="23" t="s">
        <v>1317</v>
      </c>
      <c r="G13" s="24">
        <v>39495</v>
      </c>
    </row>
    <row r="14" spans="1:7">
      <c r="A14" s="23">
        <v>27135714</v>
      </c>
      <c r="B14" s="23" t="s">
        <v>1292</v>
      </c>
      <c r="C14" s="24">
        <v>39290</v>
      </c>
      <c r="D14" s="23">
        <v>-2</v>
      </c>
      <c r="E14" s="23" t="s">
        <v>1318</v>
      </c>
      <c r="G14" s="24">
        <v>39495</v>
      </c>
    </row>
    <row r="15" spans="1:7">
      <c r="A15" s="23">
        <v>27136843</v>
      </c>
      <c r="B15" s="23" t="s">
        <v>1185</v>
      </c>
      <c r="C15" s="24">
        <v>39290</v>
      </c>
      <c r="D15" s="23">
        <v>-2</v>
      </c>
      <c r="E15" s="23" t="s">
        <v>1319</v>
      </c>
      <c r="G15" s="24">
        <v>39495</v>
      </c>
    </row>
    <row r="16" spans="1:7">
      <c r="A16" s="23">
        <v>27138728</v>
      </c>
      <c r="B16" s="23" t="s">
        <v>1226</v>
      </c>
      <c r="C16" s="24">
        <v>39293</v>
      </c>
      <c r="D16" s="23">
        <v>2</v>
      </c>
      <c r="G16" s="24">
        <v>39495</v>
      </c>
    </row>
    <row r="17" spans="1:7">
      <c r="A17" s="23">
        <v>27144530</v>
      </c>
      <c r="B17" s="23" t="s">
        <v>504</v>
      </c>
      <c r="C17" s="24">
        <v>39301</v>
      </c>
      <c r="D17" s="23">
        <v>-2</v>
      </c>
      <c r="E17" s="23" t="s">
        <v>1320</v>
      </c>
      <c r="G17" s="24">
        <v>39495</v>
      </c>
    </row>
    <row r="18" spans="1:7">
      <c r="A18" s="23">
        <v>27150683</v>
      </c>
      <c r="B18" s="23" t="s">
        <v>565</v>
      </c>
      <c r="C18" s="24">
        <v>39482</v>
      </c>
      <c r="D18" s="23">
        <v>-2</v>
      </c>
      <c r="E18" s="23" t="s">
        <v>1321</v>
      </c>
      <c r="G18" s="24">
        <v>39495</v>
      </c>
    </row>
    <row r="19" spans="1:7">
      <c r="A19" s="23">
        <v>27154929</v>
      </c>
      <c r="B19" s="23" t="s">
        <v>430</v>
      </c>
      <c r="C19" s="24">
        <v>39319</v>
      </c>
      <c r="D19" s="23">
        <v>3</v>
      </c>
      <c r="E19" s="23" t="s">
        <v>1322</v>
      </c>
      <c r="G19" s="24">
        <v>39495</v>
      </c>
    </row>
    <row r="20" spans="1:7">
      <c r="A20" s="23">
        <v>27154939</v>
      </c>
      <c r="B20" s="23" t="s">
        <v>411</v>
      </c>
      <c r="C20" s="24">
        <v>39319</v>
      </c>
      <c r="D20" s="23">
        <v>3</v>
      </c>
      <c r="E20" s="23" t="s">
        <v>1322</v>
      </c>
      <c r="G20" s="24">
        <v>39495</v>
      </c>
    </row>
    <row r="21" spans="1:7">
      <c r="A21" s="23">
        <v>27159537</v>
      </c>
      <c r="B21" s="23" t="s">
        <v>175</v>
      </c>
      <c r="C21" s="24">
        <v>39325</v>
      </c>
      <c r="D21" s="23">
        <v>1</v>
      </c>
      <c r="E21" s="23" t="s">
        <v>1323</v>
      </c>
      <c r="G21" s="24">
        <v>39495</v>
      </c>
    </row>
    <row r="22" spans="1:7">
      <c r="A22" s="23">
        <v>27159884</v>
      </c>
      <c r="B22" s="23" t="s">
        <v>647</v>
      </c>
      <c r="C22" s="24">
        <v>39325</v>
      </c>
      <c r="D22" s="23">
        <v>3</v>
      </c>
      <c r="E22" s="23" t="s">
        <v>1324</v>
      </c>
      <c r="G22" s="24">
        <v>39495</v>
      </c>
    </row>
    <row r="23" spans="1:7">
      <c r="A23" s="23">
        <v>27160662</v>
      </c>
      <c r="B23" s="23" t="s">
        <v>600</v>
      </c>
      <c r="C23" s="24">
        <v>39326</v>
      </c>
      <c r="D23" s="23">
        <v>3</v>
      </c>
      <c r="E23" s="23" t="s">
        <v>1325</v>
      </c>
      <c r="G23" s="24">
        <v>39495</v>
      </c>
    </row>
    <row r="24" spans="1:7">
      <c r="A24" s="23">
        <v>27160841</v>
      </c>
      <c r="B24" s="23" t="s">
        <v>520</v>
      </c>
      <c r="C24" s="24">
        <v>39327</v>
      </c>
      <c r="D24" s="23">
        <v>3</v>
      </c>
      <c r="E24" s="23" t="s">
        <v>1326</v>
      </c>
      <c r="G24" s="24">
        <v>39495</v>
      </c>
    </row>
    <row r="25" spans="1:7">
      <c r="A25" s="23">
        <v>27160848</v>
      </c>
      <c r="B25" s="23" t="s">
        <v>500</v>
      </c>
      <c r="C25" s="24">
        <v>39327</v>
      </c>
      <c r="D25" s="23">
        <v>3</v>
      </c>
      <c r="E25" s="23" t="s">
        <v>1326</v>
      </c>
      <c r="G25" s="24">
        <v>39495</v>
      </c>
    </row>
    <row r="26" spans="1:7">
      <c r="A26" s="23">
        <v>27163418</v>
      </c>
      <c r="B26" s="23" t="s">
        <v>1268</v>
      </c>
      <c r="C26" s="24">
        <v>39331</v>
      </c>
      <c r="D26" s="23">
        <v>3</v>
      </c>
      <c r="E26" s="23" t="s">
        <v>1327</v>
      </c>
      <c r="G26" s="24">
        <v>39495</v>
      </c>
    </row>
    <row r="27" spans="1:7">
      <c r="A27" s="23">
        <v>27163660</v>
      </c>
      <c r="B27" s="23" t="s">
        <v>621</v>
      </c>
      <c r="C27" s="24">
        <v>39331</v>
      </c>
      <c r="D27" s="23">
        <v>1</v>
      </c>
      <c r="E27" s="23" t="s">
        <v>1328</v>
      </c>
      <c r="G27" s="24">
        <v>39495</v>
      </c>
    </row>
    <row r="28" spans="1:7">
      <c r="A28" s="23">
        <v>27164152</v>
      </c>
      <c r="B28" s="23" t="s">
        <v>2147</v>
      </c>
      <c r="G28" s="24">
        <v>39526</v>
      </c>
    </row>
    <row r="29" spans="1:7">
      <c r="A29" s="23">
        <v>27164890</v>
      </c>
      <c r="B29" s="23" t="s">
        <v>672</v>
      </c>
      <c r="C29" s="24">
        <v>39333</v>
      </c>
      <c r="D29" s="23">
        <v>-2</v>
      </c>
      <c r="E29" s="23" t="s">
        <v>1329</v>
      </c>
      <c r="G29" s="24">
        <v>39495</v>
      </c>
    </row>
    <row r="30" spans="1:7">
      <c r="A30" s="23">
        <v>27165871</v>
      </c>
      <c r="B30" s="23" t="s">
        <v>1173</v>
      </c>
      <c r="C30" s="24">
        <v>39336</v>
      </c>
      <c r="D30" s="23">
        <v>1</v>
      </c>
      <c r="E30" s="23" t="s">
        <v>1330</v>
      </c>
      <c r="G30" s="24">
        <v>39495</v>
      </c>
    </row>
    <row r="31" spans="1:7">
      <c r="A31" s="23">
        <v>27165900</v>
      </c>
      <c r="B31" s="23" t="s">
        <v>196</v>
      </c>
      <c r="C31" s="24">
        <v>39335</v>
      </c>
      <c r="D31" s="23">
        <v>1</v>
      </c>
      <c r="E31" s="23" t="s">
        <v>1331</v>
      </c>
      <c r="G31" s="24">
        <v>39495</v>
      </c>
    </row>
    <row r="32" spans="1:7">
      <c r="A32" s="23">
        <v>27166657</v>
      </c>
      <c r="B32" s="23" t="s">
        <v>878</v>
      </c>
      <c r="C32" s="24">
        <v>39337</v>
      </c>
      <c r="D32" s="23">
        <v>1</v>
      </c>
      <c r="E32" s="23" t="s">
        <v>1332</v>
      </c>
      <c r="G32" s="24">
        <v>39495</v>
      </c>
    </row>
    <row r="33" spans="1:7">
      <c r="A33" s="23">
        <v>27167243</v>
      </c>
      <c r="B33" s="23" t="s">
        <v>654</v>
      </c>
      <c r="C33" s="24">
        <v>39337</v>
      </c>
      <c r="G33" s="24">
        <v>39495</v>
      </c>
    </row>
    <row r="34" spans="1:7">
      <c r="A34" s="23">
        <v>27167528</v>
      </c>
      <c r="B34" s="23" t="s">
        <v>1301</v>
      </c>
      <c r="C34" s="24">
        <v>39337</v>
      </c>
      <c r="G34" s="24">
        <v>39495</v>
      </c>
    </row>
    <row r="35" spans="1:7">
      <c r="A35" s="23">
        <v>27167787</v>
      </c>
      <c r="B35" s="23" t="s">
        <v>904</v>
      </c>
      <c r="C35" s="24">
        <v>39338</v>
      </c>
      <c r="G35" s="24">
        <v>39495</v>
      </c>
    </row>
    <row r="36" spans="1:7">
      <c r="A36" s="23">
        <v>27168320</v>
      </c>
      <c r="B36" s="23" t="s">
        <v>1188</v>
      </c>
      <c r="C36" s="24">
        <v>39338</v>
      </c>
      <c r="G36" s="24">
        <v>39495</v>
      </c>
    </row>
    <row r="37" spans="1:7">
      <c r="A37" s="23">
        <v>27169639</v>
      </c>
      <c r="B37" s="23" t="s">
        <v>407</v>
      </c>
      <c r="C37" s="24">
        <v>39340</v>
      </c>
      <c r="G37" s="24">
        <v>39495</v>
      </c>
    </row>
    <row r="38" spans="1:7">
      <c r="A38" s="23">
        <v>27169642</v>
      </c>
      <c r="B38" s="23" t="s">
        <v>405</v>
      </c>
      <c r="C38" s="24">
        <v>39340</v>
      </c>
      <c r="G38" s="24">
        <v>39495</v>
      </c>
    </row>
    <row r="39" spans="1:7">
      <c r="A39" s="23">
        <v>27169915</v>
      </c>
      <c r="B39" s="23" t="s">
        <v>1109</v>
      </c>
      <c r="C39" s="24">
        <v>39342</v>
      </c>
      <c r="G39" s="24">
        <v>39495</v>
      </c>
    </row>
    <row r="40" spans="1:7">
      <c r="A40" s="23">
        <v>27171459</v>
      </c>
      <c r="B40" s="23" t="s">
        <v>1120</v>
      </c>
      <c r="C40" s="24">
        <v>39345</v>
      </c>
      <c r="G40" s="24">
        <v>39495</v>
      </c>
    </row>
    <row r="41" spans="1:7">
      <c r="A41" s="23">
        <v>27172480</v>
      </c>
      <c r="B41" s="23" t="s">
        <v>1262</v>
      </c>
      <c r="C41" s="24">
        <v>39346</v>
      </c>
      <c r="G41" s="24">
        <v>39495</v>
      </c>
    </row>
    <row r="42" spans="1:7">
      <c r="A42" s="23">
        <v>27172649</v>
      </c>
      <c r="B42" s="23" t="s">
        <v>1606</v>
      </c>
      <c r="G42" s="24">
        <v>39507</v>
      </c>
    </row>
    <row r="43" spans="1:7">
      <c r="A43" s="23">
        <v>27172676</v>
      </c>
      <c r="B43" s="23" t="s">
        <v>701</v>
      </c>
      <c r="C43" s="24">
        <v>39345</v>
      </c>
      <c r="G43" s="24">
        <v>39495</v>
      </c>
    </row>
    <row r="44" spans="1:7">
      <c r="A44" s="23">
        <v>27172694</v>
      </c>
      <c r="B44" s="23" t="s">
        <v>629</v>
      </c>
      <c r="C44" s="24">
        <v>39345</v>
      </c>
      <c r="G44" s="24">
        <v>39495</v>
      </c>
    </row>
    <row r="45" spans="1:7">
      <c r="A45" s="23">
        <v>27172700</v>
      </c>
      <c r="B45" s="23" t="s">
        <v>631</v>
      </c>
      <c r="C45" s="24">
        <v>39345</v>
      </c>
      <c r="G45" s="24">
        <v>39495</v>
      </c>
    </row>
    <row r="46" spans="1:7">
      <c r="A46" s="23">
        <v>27172819</v>
      </c>
      <c r="B46" s="23" t="s">
        <v>402</v>
      </c>
      <c r="C46" s="24">
        <v>39346</v>
      </c>
      <c r="G46" s="24">
        <v>39495</v>
      </c>
    </row>
    <row r="47" spans="1:7">
      <c r="A47" s="23">
        <v>27173156</v>
      </c>
      <c r="B47" s="23" t="s">
        <v>651</v>
      </c>
      <c r="C47" s="24">
        <v>39346</v>
      </c>
      <c r="G47" s="24">
        <v>39495</v>
      </c>
    </row>
    <row r="48" spans="1:7">
      <c r="A48" s="23">
        <v>27173221</v>
      </c>
      <c r="B48" s="23" t="s">
        <v>506</v>
      </c>
      <c r="C48" s="24">
        <v>39346</v>
      </c>
      <c r="G48" s="24">
        <v>39495</v>
      </c>
    </row>
    <row r="49" spans="1:7">
      <c r="A49" s="23">
        <v>27173473</v>
      </c>
      <c r="B49" s="23" t="s">
        <v>579</v>
      </c>
      <c r="C49" s="24">
        <v>39346</v>
      </c>
      <c r="G49" s="24">
        <v>39495</v>
      </c>
    </row>
    <row r="50" spans="1:7">
      <c r="A50" s="23">
        <v>27173474</v>
      </c>
      <c r="B50" s="23" t="s">
        <v>563</v>
      </c>
      <c r="C50" s="24">
        <v>39346</v>
      </c>
      <c r="G50" s="24">
        <v>39495</v>
      </c>
    </row>
    <row r="51" spans="1:7">
      <c r="A51" s="23">
        <v>27173714</v>
      </c>
      <c r="B51" s="23" t="s">
        <v>884</v>
      </c>
      <c r="C51" s="24">
        <v>39347</v>
      </c>
      <c r="G51" s="24">
        <v>39495</v>
      </c>
    </row>
    <row r="52" spans="1:7">
      <c r="A52" s="23">
        <v>27176949</v>
      </c>
      <c r="B52" s="23" t="s">
        <v>223</v>
      </c>
      <c r="C52" s="24">
        <v>39354</v>
      </c>
      <c r="G52" s="24">
        <v>39495</v>
      </c>
    </row>
    <row r="53" spans="1:7">
      <c r="A53" s="23">
        <v>27178379</v>
      </c>
      <c r="B53" s="23" t="s">
        <v>2146</v>
      </c>
      <c r="G53" s="24">
        <v>39526</v>
      </c>
    </row>
    <row r="54" spans="1:7">
      <c r="A54" s="23">
        <v>27179196</v>
      </c>
      <c r="B54" s="23" t="s">
        <v>683</v>
      </c>
      <c r="C54" s="24">
        <v>39359</v>
      </c>
      <c r="G54" s="24">
        <v>39495</v>
      </c>
    </row>
    <row r="55" spans="1:7">
      <c r="A55" s="23">
        <v>27179410</v>
      </c>
      <c r="B55" s="23" t="s">
        <v>2151</v>
      </c>
      <c r="G55" s="24">
        <v>39520</v>
      </c>
    </row>
    <row r="56" spans="1:7">
      <c r="A56" s="23">
        <v>27180210</v>
      </c>
      <c r="B56" s="23" t="s">
        <v>205</v>
      </c>
      <c r="C56" s="24">
        <v>39360</v>
      </c>
      <c r="G56" s="24">
        <v>39495</v>
      </c>
    </row>
    <row r="57" spans="1:7">
      <c r="A57" s="23">
        <v>27182712</v>
      </c>
      <c r="B57" s="23" t="s">
        <v>1162</v>
      </c>
      <c r="C57" s="24">
        <v>39363</v>
      </c>
      <c r="G57" s="24">
        <v>39495</v>
      </c>
    </row>
    <row r="58" spans="1:7">
      <c r="A58" s="23">
        <v>27182990</v>
      </c>
      <c r="B58" s="23" t="s">
        <v>1473</v>
      </c>
      <c r="G58" s="24">
        <v>39501</v>
      </c>
    </row>
    <row r="59" spans="1:7">
      <c r="A59" s="23">
        <v>27183015</v>
      </c>
      <c r="B59" s="23" t="s">
        <v>906</v>
      </c>
      <c r="C59" s="24">
        <v>39367</v>
      </c>
      <c r="G59" s="24">
        <v>39495</v>
      </c>
    </row>
    <row r="60" spans="1:7">
      <c r="A60" s="23">
        <v>27183222</v>
      </c>
      <c r="B60" s="23" t="s">
        <v>491</v>
      </c>
      <c r="C60" s="24">
        <v>39365</v>
      </c>
      <c r="G60" s="24">
        <v>39495</v>
      </c>
    </row>
    <row r="61" spans="1:7">
      <c r="A61" s="23">
        <v>27183898</v>
      </c>
      <c r="B61" s="23" t="s">
        <v>166</v>
      </c>
      <c r="C61" s="24">
        <v>39365</v>
      </c>
      <c r="G61" s="24">
        <v>39495</v>
      </c>
    </row>
    <row r="62" spans="1:7">
      <c r="A62" s="23">
        <v>27183963</v>
      </c>
      <c r="B62" s="23" t="s">
        <v>867</v>
      </c>
      <c r="C62" s="24">
        <v>39365</v>
      </c>
      <c r="G62" s="24">
        <v>39495</v>
      </c>
    </row>
    <row r="63" spans="1:7">
      <c r="A63" s="23">
        <v>27184903</v>
      </c>
      <c r="B63" s="23" t="s">
        <v>428</v>
      </c>
      <c r="C63" s="24">
        <v>39367</v>
      </c>
      <c r="G63" s="24">
        <v>39495</v>
      </c>
    </row>
    <row r="64" spans="1:7">
      <c r="A64" s="23">
        <v>27184907</v>
      </c>
      <c r="B64" s="23" t="s">
        <v>617</v>
      </c>
      <c r="C64" s="24">
        <v>39367</v>
      </c>
      <c r="G64" s="24">
        <v>39495</v>
      </c>
    </row>
    <row r="65" spans="1:7">
      <c r="A65" s="23">
        <v>27185399</v>
      </c>
      <c r="B65" s="23" t="s">
        <v>253</v>
      </c>
      <c r="C65" s="24">
        <v>39367</v>
      </c>
      <c r="G65" s="24">
        <v>39495</v>
      </c>
    </row>
    <row r="66" spans="1:7">
      <c r="A66" s="23">
        <v>27185790</v>
      </c>
      <c r="B66" s="23" t="s">
        <v>1179</v>
      </c>
      <c r="C66" s="24">
        <v>39370</v>
      </c>
      <c r="G66" s="24">
        <v>39495</v>
      </c>
    </row>
    <row r="67" spans="1:7">
      <c r="A67" s="23">
        <v>27186397</v>
      </c>
      <c r="B67" s="23" t="s">
        <v>487</v>
      </c>
      <c r="C67" s="24">
        <v>39370</v>
      </c>
      <c r="G67" s="24">
        <v>39495</v>
      </c>
    </row>
    <row r="68" spans="1:7">
      <c r="A68" s="23">
        <v>27186400</v>
      </c>
      <c r="B68" s="23" t="s">
        <v>320</v>
      </c>
      <c r="C68" s="24">
        <v>39370</v>
      </c>
      <c r="G68" s="24">
        <v>39495</v>
      </c>
    </row>
    <row r="69" spans="1:7">
      <c r="A69" s="23">
        <v>27186503</v>
      </c>
      <c r="B69" s="23" t="s">
        <v>1298</v>
      </c>
      <c r="C69" s="24">
        <v>39372</v>
      </c>
      <c r="G69" s="24">
        <v>39495</v>
      </c>
    </row>
    <row r="70" spans="1:7">
      <c r="A70" s="23">
        <v>27186819</v>
      </c>
      <c r="B70" s="23" t="s">
        <v>392</v>
      </c>
      <c r="C70" s="24">
        <v>39371</v>
      </c>
      <c r="G70" s="24">
        <v>39495</v>
      </c>
    </row>
    <row r="71" spans="1:7">
      <c r="A71" s="23">
        <v>27186885</v>
      </c>
      <c r="B71" s="23" t="s">
        <v>448</v>
      </c>
      <c r="C71" s="24">
        <v>39371</v>
      </c>
      <c r="E71" s="23" t="s">
        <v>1436</v>
      </c>
      <c r="G71" s="24">
        <v>39495</v>
      </c>
    </row>
    <row r="72" spans="1:7">
      <c r="A72" s="23">
        <v>27186914</v>
      </c>
      <c r="B72" s="23" t="s">
        <v>141</v>
      </c>
      <c r="C72" s="24">
        <v>39371</v>
      </c>
      <c r="G72" s="24">
        <v>39495</v>
      </c>
    </row>
    <row r="73" spans="1:7">
      <c r="A73" s="23">
        <v>27187381</v>
      </c>
      <c r="B73" s="23" t="s">
        <v>697</v>
      </c>
      <c r="C73" s="24">
        <v>39371</v>
      </c>
      <c r="D73" s="23">
        <v>2</v>
      </c>
      <c r="E73" s="23" t="s">
        <v>1405</v>
      </c>
      <c r="G73" s="24">
        <v>39495</v>
      </c>
    </row>
    <row r="74" spans="1:7">
      <c r="A74" s="23">
        <v>27187495</v>
      </c>
      <c r="B74" s="23" t="s">
        <v>158</v>
      </c>
      <c r="C74" s="24">
        <v>39372</v>
      </c>
      <c r="G74" s="24">
        <v>39495</v>
      </c>
    </row>
    <row r="75" spans="1:7">
      <c r="A75" s="23">
        <v>27187552</v>
      </c>
      <c r="B75" s="23" t="s">
        <v>1232</v>
      </c>
      <c r="C75" s="24">
        <v>39372</v>
      </c>
      <c r="G75" s="24">
        <v>39495</v>
      </c>
    </row>
    <row r="76" spans="1:7">
      <c r="A76" s="23">
        <v>27187573</v>
      </c>
      <c r="B76" s="23" t="s">
        <v>271</v>
      </c>
      <c r="C76" s="24">
        <v>39372</v>
      </c>
      <c r="G76" s="24">
        <v>39495</v>
      </c>
    </row>
    <row r="77" spans="1:7">
      <c r="A77" s="23">
        <v>27187691</v>
      </c>
      <c r="B77" s="23" t="s">
        <v>456</v>
      </c>
      <c r="C77" s="24">
        <v>39372</v>
      </c>
      <c r="G77" s="24">
        <v>39495</v>
      </c>
    </row>
    <row r="78" spans="1:7">
      <c r="A78" s="23">
        <v>27187856</v>
      </c>
      <c r="B78" s="23" t="s">
        <v>836</v>
      </c>
      <c r="C78" s="24">
        <v>39372</v>
      </c>
      <c r="G78" s="24">
        <v>39495</v>
      </c>
    </row>
    <row r="79" spans="1:7">
      <c r="A79" s="23">
        <v>27187865</v>
      </c>
      <c r="B79" s="23" t="s">
        <v>838</v>
      </c>
      <c r="C79" s="24">
        <v>39372</v>
      </c>
      <c r="D79" s="23">
        <v>-4</v>
      </c>
      <c r="E79" s="23" t="s">
        <v>1443</v>
      </c>
      <c r="G79" s="24">
        <v>39495</v>
      </c>
    </row>
    <row r="80" spans="1:7">
      <c r="A80" s="23">
        <v>27189098</v>
      </c>
      <c r="B80" s="23" t="s">
        <v>316</v>
      </c>
      <c r="C80" s="24">
        <v>39374</v>
      </c>
      <c r="G80" s="24">
        <v>39495</v>
      </c>
    </row>
    <row r="81" spans="1:7">
      <c r="A81" s="23">
        <v>27189613</v>
      </c>
      <c r="B81" s="23" t="s">
        <v>1272</v>
      </c>
      <c r="C81" s="24">
        <v>39375</v>
      </c>
      <c r="G81" s="24">
        <v>39495</v>
      </c>
    </row>
    <row r="82" spans="1:7">
      <c r="A82" s="23">
        <v>27189674</v>
      </c>
      <c r="B82" s="23" t="s">
        <v>297</v>
      </c>
      <c r="C82" s="24">
        <v>39375</v>
      </c>
      <c r="G82" s="24">
        <v>39495</v>
      </c>
    </row>
    <row r="83" spans="1:7">
      <c r="A83" s="23">
        <v>27190700</v>
      </c>
      <c r="B83" s="23" t="s">
        <v>799</v>
      </c>
      <c r="C83" s="24">
        <v>39378</v>
      </c>
      <c r="G83" s="24">
        <v>39495</v>
      </c>
    </row>
    <row r="84" spans="1:7">
      <c r="A84" s="23">
        <v>27190986</v>
      </c>
      <c r="B84" s="23" t="s">
        <v>409</v>
      </c>
      <c r="C84" s="24">
        <v>39378</v>
      </c>
      <c r="G84" s="24">
        <v>39495</v>
      </c>
    </row>
    <row r="85" spans="1:7">
      <c r="A85" s="23">
        <v>27191568</v>
      </c>
      <c r="B85" s="23" t="s">
        <v>127</v>
      </c>
      <c r="C85" s="24">
        <v>39379</v>
      </c>
      <c r="G85" s="24">
        <v>39495</v>
      </c>
    </row>
    <row r="86" spans="1:7">
      <c r="A86" s="23">
        <v>27191720</v>
      </c>
      <c r="B86" s="23" t="s">
        <v>341</v>
      </c>
      <c r="C86" s="24">
        <v>39379</v>
      </c>
      <c r="G86" s="24">
        <v>39495</v>
      </c>
    </row>
    <row r="87" spans="1:7">
      <c r="A87" s="23">
        <v>27191728</v>
      </c>
      <c r="B87" s="23" t="s">
        <v>339</v>
      </c>
      <c r="C87" s="24">
        <v>39379</v>
      </c>
      <c r="G87" s="24">
        <v>39495</v>
      </c>
    </row>
    <row r="88" spans="1:7">
      <c r="A88" s="23">
        <v>27191729</v>
      </c>
      <c r="B88" s="23" t="s">
        <v>343</v>
      </c>
      <c r="C88" s="24">
        <v>39379</v>
      </c>
      <c r="G88" s="24">
        <v>39495</v>
      </c>
    </row>
    <row r="89" spans="1:7">
      <c r="A89" s="23">
        <v>27191731</v>
      </c>
      <c r="B89" s="23" t="s">
        <v>345</v>
      </c>
      <c r="C89" s="24">
        <v>39379</v>
      </c>
      <c r="G89" s="24">
        <v>39495</v>
      </c>
    </row>
    <row r="90" spans="1:7">
      <c r="A90" s="23">
        <v>27191868</v>
      </c>
      <c r="B90" s="23" t="s">
        <v>152</v>
      </c>
      <c r="C90" s="24">
        <v>39380</v>
      </c>
      <c r="G90" s="24">
        <v>39495</v>
      </c>
    </row>
    <row r="91" spans="1:7">
      <c r="A91" s="23">
        <v>27192222</v>
      </c>
      <c r="B91" s="23" t="s">
        <v>165</v>
      </c>
      <c r="C91" s="24">
        <v>39380</v>
      </c>
      <c r="G91" s="24">
        <v>39495</v>
      </c>
    </row>
    <row r="92" spans="1:7">
      <c r="A92" s="23">
        <v>27192377</v>
      </c>
      <c r="B92" s="23" t="s">
        <v>250</v>
      </c>
      <c r="C92" s="24">
        <v>39381</v>
      </c>
      <c r="G92" s="24">
        <v>39495</v>
      </c>
    </row>
    <row r="93" spans="1:7">
      <c r="A93" s="23">
        <v>27192612</v>
      </c>
      <c r="B93" s="23" t="s">
        <v>318</v>
      </c>
      <c r="C93" s="24">
        <v>39381</v>
      </c>
      <c r="G93" s="24">
        <v>39495</v>
      </c>
    </row>
    <row r="94" spans="1:7">
      <c r="A94" s="23">
        <v>27192829</v>
      </c>
      <c r="B94" s="23" t="s">
        <v>543</v>
      </c>
      <c r="C94" s="24">
        <v>39381</v>
      </c>
      <c r="G94" s="24">
        <v>39495</v>
      </c>
    </row>
    <row r="95" spans="1:7">
      <c r="A95" s="23">
        <v>27192998</v>
      </c>
      <c r="B95" s="23" t="s">
        <v>123</v>
      </c>
      <c r="C95" s="24">
        <v>39382</v>
      </c>
      <c r="G95" s="24">
        <v>39495</v>
      </c>
    </row>
    <row r="96" spans="1:7">
      <c r="A96" s="23">
        <v>27193325</v>
      </c>
      <c r="B96" s="23" t="s">
        <v>2266</v>
      </c>
      <c r="G96" s="24">
        <v>39509</v>
      </c>
    </row>
    <row r="97" spans="1:7">
      <c r="A97" s="23">
        <v>27193580</v>
      </c>
      <c r="B97" s="23" t="s">
        <v>472</v>
      </c>
      <c r="C97" s="24">
        <v>39390</v>
      </c>
      <c r="G97" s="24">
        <v>39495</v>
      </c>
    </row>
    <row r="98" spans="1:7">
      <c r="A98" s="23">
        <v>27193790</v>
      </c>
      <c r="B98" s="23" t="s">
        <v>193</v>
      </c>
      <c r="C98" s="24">
        <v>39384</v>
      </c>
      <c r="G98" s="24">
        <v>39495</v>
      </c>
    </row>
    <row r="99" spans="1:7">
      <c r="A99" s="23">
        <v>27193940</v>
      </c>
      <c r="B99" s="23" t="s">
        <v>454</v>
      </c>
      <c r="C99" s="24">
        <v>39384</v>
      </c>
      <c r="G99" s="24">
        <v>39495</v>
      </c>
    </row>
    <row r="100" spans="1:7">
      <c r="A100" s="23">
        <v>27193941</v>
      </c>
      <c r="B100" s="23" t="s">
        <v>452</v>
      </c>
      <c r="C100" s="24">
        <v>39384</v>
      </c>
      <c r="G100" s="24">
        <v>39495</v>
      </c>
    </row>
    <row r="101" spans="1:7">
      <c r="A101" s="23">
        <v>27193943</v>
      </c>
      <c r="B101" s="23" t="s">
        <v>450</v>
      </c>
      <c r="C101" s="24">
        <v>39385</v>
      </c>
      <c r="G101" s="24">
        <v>39495</v>
      </c>
    </row>
    <row r="102" spans="1:7">
      <c r="A102" s="23">
        <v>27193955</v>
      </c>
      <c r="B102" s="23" t="s">
        <v>377</v>
      </c>
      <c r="C102" s="24">
        <v>39385</v>
      </c>
      <c r="G102" s="24">
        <v>39495</v>
      </c>
    </row>
    <row r="103" spans="1:7">
      <c r="A103" s="23">
        <v>27194132</v>
      </c>
      <c r="B103" s="23" t="s">
        <v>264</v>
      </c>
      <c r="C103" s="24">
        <v>39386</v>
      </c>
      <c r="G103" s="24">
        <v>39495</v>
      </c>
    </row>
    <row r="104" spans="1:7">
      <c r="A104" s="23">
        <v>27194183</v>
      </c>
      <c r="B104" s="23" t="s">
        <v>607</v>
      </c>
      <c r="C104" s="24">
        <v>39385</v>
      </c>
      <c r="G104" s="24">
        <v>39495</v>
      </c>
    </row>
    <row r="105" spans="1:7">
      <c r="A105" s="23">
        <v>27194391</v>
      </c>
      <c r="B105" s="23" t="s">
        <v>518</v>
      </c>
      <c r="C105" s="24">
        <v>39387</v>
      </c>
      <c r="G105" s="24">
        <v>39495</v>
      </c>
    </row>
    <row r="106" spans="1:7">
      <c r="A106" s="23">
        <v>27194397</v>
      </c>
      <c r="B106" s="23" t="s">
        <v>597</v>
      </c>
      <c r="C106" s="24">
        <v>39386</v>
      </c>
      <c r="G106" s="24">
        <v>39495</v>
      </c>
    </row>
    <row r="107" spans="1:7">
      <c r="A107" s="23">
        <v>27194846</v>
      </c>
      <c r="B107" s="23" t="s">
        <v>849</v>
      </c>
      <c r="C107" s="24">
        <v>39386</v>
      </c>
      <c r="G107" s="24">
        <v>39495</v>
      </c>
    </row>
    <row r="108" spans="1:7">
      <c r="A108" s="23">
        <v>27194855</v>
      </c>
      <c r="B108" s="23" t="s">
        <v>792</v>
      </c>
      <c r="C108" s="24">
        <v>39386</v>
      </c>
      <c r="G108" s="24">
        <v>39495</v>
      </c>
    </row>
    <row r="109" spans="1:7">
      <c r="A109" s="23">
        <v>27194889</v>
      </c>
      <c r="B109" s="23" t="s">
        <v>1588</v>
      </c>
      <c r="G109" s="24">
        <v>39507</v>
      </c>
    </row>
    <row r="110" spans="1:7">
      <c r="A110" s="23">
        <v>27195187</v>
      </c>
      <c r="B110" s="23" t="s">
        <v>169</v>
      </c>
      <c r="C110" s="24">
        <v>39386</v>
      </c>
      <c r="G110" s="24">
        <v>39495</v>
      </c>
    </row>
    <row r="111" spans="1:7">
      <c r="A111" s="23">
        <v>27195521</v>
      </c>
      <c r="B111" s="23" t="s">
        <v>365</v>
      </c>
      <c r="C111" s="24">
        <v>39387</v>
      </c>
      <c r="G111" s="24">
        <v>39495</v>
      </c>
    </row>
    <row r="112" spans="1:7">
      <c r="A112" s="23">
        <v>27196449</v>
      </c>
      <c r="B112" s="23" t="s">
        <v>312</v>
      </c>
      <c r="C112" s="24">
        <v>39388</v>
      </c>
      <c r="G112" s="24">
        <v>39495</v>
      </c>
    </row>
    <row r="113" spans="1:7">
      <c r="A113" s="23">
        <v>27196500</v>
      </c>
      <c r="B113" s="23" t="s">
        <v>679</v>
      </c>
      <c r="C113" s="24">
        <v>39388</v>
      </c>
      <c r="G113" s="24">
        <v>39495</v>
      </c>
    </row>
    <row r="114" spans="1:7">
      <c r="A114" s="23">
        <v>27197076</v>
      </c>
      <c r="B114" s="23" t="s">
        <v>703</v>
      </c>
      <c r="C114" s="24">
        <v>39391</v>
      </c>
      <c r="G114" s="24">
        <v>39495</v>
      </c>
    </row>
    <row r="115" spans="1:7">
      <c r="A115" s="23">
        <v>27197546</v>
      </c>
      <c r="B115" s="23" t="s">
        <v>790</v>
      </c>
      <c r="C115" s="24">
        <v>39391</v>
      </c>
      <c r="G115" s="24">
        <v>39495</v>
      </c>
    </row>
    <row r="116" spans="1:7">
      <c r="A116" s="23">
        <v>27198190</v>
      </c>
      <c r="B116" s="23" t="s">
        <v>774</v>
      </c>
      <c r="C116" s="24">
        <v>39393</v>
      </c>
      <c r="G116" s="24">
        <v>39495</v>
      </c>
    </row>
    <row r="117" spans="1:7">
      <c r="A117" s="23">
        <v>27198496</v>
      </c>
      <c r="B117" s="23" t="s">
        <v>751</v>
      </c>
      <c r="C117" s="24">
        <v>39393</v>
      </c>
      <c r="G117" s="24">
        <v>39495</v>
      </c>
    </row>
    <row r="118" spans="1:7">
      <c r="A118" s="23">
        <v>27198830</v>
      </c>
      <c r="B118" s="23" t="s">
        <v>802</v>
      </c>
      <c r="C118" s="24">
        <v>39393</v>
      </c>
      <c r="G118" s="24">
        <v>39495</v>
      </c>
    </row>
    <row r="119" spans="1:7">
      <c r="A119" s="23">
        <v>27198848</v>
      </c>
      <c r="B119" s="23" t="s">
        <v>1303</v>
      </c>
      <c r="C119" s="24">
        <v>39396</v>
      </c>
      <c r="G119" s="24">
        <v>39495</v>
      </c>
    </row>
    <row r="120" spans="1:7">
      <c r="A120" s="23">
        <v>27199085</v>
      </c>
      <c r="B120" s="23" t="s">
        <v>2187</v>
      </c>
      <c r="G120" s="24">
        <v>39520</v>
      </c>
    </row>
    <row r="121" spans="1:7">
      <c r="A121" s="23">
        <v>27199386</v>
      </c>
      <c r="B121" s="23" t="s">
        <v>322</v>
      </c>
      <c r="C121" s="24">
        <v>39394</v>
      </c>
      <c r="G121" s="24">
        <v>39495</v>
      </c>
    </row>
    <row r="122" spans="1:7">
      <c r="A122" s="23">
        <v>27199578</v>
      </c>
      <c r="B122" s="23" t="s">
        <v>1101</v>
      </c>
      <c r="C122" s="24">
        <v>39395</v>
      </c>
      <c r="G122" s="24">
        <v>39495</v>
      </c>
    </row>
    <row r="123" spans="1:7">
      <c r="A123" s="23">
        <v>27199728</v>
      </c>
      <c r="B123" s="23" t="s">
        <v>890</v>
      </c>
      <c r="C123" s="24">
        <v>39395</v>
      </c>
      <c r="D123" s="23">
        <v>0</v>
      </c>
      <c r="E123" s="23" t="s">
        <v>1326</v>
      </c>
      <c r="G123" s="24">
        <v>39495</v>
      </c>
    </row>
    <row r="124" spans="1:7">
      <c r="A124" s="23">
        <v>27199788</v>
      </c>
      <c r="B124" s="23" t="s">
        <v>874</v>
      </c>
      <c r="C124" s="24">
        <v>39395</v>
      </c>
      <c r="G124" s="24">
        <v>39495</v>
      </c>
    </row>
    <row r="125" spans="1:7">
      <c r="A125" s="23">
        <v>27200079</v>
      </c>
      <c r="B125" s="23" t="s">
        <v>1586</v>
      </c>
      <c r="G125" s="24">
        <v>39507</v>
      </c>
    </row>
    <row r="126" spans="1:7">
      <c r="A126" s="23">
        <v>27201170</v>
      </c>
      <c r="B126" s="23" t="s">
        <v>1104</v>
      </c>
      <c r="C126" s="24">
        <v>39399</v>
      </c>
      <c r="G126" s="24">
        <v>39495</v>
      </c>
    </row>
    <row r="127" spans="1:7">
      <c r="A127" s="23">
        <v>27201655</v>
      </c>
      <c r="B127" s="23" t="s">
        <v>133</v>
      </c>
      <c r="C127" s="24">
        <v>39399</v>
      </c>
      <c r="G127" s="24">
        <v>39495</v>
      </c>
    </row>
    <row r="128" spans="1:7">
      <c r="A128" s="23">
        <v>27202070</v>
      </c>
      <c r="B128" s="23" t="s">
        <v>444</v>
      </c>
      <c r="C128" s="24">
        <v>39401</v>
      </c>
      <c r="G128" s="24">
        <v>39495</v>
      </c>
    </row>
    <row r="129" spans="1:7">
      <c r="A129" s="23">
        <v>27202179</v>
      </c>
      <c r="B129" s="23" t="s">
        <v>1537</v>
      </c>
      <c r="G129" s="24">
        <v>39505</v>
      </c>
    </row>
    <row r="130" spans="1:7">
      <c r="A130" s="23">
        <v>27202509</v>
      </c>
      <c r="B130" s="23" t="s">
        <v>422</v>
      </c>
      <c r="C130" s="24">
        <v>39401</v>
      </c>
      <c r="G130" s="24">
        <v>39495</v>
      </c>
    </row>
    <row r="131" spans="1:7">
      <c r="A131" s="23">
        <v>27203216</v>
      </c>
      <c r="B131" s="23" t="s">
        <v>326</v>
      </c>
      <c r="C131" s="24">
        <v>39402</v>
      </c>
      <c r="G131" s="24">
        <v>39495</v>
      </c>
    </row>
    <row r="132" spans="1:7">
      <c r="A132" s="23">
        <v>27203347</v>
      </c>
      <c r="B132" s="23" t="s">
        <v>1130</v>
      </c>
      <c r="C132" s="24">
        <v>39402</v>
      </c>
      <c r="G132" s="24">
        <v>39495</v>
      </c>
    </row>
    <row r="133" spans="1:7">
      <c r="A133" s="23">
        <v>27203636</v>
      </c>
      <c r="B133" s="23" t="s">
        <v>549</v>
      </c>
      <c r="C133" s="24">
        <v>39404</v>
      </c>
      <c r="G133" s="24">
        <v>39495</v>
      </c>
    </row>
    <row r="134" spans="1:7">
      <c r="A134" s="23">
        <v>27203745</v>
      </c>
      <c r="B134" s="23" t="s">
        <v>1234</v>
      </c>
      <c r="C134" s="24">
        <v>39489</v>
      </c>
      <c r="G134" s="24">
        <v>39495</v>
      </c>
    </row>
    <row r="135" spans="1:7">
      <c r="A135" s="23">
        <v>27204669</v>
      </c>
      <c r="B135" s="23" t="s">
        <v>438</v>
      </c>
      <c r="C135" s="24">
        <v>39406</v>
      </c>
      <c r="G135" s="24">
        <v>39495</v>
      </c>
    </row>
    <row r="136" spans="1:7">
      <c r="A136" s="23">
        <v>27205426</v>
      </c>
      <c r="B136" s="23" t="s">
        <v>742</v>
      </c>
      <c r="C136" s="24">
        <v>39413</v>
      </c>
      <c r="G136" s="24">
        <v>39495</v>
      </c>
    </row>
    <row r="137" spans="1:7">
      <c r="A137" s="23">
        <v>27205518</v>
      </c>
      <c r="B137" s="23" t="s">
        <v>427</v>
      </c>
      <c r="C137" s="24">
        <v>39410</v>
      </c>
      <c r="G137" s="24">
        <v>39495</v>
      </c>
    </row>
    <row r="138" spans="1:7">
      <c r="A138" s="23">
        <v>27205585</v>
      </c>
      <c r="B138" s="23" t="s">
        <v>764</v>
      </c>
      <c r="C138" s="24">
        <v>39411</v>
      </c>
      <c r="G138" s="24">
        <v>39495</v>
      </c>
    </row>
    <row r="139" spans="1:7">
      <c r="A139" s="23">
        <v>27205600</v>
      </c>
      <c r="B139" s="23" t="s">
        <v>268</v>
      </c>
      <c r="C139" s="24">
        <v>39412</v>
      </c>
      <c r="G139" s="24">
        <v>39495</v>
      </c>
    </row>
    <row r="140" spans="1:7">
      <c r="A140" s="23">
        <v>27205781</v>
      </c>
      <c r="B140" s="23" t="s">
        <v>1135</v>
      </c>
      <c r="C140" s="24">
        <v>39412</v>
      </c>
      <c r="G140" s="24">
        <v>39495</v>
      </c>
    </row>
    <row r="141" spans="1:7">
      <c r="A141" s="23">
        <v>27206229</v>
      </c>
      <c r="B141" s="23" t="s">
        <v>555</v>
      </c>
      <c r="C141" s="24">
        <v>39414</v>
      </c>
      <c r="G141" s="24">
        <v>39495</v>
      </c>
    </row>
    <row r="142" spans="1:7">
      <c r="A142" s="23">
        <v>27206338</v>
      </c>
      <c r="B142" s="23" t="s">
        <v>314</v>
      </c>
      <c r="C142" s="24">
        <v>39413</v>
      </c>
      <c r="G142" s="24">
        <v>39495</v>
      </c>
    </row>
    <row r="143" spans="1:7">
      <c r="A143" s="23">
        <v>27206666</v>
      </c>
      <c r="B143" s="23" t="s">
        <v>337</v>
      </c>
      <c r="C143" s="24">
        <v>39414</v>
      </c>
      <c r="G143" s="24">
        <v>39495</v>
      </c>
    </row>
    <row r="144" spans="1:7">
      <c r="A144" s="23">
        <v>27207001</v>
      </c>
      <c r="B144" s="23" t="s">
        <v>832</v>
      </c>
      <c r="C144" s="24">
        <v>39414</v>
      </c>
      <c r="G144" s="24">
        <v>39495</v>
      </c>
    </row>
    <row r="145" spans="1:7">
      <c r="A145" s="23">
        <v>27207271</v>
      </c>
      <c r="B145" s="23" t="s">
        <v>1190</v>
      </c>
      <c r="C145" s="24">
        <v>39417</v>
      </c>
      <c r="G145" s="24">
        <v>39495</v>
      </c>
    </row>
    <row r="146" spans="1:7">
      <c r="A146" s="23">
        <v>27207281</v>
      </c>
      <c r="B146" s="23" t="s">
        <v>1239</v>
      </c>
      <c r="C146" s="24">
        <v>39416</v>
      </c>
      <c r="G146" s="24">
        <v>39495</v>
      </c>
    </row>
    <row r="147" spans="1:7">
      <c r="A147" s="23">
        <v>27207911</v>
      </c>
      <c r="B147" s="23" t="s">
        <v>533</v>
      </c>
      <c r="C147" s="24">
        <v>39417</v>
      </c>
      <c r="G147" s="24">
        <v>39495</v>
      </c>
    </row>
    <row r="148" spans="1:7">
      <c r="A148" s="23">
        <v>27208138</v>
      </c>
      <c r="B148" s="23" t="s">
        <v>571</v>
      </c>
      <c r="C148" s="24">
        <v>39416</v>
      </c>
      <c r="G148" s="24">
        <v>39495</v>
      </c>
    </row>
    <row r="149" spans="1:7">
      <c r="A149" s="23">
        <v>27208202</v>
      </c>
      <c r="B149" s="23" t="s">
        <v>349</v>
      </c>
      <c r="C149" s="24">
        <v>39416</v>
      </c>
      <c r="G149" s="24">
        <v>39495</v>
      </c>
    </row>
    <row r="150" spans="1:7">
      <c r="A150" s="23">
        <v>27208224</v>
      </c>
      <c r="B150" s="23" t="s">
        <v>772</v>
      </c>
      <c r="C150" s="24">
        <v>39417</v>
      </c>
      <c r="G150" s="24">
        <v>39495</v>
      </c>
    </row>
    <row r="151" spans="1:7">
      <c r="A151" s="23">
        <v>27208590</v>
      </c>
      <c r="B151" s="23" t="s">
        <v>782</v>
      </c>
      <c r="C151" s="24">
        <v>39418</v>
      </c>
      <c r="G151" s="24">
        <v>39495</v>
      </c>
    </row>
    <row r="152" spans="1:7">
      <c r="A152" s="23">
        <v>27208748</v>
      </c>
      <c r="B152" s="23" t="s">
        <v>347</v>
      </c>
      <c r="C152" s="24">
        <v>39420</v>
      </c>
      <c r="D152" s="23">
        <v>2</v>
      </c>
      <c r="E152" s="23" t="s">
        <v>1373</v>
      </c>
      <c r="G152" s="24">
        <v>39495</v>
      </c>
    </row>
    <row r="153" spans="1:7">
      <c r="A153" s="23">
        <v>27209198</v>
      </c>
      <c r="B153" s="23" t="s">
        <v>1290</v>
      </c>
      <c r="C153" s="24">
        <v>39420</v>
      </c>
      <c r="G153" s="24">
        <v>39495</v>
      </c>
    </row>
    <row r="154" spans="1:7">
      <c r="A154" s="23">
        <v>27209222</v>
      </c>
      <c r="B154" s="23" t="s">
        <v>2171</v>
      </c>
      <c r="G154" s="24">
        <v>39512</v>
      </c>
    </row>
    <row r="155" spans="1:7">
      <c r="A155" s="23">
        <v>27209523</v>
      </c>
      <c r="B155" s="23" t="s">
        <v>353</v>
      </c>
      <c r="C155" s="24">
        <v>39420</v>
      </c>
      <c r="G155" s="24">
        <v>39495</v>
      </c>
    </row>
    <row r="156" spans="1:7">
      <c r="A156" s="23">
        <v>27209871</v>
      </c>
      <c r="B156" s="23" t="s">
        <v>1305</v>
      </c>
      <c r="C156" s="24">
        <v>39426</v>
      </c>
      <c r="G156" s="24">
        <v>39495</v>
      </c>
    </row>
    <row r="157" spans="1:7">
      <c r="A157" s="23">
        <v>27210417</v>
      </c>
      <c r="B157" s="23" t="s">
        <v>685</v>
      </c>
      <c r="C157" s="24">
        <v>39423</v>
      </c>
      <c r="D157" s="23">
        <v>3</v>
      </c>
      <c r="E157" s="23" t="s">
        <v>1439</v>
      </c>
      <c r="G157" s="24">
        <v>39495</v>
      </c>
    </row>
    <row r="158" spans="1:7">
      <c r="A158" s="23">
        <v>27210470</v>
      </c>
      <c r="B158" s="23" t="s">
        <v>815</v>
      </c>
      <c r="C158" s="24">
        <v>39423</v>
      </c>
      <c r="G158" s="24">
        <v>39495</v>
      </c>
    </row>
    <row r="159" spans="1:7">
      <c r="A159" s="23">
        <v>27210670</v>
      </c>
      <c r="B159" s="23" t="s">
        <v>293</v>
      </c>
      <c r="C159" s="24">
        <v>39423</v>
      </c>
      <c r="G159" s="24">
        <v>39495</v>
      </c>
    </row>
    <row r="160" spans="1:7">
      <c r="A160" s="23">
        <v>27211024</v>
      </c>
      <c r="B160" s="23" t="s">
        <v>841</v>
      </c>
      <c r="C160" s="24">
        <v>39425</v>
      </c>
      <c r="G160" s="24">
        <v>39495</v>
      </c>
    </row>
    <row r="161" spans="1:7">
      <c r="A161" s="23">
        <v>27211153</v>
      </c>
      <c r="B161" s="23" t="s">
        <v>639</v>
      </c>
      <c r="C161" s="24">
        <v>39426</v>
      </c>
      <c r="G161" s="24">
        <v>39495</v>
      </c>
    </row>
    <row r="162" spans="1:7">
      <c r="A162" s="23">
        <v>27211523</v>
      </c>
      <c r="B162" s="23" t="s">
        <v>496</v>
      </c>
      <c r="C162" s="24">
        <v>39427</v>
      </c>
      <c r="G162" s="24">
        <v>39495</v>
      </c>
    </row>
    <row r="163" spans="1:7">
      <c r="A163" s="23">
        <v>27211711</v>
      </c>
      <c r="B163" s="23" t="s">
        <v>721</v>
      </c>
      <c r="C163" s="24">
        <v>39427</v>
      </c>
      <c r="G163" s="24">
        <v>39495</v>
      </c>
    </row>
    <row r="164" spans="1:7">
      <c r="A164" s="23">
        <v>27211767</v>
      </c>
      <c r="B164" s="23" t="s">
        <v>1274</v>
      </c>
      <c r="C164" s="24">
        <v>39427</v>
      </c>
      <c r="G164" s="24">
        <v>39495</v>
      </c>
    </row>
    <row r="165" spans="1:7">
      <c r="A165" s="23">
        <v>27211999</v>
      </c>
      <c r="B165" s="23" t="s">
        <v>1106</v>
      </c>
      <c r="C165" s="24">
        <v>39427</v>
      </c>
      <c r="G165" s="24">
        <v>39495</v>
      </c>
    </row>
    <row r="166" spans="1:7">
      <c r="A166" s="23">
        <v>27212456</v>
      </c>
      <c r="B166" s="23" t="s">
        <v>847</v>
      </c>
      <c r="C166" s="24">
        <v>39428</v>
      </c>
      <c r="G166" s="24">
        <v>39495</v>
      </c>
    </row>
    <row r="167" spans="1:7">
      <c r="A167" s="23">
        <v>27212458</v>
      </c>
      <c r="B167" s="23" t="s">
        <v>853</v>
      </c>
      <c r="C167" s="24">
        <v>39428</v>
      </c>
      <c r="G167" s="24">
        <v>39495</v>
      </c>
    </row>
    <row r="168" spans="1:7">
      <c r="A168" s="23">
        <v>27212459</v>
      </c>
      <c r="B168" s="23" t="s">
        <v>633</v>
      </c>
      <c r="C168" s="24">
        <v>39428</v>
      </c>
      <c r="G168" s="24">
        <v>39495</v>
      </c>
    </row>
    <row r="169" spans="1:7">
      <c r="A169" s="23">
        <v>27212473</v>
      </c>
      <c r="B169" s="23" t="s">
        <v>1236</v>
      </c>
      <c r="C169" s="24">
        <v>39429</v>
      </c>
      <c r="G169" s="24">
        <v>39495</v>
      </c>
    </row>
    <row r="170" spans="1:7">
      <c r="A170" s="23">
        <v>27213150</v>
      </c>
      <c r="B170" s="23" t="s">
        <v>330</v>
      </c>
      <c r="C170" s="24">
        <v>39430</v>
      </c>
      <c r="G170" s="24">
        <v>39495</v>
      </c>
    </row>
    <row r="171" spans="1:7">
      <c r="A171" s="23">
        <v>27213367</v>
      </c>
      <c r="B171" s="23" t="s">
        <v>1095</v>
      </c>
      <c r="C171" s="24">
        <v>39431</v>
      </c>
      <c r="G171" s="24">
        <v>39495</v>
      </c>
    </row>
    <row r="172" spans="1:7">
      <c r="A172" s="23">
        <v>27213586</v>
      </c>
      <c r="B172" s="23" t="s">
        <v>723</v>
      </c>
      <c r="C172" s="24">
        <v>39432</v>
      </c>
      <c r="G172" s="24">
        <v>39495</v>
      </c>
    </row>
    <row r="173" spans="1:7">
      <c r="A173" s="23">
        <v>27213643</v>
      </c>
      <c r="B173" s="23" t="s">
        <v>1203</v>
      </c>
      <c r="C173" s="24">
        <v>39433</v>
      </c>
      <c r="G173" s="24">
        <v>39495</v>
      </c>
    </row>
    <row r="174" spans="1:7">
      <c r="A174" s="23">
        <v>27214047</v>
      </c>
      <c r="B174" s="23" t="s">
        <v>668</v>
      </c>
      <c r="C174" s="24">
        <v>39434</v>
      </c>
      <c r="G174" s="24">
        <v>39495</v>
      </c>
    </row>
    <row r="175" spans="1:7">
      <c r="A175" s="23">
        <v>27214711</v>
      </c>
      <c r="B175" s="23" t="s">
        <v>1218</v>
      </c>
      <c r="C175" s="24">
        <v>39436</v>
      </c>
      <c r="G175" s="24">
        <v>39495</v>
      </c>
    </row>
    <row r="176" spans="1:7">
      <c r="A176" s="23">
        <v>27215393</v>
      </c>
      <c r="B176" s="23" t="s">
        <v>258</v>
      </c>
      <c r="C176" s="24">
        <v>39439</v>
      </c>
      <c r="G176" s="24">
        <v>39495</v>
      </c>
    </row>
    <row r="177" spans="1:7">
      <c r="A177" s="23">
        <v>27215594</v>
      </c>
      <c r="B177" s="23" t="s">
        <v>388</v>
      </c>
      <c r="C177" s="24">
        <v>39442</v>
      </c>
      <c r="G177" s="24">
        <v>39495</v>
      </c>
    </row>
    <row r="178" spans="1:7">
      <c r="A178" s="23">
        <v>27215720</v>
      </c>
      <c r="B178" s="23" t="s">
        <v>677</v>
      </c>
      <c r="C178" s="24">
        <v>39442</v>
      </c>
      <c r="G178" s="24">
        <v>39495</v>
      </c>
    </row>
    <row r="179" spans="1:7">
      <c r="A179" s="23">
        <v>27216181</v>
      </c>
      <c r="B179" s="23" t="s">
        <v>370</v>
      </c>
      <c r="C179" s="24">
        <v>39444</v>
      </c>
      <c r="G179" s="24">
        <v>39495</v>
      </c>
    </row>
    <row r="180" spans="1:7">
      <c r="A180" s="23">
        <v>27216348</v>
      </c>
      <c r="B180" s="23" t="s">
        <v>681</v>
      </c>
      <c r="C180" s="24">
        <v>39445</v>
      </c>
      <c r="G180" s="24">
        <v>39495</v>
      </c>
    </row>
    <row r="181" spans="1:7">
      <c r="A181" s="23">
        <v>28000049</v>
      </c>
      <c r="B181" s="23" t="s">
        <v>1211</v>
      </c>
      <c r="C181" s="24">
        <v>39448</v>
      </c>
      <c r="G181" s="24">
        <v>39495</v>
      </c>
    </row>
    <row r="182" spans="1:7">
      <c r="A182" s="23">
        <v>28000354</v>
      </c>
      <c r="B182" s="23" t="s">
        <v>1142</v>
      </c>
      <c r="C182" s="24">
        <v>39448</v>
      </c>
      <c r="G182" s="24">
        <v>39495</v>
      </c>
    </row>
    <row r="183" spans="1:7">
      <c r="A183" s="23">
        <v>28000387</v>
      </c>
      <c r="B183" s="23" t="s">
        <v>1257</v>
      </c>
      <c r="C183" s="24">
        <v>39448</v>
      </c>
      <c r="G183" s="24">
        <v>39495</v>
      </c>
    </row>
    <row r="184" spans="1:7">
      <c r="A184" s="23">
        <v>28000429</v>
      </c>
      <c r="B184" s="23" t="s">
        <v>1547</v>
      </c>
      <c r="C184" s="24">
        <v>39449</v>
      </c>
      <c r="D184" s="23">
        <v>-3</v>
      </c>
      <c r="E184" s="23" t="s">
        <v>1562</v>
      </c>
      <c r="G184" s="24">
        <v>39495</v>
      </c>
    </row>
    <row r="185" spans="1:7">
      <c r="A185" s="23">
        <v>28000527</v>
      </c>
      <c r="B185" s="23" t="s">
        <v>749</v>
      </c>
      <c r="C185" s="24">
        <v>39449</v>
      </c>
      <c r="G185" s="24">
        <v>39495</v>
      </c>
    </row>
    <row r="186" spans="1:7">
      <c r="A186" s="23">
        <v>28000534</v>
      </c>
      <c r="B186" s="23" t="s">
        <v>1209</v>
      </c>
      <c r="C186" s="24">
        <v>39449</v>
      </c>
      <c r="G186" s="24">
        <v>39495</v>
      </c>
    </row>
    <row r="187" spans="1:7">
      <c r="A187" s="23">
        <v>28000562</v>
      </c>
      <c r="B187" s="23" t="s">
        <v>367</v>
      </c>
      <c r="C187" s="24">
        <v>39452</v>
      </c>
      <c r="G187" s="24">
        <v>39495</v>
      </c>
    </row>
    <row r="188" spans="1:7">
      <c r="A188" s="23">
        <v>28000608</v>
      </c>
      <c r="B188" s="23" t="s">
        <v>1200</v>
      </c>
      <c r="C188" s="24">
        <v>39449</v>
      </c>
      <c r="G188" s="24">
        <v>39495</v>
      </c>
    </row>
    <row r="189" spans="1:7">
      <c r="A189" s="23">
        <v>28000620</v>
      </c>
      <c r="B189" s="23" t="s">
        <v>372</v>
      </c>
      <c r="C189" s="24">
        <v>39451</v>
      </c>
      <c r="G189" s="24">
        <v>39495</v>
      </c>
    </row>
    <row r="190" spans="1:7">
      <c r="A190" s="23">
        <v>28000688</v>
      </c>
      <c r="B190" s="23" t="s">
        <v>1296</v>
      </c>
      <c r="C190" s="24">
        <v>39449</v>
      </c>
      <c r="G190" s="24">
        <v>39495</v>
      </c>
    </row>
    <row r="191" spans="1:7">
      <c r="A191" s="23">
        <v>28000694</v>
      </c>
      <c r="B191" s="23" t="s">
        <v>591</v>
      </c>
      <c r="C191" s="24">
        <v>39449</v>
      </c>
      <c r="G191" s="24">
        <v>39495</v>
      </c>
    </row>
    <row r="192" spans="1:7">
      <c r="A192" s="23">
        <v>28000815</v>
      </c>
      <c r="B192" s="23" t="s">
        <v>1558</v>
      </c>
      <c r="G192" s="24">
        <v>39506</v>
      </c>
    </row>
    <row r="193" spans="1:7">
      <c r="A193" s="23">
        <v>28000911</v>
      </c>
      <c r="B193" s="23" t="s">
        <v>1093</v>
      </c>
      <c r="C193" s="24">
        <v>39449</v>
      </c>
      <c r="G193" s="24">
        <v>39495</v>
      </c>
    </row>
    <row r="194" spans="1:7">
      <c r="A194" s="23">
        <v>28000982</v>
      </c>
      <c r="B194" s="23" t="s">
        <v>1091</v>
      </c>
      <c r="C194" s="24">
        <v>39494</v>
      </c>
      <c r="G194" s="24">
        <v>39495</v>
      </c>
    </row>
    <row r="195" spans="1:7">
      <c r="A195" s="23">
        <v>28000989</v>
      </c>
      <c r="B195" s="23" t="s">
        <v>1097</v>
      </c>
      <c r="C195" s="24">
        <v>39449</v>
      </c>
      <c r="G195" s="24">
        <v>39495</v>
      </c>
    </row>
    <row r="196" spans="1:7">
      <c r="A196" s="23">
        <v>28001207</v>
      </c>
      <c r="B196" s="23" t="s">
        <v>481</v>
      </c>
      <c r="C196" s="24">
        <v>39449</v>
      </c>
      <c r="G196" s="24">
        <v>39495</v>
      </c>
    </row>
    <row r="197" spans="1:7">
      <c r="A197" s="23">
        <v>28001335</v>
      </c>
      <c r="B197" s="23" t="s">
        <v>766</v>
      </c>
      <c r="C197" s="24">
        <v>39449</v>
      </c>
      <c r="D197" s="23">
        <v>3</v>
      </c>
      <c r="E197" s="23" t="s">
        <v>1378</v>
      </c>
      <c r="G197" s="24">
        <v>39495</v>
      </c>
    </row>
    <row r="198" spans="1:7">
      <c r="A198" s="23">
        <v>28001598</v>
      </c>
      <c r="B198" s="23" t="s">
        <v>880</v>
      </c>
      <c r="C198" s="24">
        <v>39450</v>
      </c>
      <c r="G198" s="24">
        <v>39495</v>
      </c>
    </row>
    <row r="199" spans="1:7">
      <c r="A199" s="23">
        <v>28001764</v>
      </c>
      <c r="B199" s="23" t="s">
        <v>1099</v>
      </c>
      <c r="C199" s="24">
        <v>39450</v>
      </c>
      <c r="G199" s="24">
        <v>39495</v>
      </c>
    </row>
    <row r="200" spans="1:7">
      <c r="A200" s="23">
        <v>28001855</v>
      </c>
      <c r="B200" s="23" t="s">
        <v>886</v>
      </c>
      <c r="C200" s="24">
        <v>39450</v>
      </c>
      <c r="G200" s="24">
        <v>39495</v>
      </c>
    </row>
    <row r="201" spans="1:7">
      <c r="A201" s="23">
        <v>28002001</v>
      </c>
      <c r="B201" s="23" t="s">
        <v>551</v>
      </c>
      <c r="C201" s="24">
        <v>39450</v>
      </c>
      <c r="G201" s="24">
        <v>39495</v>
      </c>
    </row>
    <row r="202" spans="1:7">
      <c r="A202" s="23">
        <v>28002334</v>
      </c>
      <c r="B202" s="23" t="s">
        <v>220</v>
      </c>
      <c r="C202" s="24">
        <v>39451</v>
      </c>
      <c r="G202" s="24">
        <v>39495</v>
      </c>
    </row>
    <row r="203" spans="1:7">
      <c r="A203" s="23">
        <v>28002418</v>
      </c>
      <c r="B203" s="23" t="s">
        <v>237</v>
      </c>
      <c r="C203" s="24">
        <v>39451</v>
      </c>
      <c r="D203" s="23">
        <v>4</v>
      </c>
      <c r="E203" s="23" t="s">
        <v>1342</v>
      </c>
      <c r="F203" s="24">
        <v>39494</v>
      </c>
      <c r="G203" s="24">
        <v>39495</v>
      </c>
    </row>
    <row r="204" spans="1:7">
      <c r="A204" s="23">
        <v>28002558</v>
      </c>
      <c r="B204" s="23" t="s">
        <v>1148</v>
      </c>
      <c r="C204" s="24">
        <v>39454</v>
      </c>
      <c r="G204" s="24">
        <v>39495</v>
      </c>
    </row>
    <row r="205" spans="1:7">
      <c r="A205" s="23">
        <v>28002721</v>
      </c>
      <c r="B205" s="23" t="s">
        <v>148</v>
      </c>
      <c r="C205" s="24">
        <v>39451</v>
      </c>
      <c r="G205" s="24">
        <v>39495</v>
      </c>
    </row>
    <row r="206" spans="1:7">
      <c r="A206" s="23">
        <v>28002900</v>
      </c>
      <c r="B206" s="23" t="s">
        <v>561</v>
      </c>
      <c r="C206" s="24">
        <v>39451</v>
      </c>
      <c r="G206" s="24">
        <v>39495</v>
      </c>
    </row>
    <row r="207" spans="1:7">
      <c r="A207" s="23">
        <v>28003291</v>
      </c>
      <c r="B207" s="23" t="s">
        <v>882</v>
      </c>
      <c r="C207" s="24">
        <v>39452</v>
      </c>
      <c r="G207" s="24">
        <v>39495</v>
      </c>
    </row>
    <row r="208" spans="1:7">
      <c r="A208" s="23">
        <v>28003703</v>
      </c>
      <c r="B208" s="23" t="s">
        <v>707</v>
      </c>
      <c r="C208" s="24">
        <v>39453</v>
      </c>
      <c r="G208" s="24">
        <v>39495</v>
      </c>
    </row>
    <row r="209" spans="1:7">
      <c r="A209" s="23">
        <v>28003907</v>
      </c>
      <c r="B209" s="23" t="s">
        <v>746</v>
      </c>
      <c r="C209" s="24">
        <v>39457</v>
      </c>
      <c r="G209" s="24">
        <v>39495</v>
      </c>
    </row>
    <row r="210" spans="1:7">
      <c r="A210" s="23">
        <v>28004081</v>
      </c>
      <c r="B210" s="23" t="s">
        <v>695</v>
      </c>
      <c r="C210" s="24">
        <v>39454</v>
      </c>
      <c r="G210" s="24">
        <v>39495</v>
      </c>
    </row>
    <row r="211" spans="1:7">
      <c r="A211" s="23">
        <v>28004194</v>
      </c>
      <c r="B211" s="23" t="s">
        <v>489</v>
      </c>
      <c r="C211" s="24">
        <v>39456</v>
      </c>
      <c r="G211" s="24">
        <v>39495</v>
      </c>
    </row>
    <row r="212" spans="1:7">
      <c r="A212" s="23">
        <v>28004234</v>
      </c>
      <c r="B212" s="23" t="s">
        <v>1959</v>
      </c>
      <c r="G212" s="24">
        <v>39525</v>
      </c>
    </row>
    <row r="213" spans="1:7">
      <c r="A213" s="23">
        <v>28004294</v>
      </c>
      <c r="B213" s="23" t="s">
        <v>731</v>
      </c>
      <c r="C213" s="24">
        <v>39458</v>
      </c>
      <c r="G213" s="24">
        <v>39495</v>
      </c>
    </row>
    <row r="214" spans="1:7">
      <c r="A214" s="23">
        <v>28004347</v>
      </c>
      <c r="B214" s="23" t="s">
        <v>863</v>
      </c>
      <c r="C214" s="24">
        <v>39454</v>
      </c>
      <c r="G214" s="24">
        <v>39495</v>
      </c>
    </row>
    <row r="215" spans="1:7">
      <c r="A215" s="23">
        <v>28004731</v>
      </c>
      <c r="B215" s="23" t="s">
        <v>1249</v>
      </c>
      <c r="C215" s="24">
        <v>39455</v>
      </c>
      <c r="G215" s="24">
        <v>39495</v>
      </c>
    </row>
    <row r="216" spans="1:7">
      <c r="A216" s="23">
        <v>28004733</v>
      </c>
      <c r="B216" s="23" t="s">
        <v>217</v>
      </c>
      <c r="C216" s="24">
        <v>39455</v>
      </c>
      <c r="G216" s="24">
        <v>39495</v>
      </c>
    </row>
    <row r="217" spans="1:7">
      <c r="A217" s="23">
        <v>28004734</v>
      </c>
      <c r="B217" s="23" t="s">
        <v>1243</v>
      </c>
      <c r="C217" s="24">
        <v>39455</v>
      </c>
      <c r="G217" s="24">
        <v>39495</v>
      </c>
    </row>
    <row r="218" spans="1:7">
      <c r="A218" s="23">
        <v>28004738</v>
      </c>
      <c r="B218" s="23" t="s">
        <v>1255</v>
      </c>
      <c r="C218" s="24">
        <v>39455</v>
      </c>
      <c r="G218" s="24">
        <v>39495</v>
      </c>
    </row>
    <row r="219" spans="1:7">
      <c r="A219" s="23">
        <v>28004740</v>
      </c>
      <c r="B219" s="23" t="s">
        <v>1253</v>
      </c>
      <c r="C219" s="24">
        <v>39455</v>
      </c>
      <c r="G219" s="24">
        <v>39495</v>
      </c>
    </row>
    <row r="220" spans="1:7">
      <c r="A220" s="23">
        <v>28004743</v>
      </c>
      <c r="B220" s="23" t="s">
        <v>1245</v>
      </c>
      <c r="C220" s="24">
        <v>39455</v>
      </c>
      <c r="G220" s="24">
        <v>39495</v>
      </c>
    </row>
    <row r="221" spans="1:7">
      <c r="A221" s="23">
        <v>28004745</v>
      </c>
      <c r="B221" s="23" t="s">
        <v>1247</v>
      </c>
      <c r="C221" s="24">
        <v>39455</v>
      </c>
      <c r="G221" s="24">
        <v>39495</v>
      </c>
    </row>
    <row r="222" spans="1:7">
      <c r="A222" s="23">
        <v>28005197</v>
      </c>
      <c r="B222" s="23" t="s">
        <v>1207</v>
      </c>
      <c r="C222" s="24">
        <v>39455</v>
      </c>
      <c r="G222" s="24">
        <v>39495</v>
      </c>
    </row>
    <row r="223" spans="1:7">
      <c r="A223" s="23">
        <v>28005243</v>
      </c>
      <c r="B223" s="23" t="s">
        <v>1266</v>
      </c>
      <c r="C223" s="24">
        <v>39458</v>
      </c>
      <c r="G223" s="24">
        <v>39495</v>
      </c>
    </row>
    <row r="224" spans="1:7">
      <c r="A224" s="23">
        <v>28005248</v>
      </c>
      <c r="B224" s="23" t="s">
        <v>687</v>
      </c>
      <c r="C224" s="24">
        <v>39455</v>
      </c>
      <c r="G224" s="24">
        <v>39495</v>
      </c>
    </row>
    <row r="225" spans="1:7">
      <c r="A225" s="23">
        <v>28005258</v>
      </c>
      <c r="B225" s="23" t="s">
        <v>645</v>
      </c>
      <c r="C225" s="24">
        <v>39456</v>
      </c>
      <c r="G225" s="24">
        <v>39495</v>
      </c>
    </row>
    <row r="226" spans="1:7">
      <c r="A226" s="23">
        <v>28005412</v>
      </c>
      <c r="B226" s="23" t="s">
        <v>425</v>
      </c>
      <c r="C226" s="24">
        <v>39456</v>
      </c>
      <c r="E226" s="23" t="s">
        <v>1348</v>
      </c>
      <c r="G226" s="24">
        <v>39495</v>
      </c>
    </row>
    <row r="227" spans="1:7">
      <c r="A227" s="23">
        <v>28005633</v>
      </c>
      <c r="B227" s="23" t="s">
        <v>360</v>
      </c>
      <c r="C227" s="24">
        <v>39457</v>
      </c>
      <c r="G227" s="24">
        <v>39495</v>
      </c>
    </row>
    <row r="228" spans="1:7">
      <c r="A228" s="23">
        <v>28005646</v>
      </c>
      <c r="B228" s="23" t="s">
        <v>2240</v>
      </c>
      <c r="G228" s="24">
        <v>39520</v>
      </c>
    </row>
    <row r="229" spans="1:7">
      <c r="A229" s="23">
        <v>28005685</v>
      </c>
      <c r="B229" s="23" t="s">
        <v>1198</v>
      </c>
      <c r="C229" s="24">
        <v>39456</v>
      </c>
      <c r="G229" s="24">
        <v>39495</v>
      </c>
    </row>
    <row r="230" spans="1:7">
      <c r="A230" s="23">
        <v>28005823</v>
      </c>
      <c r="B230" s="23" t="s">
        <v>753</v>
      </c>
      <c r="C230" s="24">
        <v>39463</v>
      </c>
      <c r="D230" s="23">
        <v>3</v>
      </c>
      <c r="E230" s="23" t="s">
        <v>1441</v>
      </c>
      <c r="F230" s="23" t="s">
        <v>1344</v>
      </c>
      <c r="G230" s="24">
        <v>39495</v>
      </c>
    </row>
    <row r="231" spans="1:7">
      <c r="A231" s="23">
        <v>28006018</v>
      </c>
      <c r="B231" s="23" t="s">
        <v>413</v>
      </c>
      <c r="C231" s="24">
        <v>39457</v>
      </c>
      <c r="G231" s="24">
        <v>39495</v>
      </c>
    </row>
    <row r="232" spans="1:7">
      <c r="A232" s="23">
        <v>28006035</v>
      </c>
      <c r="B232" s="23" t="s">
        <v>1333</v>
      </c>
      <c r="C232" s="24">
        <v>39457</v>
      </c>
      <c r="D232" s="23">
        <v>2</v>
      </c>
      <c r="E232" s="23" t="s">
        <v>1347</v>
      </c>
      <c r="G232" s="24">
        <v>39496</v>
      </c>
    </row>
    <row r="233" spans="1:7">
      <c r="A233" s="23">
        <v>28006116</v>
      </c>
      <c r="B233" s="23" t="s">
        <v>485</v>
      </c>
      <c r="C233" s="24">
        <v>39456</v>
      </c>
      <c r="G233" s="24">
        <v>39495</v>
      </c>
    </row>
    <row r="234" spans="1:7">
      <c r="A234" s="23">
        <v>28006190</v>
      </c>
      <c r="B234" s="23" t="s">
        <v>1270</v>
      </c>
      <c r="C234" s="24">
        <v>39457</v>
      </c>
      <c r="G234" s="24">
        <v>39495</v>
      </c>
    </row>
    <row r="235" spans="1:7">
      <c r="A235" s="23">
        <v>28006354</v>
      </c>
      <c r="B235" s="23" t="s">
        <v>691</v>
      </c>
      <c r="C235" s="24">
        <v>39457</v>
      </c>
      <c r="G235" s="24">
        <v>39495</v>
      </c>
    </row>
    <row r="236" spans="1:7">
      <c r="A236" s="23">
        <v>28006458</v>
      </c>
      <c r="B236" s="23" t="s">
        <v>483</v>
      </c>
      <c r="C236" s="24">
        <v>39457</v>
      </c>
      <c r="G236" s="24">
        <v>39495</v>
      </c>
    </row>
    <row r="237" spans="1:7">
      <c r="A237" s="23">
        <v>28006638</v>
      </c>
      <c r="B237" s="23" t="s">
        <v>509</v>
      </c>
      <c r="C237" s="24">
        <v>39457</v>
      </c>
      <c r="G237" s="24">
        <v>39495</v>
      </c>
    </row>
    <row r="238" spans="1:7">
      <c r="A238" s="23">
        <v>28006840</v>
      </c>
      <c r="B238" s="23" t="s">
        <v>462</v>
      </c>
      <c r="C238" s="24">
        <v>39458</v>
      </c>
      <c r="G238" s="24">
        <v>39495</v>
      </c>
    </row>
    <row r="239" spans="1:7">
      <c r="A239" s="23">
        <v>28007094</v>
      </c>
      <c r="B239" s="23" t="s">
        <v>396</v>
      </c>
      <c r="C239" s="24">
        <v>39459</v>
      </c>
      <c r="G239" s="24">
        <v>39495</v>
      </c>
    </row>
    <row r="240" spans="1:7">
      <c r="A240" s="23">
        <v>28007148</v>
      </c>
      <c r="B240" s="23" t="s">
        <v>273</v>
      </c>
      <c r="C240" s="24">
        <v>39458</v>
      </c>
      <c r="G240" s="24">
        <v>39495</v>
      </c>
    </row>
    <row r="241" spans="1:7">
      <c r="A241" s="23">
        <v>28007321</v>
      </c>
      <c r="B241" s="23" t="s">
        <v>362</v>
      </c>
      <c r="C241" s="24">
        <v>39458</v>
      </c>
      <c r="G241" s="24">
        <v>39495</v>
      </c>
    </row>
    <row r="242" spans="1:7">
      <c r="A242" s="23">
        <v>28007328</v>
      </c>
      <c r="B242" s="23" t="s">
        <v>524</v>
      </c>
      <c r="C242" s="24">
        <v>39458</v>
      </c>
      <c r="G242" s="24">
        <v>39495</v>
      </c>
    </row>
    <row r="243" spans="1:7">
      <c r="A243" s="23">
        <v>28007357</v>
      </c>
      <c r="B243" s="23" t="s">
        <v>398</v>
      </c>
      <c r="C243" s="24">
        <v>39458</v>
      </c>
      <c r="G243" s="24">
        <v>39495</v>
      </c>
    </row>
    <row r="244" spans="1:7">
      <c r="A244" s="23">
        <v>28007508</v>
      </c>
      <c r="B244" s="23" t="s">
        <v>834</v>
      </c>
      <c r="C244" s="24">
        <v>39458</v>
      </c>
      <c r="G244" s="24">
        <v>39495</v>
      </c>
    </row>
    <row r="245" spans="1:7">
      <c r="A245" s="23">
        <v>28007665</v>
      </c>
      <c r="B245" s="23" t="s">
        <v>1181</v>
      </c>
      <c r="C245" s="24">
        <v>39459</v>
      </c>
      <c r="G245" s="24">
        <v>39495</v>
      </c>
    </row>
    <row r="246" spans="1:7">
      <c r="A246" s="23">
        <v>28007827</v>
      </c>
      <c r="B246" s="23" t="s">
        <v>569</v>
      </c>
      <c r="C246" s="24">
        <v>39459</v>
      </c>
      <c r="G246" s="24">
        <v>39495</v>
      </c>
    </row>
    <row r="247" spans="1:7">
      <c r="A247" s="23">
        <v>28008105</v>
      </c>
      <c r="B247" s="23" t="s">
        <v>1169</v>
      </c>
      <c r="C247" s="24">
        <v>39460</v>
      </c>
      <c r="G247" s="24">
        <v>39495</v>
      </c>
    </row>
    <row r="248" spans="1:7">
      <c r="A248" s="23">
        <v>28008189</v>
      </c>
      <c r="B248" s="23" t="s">
        <v>786</v>
      </c>
      <c r="C248" s="24">
        <v>39475</v>
      </c>
      <c r="G248" s="24">
        <v>39495</v>
      </c>
    </row>
    <row r="249" spans="1:7">
      <c r="A249" s="23">
        <v>28008220</v>
      </c>
      <c r="B249" s="23" t="s">
        <v>256</v>
      </c>
      <c r="C249" s="24">
        <v>39460</v>
      </c>
      <c r="G249" s="24">
        <v>39495</v>
      </c>
    </row>
    <row r="250" spans="1:7">
      <c r="A250" s="23">
        <v>28008254</v>
      </c>
      <c r="B250" s="23" t="s">
        <v>1428</v>
      </c>
      <c r="C250" s="24">
        <v>39462</v>
      </c>
      <c r="D250" s="23">
        <v>-4</v>
      </c>
      <c r="E250" s="23" t="s">
        <v>1450</v>
      </c>
      <c r="G250" s="24">
        <v>39499</v>
      </c>
    </row>
    <row r="251" spans="1:7">
      <c r="A251" s="23">
        <v>28008313</v>
      </c>
      <c r="B251" s="23" t="s">
        <v>1118</v>
      </c>
      <c r="C251" s="24">
        <v>39461</v>
      </c>
      <c r="D251" s="23">
        <v>2</v>
      </c>
      <c r="E251" s="23" t="s">
        <v>1375</v>
      </c>
      <c r="G251" s="24">
        <v>39495</v>
      </c>
    </row>
    <row r="252" spans="1:7">
      <c r="A252" s="23">
        <v>28008371</v>
      </c>
      <c r="B252" s="23" t="s">
        <v>768</v>
      </c>
      <c r="C252" s="23" t="s">
        <v>1412</v>
      </c>
      <c r="G252" s="24">
        <v>39495</v>
      </c>
    </row>
    <row r="253" spans="1:7">
      <c r="A253" s="23">
        <v>28008476</v>
      </c>
      <c r="B253" s="23" t="s">
        <v>712</v>
      </c>
      <c r="C253" s="24">
        <v>39461</v>
      </c>
      <c r="G253" s="24">
        <v>39495</v>
      </c>
    </row>
    <row r="254" spans="1:7">
      <c r="A254" s="23">
        <v>28008620</v>
      </c>
      <c r="B254" s="23" t="s">
        <v>1306</v>
      </c>
      <c r="C254" s="24">
        <v>39466</v>
      </c>
      <c r="G254" s="24">
        <v>39495</v>
      </c>
    </row>
    <row r="255" spans="1:7">
      <c r="A255" s="23">
        <v>28008635</v>
      </c>
      <c r="B255" s="23" t="s">
        <v>522</v>
      </c>
      <c r="C255" s="24">
        <v>39462</v>
      </c>
      <c r="D255" s="23">
        <v>-3</v>
      </c>
      <c r="E255" s="23" t="s">
        <v>1438</v>
      </c>
      <c r="G255" s="24">
        <v>39495</v>
      </c>
    </row>
    <row r="256" spans="1:7">
      <c r="A256" s="23">
        <v>28008686</v>
      </c>
      <c r="B256" s="23" t="s">
        <v>1367</v>
      </c>
      <c r="C256" s="24">
        <v>39497</v>
      </c>
      <c r="D256" s="23">
        <v>1</v>
      </c>
      <c r="E256" s="23" t="s">
        <v>1386</v>
      </c>
      <c r="G256" s="24">
        <v>39497</v>
      </c>
    </row>
    <row r="257" spans="1:7">
      <c r="A257" s="23">
        <v>28008698</v>
      </c>
      <c r="B257" s="23" t="s">
        <v>845</v>
      </c>
      <c r="C257" s="24">
        <v>39461</v>
      </c>
      <c r="G257" s="24">
        <v>39495</v>
      </c>
    </row>
    <row r="258" spans="1:7">
      <c r="A258" s="23">
        <v>28008808</v>
      </c>
      <c r="B258" s="23" t="s">
        <v>609</v>
      </c>
      <c r="C258" s="24">
        <v>39465</v>
      </c>
      <c r="G258" s="24">
        <v>39495</v>
      </c>
    </row>
    <row r="259" spans="1:7">
      <c r="A259" s="23">
        <v>28008975</v>
      </c>
      <c r="B259" s="23" t="s">
        <v>2199</v>
      </c>
      <c r="G259" s="24">
        <v>39520</v>
      </c>
    </row>
    <row r="260" spans="1:7">
      <c r="A260" s="23">
        <v>28009407</v>
      </c>
      <c r="B260" s="23" t="s">
        <v>1216</v>
      </c>
      <c r="C260" s="24">
        <v>39463</v>
      </c>
      <c r="G260" s="24">
        <v>39495</v>
      </c>
    </row>
    <row r="261" spans="1:7">
      <c r="A261" s="23">
        <v>28009535</v>
      </c>
      <c r="B261" s="23" t="s">
        <v>1260</v>
      </c>
      <c r="C261" s="24">
        <v>39463</v>
      </c>
      <c r="G261" s="24">
        <v>39495</v>
      </c>
    </row>
    <row r="262" spans="1:7">
      <c r="A262" s="23">
        <v>28010106</v>
      </c>
      <c r="B262" s="23" t="s">
        <v>1146</v>
      </c>
      <c r="C262" s="24">
        <v>77068</v>
      </c>
      <c r="G262" s="24">
        <v>39495</v>
      </c>
    </row>
    <row r="263" spans="1:7">
      <c r="A263" s="23">
        <v>28010205</v>
      </c>
      <c r="B263" s="23" t="s">
        <v>1205</v>
      </c>
      <c r="C263" s="24">
        <v>39463</v>
      </c>
      <c r="G263" s="24">
        <v>39495</v>
      </c>
    </row>
    <row r="264" spans="1:7">
      <c r="A264" s="23">
        <v>28010411</v>
      </c>
      <c r="B264" s="23" t="s">
        <v>857</v>
      </c>
      <c r="C264" s="24">
        <v>39463</v>
      </c>
      <c r="G264" s="24">
        <v>39495</v>
      </c>
    </row>
    <row r="265" spans="1:7">
      <c r="A265" s="23">
        <v>28010430</v>
      </c>
      <c r="B265" s="23" t="s">
        <v>859</v>
      </c>
      <c r="C265" s="24">
        <v>39463</v>
      </c>
      <c r="G265" s="24">
        <v>39495</v>
      </c>
    </row>
    <row r="266" spans="1:7">
      <c r="A266" s="23">
        <v>28010441</v>
      </c>
      <c r="B266" s="23" t="s">
        <v>861</v>
      </c>
      <c r="C266" s="24">
        <v>39463</v>
      </c>
      <c r="G266" s="24">
        <v>39495</v>
      </c>
    </row>
    <row r="267" spans="1:7">
      <c r="A267" s="23">
        <v>28010699</v>
      </c>
      <c r="B267" s="23" t="s">
        <v>266</v>
      </c>
      <c r="C267" s="24">
        <v>39464</v>
      </c>
      <c r="G267" s="24">
        <v>39495</v>
      </c>
    </row>
    <row r="268" spans="1:7">
      <c r="A268" s="23">
        <v>28010709</v>
      </c>
      <c r="B268" s="23" t="s">
        <v>420</v>
      </c>
      <c r="C268" s="24">
        <v>39465</v>
      </c>
      <c r="G268" s="24">
        <v>39495</v>
      </c>
    </row>
    <row r="269" spans="1:7">
      <c r="A269" s="23">
        <v>28010742</v>
      </c>
      <c r="B269" s="23" t="s">
        <v>470</v>
      </c>
      <c r="C269" s="24">
        <v>39465</v>
      </c>
      <c r="G269" s="24">
        <v>39495</v>
      </c>
    </row>
    <row r="270" spans="1:7">
      <c r="A270" s="23">
        <v>28011168</v>
      </c>
      <c r="B270" s="23" t="s">
        <v>619</v>
      </c>
      <c r="C270" s="23" t="s">
        <v>1412</v>
      </c>
      <c r="D270" s="23">
        <v>1</v>
      </c>
      <c r="G270" s="24">
        <v>39495</v>
      </c>
    </row>
    <row r="271" spans="1:7">
      <c r="A271" s="23">
        <v>28011273</v>
      </c>
      <c r="B271" s="23" t="s">
        <v>248</v>
      </c>
      <c r="C271" s="24">
        <v>39465</v>
      </c>
      <c r="G271" s="24">
        <v>39495</v>
      </c>
    </row>
    <row r="272" spans="1:7">
      <c r="A272" s="23">
        <v>28011311</v>
      </c>
      <c r="B272" s="23" t="s">
        <v>1241</v>
      </c>
      <c r="C272" s="24">
        <v>39465</v>
      </c>
      <c r="G272" s="24">
        <v>39495</v>
      </c>
    </row>
    <row r="273" spans="1:7">
      <c r="A273" s="23">
        <v>28011510</v>
      </c>
      <c r="B273" s="23" t="s">
        <v>333</v>
      </c>
      <c r="C273" s="24">
        <v>39465</v>
      </c>
      <c r="D273" s="23">
        <v>4</v>
      </c>
      <c r="E273" s="23" t="s">
        <v>1400</v>
      </c>
      <c r="F273" s="23" t="s">
        <v>1344</v>
      </c>
      <c r="G273" s="24">
        <v>39495</v>
      </c>
    </row>
    <row r="274" spans="1:7">
      <c r="A274" s="23">
        <v>28011566</v>
      </c>
      <c r="B274" s="23" t="s">
        <v>784</v>
      </c>
      <c r="C274" s="24">
        <v>39465</v>
      </c>
      <c r="G274" s="24">
        <v>39495</v>
      </c>
    </row>
    <row r="275" spans="1:7">
      <c r="A275" s="23">
        <v>28011583</v>
      </c>
      <c r="B275" s="23" t="s">
        <v>441</v>
      </c>
      <c r="C275" s="24">
        <v>39465</v>
      </c>
      <c r="G275" s="24">
        <v>39495</v>
      </c>
    </row>
    <row r="276" spans="1:7">
      <c r="A276" s="23">
        <v>28011619</v>
      </c>
      <c r="B276" s="23" t="s">
        <v>1220</v>
      </c>
      <c r="C276" s="24">
        <v>39469</v>
      </c>
      <c r="G276" s="24">
        <v>39495</v>
      </c>
    </row>
    <row r="277" spans="1:7">
      <c r="A277" s="23">
        <v>28011718</v>
      </c>
      <c r="B277" s="23" t="s">
        <v>649</v>
      </c>
      <c r="C277" s="24">
        <v>39466</v>
      </c>
      <c r="G277" s="24">
        <v>39495</v>
      </c>
    </row>
    <row r="278" spans="1:7">
      <c r="A278" s="23">
        <v>28011739</v>
      </c>
      <c r="B278" s="23" t="s">
        <v>1087</v>
      </c>
      <c r="C278" s="24">
        <v>39466</v>
      </c>
      <c r="G278" s="24">
        <v>39495</v>
      </c>
    </row>
    <row r="279" spans="1:7">
      <c r="A279" s="23">
        <v>28011759</v>
      </c>
      <c r="B279" s="23" t="s">
        <v>805</v>
      </c>
      <c r="C279" s="24">
        <v>39465</v>
      </c>
      <c r="G279" s="24">
        <v>39495</v>
      </c>
    </row>
    <row r="280" spans="1:7">
      <c r="A280" s="23">
        <v>28011833</v>
      </c>
      <c r="B280" s="23" t="s">
        <v>1278</v>
      </c>
      <c r="C280" s="24">
        <v>39465</v>
      </c>
      <c r="G280" s="24">
        <v>39495</v>
      </c>
    </row>
    <row r="281" spans="1:7">
      <c r="A281" s="23">
        <v>28011836</v>
      </c>
      <c r="B281" s="23" t="s">
        <v>1604</v>
      </c>
      <c r="G281" s="24">
        <v>39507</v>
      </c>
    </row>
    <row r="282" spans="1:7">
      <c r="A282" s="23">
        <v>28011848</v>
      </c>
      <c r="B282" s="23" t="s">
        <v>851</v>
      </c>
      <c r="C282" s="24">
        <v>39465</v>
      </c>
      <c r="G282" s="24">
        <v>39495</v>
      </c>
    </row>
    <row r="283" spans="1:7">
      <c r="A283" s="23">
        <v>28011932</v>
      </c>
      <c r="B283" s="23" t="s">
        <v>809</v>
      </c>
      <c r="C283" s="24">
        <v>39465</v>
      </c>
      <c r="G283" s="24">
        <v>39495</v>
      </c>
    </row>
    <row r="284" spans="1:7">
      <c r="A284" s="23">
        <v>28011933</v>
      </c>
      <c r="B284" s="23" t="s">
        <v>807</v>
      </c>
      <c r="C284" s="24">
        <v>39465</v>
      </c>
      <c r="G284" s="24">
        <v>39495</v>
      </c>
    </row>
    <row r="285" spans="1:7">
      <c r="A285" s="23">
        <v>28011938</v>
      </c>
      <c r="B285" s="23" t="s">
        <v>811</v>
      </c>
      <c r="C285" s="24">
        <v>39465</v>
      </c>
      <c r="G285" s="24">
        <v>39495</v>
      </c>
    </row>
    <row r="286" spans="1:7">
      <c r="A286" s="23">
        <v>28011942</v>
      </c>
      <c r="B286" s="23" t="s">
        <v>813</v>
      </c>
      <c r="C286" s="24">
        <v>39465</v>
      </c>
      <c r="G286" s="24">
        <v>39495</v>
      </c>
    </row>
    <row r="287" spans="1:7">
      <c r="A287" s="23">
        <v>28012364</v>
      </c>
      <c r="B287" s="23" t="s">
        <v>1138</v>
      </c>
      <c r="C287" s="24">
        <v>39467</v>
      </c>
      <c r="G287" s="24">
        <v>39495</v>
      </c>
    </row>
    <row r="288" spans="1:7">
      <c r="A288" s="23">
        <v>28012494</v>
      </c>
      <c r="B288" s="23" t="s">
        <v>670</v>
      </c>
      <c r="C288" s="24">
        <v>39467</v>
      </c>
      <c r="G288" s="24">
        <v>39495</v>
      </c>
    </row>
    <row r="289" spans="1:7">
      <c r="A289" s="23">
        <v>28012499</v>
      </c>
      <c r="B289" s="23" t="s">
        <v>1560</v>
      </c>
      <c r="G289" s="24">
        <v>39506</v>
      </c>
    </row>
    <row r="290" spans="1:7">
      <c r="A290" s="23">
        <v>28012553</v>
      </c>
      <c r="B290" s="23" t="s">
        <v>716</v>
      </c>
      <c r="C290" s="24">
        <v>39467</v>
      </c>
      <c r="G290" s="24">
        <v>39495</v>
      </c>
    </row>
    <row r="291" spans="1:7">
      <c r="A291" s="23">
        <v>28012841</v>
      </c>
      <c r="B291" s="23" t="s">
        <v>577</v>
      </c>
      <c r="C291" s="24">
        <v>39468</v>
      </c>
      <c r="G291" s="24">
        <v>39495</v>
      </c>
    </row>
    <row r="292" spans="1:7">
      <c r="A292" s="23">
        <v>28012862</v>
      </c>
      <c r="B292" s="23" t="s">
        <v>736</v>
      </c>
      <c r="C292" s="24">
        <v>39472</v>
      </c>
      <c r="G292" s="24">
        <v>39495</v>
      </c>
    </row>
    <row r="293" spans="1:7">
      <c r="A293" s="23">
        <v>28012906</v>
      </c>
      <c r="B293" s="23" t="s">
        <v>432</v>
      </c>
      <c r="C293" s="24">
        <v>39469</v>
      </c>
      <c r="G293" s="24">
        <v>39495</v>
      </c>
    </row>
    <row r="294" spans="1:7">
      <c r="A294" s="23">
        <v>28013118</v>
      </c>
      <c r="B294" s="23" t="s">
        <v>167</v>
      </c>
      <c r="C294" s="24">
        <v>39468</v>
      </c>
      <c r="G294" s="24">
        <v>39495</v>
      </c>
    </row>
    <row r="295" spans="1:7">
      <c r="A295" s="23">
        <v>28013361</v>
      </c>
      <c r="B295" s="23" t="s">
        <v>1165</v>
      </c>
      <c r="C295" s="24">
        <v>39469</v>
      </c>
      <c r="G295" s="24">
        <v>39495</v>
      </c>
    </row>
    <row r="296" spans="1:7">
      <c r="A296" s="23">
        <v>28013425</v>
      </c>
      <c r="B296" s="23" t="s">
        <v>1150</v>
      </c>
      <c r="C296" s="24">
        <v>39469</v>
      </c>
      <c r="G296" s="24">
        <v>39495</v>
      </c>
    </row>
    <row r="297" spans="1:7">
      <c r="A297" s="23">
        <v>28013532</v>
      </c>
      <c r="B297" s="23" t="s">
        <v>824</v>
      </c>
      <c r="C297" s="24">
        <v>39469</v>
      </c>
      <c r="G297" s="24">
        <v>39495</v>
      </c>
    </row>
    <row r="298" spans="1:7">
      <c r="A298" s="23">
        <v>28013775</v>
      </c>
      <c r="B298" s="23" t="s">
        <v>513</v>
      </c>
      <c r="C298" s="24">
        <v>39472</v>
      </c>
      <c r="G298" s="24">
        <v>39495</v>
      </c>
    </row>
    <row r="299" spans="1:7">
      <c r="A299" s="23">
        <v>28013811</v>
      </c>
      <c r="B299" s="23" t="s">
        <v>145</v>
      </c>
      <c r="C299" s="24">
        <v>39470</v>
      </c>
      <c r="G299" s="24">
        <v>39495</v>
      </c>
    </row>
    <row r="300" spans="1:7">
      <c r="A300" s="23">
        <v>28013863</v>
      </c>
      <c r="B300" s="23" t="s">
        <v>581</v>
      </c>
      <c r="C300" s="24">
        <v>39469</v>
      </c>
      <c r="G300" s="24">
        <v>39495</v>
      </c>
    </row>
    <row r="301" spans="1:7">
      <c r="A301" s="23">
        <v>28014004</v>
      </c>
      <c r="B301" s="23" t="s">
        <v>900</v>
      </c>
      <c r="C301" s="24">
        <v>39470</v>
      </c>
      <c r="G301" s="24">
        <v>39495</v>
      </c>
    </row>
    <row r="302" spans="1:7">
      <c r="A302" s="23">
        <v>28014006</v>
      </c>
      <c r="B302" s="23" t="s">
        <v>898</v>
      </c>
      <c r="C302" s="24">
        <v>39470</v>
      </c>
      <c r="G302" s="24">
        <v>39495</v>
      </c>
    </row>
    <row r="303" spans="1:7">
      <c r="A303" s="23">
        <v>28014016</v>
      </c>
      <c r="B303" s="23" t="s">
        <v>324</v>
      </c>
      <c r="C303" s="24">
        <v>39470</v>
      </c>
      <c r="G303" s="24">
        <v>39495</v>
      </c>
    </row>
    <row r="304" spans="1:7">
      <c r="A304" s="23">
        <v>28014057</v>
      </c>
      <c r="B304" s="23" t="s">
        <v>770</v>
      </c>
      <c r="C304" s="24">
        <v>39470</v>
      </c>
      <c r="G304" s="24">
        <v>39495</v>
      </c>
    </row>
    <row r="305" spans="1:7">
      <c r="A305" s="23">
        <v>28014246</v>
      </c>
      <c r="B305" s="23" t="s">
        <v>1124</v>
      </c>
      <c r="C305" s="24">
        <v>39471</v>
      </c>
      <c r="G305" s="24">
        <v>39495</v>
      </c>
    </row>
    <row r="306" spans="1:7">
      <c r="A306" s="23">
        <v>28014336</v>
      </c>
      <c r="B306" s="23" t="s">
        <v>1080</v>
      </c>
      <c r="C306" s="24">
        <v>39470</v>
      </c>
      <c r="G306" s="24">
        <v>39495</v>
      </c>
    </row>
    <row r="307" spans="1:7">
      <c r="A307" s="23">
        <v>28014342</v>
      </c>
      <c r="B307" s="23" t="s">
        <v>1089</v>
      </c>
      <c r="C307" s="24">
        <v>39470</v>
      </c>
      <c r="G307" s="24">
        <v>39495</v>
      </c>
    </row>
    <row r="308" spans="1:7">
      <c r="A308" s="23">
        <v>28014610</v>
      </c>
      <c r="B308" s="23" t="s">
        <v>776</v>
      </c>
      <c r="C308" s="24">
        <v>39473</v>
      </c>
      <c r="G308" s="24">
        <v>39495</v>
      </c>
    </row>
    <row r="309" spans="1:7">
      <c r="A309" s="23">
        <v>28014694</v>
      </c>
      <c r="B309" s="23" t="s">
        <v>498</v>
      </c>
      <c r="C309" s="24">
        <v>39470</v>
      </c>
      <c r="G309" s="24">
        <v>39495</v>
      </c>
    </row>
    <row r="310" spans="1:7">
      <c r="A310" s="23">
        <v>28014797</v>
      </c>
      <c r="B310" s="23" t="s">
        <v>642</v>
      </c>
      <c r="C310" s="24">
        <v>39473</v>
      </c>
      <c r="G310" s="24">
        <v>39495</v>
      </c>
    </row>
    <row r="311" spans="1:7">
      <c r="A311" s="23">
        <v>28014838</v>
      </c>
      <c r="B311" s="23" t="s">
        <v>174</v>
      </c>
      <c r="C311" s="24">
        <v>39471</v>
      </c>
      <c r="G311" s="24">
        <v>39495</v>
      </c>
    </row>
    <row r="312" spans="1:7">
      <c r="A312" s="23">
        <v>28014970</v>
      </c>
      <c r="B312" s="23" t="s">
        <v>693</v>
      </c>
      <c r="C312" s="24">
        <v>39472</v>
      </c>
      <c r="D312" s="23">
        <v>-3</v>
      </c>
      <c r="E312" s="23" t="s">
        <v>1440</v>
      </c>
      <c r="G312" s="24">
        <v>39495</v>
      </c>
    </row>
    <row r="313" spans="1:7">
      <c r="A313" s="23">
        <v>28014975</v>
      </c>
      <c r="B313" s="23" t="s">
        <v>351</v>
      </c>
      <c r="C313" s="24">
        <v>39471</v>
      </c>
      <c r="G313" s="24">
        <v>39495</v>
      </c>
    </row>
    <row r="314" spans="1:7">
      <c r="A314" s="23">
        <v>28015062</v>
      </c>
      <c r="B314" s="23" t="s">
        <v>1286</v>
      </c>
      <c r="C314" s="24">
        <v>39472</v>
      </c>
      <c r="G314" s="24">
        <v>39495</v>
      </c>
    </row>
    <row r="315" spans="1:7">
      <c r="A315" s="23">
        <v>28015172</v>
      </c>
      <c r="B315" s="23" t="s">
        <v>155</v>
      </c>
      <c r="C315" s="24">
        <v>39472</v>
      </c>
      <c r="G315" s="24">
        <v>39495</v>
      </c>
    </row>
    <row r="316" spans="1:7">
      <c r="A316" s="23">
        <v>28015518</v>
      </c>
      <c r="B316" s="23" t="s">
        <v>1113</v>
      </c>
      <c r="C316" s="24">
        <v>39472</v>
      </c>
      <c r="G316" s="24">
        <v>39495</v>
      </c>
    </row>
    <row r="317" spans="1:7">
      <c r="A317" s="23">
        <v>28015635</v>
      </c>
      <c r="B317" s="23" t="s">
        <v>826</v>
      </c>
      <c r="C317" s="24">
        <v>39475</v>
      </c>
      <c r="G317" s="24">
        <v>39495</v>
      </c>
    </row>
    <row r="318" spans="1:7">
      <c r="A318" s="23">
        <v>28015865</v>
      </c>
      <c r="B318" s="23" t="s">
        <v>1282</v>
      </c>
      <c r="C318" s="24">
        <v>39472</v>
      </c>
      <c r="G318" s="24">
        <v>39495</v>
      </c>
    </row>
    <row r="319" spans="1:7">
      <c r="A319" s="23">
        <v>28015881</v>
      </c>
      <c r="B319" s="23" t="s">
        <v>587</v>
      </c>
      <c r="C319" s="24">
        <v>39472</v>
      </c>
      <c r="G319" s="24">
        <v>39495</v>
      </c>
    </row>
    <row r="320" spans="1:7">
      <c r="A320" s="23">
        <v>28015892</v>
      </c>
      <c r="B320" s="23" t="s">
        <v>589</v>
      </c>
      <c r="C320" s="24">
        <v>39472</v>
      </c>
      <c r="G320" s="24">
        <v>39495</v>
      </c>
    </row>
    <row r="321" spans="1:7">
      <c r="A321" s="23">
        <v>28015944</v>
      </c>
      <c r="B321" s="23" t="s">
        <v>380</v>
      </c>
      <c r="C321" s="24">
        <v>39472</v>
      </c>
      <c r="G321" s="24">
        <v>39495</v>
      </c>
    </row>
    <row r="322" spans="1:7">
      <c r="A322" s="23">
        <v>28016234</v>
      </c>
      <c r="B322" s="23" t="s">
        <v>434</v>
      </c>
      <c r="C322" s="24">
        <v>39476</v>
      </c>
      <c r="G322" s="24">
        <v>39495</v>
      </c>
    </row>
    <row r="323" spans="1:7">
      <c r="A323" s="23">
        <v>28016237</v>
      </c>
      <c r="B323" s="23" t="s">
        <v>382</v>
      </c>
      <c r="C323" s="24">
        <v>39475</v>
      </c>
      <c r="G323" s="24">
        <v>39495</v>
      </c>
    </row>
    <row r="324" spans="1:7">
      <c r="A324" s="23">
        <v>28016250</v>
      </c>
      <c r="B324" s="23" t="s">
        <v>415</v>
      </c>
      <c r="C324" s="24">
        <v>39475</v>
      </c>
      <c r="G324" s="24">
        <v>39495</v>
      </c>
    </row>
    <row r="325" spans="1:7">
      <c r="A325" s="23">
        <v>28016312</v>
      </c>
      <c r="B325" s="23" t="s">
        <v>627</v>
      </c>
      <c r="C325" s="24">
        <v>39474</v>
      </c>
      <c r="G325" s="24">
        <v>39495</v>
      </c>
    </row>
    <row r="326" spans="1:7">
      <c r="A326" s="23">
        <v>28016323</v>
      </c>
      <c r="B326" s="23" t="s">
        <v>1160</v>
      </c>
      <c r="C326" s="24">
        <v>39475</v>
      </c>
      <c r="D326" s="23">
        <v>2</v>
      </c>
      <c r="E326" s="23" t="s">
        <v>1350</v>
      </c>
      <c r="G326" s="24">
        <v>39495</v>
      </c>
    </row>
    <row r="327" spans="1:7">
      <c r="A327" s="23">
        <v>28016368</v>
      </c>
      <c r="B327" s="23" t="s">
        <v>559</v>
      </c>
      <c r="C327" s="24">
        <v>39474</v>
      </c>
      <c r="G327" s="24">
        <v>39495</v>
      </c>
    </row>
    <row r="328" spans="1:7">
      <c r="A328" s="23">
        <v>28016505</v>
      </c>
      <c r="B328" s="23" t="s">
        <v>2245</v>
      </c>
      <c r="G328" s="24">
        <v>39512</v>
      </c>
    </row>
    <row r="329" spans="1:7">
      <c r="A329" s="23">
        <v>28016773</v>
      </c>
      <c r="B329" s="23" t="s">
        <v>1167</v>
      </c>
      <c r="C329" s="24">
        <v>39478</v>
      </c>
      <c r="G329" s="24">
        <v>39495</v>
      </c>
    </row>
    <row r="330" spans="1:7">
      <c r="A330" s="23">
        <v>28017090</v>
      </c>
      <c r="B330" s="23" t="s">
        <v>1194</v>
      </c>
      <c r="C330" s="24">
        <v>39477</v>
      </c>
      <c r="G330" s="24">
        <v>39495</v>
      </c>
    </row>
    <row r="331" spans="1:7">
      <c r="A331" s="23">
        <v>28017287</v>
      </c>
      <c r="B331" s="23" t="s">
        <v>830</v>
      </c>
      <c r="C331" s="24">
        <v>39479</v>
      </c>
      <c r="D331" s="23">
        <v>3</v>
      </c>
      <c r="E331" s="23" t="s">
        <v>1379</v>
      </c>
      <c r="G331" s="24">
        <v>39495</v>
      </c>
    </row>
    <row r="332" spans="1:7">
      <c r="A332" s="23">
        <v>28017296</v>
      </c>
      <c r="B332" s="23" t="s">
        <v>624</v>
      </c>
      <c r="C332" s="24">
        <v>39484</v>
      </c>
      <c r="G332" s="24">
        <v>39495</v>
      </c>
    </row>
    <row r="333" spans="1:7">
      <c r="A333" s="23">
        <v>28017471</v>
      </c>
      <c r="B333" s="23" t="s">
        <v>760</v>
      </c>
      <c r="C333" s="24">
        <v>39482</v>
      </c>
      <c r="D333" s="23">
        <v>2</v>
      </c>
      <c r="E333" s="23" t="s">
        <v>1377</v>
      </c>
      <c r="G333" s="24">
        <v>39495</v>
      </c>
    </row>
    <row r="334" spans="1:7">
      <c r="A334" s="23">
        <v>28017596</v>
      </c>
      <c r="B334" s="23" t="s">
        <v>820</v>
      </c>
      <c r="C334" s="24">
        <v>39479</v>
      </c>
      <c r="G334" s="24">
        <v>39495</v>
      </c>
    </row>
    <row r="335" spans="1:7">
      <c r="A335" s="23">
        <v>28017697</v>
      </c>
      <c r="B335" s="23" t="s">
        <v>788</v>
      </c>
      <c r="C335" s="24">
        <v>39477</v>
      </c>
      <c r="G335" s="24">
        <v>39495</v>
      </c>
    </row>
    <row r="336" spans="1:7">
      <c r="A336" s="23">
        <v>28017708</v>
      </c>
      <c r="B336" s="23" t="s">
        <v>163</v>
      </c>
      <c r="C336" s="24">
        <v>39477</v>
      </c>
      <c r="G336" s="24">
        <v>39495</v>
      </c>
    </row>
    <row r="337" spans="1:7">
      <c r="A337" s="23">
        <v>28017810</v>
      </c>
      <c r="B337" s="23" t="s">
        <v>526</v>
      </c>
      <c r="C337" s="24">
        <v>39477</v>
      </c>
      <c r="G337" s="24">
        <v>39495</v>
      </c>
    </row>
    <row r="338" spans="1:7">
      <c r="A338" s="23">
        <v>28017956</v>
      </c>
      <c r="B338" s="23" t="s">
        <v>758</v>
      </c>
      <c r="C338" s="24">
        <v>39483</v>
      </c>
      <c r="G338" s="24">
        <v>39495</v>
      </c>
    </row>
    <row r="339" spans="1:7">
      <c r="A339" s="23">
        <v>28017976</v>
      </c>
      <c r="B339" s="23" t="s">
        <v>502</v>
      </c>
      <c r="C339" s="24">
        <v>39479</v>
      </c>
      <c r="D339" s="23">
        <v>3</v>
      </c>
      <c r="E339" s="23" t="s">
        <v>1401</v>
      </c>
      <c r="G339" s="24">
        <v>39495</v>
      </c>
    </row>
    <row r="340" spans="1:7">
      <c r="A340" s="23">
        <v>28018165</v>
      </c>
      <c r="B340" s="23" t="s">
        <v>479</v>
      </c>
      <c r="C340" s="24">
        <v>39485</v>
      </c>
      <c r="G340" s="24">
        <v>39495</v>
      </c>
    </row>
    <row r="341" spans="1:7">
      <c r="A341" s="23">
        <v>28018456</v>
      </c>
      <c r="B341" s="23" t="s">
        <v>614</v>
      </c>
      <c r="C341" s="24">
        <v>39478</v>
      </c>
      <c r="G341" s="24">
        <v>39495</v>
      </c>
    </row>
    <row r="342" spans="1:7">
      <c r="A342" s="23">
        <v>28018523</v>
      </c>
      <c r="B342" s="23" t="s">
        <v>664</v>
      </c>
      <c r="C342" s="24">
        <v>39478</v>
      </c>
      <c r="G342" s="24">
        <v>39495</v>
      </c>
    </row>
    <row r="343" spans="1:7">
      <c r="A343" s="23">
        <v>28018532</v>
      </c>
      <c r="B343" s="23" t="s">
        <v>855</v>
      </c>
      <c r="C343" s="24">
        <v>39478</v>
      </c>
      <c r="G343" s="24">
        <v>39495</v>
      </c>
    </row>
    <row r="344" spans="1:7">
      <c r="A344" s="23">
        <v>28018682</v>
      </c>
      <c r="B344" s="23" t="s">
        <v>1175</v>
      </c>
      <c r="C344" s="24">
        <v>39478</v>
      </c>
      <c r="G344" s="24">
        <v>39495</v>
      </c>
    </row>
    <row r="345" spans="1:7">
      <c r="A345" s="23">
        <v>28018719</v>
      </c>
      <c r="B345" s="23" t="s">
        <v>460</v>
      </c>
      <c r="C345" s="24">
        <v>39478</v>
      </c>
      <c r="D345" s="23">
        <v>3</v>
      </c>
      <c r="E345" s="23" t="s">
        <v>1437</v>
      </c>
      <c r="G345" s="24">
        <v>39495</v>
      </c>
    </row>
    <row r="346" spans="1:7">
      <c r="A346" s="23">
        <v>28018831</v>
      </c>
      <c r="B346" s="23" t="s">
        <v>734</v>
      </c>
      <c r="C346" s="24">
        <v>39482</v>
      </c>
      <c r="G346" s="24">
        <v>39495</v>
      </c>
    </row>
    <row r="347" spans="1:7">
      <c r="A347" s="23">
        <v>28018832</v>
      </c>
      <c r="B347" s="23" t="s">
        <v>557</v>
      </c>
      <c r="C347" s="24">
        <v>39482</v>
      </c>
      <c r="D347" s="23">
        <v>4</v>
      </c>
      <c r="E347" s="23" t="s">
        <v>1404</v>
      </c>
      <c r="F347" s="23" t="s">
        <v>1344</v>
      </c>
      <c r="G347" s="24">
        <v>39495</v>
      </c>
    </row>
    <row r="348" spans="1:7">
      <c r="A348" s="23">
        <v>28018855</v>
      </c>
      <c r="B348" s="23" t="s">
        <v>446</v>
      </c>
      <c r="C348" s="24">
        <v>39478</v>
      </c>
      <c r="G348" s="24">
        <v>39495</v>
      </c>
    </row>
    <row r="349" spans="1:7">
      <c r="A349" s="23">
        <v>28018874</v>
      </c>
      <c r="B349" s="23" t="s">
        <v>1284</v>
      </c>
      <c r="C349" s="24">
        <v>39478</v>
      </c>
      <c r="G349" s="24">
        <v>39495</v>
      </c>
    </row>
    <row r="350" spans="1:7">
      <c r="A350" s="23">
        <v>28018884</v>
      </c>
      <c r="B350" s="23" t="s">
        <v>535</v>
      </c>
      <c r="C350" s="24">
        <v>39478</v>
      </c>
      <c r="D350" s="23">
        <v>-4</v>
      </c>
      <c r="E350" s="23" t="s">
        <v>1403</v>
      </c>
      <c r="G350" s="24">
        <v>39495</v>
      </c>
    </row>
    <row r="351" spans="1:7">
      <c r="A351" s="23">
        <v>28018983</v>
      </c>
      <c r="B351" s="23" t="s">
        <v>870</v>
      </c>
      <c r="C351" s="24">
        <v>39479</v>
      </c>
      <c r="G351" s="24">
        <v>39495</v>
      </c>
    </row>
    <row r="352" spans="1:7">
      <c r="A352" s="23">
        <v>28019152</v>
      </c>
      <c r="B352" s="23" t="s">
        <v>872</v>
      </c>
      <c r="C352" s="24">
        <v>39479</v>
      </c>
      <c r="G352" s="24">
        <v>39495</v>
      </c>
    </row>
    <row r="353" spans="1:7">
      <c r="A353" s="23">
        <v>28019183</v>
      </c>
      <c r="B353" s="23" t="s">
        <v>1288</v>
      </c>
      <c r="C353" s="24">
        <v>39479</v>
      </c>
      <c r="G353" s="24">
        <v>39495</v>
      </c>
    </row>
    <row r="354" spans="1:7">
      <c r="A354" s="23">
        <v>28019206</v>
      </c>
      <c r="B354" s="23" t="s">
        <v>1192</v>
      </c>
      <c r="C354" s="24">
        <v>39479</v>
      </c>
      <c r="G354" s="24">
        <v>39495</v>
      </c>
    </row>
    <row r="355" spans="1:7">
      <c r="A355" s="23">
        <v>28019505</v>
      </c>
      <c r="B355" s="23" t="s">
        <v>214</v>
      </c>
      <c r="C355" s="24">
        <v>39479</v>
      </c>
      <c r="G355" s="24">
        <v>39495</v>
      </c>
    </row>
    <row r="356" spans="1:7">
      <c r="A356" s="23">
        <v>28019576</v>
      </c>
      <c r="B356" s="23" t="s">
        <v>477</v>
      </c>
      <c r="C356" s="24">
        <v>39479</v>
      </c>
      <c r="G356" s="24">
        <v>39495</v>
      </c>
    </row>
    <row r="357" spans="1:7">
      <c r="A357" s="23">
        <v>28019593</v>
      </c>
      <c r="B357" s="23" t="s">
        <v>573</v>
      </c>
      <c r="C357" s="24">
        <v>39479</v>
      </c>
      <c r="G357" s="24">
        <v>39495</v>
      </c>
    </row>
    <row r="358" spans="1:7">
      <c r="A358" s="23">
        <v>28019710</v>
      </c>
      <c r="B358" s="23" t="s">
        <v>197</v>
      </c>
      <c r="C358" s="24">
        <v>39479</v>
      </c>
      <c r="G358" s="24">
        <v>39495</v>
      </c>
    </row>
    <row r="359" spans="1:7">
      <c r="A359" s="23">
        <v>28019761</v>
      </c>
      <c r="B359" s="23" t="s">
        <v>1280</v>
      </c>
      <c r="C359" s="24">
        <v>39479</v>
      </c>
      <c r="G359" s="24">
        <v>39495</v>
      </c>
    </row>
    <row r="360" spans="1:7">
      <c r="A360" s="23">
        <v>28019939</v>
      </c>
      <c r="B360" s="23" t="s">
        <v>719</v>
      </c>
      <c r="C360" s="24">
        <v>39480</v>
      </c>
      <c r="G360" s="24">
        <v>39495</v>
      </c>
    </row>
    <row r="361" spans="1:7">
      <c r="A361" s="23">
        <v>28019953</v>
      </c>
      <c r="B361" s="23" t="s">
        <v>209</v>
      </c>
      <c r="C361" s="24">
        <v>39479</v>
      </c>
      <c r="G361" s="24">
        <v>39495</v>
      </c>
    </row>
    <row r="362" spans="1:7">
      <c r="A362" s="23">
        <v>28019954</v>
      </c>
      <c r="B362" s="23" t="s">
        <v>1264</v>
      </c>
      <c r="C362" s="24">
        <v>39480</v>
      </c>
      <c r="G362" s="24">
        <v>39495</v>
      </c>
    </row>
    <row r="363" spans="1:7">
      <c r="A363" s="23">
        <v>28020117</v>
      </c>
      <c r="B363" s="23" t="s">
        <v>974</v>
      </c>
      <c r="C363" s="24">
        <v>39480</v>
      </c>
      <c r="G363" s="24">
        <v>39495</v>
      </c>
    </row>
    <row r="364" spans="1:7">
      <c r="A364" s="23">
        <v>28020407</v>
      </c>
      <c r="B364" s="23" t="s">
        <v>1155</v>
      </c>
      <c r="C364" s="24">
        <v>39481</v>
      </c>
      <c r="G364" s="24">
        <v>39495</v>
      </c>
    </row>
    <row r="365" spans="1:7">
      <c r="A365" s="23">
        <v>28020638</v>
      </c>
      <c r="B365" s="23" t="s">
        <v>553</v>
      </c>
      <c r="C365" s="24">
        <v>39482</v>
      </c>
      <c r="G365" s="24">
        <v>39495</v>
      </c>
    </row>
    <row r="366" spans="1:7">
      <c r="A366" s="23">
        <v>28020736</v>
      </c>
      <c r="B366" s="23" t="s">
        <v>1082</v>
      </c>
      <c r="C366" s="24">
        <v>39482</v>
      </c>
      <c r="G366" s="24">
        <v>39495</v>
      </c>
    </row>
    <row r="367" spans="1:7">
      <c r="A367" s="23">
        <v>28020826</v>
      </c>
      <c r="B367" s="23" t="s">
        <v>238</v>
      </c>
      <c r="C367" s="24">
        <v>39482</v>
      </c>
      <c r="G367" s="24">
        <v>39495</v>
      </c>
    </row>
    <row r="368" spans="1:7">
      <c r="A368" s="23">
        <v>28020840</v>
      </c>
      <c r="B368" s="23" t="s">
        <v>136</v>
      </c>
      <c r="C368" s="24">
        <v>39484</v>
      </c>
      <c r="G368" s="24">
        <v>39495</v>
      </c>
    </row>
    <row r="369" spans="1:7">
      <c r="A369" s="23">
        <v>28020999</v>
      </c>
      <c r="B369" s="23" t="s">
        <v>307</v>
      </c>
      <c r="C369" s="24">
        <v>39482</v>
      </c>
      <c r="G369" s="24">
        <v>39495</v>
      </c>
    </row>
    <row r="370" spans="1:7">
      <c r="A370" s="23">
        <v>28021013</v>
      </c>
      <c r="B370" s="23" t="s">
        <v>234</v>
      </c>
      <c r="C370" s="24">
        <v>39483</v>
      </c>
      <c r="G370" s="24">
        <v>39495</v>
      </c>
    </row>
    <row r="371" spans="1:7">
      <c r="A371" s="23">
        <v>28021035</v>
      </c>
      <c r="B371" s="23" t="s">
        <v>865</v>
      </c>
      <c r="C371" s="24">
        <v>39482</v>
      </c>
      <c r="G371" s="24">
        <v>39495</v>
      </c>
    </row>
    <row r="372" spans="1:7">
      <c r="A372" s="23">
        <v>28021052</v>
      </c>
      <c r="B372" s="23" t="s">
        <v>1183</v>
      </c>
      <c r="C372" s="24">
        <v>39483</v>
      </c>
      <c r="G372" s="24">
        <v>39495</v>
      </c>
    </row>
    <row r="373" spans="1:7">
      <c r="A373" s="23">
        <v>28021107</v>
      </c>
      <c r="B373" s="23" t="s">
        <v>1153</v>
      </c>
      <c r="C373" s="24">
        <v>39489</v>
      </c>
      <c r="D373" s="23">
        <v>3</v>
      </c>
      <c r="E373" s="23" t="s">
        <v>1343</v>
      </c>
      <c r="F373" s="24">
        <v>39494</v>
      </c>
      <c r="G373" s="24">
        <v>39495</v>
      </c>
    </row>
    <row r="374" spans="1:7">
      <c r="A374" s="23">
        <v>28021123</v>
      </c>
      <c r="B374" s="23" t="s">
        <v>656</v>
      </c>
      <c r="C374" s="24">
        <v>39482</v>
      </c>
      <c r="G374" s="24">
        <v>39495</v>
      </c>
    </row>
    <row r="375" spans="1:7">
      <c r="A375" s="23">
        <v>28021527</v>
      </c>
      <c r="B375" s="23" t="s">
        <v>236</v>
      </c>
      <c r="C375" s="24">
        <v>39483</v>
      </c>
      <c r="G375" s="24">
        <v>39495</v>
      </c>
    </row>
    <row r="376" spans="1:7">
      <c r="A376" s="23">
        <v>28021572</v>
      </c>
      <c r="B376" s="23" t="s">
        <v>1612</v>
      </c>
      <c r="G376" s="24">
        <v>39507</v>
      </c>
    </row>
    <row r="377" spans="1:7">
      <c r="A377" s="23">
        <v>28021761</v>
      </c>
      <c r="B377" s="23" t="s">
        <v>705</v>
      </c>
      <c r="C377" s="24">
        <v>39483</v>
      </c>
      <c r="G377" s="24">
        <v>39495</v>
      </c>
    </row>
    <row r="378" spans="1:7">
      <c r="A378" s="23">
        <v>28021767</v>
      </c>
      <c r="B378" s="23" t="s">
        <v>583</v>
      </c>
      <c r="C378" s="24">
        <v>39483</v>
      </c>
      <c r="G378" s="24">
        <v>39495</v>
      </c>
    </row>
    <row r="379" spans="1:7">
      <c r="A379" s="23">
        <v>28021819</v>
      </c>
      <c r="B379" s="23" t="s">
        <v>984</v>
      </c>
      <c r="C379" s="24">
        <v>39483</v>
      </c>
      <c r="G379" s="24">
        <v>39495</v>
      </c>
    </row>
    <row r="380" spans="1:7">
      <c r="A380" s="23">
        <v>28021867</v>
      </c>
      <c r="B380" s="23" t="s">
        <v>585</v>
      </c>
      <c r="C380" s="24">
        <v>39483</v>
      </c>
      <c r="G380" s="24">
        <v>39495</v>
      </c>
    </row>
    <row r="381" spans="1:7">
      <c r="A381" s="23">
        <v>28022095</v>
      </c>
      <c r="B381" s="23" t="s">
        <v>595</v>
      </c>
      <c r="C381" s="24">
        <v>39484</v>
      </c>
      <c r="G381" s="24">
        <v>39495</v>
      </c>
    </row>
    <row r="382" spans="1:7">
      <c r="A382" s="23">
        <v>28022230</v>
      </c>
      <c r="B382" s="23" t="s">
        <v>817</v>
      </c>
      <c r="C382" s="24">
        <v>39489</v>
      </c>
      <c r="G382" s="24">
        <v>39495</v>
      </c>
    </row>
    <row r="383" spans="1:7">
      <c r="A383" s="23">
        <v>28022244</v>
      </c>
      <c r="B383" s="23" t="s">
        <v>309</v>
      </c>
      <c r="C383" s="24">
        <v>39484</v>
      </c>
      <c r="D383" s="23">
        <v>2</v>
      </c>
      <c r="E383" s="23" t="s">
        <v>1407</v>
      </c>
      <c r="G383" s="24">
        <v>39495</v>
      </c>
    </row>
    <row r="384" spans="1:7">
      <c r="A384" s="23">
        <v>28022372</v>
      </c>
      <c r="B384" s="23" t="s">
        <v>436</v>
      </c>
      <c r="C384" s="24">
        <v>39486</v>
      </c>
      <c r="G384" s="24">
        <v>39495</v>
      </c>
    </row>
    <row r="385" spans="1:7">
      <c r="A385" s="23">
        <v>28022589</v>
      </c>
      <c r="B385" s="23" t="s">
        <v>1084</v>
      </c>
      <c r="C385" s="24">
        <v>39486</v>
      </c>
      <c r="G385" s="24">
        <v>39495</v>
      </c>
    </row>
    <row r="386" spans="1:7">
      <c r="A386" s="23">
        <v>28022663</v>
      </c>
      <c r="B386" s="23" t="s">
        <v>1158</v>
      </c>
      <c r="C386" s="24">
        <v>39485</v>
      </c>
      <c r="D386" s="23" t="s">
        <v>1620</v>
      </c>
      <c r="E386" s="23" t="s">
        <v>1619</v>
      </c>
      <c r="F386" s="24">
        <v>39508</v>
      </c>
      <c r="G386" s="24">
        <v>39495</v>
      </c>
    </row>
    <row r="387" spans="1:7">
      <c r="A387" s="23">
        <v>28022907</v>
      </c>
      <c r="B387" s="23" t="s">
        <v>2191</v>
      </c>
      <c r="G387" s="24">
        <v>39512</v>
      </c>
    </row>
    <row r="388" spans="1:7">
      <c r="A388" s="23">
        <v>28022935</v>
      </c>
      <c r="B388" s="23" t="s">
        <v>738</v>
      </c>
      <c r="C388" s="24">
        <v>39485</v>
      </c>
      <c r="G388" s="24">
        <v>39495</v>
      </c>
    </row>
    <row r="389" spans="1:7">
      <c r="A389" s="23">
        <v>28023001</v>
      </c>
      <c r="B389" s="23" t="s">
        <v>892</v>
      </c>
      <c r="C389" s="24">
        <v>39485</v>
      </c>
      <c r="G389" s="24">
        <v>39495</v>
      </c>
    </row>
    <row r="390" spans="1:7">
      <c r="A390" s="23">
        <v>28023084</v>
      </c>
      <c r="B390" s="23" t="s">
        <v>515</v>
      </c>
      <c r="C390" s="24">
        <v>39486</v>
      </c>
      <c r="G390" s="24">
        <v>39495</v>
      </c>
    </row>
    <row r="391" spans="1:7">
      <c r="A391" s="23">
        <v>28023200</v>
      </c>
      <c r="B391" s="23" t="s">
        <v>635</v>
      </c>
      <c r="C391" s="24">
        <v>39485</v>
      </c>
      <c r="G391" s="24">
        <v>39495</v>
      </c>
    </row>
    <row r="392" spans="1:7">
      <c r="A392" s="23">
        <v>28023230</v>
      </c>
      <c r="B392" s="23" t="s">
        <v>709</v>
      </c>
      <c r="C392" s="24">
        <v>39486</v>
      </c>
      <c r="G392" s="24">
        <v>39495</v>
      </c>
    </row>
    <row r="393" spans="1:7">
      <c r="A393" s="23">
        <v>28023330</v>
      </c>
      <c r="B393" s="23" t="s">
        <v>666</v>
      </c>
      <c r="C393" s="24">
        <v>39486</v>
      </c>
      <c r="G393" s="24">
        <v>39495</v>
      </c>
    </row>
    <row r="394" spans="1:7">
      <c r="A394" s="23">
        <v>28023397</v>
      </c>
      <c r="B394" s="23" t="s">
        <v>1213</v>
      </c>
      <c r="C394" s="24">
        <v>39485</v>
      </c>
      <c r="G394" s="24">
        <v>39495</v>
      </c>
    </row>
    <row r="395" spans="1:7">
      <c r="A395" s="23">
        <v>28023405</v>
      </c>
      <c r="B395" s="23" t="s">
        <v>567</v>
      </c>
      <c r="C395" s="24">
        <v>39486</v>
      </c>
      <c r="G395" s="24">
        <v>39495</v>
      </c>
    </row>
    <row r="396" spans="1:7">
      <c r="A396" s="23">
        <v>28023467</v>
      </c>
      <c r="B396" s="23" t="s">
        <v>493</v>
      </c>
      <c r="C396" s="24">
        <v>39486</v>
      </c>
      <c r="G396" s="24">
        <v>39495</v>
      </c>
    </row>
    <row r="397" spans="1:7">
      <c r="A397" s="23">
        <v>28023500</v>
      </c>
      <c r="B397" s="23" t="s">
        <v>528</v>
      </c>
      <c r="C397" s="24">
        <v>39486</v>
      </c>
      <c r="G397" s="24">
        <v>39495</v>
      </c>
    </row>
    <row r="398" spans="1:7">
      <c r="A398" s="23">
        <v>28023571</v>
      </c>
      <c r="B398" s="23" t="s">
        <v>726</v>
      </c>
      <c r="C398" s="24">
        <v>39486</v>
      </c>
      <c r="G398" s="24">
        <v>39495</v>
      </c>
    </row>
    <row r="399" spans="1:7">
      <c r="A399" s="23">
        <v>28023714</v>
      </c>
      <c r="B399" s="23" t="s">
        <v>458</v>
      </c>
      <c r="C399" s="24">
        <v>39486</v>
      </c>
      <c r="G399" s="24">
        <v>39495</v>
      </c>
    </row>
    <row r="400" spans="1:7">
      <c r="A400" s="23">
        <v>28023734</v>
      </c>
      <c r="B400" s="23" t="s">
        <v>475</v>
      </c>
      <c r="C400" s="24">
        <v>39486</v>
      </c>
      <c r="G400" s="24">
        <v>39495</v>
      </c>
    </row>
    <row r="401" spans="1:7">
      <c r="A401" s="23">
        <v>28023849</v>
      </c>
      <c r="B401" s="23" t="s">
        <v>1224</v>
      </c>
      <c r="C401" s="24">
        <v>39486</v>
      </c>
      <c r="G401" s="24">
        <v>39495</v>
      </c>
    </row>
    <row r="402" spans="1:7">
      <c r="A402" s="23">
        <v>28024017</v>
      </c>
      <c r="B402" s="23" t="s">
        <v>386</v>
      </c>
      <c r="C402" s="24">
        <v>39486</v>
      </c>
      <c r="G402" s="24">
        <v>39495</v>
      </c>
    </row>
    <row r="403" spans="1:7">
      <c r="A403" s="23">
        <v>28024018</v>
      </c>
      <c r="B403" s="23" t="s">
        <v>357</v>
      </c>
      <c r="C403" s="24">
        <v>39486</v>
      </c>
      <c r="G403" s="24">
        <v>39495</v>
      </c>
    </row>
    <row r="404" spans="1:7">
      <c r="A404" s="23">
        <v>28024113</v>
      </c>
      <c r="B404" s="23" t="s">
        <v>728</v>
      </c>
      <c r="C404" s="24">
        <v>39487</v>
      </c>
      <c r="G404" s="24">
        <v>39495</v>
      </c>
    </row>
    <row r="405" spans="1:7">
      <c r="A405" s="23">
        <v>28024150</v>
      </c>
      <c r="B405" s="23" t="s">
        <v>2183</v>
      </c>
      <c r="C405" s="24">
        <v>39486</v>
      </c>
      <c r="G405" s="24">
        <v>39495</v>
      </c>
    </row>
    <row r="406" spans="1:7">
      <c r="A406" s="23">
        <v>28024167</v>
      </c>
      <c r="B406" s="23" t="s">
        <v>291</v>
      </c>
      <c r="C406" s="24">
        <v>39486</v>
      </c>
      <c r="G406" s="24">
        <v>39495</v>
      </c>
    </row>
    <row r="407" spans="1:7">
      <c r="A407" s="23">
        <v>28024275</v>
      </c>
      <c r="B407" s="23" t="s">
        <v>417</v>
      </c>
      <c r="C407" s="24">
        <v>39488</v>
      </c>
      <c r="D407" s="23">
        <v>4</v>
      </c>
      <c r="E407" s="23" t="s">
        <v>1435</v>
      </c>
      <c r="F407" s="23" t="s">
        <v>1344</v>
      </c>
      <c r="G407" s="24">
        <v>39495</v>
      </c>
    </row>
    <row r="408" spans="1:7">
      <c r="A408" s="23">
        <v>28024288</v>
      </c>
      <c r="B408" s="23" t="s">
        <v>1463</v>
      </c>
      <c r="C408" s="24">
        <v>39487</v>
      </c>
      <c r="G408" s="24">
        <v>39495</v>
      </c>
    </row>
    <row r="409" spans="1:7">
      <c r="A409" s="23">
        <v>28024362</v>
      </c>
      <c r="B409" s="23" t="s">
        <v>699</v>
      </c>
      <c r="C409" s="24">
        <v>39487</v>
      </c>
      <c r="G409" s="24">
        <v>39495</v>
      </c>
    </row>
    <row r="410" spans="1:7">
      <c r="A410" s="23">
        <v>28024386</v>
      </c>
      <c r="B410" s="23" t="s">
        <v>1177</v>
      </c>
      <c r="C410" s="24">
        <v>39487</v>
      </c>
      <c r="G410" s="24">
        <v>39495</v>
      </c>
    </row>
    <row r="411" spans="1:7">
      <c r="A411" s="23">
        <v>28024487</v>
      </c>
      <c r="B411" s="23" t="s">
        <v>843</v>
      </c>
      <c r="C411" s="24">
        <v>39493</v>
      </c>
      <c r="G411" s="24">
        <v>39495</v>
      </c>
    </row>
    <row r="412" spans="1:7">
      <c r="A412" s="23">
        <v>28024725</v>
      </c>
      <c r="B412" s="23" t="s">
        <v>2253</v>
      </c>
      <c r="G412" s="24">
        <v>39511</v>
      </c>
    </row>
    <row r="413" spans="1:7">
      <c r="A413" s="23">
        <v>28024790</v>
      </c>
      <c r="B413" s="23" t="s">
        <v>902</v>
      </c>
      <c r="C413" s="24">
        <v>39493</v>
      </c>
      <c r="G413" s="24">
        <v>39495</v>
      </c>
    </row>
    <row r="414" spans="1:7">
      <c r="A414" s="23">
        <v>28024806</v>
      </c>
      <c r="B414" s="23" t="s">
        <v>637</v>
      </c>
      <c r="C414" s="24">
        <v>39489</v>
      </c>
      <c r="G414" s="24">
        <v>39495</v>
      </c>
    </row>
    <row r="415" spans="1:7">
      <c r="A415" s="23">
        <v>28024819</v>
      </c>
      <c r="B415" s="23" t="s">
        <v>828</v>
      </c>
      <c r="C415" s="24">
        <v>39489</v>
      </c>
      <c r="D415" s="23">
        <v>3</v>
      </c>
      <c r="E415" s="23" t="s">
        <v>1380</v>
      </c>
      <c r="G415" s="24">
        <v>39495</v>
      </c>
    </row>
    <row r="416" spans="1:7">
      <c r="A416" s="23">
        <v>28024868</v>
      </c>
      <c r="B416" s="23" t="s">
        <v>1230</v>
      </c>
      <c r="C416" s="24">
        <v>39489</v>
      </c>
      <c r="G416" s="24">
        <v>39495</v>
      </c>
    </row>
    <row r="417" spans="1:7">
      <c r="A417" s="23">
        <v>28025011</v>
      </c>
      <c r="B417" s="23" t="s">
        <v>277</v>
      </c>
      <c r="C417" s="24">
        <v>39489</v>
      </c>
      <c r="D417" s="23">
        <v>4</v>
      </c>
      <c r="E417" s="23" t="s">
        <v>1340</v>
      </c>
      <c r="F417" s="24">
        <v>39129</v>
      </c>
      <c r="G417" s="24">
        <v>39495</v>
      </c>
    </row>
    <row r="418" spans="1:7">
      <c r="A418" s="23">
        <v>28025026</v>
      </c>
      <c r="B418" s="23" t="s">
        <v>335</v>
      </c>
      <c r="C418" s="24">
        <v>39491</v>
      </c>
      <c r="G418" s="24">
        <v>39495</v>
      </c>
    </row>
    <row r="419" spans="1:7">
      <c r="A419" s="23">
        <v>28025036</v>
      </c>
      <c r="B419" s="23" t="s">
        <v>400</v>
      </c>
      <c r="C419" s="24">
        <v>39490</v>
      </c>
      <c r="G419" s="24">
        <v>39495</v>
      </c>
    </row>
    <row r="420" spans="1:7">
      <c r="A420" s="23">
        <v>28025060</v>
      </c>
      <c r="B420" s="23" t="s">
        <v>1335</v>
      </c>
      <c r="C420" s="24">
        <v>39495</v>
      </c>
      <c r="D420" s="23">
        <v>2</v>
      </c>
      <c r="E420" s="23" t="s">
        <v>1345</v>
      </c>
      <c r="F420" s="23" t="s">
        <v>1344</v>
      </c>
      <c r="G420" s="24">
        <v>39496</v>
      </c>
    </row>
    <row r="421" spans="1:7">
      <c r="A421" s="23">
        <v>28025572</v>
      </c>
      <c r="B421" s="23" t="s">
        <v>744</v>
      </c>
      <c r="C421" s="24">
        <v>39493</v>
      </c>
      <c r="G421" s="24">
        <v>39495</v>
      </c>
    </row>
    <row r="422" spans="1:7">
      <c r="A422" s="23">
        <v>28025594</v>
      </c>
      <c r="B422" s="23" t="s">
        <v>1228</v>
      </c>
      <c r="C422" s="24">
        <v>39490</v>
      </c>
      <c r="G422" s="24">
        <v>39495</v>
      </c>
    </row>
    <row r="423" spans="1:7">
      <c r="A423" s="23">
        <v>28025604</v>
      </c>
      <c r="B423" s="23" t="s">
        <v>276</v>
      </c>
      <c r="C423" s="24">
        <v>39490</v>
      </c>
      <c r="D423" s="23">
        <v>4</v>
      </c>
      <c r="E423" s="23" t="s">
        <v>2271</v>
      </c>
      <c r="F423" s="24">
        <v>39494</v>
      </c>
      <c r="G423" s="24">
        <v>39495</v>
      </c>
    </row>
    <row r="424" spans="1:7">
      <c r="A424" s="23">
        <v>28025807</v>
      </c>
      <c r="B424" s="23" t="s">
        <v>262</v>
      </c>
      <c r="C424" s="24">
        <v>39491</v>
      </c>
      <c r="D424" s="23" t="s">
        <v>1624</v>
      </c>
      <c r="E424" s="23" t="s">
        <v>1627</v>
      </c>
      <c r="F424" s="24">
        <v>39508</v>
      </c>
      <c r="G424" s="24">
        <v>39495</v>
      </c>
    </row>
    <row r="425" spans="1:7">
      <c r="A425" s="23">
        <v>28025815</v>
      </c>
      <c r="B425" s="23" t="s">
        <v>675</v>
      </c>
      <c r="C425" s="24">
        <v>39491</v>
      </c>
      <c r="G425" s="24">
        <v>39495</v>
      </c>
    </row>
    <row r="426" spans="1:7">
      <c r="A426" s="23">
        <v>28025980</v>
      </c>
      <c r="B426" s="23" t="s">
        <v>1364</v>
      </c>
      <c r="C426" s="24">
        <v>39490</v>
      </c>
      <c r="G426" s="24">
        <v>39495</v>
      </c>
    </row>
    <row r="427" spans="1:7">
      <c r="A427" s="23">
        <v>28026043</v>
      </c>
      <c r="B427" s="23" t="s">
        <v>1612</v>
      </c>
      <c r="G427" s="24">
        <v>39507</v>
      </c>
    </row>
    <row r="428" spans="1:7">
      <c r="A428" s="23">
        <v>28026167</v>
      </c>
      <c r="B428" s="23" t="s">
        <v>1133</v>
      </c>
      <c r="C428" s="24">
        <v>39490</v>
      </c>
      <c r="G428" s="24">
        <v>39495</v>
      </c>
    </row>
    <row r="429" spans="1:7">
      <c r="A429" s="23">
        <v>28026168</v>
      </c>
      <c r="B429" s="23" t="s">
        <v>541</v>
      </c>
      <c r="C429" s="24">
        <v>39492</v>
      </c>
      <c r="D429" s="23">
        <v>2</v>
      </c>
      <c r="E429" s="23" t="s">
        <v>1374</v>
      </c>
      <c r="G429" s="24">
        <v>39495</v>
      </c>
    </row>
    <row r="430" spans="1:7">
      <c r="A430" s="23">
        <v>28026215</v>
      </c>
      <c r="B430" s="23" t="s">
        <v>1196</v>
      </c>
      <c r="C430" s="24">
        <v>39492</v>
      </c>
      <c r="G430" s="24">
        <v>39495</v>
      </c>
    </row>
    <row r="431" spans="1:7">
      <c r="A431" s="23">
        <v>28026258</v>
      </c>
      <c r="B431" s="23" t="s">
        <v>1337</v>
      </c>
      <c r="C431" s="24">
        <v>39495</v>
      </c>
      <c r="D431" s="23">
        <v>3</v>
      </c>
      <c r="E431" s="23" t="s">
        <v>1346</v>
      </c>
      <c r="F431" s="23" t="s">
        <v>1344</v>
      </c>
      <c r="G431" s="24">
        <v>39496</v>
      </c>
    </row>
    <row r="432" spans="1:7">
      <c r="A432" s="23">
        <v>28026262</v>
      </c>
      <c r="B432" s="23" t="s">
        <v>658</v>
      </c>
      <c r="C432" s="24">
        <v>39491</v>
      </c>
      <c r="G432" s="24">
        <v>39495</v>
      </c>
    </row>
    <row r="433" spans="1:7">
      <c r="A433" s="23">
        <v>28026275</v>
      </c>
      <c r="B433" s="23" t="s">
        <v>1276</v>
      </c>
      <c r="C433" s="24">
        <v>39491</v>
      </c>
      <c r="G433" s="24">
        <v>39495</v>
      </c>
    </row>
    <row r="434" spans="1:7">
      <c r="A434" s="23">
        <v>28026322</v>
      </c>
      <c r="B434" s="23" t="s">
        <v>611</v>
      </c>
      <c r="C434" s="24">
        <v>39493</v>
      </c>
      <c r="G434" s="24">
        <v>39495</v>
      </c>
    </row>
    <row r="435" spans="1:7">
      <c r="A435" s="23">
        <v>28026361</v>
      </c>
      <c r="B435" s="23" t="s">
        <v>661</v>
      </c>
      <c r="C435" s="24">
        <v>39491</v>
      </c>
      <c r="G435" s="24">
        <v>39495</v>
      </c>
    </row>
    <row r="436" spans="1:7">
      <c r="A436" s="23">
        <v>28026521</v>
      </c>
      <c r="B436" s="23" t="s">
        <v>797</v>
      </c>
      <c r="C436" s="24">
        <v>39491</v>
      </c>
      <c r="G436" s="24">
        <v>39495</v>
      </c>
    </row>
    <row r="437" spans="1:7">
      <c r="A437" s="23">
        <v>28026528</v>
      </c>
      <c r="B437" s="23" t="s">
        <v>511</v>
      </c>
      <c r="C437" s="24">
        <v>39491</v>
      </c>
      <c r="D437" s="23">
        <v>-4</v>
      </c>
      <c r="E437" s="23" t="s">
        <v>1402</v>
      </c>
      <c r="G437" s="24">
        <v>39495</v>
      </c>
    </row>
    <row r="438" spans="1:7">
      <c r="A438" s="23">
        <v>28026581</v>
      </c>
      <c r="B438" s="23" t="s">
        <v>355</v>
      </c>
      <c r="C438" s="24">
        <v>39491</v>
      </c>
      <c r="G438" s="24">
        <v>39495</v>
      </c>
    </row>
    <row r="439" spans="1:7">
      <c r="A439" s="23">
        <v>28026914</v>
      </c>
      <c r="B439" s="23" t="s">
        <v>1351</v>
      </c>
      <c r="C439" s="24">
        <v>39496</v>
      </c>
      <c r="D439" s="23">
        <v>2</v>
      </c>
      <c r="E439" s="23" t="s">
        <v>1382</v>
      </c>
      <c r="G439" s="24">
        <v>39497</v>
      </c>
    </row>
    <row r="440" spans="1:7">
      <c r="A440" s="23">
        <v>28026968</v>
      </c>
      <c r="B440" s="23" t="s">
        <v>1294</v>
      </c>
      <c r="C440" s="24">
        <v>39492</v>
      </c>
      <c r="G440" s="24">
        <v>39495</v>
      </c>
    </row>
    <row r="441" spans="1:7">
      <c r="A441" s="23">
        <v>28026998</v>
      </c>
      <c r="B441" s="23" t="s">
        <v>375</v>
      </c>
      <c r="C441" s="24">
        <v>39492</v>
      </c>
      <c r="G441" s="24">
        <v>39495</v>
      </c>
    </row>
    <row r="442" spans="1:7">
      <c r="A442" s="23">
        <v>28027078</v>
      </c>
      <c r="B442" s="23" t="s">
        <v>545</v>
      </c>
      <c r="C442" s="24">
        <v>39492</v>
      </c>
      <c r="G442" s="24">
        <v>39495</v>
      </c>
    </row>
    <row r="443" spans="1:7">
      <c r="A443" s="23">
        <v>28027231</v>
      </c>
      <c r="B443" s="23" t="s">
        <v>894</v>
      </c>
      <c r="C443" s="24">
        <v>39492</v>
      </c>
      <c r="G443" s="24">
        <v>39495</v>
      </c>
    </row>
    <row r="444" spans="1:7">
      <c r="A444" s="23">
        <v>28027236</v>
      </c>
      <c r="B444" s="23" t="s">
        <v>896</v>
      </c>
      <c r="C444" s="24">
        <v>39492</v>
      </c>
      <c r="G444" s="24">
        <v>39495</v>
      </c>
    </row>
    <row r="445" spans="1:7">
      <c r="A445" s="23">
        <v>28027240</v>
      </c>
      <c r="B445" s="23" t="s">
        <v>689</v>
      </c>
      <c r="C445" s="24">
        <v>39492</v>
      </c>
      <c r="G445" s="24">
        <v>39495</v>
      </c>
    </row>
    <row r="446" spans="1:7">
      <c r="A446" s="23">
        <v>28027350</v>
      </c>
      <c r="B446" s="23" t="s">
        <v>1370</v>
      </c>
      <c r="C446" s="24">
        <v>39493</v>
      </c>
      <c r="G446" s="24">
        <v>39495</v>
      </c>
    </row>
    <row r="447" spans="1:7">
      <c r="A447" s="23">
        <v>28027394</v>
      </c>
      <c r="B447" s="23" t="s">
        <v>762</v>
      </c>
      <c r="C447" s="24">
        <v>39493</v>
      </c>
      <c r="G447" s="24">
        <v>39495</v>
      </c>
    </row>
    <row r="448" spans="1:7">
      <c r="A448" s="23">
        <v>28027404</v>
      </c>
      <c r="B448" s="23" t="s">
        <v>390</v>
      </c>
      <c r="C448" s="24">
        <v>39492</v>
      </c>
      <c r="G448" s="24">
        <v>39495</v>
      </c>
    </row>
    <row r="449" spans="1:7">
      <c r="A449" s="23">
        <v>28027410</v>
      </c>
      <c r="B449" s="23" t="s">
        <v>160</v>
      </c>
      <c r="C449" s="24">
        <v>39493</v>
      </c>
      <c r="D449" s="23">
        <v>3</v>
      </c>
      <c r="E449" s="23" t="s">
        <v>1442</v>
      </c>
      <c r="F449" s="23" t="s">
        <v>1344</v>
      </c>
      <c r="G449" s="24">
        <v>39495</v>
      </c>
    </row>
    <row r="450" spans="1:7">
      <c r="A450" s="23">
        <v>28027450</v>
      </c>
      <c r="B450" s="23" t="s">
        <v>1251</v>
      </c>
      <c r="C450" s="24">
        <v>39492</v>
      </c>
      <c r="G450" s="24">
        <v>39495</v>
      </c>
    </row>
    <row r="451" spans="1:7">
      <c r="A451" s="23">
        <v>28027518</v>
      </c>
      <c r="B451" s="23" t="s">
        <v>260</v>
      </c>
      <c r="C451" s="24">
        <v>39493</v>
      </c>
      <c r="G451" s="24">
        <v>39495</v>
      </c>
    </row>
    <row r="452" spans="1:7">
      <c r="A452" s="23">
        <v>28027687</v>
      </c>
      <c r="B452" s="23" t="s">
        <v>888</v>
      </c>
      <c r="C452" s="24">
        <v>39494</v>
      </c>
      <c r="G452" s="24">
        <v>39495</v>
      </c>
    </row>
    <row r="453" spans="1:7">
      <c r="A453" s="23">
        <v>28027761</v>
      </c>
      <c r="B453" s="23" t="s">
        <v>384</v>
      </c>
      <c r="C453" s="24">
        <v>39494</v>
      </c>
      <c r="G453" s="24">
        <v>39495</v>
      </c>
    </row>
    <row r="454" spans="1:7">
      <c r="A454" s="23">
        <v>28028005</v>
      </c>
      <c r="B454" s="23" t="s">
        <v>575</v>
      </c>
      <c r="C454" s="24">
        <v>39494</v>
      </c>
      <c r="G454" s="24">
        <v>39495</v>
      </c>
    </row>
    <row r="455" spans="1:7">
      <c r="A455" s="23">
        <v>28028056</v>
      </c>
      <c r="B455" s="23" t="s">
        <v>755</v>
      </c>
      <c r="C455" s="24">
        <v>39493</v>
      </c>
      <c r="G455" s="24">
        <v>39495</v>
      </c>
    </row>
    <row r="456" spans="1:7">
      <c r="A456" s="23">
        <v>28028065</v>
      </c>
      <c r="B456" s="23" t="s">
        <v>714</v>
      </c>
      <c r="C456" s="24">
        <v>39493</v>
      </c>
      <c r="D456" s="23">
        <v>3</v>
      </c>
      <c r="E456" s="23" t="s">
        <v>1376</v>
      </c>
      <c r="G456" s="24">
        <v>39495</v>
      </c>
    </row>
    <row r="457" spans="1:7">
      <c r="A457" s="23">
        <v>28028089</v>
      </c>
      <c r="B457" s="23" t="s">
        <v>289</v>
      </c>
      <c r="C457" s="24">
        <v>39493</v>
      </c>
      <c r="D457" s="23">
        <v>-3</v>
      </c>
      <c r="E457" s="23" t="s">
        <v>1406</v>
      </c>
      <c r="G457" s="24">
        <v>39495</v>
      </c>
    </row>
    <row r="458" spans="1:7">
      <c r="A458" s="23">
        <v>28028113</v>
      </c>
      <c r="B458" s="23" t="s">
        <v>822</v>
      </c>
      <c r="C458" s="24">
        <v>39493</v>
      </c>
      <c r="G458" s="24">
        <v>39495</v>
      </c>
    </row>
    <row r="459" spans="1:7">
      <c r="A459" s="23">
        <v>28028118</v>
      </c>
      <c r="B459" s="23" t="s">
        <v>328</v>
      </c>
      <c r="C459" s="24">
        <v>39493</v>
      </c>
      <c r="G459" s="24">
        <v>39495</v>
      </c>
    </row>
    <row r="460" spans="1:7">
      <c r="A460" s="23">
        <v>28028148</v>
      </c>
      <c r="B460" s="23" t="s">
        <v>1222</v>
      </c>
      <c r="C460" s="24">
        <v>39493</v>
      </c>
      <c r="G460" s="24">
        <v>39495</v>
      </c>
    </row>
    <row r="461" spans="1:7">
      <c r="A461" s="23">
        <v>28028259</v>
      </c>
      <c r="B461" s="23" t="s">
        <v>468</v>
      </c>
      <c r="C461" s="24">
        <v>39493</v>
      </c>
      <c r="G461" s="24">
        <v>39495</v>
      </c>
    </row>
    <row r="462" spans="1:7">
      <c r="A462" s="23">
        <v>28028260</v>
      </c>
      <c r="B462" s="23" t="s">
        <v>464</v>
      </c>
      <c r="C462" s="24">
        <v>39493</v>
      </c>
      <c r="G462" s="24">
        <v>39495</v>
      </c>
    </row>
    <row r="463" spans="1:7">
      <c r="A463" s="23">
        <v>28028261</v>
      </c>
      <c r="B463" s="23" t="s">
        <v>466</v>
      </c>
      <c r="C463" s="24">
        <v>39493</v>
      </c>
      <c r="G463" s="24">
        <v>39495</v>
      </c>
    </row>
    <row r="464" spans="1:7">
      <c r="A464" s="23">
        <v>28028262</v>
      </c>
      <c r="B464" s="23" t="s">
        <v>537</v>
      </c>
      <c r="C464" s="24">
        <v>39493</v>
      </c>
      <c r="G464" s="24">
        <v>39495</v>
      </c>
    </row>
    <row r="465" spans="1:7">
      <c r="A465" s="23">
        <v>28028263</v>
      </c>
      <c r="B465" s="23" t="s">
        <v>539</v>
      </c>
      <c r="C465" s="24">
        <v>39494</v>
      </c>
      <c r="G465" s="24">
        <v>39495</v>
      </c>
    </row>
    <row r="466" spans="1:7">
      <c r="A466" s="23">
        <v>28028536</v>
      </c>
      <c r="B466" s="23" t="s">
        <v>593</v>
      </c>
      <c r="C466" s="24">
        <v>39494</v>
      </c>
      <c r="G466" s="24">
        <v>39495</v>
      </c>
    </row>
    <row r="467" spans="1:7">
      <c r="A467" s="23">
        <v>28028559</v>
      </c>
      <c r="B467" s="23" t="s">
        <v>794</v>
      </c>
      <c r="C467" s="24">
        <v>39494</v>
      </c>
      <c r="G467" s="24">
        <v>39495</v>
      </c>
    </row>
    <row r="468" spans="1:7">
      <c r="A468" s="23">
        <v>28029300</v>
      </c>
      <c r="B468" s="23" t="s">
        <v>1361</v>
      </c>
      <c r="C468" s="24">
        <v>39497</v>
      </c>
      <c r="D468" s="23">
        <v>4</v>
      </c>
      <c r="E468" s="23" t="s">
        <v>1383</v>
      </c>
      <c r="F468" s="23" t="s">
        <v>1344</v>
      </c>
      <c r="G468" s="24">
        <v>39497</v>
      </c>
    </row>
    <row r="469" spans="1:7">
      <c r="A469" s="23">
        <v>28029324</v>
      </c>
      <c r="B469" s="23" t="s">
        <v>1371</v>
      </c>
      <c r="C469" s="24">
        <v>39497</v>
      </c>
      <c r="D469" s="23">
        <v>2</v>
      </c>
      <c r="E469" s="23" t="s">
        <v>1387</v>
      </c>
      <c r="G469" s="24">
        <v>39497</v>
      </c>
    </row>
    <row r="470" spans="1:7">
      <c r="A470" s="23">
        <v>28029437</v>
      </c>
      <c r="B470" s="23" t="s">
        <v>1353</v>
      </c>
      <c r="C470" s="24">
        <v>39497</v>
      </c>
      <c r="D470" s="23">
        <v>2</v>
      </c>
      <c r="E470" s="23" t="s">
        <v>1381</v>
      </c>
      <c r="G470" s="24">
        <v>39497</v>
      </c>
    </row>
    <row r="471" spans="1:7">
      <c r="A471" s="23">
        <v>28029447</v>
      </c>
      <c r="B471" s="23" t="s">
        <v>1398</v>
      </c>
      <c r="C471" s="24">
        <v>39497</v>
      </c>
      <c r="D471" s="23">
        <v>4</v>
      </c>
      <c r="F471" s="23" t="s">
        <v>1344</v>
      </c>
      <c r="G471" s="24">
        <v>39498</v>
      </c>
    </row>
    <row r="472" spans="1:7">
      <c r="A472" s="23">
        <v>28029600</v>
      </c>
      <c r="B472" s="23" t="s">
        <v>1365</v>
      </c>
      <c r="C472" s="24">
        <v>39497</v>
      </c>
      <c r="D472" s="23">
        <v>4</v>
      </c>
      <c r="E472" s="23" t="s">
        <v>1385</v>
      </c>
      <c r="G472" s="24">
        <v>39497</v>
      </c>
    </row>
    <row r="473" spans="1:7">
      <c r="A473" s="23">
        <v>28029629</v>
      </c>
      <c r="B473" s="23" t="s">
        <v>1357</v>
      </c>
      <c r="C473" s="24">
        <v>39497</v>
      </c>
      <c r="D473" s="23">
        <v>3</v>
      </c>
      <c r="E473" s="23" t="s">
        <v>1326</v>
      </c>
      <c r="G473" s="24">
        <v>39497</v>
      </c>
    </row>
    <row r="474" spans="1:7">
      <c r="A474" s="23">
        <v>28029674</v>
      </c>
      <c r="B474" s="23" t="s">
        <v>1355</v>
      </c>
      <c r="C474" s="24">
        <v>39497</v>
      </c>
      <c r="D474" s="23">
        <v>3</v>
      </c>
      <c r="E474" s="23" t="s">
        <v>1326</v>
      </c>
      <c r="G474" s="24">
        <v>39497</v>
      </c>
    </row>
    <row r="475" spans="1:7">
      <c r="A475" s="23">
        <v>28029687</v>
      </c>
      <c r="B475" s="23" t="s">
        <v>1359</v>
      </c>
      <c r="C475" s="24">
        <v>39497</v>
      </c>
      <c r="D475" s="23">
        <v>3</v>
      </c>
      <c r="E475" s="23" t="s">
        <v>1326</v>
      </c>
      <c r="G475" s="24">
        <v>39497</v>
      </c>
    </row>
    <row r="476" spans="1:7">
      <c r="A476" s="23">
        <v>28029872</v>
      </c>
      <c r="B476" s="23" t="s">
        <v>1337</v>
      </c>
      <c r="C476" s="24">
        <v>39497</v>
      </c>
      <c r="D476" s="23">
        <v>4</v>
      </c>
      <c r="E476" s="23" t="s">
        <v>1384</v>
      </c>
      <c r="F476" s="23" t="s">
        <v>1344</v>
      </c>
      <c r="G476" s="24">
        <v>39497</v>
      </c>
    </row>
    <row r="477" spans="1:7">
      <c r="A477" s="23">
        <v>28029921</v>
      </c>
      <c r="B477" s="23" t="s">
        <v>1394</v>
      </c>
      <c r="C477" s="24">
        <v>39497</v>
      </c>
      <c r="D477" s="23">
        <v>2</v>
      </c>
      <c r="E477" s="23" t="s">
        <v>1410</v>
      </c>
      <c r="G477" s="24">
        <v>39498</v>
      </c>
    </row>
    <row r="478" spans="1:7">
      <c r="A478" s="23">
        <v>28030012</v>
      </c>
      <c r="B478" s="23" t="s">
        <v>1432</v>
      </c>
      <c r="C478" s="24">
        <v>39499</v>
      </c>
      <c r="D478" s="23">
        <v>2</v>
      </c>
      <c r="E478" s="23" t="s">
        <v>1452</v>
      </c>
      <c r="G478" s="24">
        <v>39499</v>
      </c>
    </row>
    <row r="479" spans="1:7">
      <c r="A479" s="23">
        <v>28030039</v>
      </c>
      <c r="B479" s="23" t="s">
        <v>1396</v>
      </c>
      <c r="C479" s="24">
        <v>39497</v>
      </c>
      <c r="D479" s="23">
        <v>-3</v>
      </c>
      <c r="E479" s="23" t="s">
        <v>1411</v>
      </c>
      <c r="G479" s="24">
        <v>39498</v>
      </c>
    </row>
    <row r="480" spans="1:7">
      <c r="A480" s="23">
        <v>28030136</v>
      </c>
      <c r="B480" s="23" t="s">
        <v>1501</v>
      </c>
      <c r="G480" s="24">
        <v>39503</v>
      </c>
    </row>
    <row r="481" spans="1:7">
      <c r="A481" s="23">
        <v>28030154</v>
      </c>
      <c r="B481" s="23" t="s">
        <v>1388</v>
      </c>
      <c r="C481" s="24">
        <v>39497</v>
      </c>
      <c r="D481" s="23">
        <v>-4</v>
      </c>
      <c r="E481" s="23" t="s">
        <v>1408</v>
      </c>
      <c r="G481" s="24">
        <v>39498</v>
      </c>
    </row>
    <row r="482" spans="1:7">
      <c r="A482" s="23">
        <v>28030415</v>
      </c>
      <c r="B482" s="23" t="s">
        <v>1460</v>
      </c>
      <c r="C482" s="24">
        <v>39499</v>
      </c>
      <c r="D482" s="23">
        <v>-3</v>
      </c>
      <c r="E482" s="23" t="s">
        <v>1447</v>
      </c>
      <c r="G482" s="24">
        <v>39499</v>
      </c>
    </row>
    <row r="483" spans="1:7">
      <c r="A483" s="23">
        <v>28030482</v>
      </c>
      <c r="B483" s="23" t="s">
        <v>1416</v>
      </c>
      <c r="C483" s="24">
        <v>39499</v>
      </c>
      <c r="D483" s="23">
        <v>-1</v>
      </c>
      <c r="E483" s="23" t="s">
        <v>1445</v>
      </c>
      <c r="G483" s="24">
        <v>39499</v>
      </c>
    </row>
    <row r="484" spans="1:7">
      <c r="A484" s="23">
        <v>28030509</v>
      </c>
      <c r="B484" s="23" t="s">
        <v>1426</v>
      </c>
      <c r="C484" s="24">
        <v>39499</v>
      </c>
      <c r="D484" s="23">
        <v>-4</v>
      </c>
      <c r="E484" s="23" t="s">
        <v>1326</v>
      </c>
      <c r="G484" s="24">
        <v>39499</v>
      </c>
    </row>
    <row r="485" spans="1:7">
      <c r="A485" s="23">
        <v>28030545</v>
      </c>
      <c r="B485" s="23" t="s">
        <v>1392</v>
      </c>
      <c r="C485" s="24">
        <v>39497</v>
      </c>
      <c r="D485" s="23">
        <v>1</v>
      </c>
      <c r="E485" s="23" t="s">
        <v>1409</v>
      </c>
      <c r="G485" s="24">
        <v>39498</v>
      </c>
    </row>
    <row r="486" spans="1:7">
      <c r="A486" s="23">
        <v>28030626</v>
      </c>
      <c r="B486" s="23" t="s">
        <v>1424</v>
      </c>
      <c r="C486" s="24">
        <v>39499</v>
      </c>
      <c r="D486" s="23">
        <v>2</v>
      </c>
      <c r="E486" s="23" t="s">
        <v>1449</v>
      </c>
      <c r="G486" s="24">
        <v>39499</v>
      </c>
    </row>
    <row r="487" spans="1:7">
      <c r="A487" s="23">
        <v>28030632</v>
      </c>
      <c r="B487" s="23" t="s">
        <v>1390</v>
      </c>
      <c r="C487" s="24">
        <v>39497</v>
      </c>
      <c r="D487" s="23">
        <v>-3</v>
      </c>
      <c r="E487" s="23" t="s">
        <v>1326</v>
      </c>
      <c r="G487" s="24">
        <v>39498</v>
      </c>
    </row>
    <row r="488" spans="1:7">
      <c r="A488" s="23">
        <v>28030680</v>
      </c>
      <c r="B488" s="23" t="s">
        <v>1430</v>
      </c>
      <c r="C488" s="24">
        <v>39499</v>
      </c>
      <c r="D488" s="23">
        <v>3</v>
      </c>
      <c r="E488" s="23" t="s">
        <v>1451</v>
      </c>
      <c r="G488" s="24">
        <v>39499</v>
      </c>
    </row>
    <row r="489" spans="1:7">
      <c r="A489" s="23">
        <v>28030832</v>
      </c>
      <c r="B489" s="23" t="s">
        <v>1414</v>
      </c>
      <c r="C489" s="24">
        <v>39499</v>
      </c>
      <c r="D489" s="23">
        <v>-4</v>
      </c>
      <c r="E489" s="23" t="s">
        <v>1444</v>
      </c>
      <c r="G489" s="24">
        <v>39499</v>
      </c>
    </row>
    <row r="490" spans="1:7">
      <c r="A490" s="23">
        <v>28030887</v>
      </c>
      <c r="B490" s="23" t="s">
        <v>1548</v>
      </c>
      <c r="G490" s="24">
        <v>39506</v>
      </c>
    </row>
    <row r="491" spans="1:7">
      <c r="A491" s="23">
        <v>28031236</v>
      </c>
      <c r="B491" s="23" t="s">
        <v>1418</v>
      </c>
      <c r="C491" s="24">
        <v>39499</v>
      </c>
      <c r="D491" s="23">
        <v>-4</v>
      </c>
      <c r="E491" s="23" t="s">
        <v>1446</v>
      </c>
      <c r="G491" s="24">
        <v>39499</v>
      </c>
    </row>
    <row r="492" spans="1:7">
      <c r="A492" s="23">
        <v>28031354</v>
      </c>
      <c r="B492" s="23" t="s">
        <v>1421</v>
      </c>
      <c r="C492" s="24">
        <v>39499</v>
      </c>
      <c r="D492" s="23">
        <v>1</v>
      </c>
      <c r="E492" s="23" t="s">
        <v>1448</v>
      </c>
      <c r="G492" s="24">
        <v>39499</v>
      </c>
    </row>
    <row r="493" spans="1:7">
      <c r="A493" s="23">
        <v>28031494</v>
      </c>
      <c r="B493" s="23" t="s">
        <v>1469</v>
      </c>
      <c r="D493" s="23" t="s">
        <v>1624</v>
      </c>
      <c r="E493" s="23" t="s">
        <v>1626</v>
      </c>
      <c r="F493" s="24">
        <v>39508</v>
      </c>
      <c r="G493" s="24">
        <v>39501</v>
      </c>
    </row>
    <row r="494" spans="1:7">
      <c r="A494" s="23">
        <v>28031548</v>
      </c>
      <c r="B494" s="23" t="s">
        <v>1471</v>
      </c>
      <c r="G494" s="24">
        <v>39501</v>
      </c>
    </row>
    <row r="495" spans="1:7">
      <c r="A495" s="23">
        <v>28031574</v>
      </c>
      <c r="B495" s="23" t="s">
        <v>1466</v>
      </c>
      <c r="G495" s="24">
        <v>39501</v>
      </c>
    </row>
    <row r="496" spans="1:7">
      <c r="A496" s="23">
        <v>28031588</v>
      </c>
      <c r="B496" s="23" t="s">
        <v>1464</v>
      </c>
      <c r="G496" s="24">
        <v>39501</v>
      </c>
    </row>
    <row r="497" spans="1:7">
      <c r="A497" s="23">
        <v>28031593</v>
      </c>
      <c r="B497" s="23" t="s">
        <v>1456</v>
      </c>
      <c r="G497" s="24">
        <v>39501</v>
      </c>
    </row>
    <row r="498" spans="1:7">
      <c r="A498" s="23">
        <v>28031803</v>
      </c>
      <c r="B498" s="23" t="s">
        <v>1453</v>
      </c>
      <c r="G498" s="24">
        <v>39501</v>
      </c>
    </row>
    <row r="499" spans="1:7">
      <c r="A499" s="23">
        <v>28031815</v>
      </c>
      <c r="B499" s="23" t="s">
        <v>1458</v>
      </c>
      <c r="G499" s="24">
        <v>39501</v>
      </c>
    </row>
    <row r="500" spans="1:7">
      <c r="A500" s="23">
        <v>28031818</v>
      </c>
      <c r="B500" s="23" t="s">
        <v>1520</v>
      </c>
      <c r="D500" s="23" t="s">
        <v>1624</v>
      </c>
      <c r="E500" s="23" t="s">
        <v>1625</v>
      </c>
      <c r="F500" s="24">
        <v>39508</v>
      </c>
      <c r="G500" s="24">
        <v>39505</v>
      </c>
    </row>
    <row r="501" spans="1:7">
      <c r="A501" s="23">
        <v>28031979</v>
      </c>
      <c r="B501" s="23" t="s">
        <v>1479</v>
      </c>
      <c r="G501" s="24">
        <v>39501</v>
      </c>
    </row>
    <row r="502" spans="1:7">
      <c r="A502" s="23">
        <v>28031984</v>
      </c>
      <c r="B502" s="23" t="s">
        <v>1461</v>
      </c>
      <c r="G502" s="24">
        <v>39501</v>
      </c>
    </row>
    <row r="503" spans="1:7">
      <c r="A503" s="23">
        <v>28031990</v>
      </c>
      <c r="B503" s="23" t="s">
        <v>1477</v>
      </c>
      <c r="G503" s="24">
        <v>39501</v>
      </c>
    </row>
    <row r="504" spans="1:7">
      <c r="A504" s="23">
        <v>28032011</v>
      </c>
      <c r="B504" s="23" t="s">
        <v>1542</v>
      </c>
      <c r="G504" s="24">
        <v>39505</v>
      </c>
    </row>
    <row r="505" spans="1:7">
      <c r="A505" s="23">
        <v>28032145</v>
      </c>
      <c r="B505" s="23" t="s">
        <v>2135</v>
      </c>
      <c r="G505" s="24">
        <v>39505</v>
      </c>
    </row>
    <row r="506" spans="1:7">
      <c r="A506" s="23">
        <v>28032147</v>
      </c>
      <c r="B506" s="23" t="s">
        <v>1475</v>
      </c>
      <c r="G506" s="24">
        <v>39501</v>
      </c>
    </row>
    <row r="507" spans="1:7">
      <c r="A507" s="23">
        <v>28032200</v>
      </c>
      <c r="B507" s="23" t="s">
        <v>1483</v>
      </c>
      <c r="G507" s="24">
        <v>39501</v>
      </c>
    </row>
    <row r="508" spans="1:7">
      <c r="A508" s="23">
        <v>28032301</v>
      </c>
      <c r="B508" s="23" t="s">
        <v>1489</v>
      </c>
      <c r="G508" s="24">
        <v>39503</v>
      </c>
    </row>
    <row r="509" spans="1:7">
      <c r="A509" s="23">
        <v>28032356</v>
      </c>
      <c r="B509" s="23" t="s">
        <v>1505</v>
      </c>
      <c r="G509" s="24">
        <v>39503</v>
      </c>
    </row>
    <row r="510" spans="1:7">
      <c r="A510" s="23">
        <v>28032372</v>
      </c>
      <c r="B510" s="23" t="s">
        <v>1495</v>
      </c>
      <c r="G510" s="24">
        <v>39503</v>
      </c>
    </row>
    <row r="511" spans="1:7">
      <c r="A511" s="23">
        <v>28032421</v>
      </c>
      <c r="B511" s="23" t="s">
        <v>1530</v>
      </c>
      <c r="G511" s="24">
        <v>39505</v>
      </c>
    </row>
    <row r="512" spans="1:7">
      <c r="A512" s="23">
        <v>28032469</v>
      </c>
      <c r="B512" s="23" t="s">
        <v>1487</v>
      </c>
      <c r="G512" s="24">
        <v>39503</v>
      </c>
    </row>
    <row r="513" spans="1:7">
      <c r="A513" s="23">
        <v>28032560</v>
      </c>
      <c r="B513" s="23" t="s">
        <v>1499</v>
      </c>
      <c r="G513" s="24">
        <v>39503</v>
      </c>
    </row>
    <row r="514" spans="1:7">
      <c r="A514" s="23">
        <v>28032617</v>
      </c>
      <c r="B514" s="23" t="s">
        <v>1497</v>
      </c>
      <c r="G514" s="24">
        <v>39503</v>
      </c>
    </row>
    <row r="515" spans="1:7">
      <c r="A515" s="23">
        <v>28032650</v>
      </c>
      <c r="B515" s="23" t="s">
        <v>1580</v>
      </c>
      <c r="G515" s="24">
        <v>39507</v>
      </c>
    </row>
    <row r="516" spans="1:7">
      <c r="A516" s="23">
        <v>28032668</v>
      </c>
      <c r="B516" s="23" t="s">
        <v>1522</v>
      </c>
      <c r="G516" s="24">
        <v>39505</v>
      </c>
    </row>
    <row r="517" spans="1:7">
      <c r="A517" s="23">
        <v>28032706</v>
      </c>
      <c r="B517" s="23" t="s">
        <v>178</v>
      </c>
      <c r="G517" s="24">
        <v>39507</v>
      </c>
    </row>
    <row r="518" spans="1:7">
      <c r="A518" s="23">
        <v>28032855</v>
      </c>
      <c r="B518" s="23" t="s">
        <v>1503</v>
      </c>
      <c r="G518" s="24">
        <v>39503</v>
      </c>
    </row>
    <row r="519" spans="1:7">
      <c r="A519" s="23">
        <v>28032926</v>
      </c>
      <c r="B519" s="23" t="s">
        <v>1491</v>
      </c>
      <c r="G519" s="24">
        <v>39503</v>
      </c>
    </row>
    <row r="520" spans="1:7">
      <c r="A520" s="23">
        <v>28033065</v>
      </c>
      <c r="B520" s="23" t="s">
        <v>1567</v>
      </c>
      <c r="G520" s="24">
        <v>39507</v>
      </c>
    </row>
    <row r="521" spans="1:7">
      <c r="A521" s="23">
        <v>28033132</v>
      </c>
      <c r="B521" s="23" t="s">
        <v>1493</v>
      </c>
      <c r="G521" s="24">
        <v>39503</v>
      </c>
    </row>
    <row r="522" spans="1:7">
      <c r="A522" s="23">
        <v>28033159</v>
      </c>
      <c r="B522" s="23" t="s">
        <v>1485</v>
      </c>
      <c r="G522" s="24">
        <v>39503</v>
      </c>
    </row>
    <row r="523" spans="1:7">
      <c r="A523" s="23">
        <v>28033169</v>
      </c>
      <c r="B523" s="23" t="s">
        <v>1516</v>
      </c>
      <c r="G523" s="24">
        <v>39505</v>
      </c>
    </row>
    <row r="524" spans="1:7">
      <c r="A524" s="23">
        <v>28033278</v>
      </c>
      <c r="B524" s="23" t="s">
        <v>2226</v>
      </c>
      <c r="G524" s="24">
        <v>39520</v>
      </c>
    </row>
    <row r="525" spans="1:7">
      <c r="A525" s="23">
        <v>28033328</v>
      </c>
      <c r="B525" s="23" t="s">
        <v>1524</v>
      </c>
      <c r="D525" s="23" t="s">
        <v>1621</v>
      </c>
      <c r="E525" s="23" t="s">
        <v>1623</v>
      </c>
      <c r="F525" s="24">
        <v>39508</v>
      </c>
      <c r="G525" s="24">
        <v>39505</v>
      </c>
    </row>
    <row r="526" spans="1:7">
      <c r="A526" s="23">
        <v>28033385</v>
      </c>
      <c r="B526" s="23" t="s">
        <v>1290</v>
      </c>
      <c r="G526" s="24">
        <v>39505</v>
      </c>
    </row>
    <row r="527" spans="1:7">
      <c r="A527" s="23">
        <v>28033433</v>
      </c>
      <c r="B527" s="23" t="s">
        <v>1526</v>
      </c>
      <c r="G527" s="24">
        <v>39505</v>
      </c>
    </row>
    <row r="528" spans="1:7">
      <c r="A528" s="23">
        <v>28033526</v>
      </c>
      <c r="B528" s="23" t="s">
        <v>1511</v>
      </c>
      <c r="G528" s="24">
        <v>39505</v>
      </c>
    </row>
    <row r="529" spans="1:7">
      <c r="A529" s="23">
        <v>28033550</v>
      </c>
      <c r="B529" s="23" t="s">
        <v>2181</v>
      </c>
      <c r="G529" s="24">
        <v>39520</v>
      </c>
    </row>
    <row r="530" spans="1:7">
      <c r="A530" s="23">
        <v>28033639</v>
      </c>
      <c r="B530" s="23" t="s">
        <v>1513</v>
      </c>
      <c r="G530" s="24">
        <v>39505</v>
      </c>
    </row>
    <row r="531" spans="1:7">
      <c r="A531" s="23">
        <v>28033698</v>
      </c>
      <c r="B531" s="23" t="s">
        <v>1528</v>
      </c>
      <c r="G531" s="24">
        <v>39505</v>
      </c>
    </row>
    <row r="532" spans="1:7">
      <c r="A532" s="23">
        <v>28033762</v>
      </c>
      <c r="B532" s="23" t="s">
        <v>268</v>
      </c>
      <c r="G532" s="24">
        <v>39505</v>
      </c>
    </row>
    <row r="533" spans="1:7">
      <c r="A533" s="23">
        <v>28033800</v>
      </c>
      <c r="B533" s="23" t="s">
        <v>365</v>
      </c>
      <c r="G533" s="24">
        <v>39505</v>
      </c>
    </row>
    <row r="534" spans="1:7">
      <c r="A534" s="23">
        <v>28033947</v>
      </c>
      <c r="B534" s="23" t="s">
        <v>1535</v>
      </c>
      <c r="G534" s="24">
        <v>39505</v>
      </c>
    </row>
    <row r="535" spans="1:7">
      <c r="A535" s="23">
        <v>28033954</v>
      </c>
      <c r="B535" s="23" t="s">
        <v>1539</v>
      </c>
      <c r="G535" s="24">
        <v>39505</v>
      </c>
    </row>
    <row r="536" spans="1:7">
      <c r="A536" s="23">
        <v>28033971</v>
      </c>
      <c r="B536" s="23" t="s">
        <v>1260</v>
      </c>
      <c r="G536" s="24">
        <v>39505</v>
      </c>
    </row>
    <row r="537" spans="1:7">
      <c r="A537" s="23">
        <v>28033985</v>
      </c>
      <c r="B537" s="23" t="s">
        <v>234</v>
      </c>
      <c r="D537" s="23" t="s">
        <v>1624</v>
      </c>
      <c r="E537" s="23" t="s">
        <v>1628</v>
      </c>
      <c r="F537" s="24">
        <v>39508</v>
      </c>
      <c r="G537" s="24">
        <v>39505</v>
      </c>
    </row>
    <row r="538" spans="1:7">
      <c r="A538" s="23">
        <v>28034171</v>
      </c>
      <c r="B538" s="23" t="s">
        <v>1962</v>
      </c>
      <c r="G538" s="24">
        <v>39512</v>
      </c>
    </row>
    <row r="539" spans="1:7">
      <c r="A539" s="23">
        <v>28034241</v>
      </c>
      <c r="B539" s="23" t="s">
        <v>1550</v>
      </c>
      <c r="G539" s="24">
        <v>39506</v>
      </c>
    </row>
    <row r="540" spans="1:7">
      <c r="A540" s="23">
        <v>28034263</v>
      </c>
      <c r="B540" s="23" t="s">
        <v>1507</v>
      </c>
      <c r="G540" s="24">
        <v>39505</v>
      </c>
    </row>
    <row r="541" spans="1:7">
      <c r="A541" s="23">
        <v>28034396</v>
      </c>
      <c r="B541" s="23" t="s">
        <v>1575</v>
      </c>
      <c r="G541" s="24">
        <v>39507</v>
      </c>
    </row>
    <row r="542" spans="1:7">
      <c r="A542" s="23">
        <v>28034506</v>
      </c>
      <c r="B542" s="23" t="s">
        <v>1518</v>
      </c>
      <c r="G542" s="24">
        <v>39505</v>
      </c>
    </row>
    <row r="543" spans="1:7">
      <c r="A543" s="23">
        <v>28034637</v>
      </c>
      <c r="B543" s="23" t="s">
        <v>2186</v>
      </c>
      <c r="G543" s="24">
        <v>39509</v>
      </c>
    </row>
    <row r="544" spans="1:7">
      <c r="A544" s="23">
        <v>28034656</v>
      </c>
      <c r="B544" s="23" t="s">
        <v>1545</v>
      </c>
      <c r="G544" s="24">
        <v>39506</v>
      </c>
    </row>
    <row r="545" spans="1:7">
      <c r="A545" s="23">
        <v>28034685</v>
      </c>
      <c r="B545" s="23" t="s">
        <v>1608</v>
      </c>
      <c r="G545" s="24">
        <v>39507</v>
      </c>
    </row>
    <row r="546" spans="1:7">
      <c r="A546" s="23">
        <v>28034689</v>
      </c>
      <c r="B546" s="23" t="s">
        <v>1554</v>
      </c>
      <c r="G546" s="24">
        <v>39506</v>
      </c>
    </row>
    <row r="547" spans="1:7">
      <c r="A547" s="23">
        <v>28034825</v>
      </c>
      <c r="B547" s="23" t="s">
        <v>1556</v>
      </c>
      <c r="G547" s="24">
        <v>39506</v>
      </c>
    </row>
    <row r="548" spans="1:7">
      <c r="A548" s="23">
        <v>28034909</v>
      </c>
      <c r="B548" s="23" t="s">
        <v>2247</v>
      </c>
      <c r="G548" s="24">
        <v>39512</v>
      </c>
    </row>
    <row r="549" spans="1:7">
      <c r="A549" s="23">
        <v>28034930</v>
      </c>
      <c r="B549" s="23" t="s">
        <v>2249</v>
      </c>
      <c r="G549" s="24">
        <v>39512</v>
      </c>
    </row>
    <row r="550" spans="1:7">
      <c r="A550" s="23">
        <v>28034936</v>
      </c>
      <c r="B550" s="23" t="s">
        <v>2250</v>
      </c>
      <c r="G550" s="24">
        <v>39512</v>
      </c>
    </row>
    <row r="551" spans="1:7">
      <c r="A551" s="23">
        <v>28034938</v>
      </c>
      <c r="B551" s="23" t="s">
        <v>2251</v>
      </c>
      <c r="G551" s="24">
        <v>39512</v>
      </c>
    </row>
    <row r="552" spans="1:7">
      <c r="A552" s="23">
        <v>28035261</v>
      </c>
      <c r="B552" s="23" t="s">
        <v>1552</v>
      </c>
      <c r="G552" s="24">
        <v>39506</v>
      </c>
    </row>
    <row r="553" spans="1:7">
      <c r="A553" s="23">
        <v>28035328</v>
      </c>
      <c r="B553" s="23" t="s">
        <v>1571</v>
      </c>
      <c r="G553" s="24">
        <v>39507</v>
      </c>
    </row>
    <row r="554" spans="1:7">
      <c r="A554" s="23">
        <v>28035422</v>
      </c>
      <c r="B554" s="23" t="s">
        <v>1596</v>
      </c>
      <c r="G554" s="24">
        <v>39507</v>
      </c>
    </row>
    <row r="555" spans="1:7">
      <c r="A555" s="23">
        <v>28035428</v>
      </c>
      <c r="B555" s="23" t="s">
        <v>1594</v>
      </c>
      <c r="D555" s="23" t="s">
        <v>1621</v>
      </c>
      <c r="E555" s="23" t="s">
        <v>1622</v>
      </c>
      <c r="F555" s="24">
        <v>39508</v>
      </c>
      <c r="G555" s="24">
        <v>39507</v>
      </c>
    </row>
    <row r="556" spans="1:7">
      <c r="A556" s="23">
        <v>28035455</v>
      </c>
      <c r="B556" s="23" t="s">
        <v>2265</v>
      </c>
      <c r="G556" s="24">
        <v>39509</v>
      </c>
    </row>
    <row r="557" spans="1:7">
      <c r="A557" s="23">
        <v>28035564</v>
      </c>
      <c r="B557" s="23" t="s">
        <v>1602</v>
      </c>
      <c r="G557" s="24">
        <v>39507</v>
      </c>
    </row>
    <row r="558" spans="1:7">
      <c r="A558" s="23">
        <v>28035582</v>
      </c>
      <c r="B558" s="23" t="s">
        <v>1592</v>
      </c>
      <c r="G558" s="24">
        <v>39507</v>
      </c>
    </row>
    <row r="559" spans="1:7">
      <c r="A559" s="23">
        <v>28035604</v>
      </c>
      <c r="B559" s="23" t="s">
        <v>1610</v>
      </c>
      <c r="G559" s="24">
        <v>39507</v>
      </c>
    </row>
    <row r="560" spans="1:7">
      <c r="A560" s="23">
        <v>28035641</v>
      </c>
      <c r="B560" s="23" t="s">
        <v>1582</v>
      </c>
      <c r="G560" s="24">
        <v>39507</v>
      </c>
    </row>
    <row r="561" spans="1:7">
      <c r="A561" s="23">
        <v>28035672</v>
      </c>
      <c r="B561" s="23" t="s">
        <v>1590</v>
      </c>
      <c r="G561" s="24">
        <v>39507</v>
      </c>
    </row>
    <row r="562" spans="1:7">
      <c r="A562" s="23">
        <v>28035778</v>
      </c>
      <c r="B562" s="23" t="s">
        <v>1584</v>
      </c>
      <c r="G562" s="24">
        <v>39507</v>
      </c>
    </row>
    <row r="563" spans="1:7">
      <c r="A563" s="23">
        <v>28035809</v>
      </c>
      <c r="B563" s="23" t="s">
        <v>1565</v>
      </c>
      <c r="G563" s="24">
        <v>39507</v>
      </c>
    </row>
    <row r="564" spans="1:7">
      <c r="A564" s="23">
        <v>28035828</v>
      </c>
      <c r="B564" s="23" t="s">
        <v>1598</v>
      </c>
      <c r="G564" s="24">
        <v>39507</v>
      </c>
    </row>
    <row r="565" spans="1:7">
      <c r="A565" s="23">
        <v>28035829</v>
      </c>
      <c r="B565" s="23" t="s">
        <v>2165</v>
      </c>
      <c r="G565" s="24">
        <v>39509</v>
      </c>
    </row>
    <row r="566" spans="1:7">
      <c r="A566" s="23">
        <v>28035871</v>
      </c>
      <c r="B566" s="23" t="s">
        <v>1569</v>
      </c>
      <c r="G566" s="24">
        <v>39507</v>
      </c>
    </row>
    <row r="567" spans="1:7">
      <c r="A567" s="23">
        <v>28035950</v>
      </c>
      <c r="B567" s="23" t="s">
        <v>1616</v>
      </c>
      <c r="G567" s="24">
        <v>39507</v>
      </c>
    </row>
    <row r="568" spans="1:7">
      <c r="A568" s="23">
        <v>28036011</v>
      </c>
      <c r="B568" s="23" t="s">
        <v>2270</v>
      </c>
      <c r="G568" s="24">
        <v>39507</v>
      </c>
    </row>
    <row r="569" spans="1:7">
      <c r="A569" s="23">
        <v>28036056</v>
      </c>
      <c r="B569" s="23" t="s">
        <v>1578</v>
      </c>
      <c r="G569" s="24">
        <v>39507</v>
      </c>
    </row>
    <row r="570" spans="1:7">
      <c r="A570" s="23">
        <v>28036097</v>
      </c>
      <c r="B570" s="23" t="s">
        <v>2264</v>
      </c>
      <c r="G570" s="24">
        <v>39509</v>
      </c>
    </row>
    <row r="571" spans="1:7">
      <c r="A571" s="23">
        <v>28036101</v>
      </c>
      <c r="B571" s="23" t="s">
        <v>2118</v>
      </c>
      <c r="G571" s="24">
        <v>39512</v>
      </c>
    </row>
    <row r="572" spans="1:7">
      <c r="A572" s="23">
        <v>28036132</v>
      </c>
      <c r="B572" s="23" t="s">
        <v>1600</v>
      </c>
      <c r="G572" s="24">
        <v>39507</v>
      </c>
    </row>
    <row r="573" spans="1:7">
      <c r="A573" s="23">
        <v>28036310</v>
      </c>
      <c r="B573" s="23" t="s">
        <v>1633</v>
      </c>
      <c r="G573" s="24">
        <v>39509</v>
      </c>
    </row>
    <row r="574" spans="1:7">
      <c r="A574" s="23">
        <v>28036373</v>
      </c>
      <c r="B574" s="23" t="s">
        <v>2267</v>
      </c>
      <c r="G574" s="24">
        <v>39509</v>
      </c>
    </row>
    <row r="575" spans="1:7">
      <c r="A575" s="23">
        <v>28036437</v>
      </c>
      <c r="B575" s="23" t="s">
        <v>2143</v>
      </c>
      <c r="G575" s="24">
        <v>39509</v>
      </c>
    </row>
    <row r="576" spans="1:7">
      <c r="A576" s="23">
        <v>28036603</v>
      </c>
      <c r="B576" s="23" t="s">
        <v>330</v>
      </c>
      <c r="G576" s="24">
        <v>39509</v>
      </c>
    </row>
    <row r="577" spans="1:7">
      <c r="A577" s="23">
        <v>28036628</v>
      </c>
      <c r="B577" s="23" t="s">
        <v>2268</v>
      </c>
      <c r="G577" s="24">
        <v>39509</v>
      </c>
    </row>
    <row r="578" spans="1:7">
      <c r="A578" s="23">
        <v>28036636</v>
      </c>
      <c r="B578" s="23" t="s">
        <v>2269</v>
      </c>
      <c r="G578" s="24">
        <v>39509</v>
      </c>
    </row>
    <row r="579" spans="1:7">
      <c r="A579" s="23">
        <v>28036801</v>
      </c>
      <c r="B579" s="23" t="s">
        <v>1241</v>
      </c>
      <c r="G579" s="24">
        <v>39509</v>
      </c>
    </row>
    <row r="580" spans="1:7">
      <c r="A580" s="23">
        <v>28036929</v>
      </c>
      <c r="B580" s="23" t="s">
        <v>2162</v>
      </c>
      <c r="G580" s="24">
        <v>39511</v>
      </c>
    </row>
    <row r="581" spans="1:7">
      <c r="A581" s="23">
        <v>28036962</v>
      </c>
      <c r="B581" s="23" t="s">
        <v>1808</v>
      </c>
      <c r="G581" s="24">
        <v>39511</v>
      </c>
    </row>
    <row r="582" spans="1:7">
      <c r="A582" s="23">
        <v>28036972</v>
      </c>
      <c r="B582" s="23" t="s">
        <v>2252</v>
      </c>
      <c r="G582" s="24">
        <v>39511</v>
      </c>
    </row>
    <row r="583" spans="1:7">
      <c r="A583" s="23">
        <v>28037117</v>
      </c>
      <c r="B583" s="23" t="s">
        <v>2258</v>
      </c>
      <c r="G583" s="24">
        <v>39511</v>
      </c>
    </row>
    <row r="584" spans="1:7">
      <c r="A584" s="23">
        <v>28037203</v>
      </c>
      <c r="B584" s="23" t="s">
        <v>2260</v>
      </c>
      <c r="G584" s="24">
        <v>39511</v>
      </c>
    </row>
    <row r="585" spans="1:7">
      <c r="A585" s="23">
        <v>28037233</v>
      </c>
      <c r="B585" s="23" t="s">
        <v>1759</v>
      </c>
      <c r="G585" s="24">
        <v>39511</v>
      </c>
    </row>
    <row r="586" spans="1:7">
      <c r="A586" s="23">
        <v>28037307</v>
      </c>
      <c r="B586" s="23" t="s">
        <v>2163</v>
      </c>
      <c r="G586" s="24">
        <v>39511</v>
      </c>
    </row>
    <row r="587" spans="1:7">
      <c r="A587" s="23">
        <v>28037348</v>
      </c>
      <c r="B587" s="23" t="s">
        <v>1940</v>
      </c>
      <c r="G587" s="24">
        <v>39520</v>
      </c>
    </row>
    <row r="588" spans="1:7">
      <c r="A588" s="23">
        <v>28037468</v>
      </c>
      <c r="B588" s="23" t="s">
        <v>2145</v>
      </c>
      <c r="G588" s="24">
        <v>39511</v>
      </c>
    </row>
    <row r="589" spans="1:7">
      <c r="A589" s="23">
        <v>28037519</v>
      </c>
      <c r="B589" s="23" t="s">
        <v>2257</v>
      </c>
      <c r="G589" s="24">
        <v>39511</v>
      </c>
    </row>
    <row r="590" spans="1:7">
      <c r="A590" s="23">
        <v>28037536</v>
      </c>
      <c r="B590" s="23" t="s">
        <v>2259</v>
      </c>
      <c r="G590" s="24">
        <v>39511</v>
      </c>
    </row>
    <row r="591" spans="1:7">
      <c r="A591" s="23">
        <v>28037681</v>
      </c>
      <c r="B591" s="23" t="s">
        <v>2254</v>
      </c>
      <c r="G591" s="24">
        <v>39511</v>
      </c>
    </row>
    <row r="592" spans="1:7">
      <c r="A592" s="23">
        <v>28037710</v>
      </c>
      <c r="B592" s="23" t="s">
        <v>555</v>
      </c>
      <c r="G592" s="24">
        <v>39520</v>
      </c>
    </row>
    <row r="593" spans="1:7">
      <c r="A593" s="23">
        <v>28037711</v>
      </c>
      <c r="B593" s="23" t="s">
        <v>2111</v>
      </c>
      <c r="G593" s="24">
        <v>39511</v>
      </c>
    </row>
    <row r="594" spans="1:7">
      <c r="A594" s="23">
        <v>28037738</v>
      </c>
      <c r="B594" s="23" t="s">
        <v>1276</v>
      </c>
      <c r="G594" s="24">
        <v>39511</v>
      </c>
    </row>
    <row r="595" spans="1:7">
      <c r="A595" s="23">
        <v>28037830</v>
      </c>
      <c r="B595" s="23" t="s">
        <v>2188</v>
      </c>
      <c r="G595" s="24">
        <v>39520</v>
      </c>
    </row>
    <row r="596" spans="1:7">
      <c r="A596" s="23">
        <v>28037966</v>
      </c>
      <c r="B596" s="23" t="s">
        <v>2261</v>
      </c>
      <c r="G596" s="24">
        <v>39511</v>
      </c>
    </row>
    <row r="597" spans="1:7">
      <c r="A597" s="23">
        <v>28038007</v>
      </c>
      <c r="B597" s="23" t="s">
        <v>2256</v>
      </c>
      <c r="G597" s="24">
        <v>39511</v>
      </c>
    </row>
    <row r="598" spans="1:7">
      <c r="A598" s="23">
        <v>28038023</v>
      </c>
      <c r="B598" s="23" t="s">
        <v>1858</v>
      </c>
      <c r="G598" s="24">
        <v>39512</v>
      </c>
    </row>
    <row r="599" spans="1:7">
      <c r="A599" s="23">
        <v>28038040</v>
      </c>
      <c r="B599" s="23" t="s">
        <v>2255</v>
      </c>
      <c r="G599" s="24">
        <v>39511</v>
      </c>
    </row>
    <row r="600" spans="1:7">
      <c r="A600" s="23">
        <v>28038077</v>
      </c>
      <c r="B600" s="23" t="s">
        <v>2124</v>
      </c>
      <c r="G600" s="24">
        <v>39520</v>
      </c>
    </row>
    <row r="601" spans="1:7">
      <c r="A601" s="23">
        <v>28038180</v>
      </c>
      <c r="B601" s="23" t="s">
        <v>2223</v>
      </c>
      <c r="G601" s="24">
        <v>39520</v>
      </c>
    </row>
    <row r="602" spans="1:7">
      <c r="A602" s="23">
        <v>28038196</v>
      </c>
      <c r="B602" s="23" t="s">
        <v>2167</v>
      </c>
      <c r="G602" s="24">
        <v>39512</v>
      </c>
    </row>
    <row r="603" spans="1:7">
      <c r="A603" s="23">
        <v>28038242</v>
      </c>
      <c r="B603" s="23" t="s">
        <v>2107</v>
      </c>
      <c r="G603" s="24">
        <v>39511</v>
      </c>
    </row>
    <row r="604" spans="1:7">
      <c r="A604" s="23">
        <v>28038271</v>
      </c>
      <c r="B604" s="23" t="s">
        <v>1477</v>
      </c>
      <c r="G604" s="24">
        <v>39511</v>
      </c>
    </row>
    <row r="605" spans="1:7">
      <c r="A605" s="23">
        <v>28038374</v>
      </c>
      <c r="B605" s="23" t="s">
        <v>2153</v>
      </c>
      <c r="G605" s="24">
        <v>39512</v>
      </c>
    </row>
    <row r="606" spans="1:7">
      <c r="A606" s="23">
        <v>28038381</v>
      </c>
      <c r="B606" s="23" t="s">
        <v>2262</v>
      </c>
      <c r="G606" s="24">
        <v>39511</v>
      </c>
    </row>
    <row r="607" spans="1:7">
      <c r="A607" s="23">
        <v>28038383</v>
      </c>
      <c r="B607" s="23" t="s">
        <v>2263</v>
      </c>
      <c r="G607" s="24">
        <v>39511</v>
      </c>
    </row>
    <row r="608" spans="1:7">
      <c r="A608" s="23">
        <v>28038593</v>
      </c>
      <c r="B608" s="23" t="s">
        <v>2230</v>
      </c>
      <c r="G608" s="24">
        <v>39520</v>
      </c>
    </row>
    <row r="609" spans="1:7">
      <c r="A609" s="23">
        <v>28038695</v>
      </c>
      <c r="B609" s="23" t="s">
        <v>2166</v>
      </c>
      <c r="G609" s="24">
        <v>39512</v>
      </c>
    </row>
    <row r="610" spans="1:7">
      <c r="A610" s="23">
        <v>28038795</v>
      </c>
      <c r="B610" s="23" t="s">
        <v>2246</v>
      </c>
      <c r="G610" s="24">
        <v>39512</v>
      </c>
    </row>
    <row r="611" spans="1:7">
      <c r="A611" s="23">
        <v>28038798</v>
      </c>
      <c r="B611" s="23" t="s">
        <v>2150</v>
      </c>
      <c r="G611" s="24">
        <v>39512</v>
      </c>
    </row>
    <row r="612" spans="1:7">
      <c r="A612" s="23">
        <v>28038859</v>
      </c>
      <c r="B612" s="23" t="s">
        <v>1364</v>
      </c>
      <c r="G612" s="24">
        <v>39512</v>
      </c>
    </row>
    <row r="613" spans="1:7">
      <c r="A613" s="23">
        <v>28038924</v>
      </c>
      <c r="B613" s="23" t="s">
        <v>2229</v>
      </c>
      <c r="G613" s="24">
        <v>39520</v>
      </c>
    </row>
    <row r="614" spans="1:7">
      <c r="A614" s="23">
        <v>28039027</v>
      </c>
      <c r="B614" s="23" t="s">
        <v>2134</v>
      </c>
      <c r="G614" s="24">
        <v>39520</v>
      </c>
    </row>
    <row r="615" spans="1:7">
      <c r="A615" s="23">
        <v>28039260</v>
      </c>
      <c r="B615" s="23" t="s">
        <v>1800</v>
      </c>
      <c r="G615" s="24">
        <v>39512</v>
      </c>
    </row>
    <row r="616" spans="1:7">
      <c r="A616" s="23">
        <v>28039366</v>
      </c>
      <c r="B616" s="23" t="s">
        <v>2248</v>
      </c>
      <c r="G616" s="24">
        <v>39512</v>
      </c>
    </row>
    <row r="617" spans="1:7">
      <c r="A617" s="23">
        <v>28039416</v>
      </c>
      <c r="B617" s="23" t="s">
        <v>1303</v>
      </c>
      <c r="G617" s="24">
        <v>39520</v>
      </c>
    </row>
    <row r="618" spans="1:7">
      <c r="A618" s="23">
        <v>28039525</v>
      </c>
      <c r="B618" s="23" t="s">
        <v>2132</v>
      </c>
      <c r="G618" s="24">
        <v>39513</v>
      </c>
    </row>
    <row r="619" spans="1:7">
      <c r="A619" s="23">
        <v>28039552</v>
      </c>
      <c r="B619" s="23" t="s">
        <v>2244</v>
      </c>
      <c r="G619" s="24">
        <v>39513</v>
      </c>
    </row>
    <row r="620" spans="1:7">
      <c r="A620" s="23">
        <v>28039615</v>
      </c>
      <c r="B620" s="23" t="s">
        <v>1784</v>
      </c>
      <c r="G620" s="24">
        <v>39513</v>
      </c>
    </row>
    <row r="621" spans="1:7">
      <c r="A621" s="23">
        <v>28039621</v>
      </c>
      <c r="B621" s="23" t="s">
        <v>1771</v>
      </c>
      <c r="G621" s="24">
        <v>39513</v>
      </c>
    </row>
    <row r="622" spans="1:7">
      <c r="A622" s="23">
        <v>28039640</v>
      </c>
      <c r="B622" s="23" t="s">
        <v>2185</v>
      </c>
      <c r="G622" s="24">
        <v>39513</v>
      </c>
    </row>
    <row r="623" spans="1:7">
      <c r="A623" s="23">
        <v>28039687</v>
      </c>
      <c r="B623" s="23" t="s">
        <v>1811</v>
      </c>
      <c r="G623" s="24">
        <v>39520</v>
      </c>
    </row>
    <row r="624" spans="1:7">
      <c r="A624" s="23">
        <v>28039786</v>
      </c>
      <c r="B624" s="23" t="s">
        <v>1284</v>
      </c>
      <c r="G624" s="24">
        <v>39513</v>
      </c>
    </row>
    <row r="625" spans="1:7">
      <c r="A625" s="23">
        <v>28039802</v>
      </c>
      <c r="B625" s="23" t="s">
        <v>1904</v>
      </c>
      <c r="G625" s="24">
        <v>39513</v>
      </c>
    </row>
    <row r="626" spans="1:7">
      <c r="A626" s="23">
        <v>28039993</v>
      </c>
      <c r="B626" s="23" t="s">
        <v>205</v>
      </c>
      <c r="G626" s="24">
        <v>39520</v>
      </c>
    </row>
    <row r="627" spans="1:7">
      <c r="A627" s="23">
        <v>28040033</v>
      </c>
      <c r="B627" s="23" t="s">
        <v>1535</v>
      </c>
      <c r="G627" s="24">
        <v>39520</v>
      </c>
    </row>
    <row r="628" spans="1:7">
      <c r="A628" s="23">
        <v>28040043</v>
      </c>
      <c r="B628" s="23" t="s">
        <v>1726</v>
      </c>
      <c r="G628" s="24">
        <v>39520</v>
      </c>
    </row>
    <row r="629" spans="1:7">
      <c r="A629" s="23">
        <v>28040066</v>
      </c>
      <c r="B629" s="23" t="s">
        <v>2224</v>
      </c>
      <c r="G629" s="24">
        <v>39520</v>
      </c>
    </row>
    <row r="630" spans="1:7">
      <c r="A630" s="23">
        <v>28040071</v>
      </c>
      <c r="B630" s="23" t="s">
        <v>2241</v>
      </c>
      <c r="G630" s="24">
        <v>39520</v>
      </c>
    </row>
    <row r="631" spans="1:7">
      <c r="A631" s="23">
        <v>28040105</v>
      </c>
      <c r="B631" s="23" t="s">
        <v>2228</v>
      </c>
      <c r="G631" s="24">
        <v>39520</v>
      </c>
    </row>
    <row r="632" spans="1:7">
      <c r="A632" s="23">
        <v>28040145</v>
      </c>
      <c r="B632" s="23" t="s">
        <v>2182</v>
      </c>
      <c r="G632" s="24">
        <v>39520</v>
      </c>
    </row>
    <row r="633" spans="1:7">
      <c r="A633" s="23">
        <v>28040201</v>
      </c>
      <c r="B633" s="23" t="s">
        <v>1424</v>
      </c>
      <c r="G633" s="24">
        <v>39520</v>
      </c>
    </row>
    <row r="634" spans="1:7">
      <c r="A634" s="23">
        <v>28040280</v>
      </c>
      <c r="B634" s="23" t="s">
        <v>2123</v>
      </c>
      <c r="G634" s="24">
        <v>39520</v>
      </c>
    </row>
    <row r="635" spans="1:7">
      <c r="A635" s="23">
        <v>28040285</v>
      </c>
      <c r="B635" s="23" t="s">
        <v>1907</v>
      </c>
      <c r="G635" s="24">
        <v>39520</v>
      </c>
    </row>
    <row r="636" spans="1:7">
      <c r="A636" s="23">
        <v>28040368</v>
      </c>
      <c r="B636" s="23" t="s">
        <v>2225</v>
      </c>
      <c r="G636" s="24">
        <v>39520</v>
      </c>
    </row>
    <row r="637" spans="1:7">
      <c r="A637" s="23">
        <v>28040534</v>
      </c>
      <c r="B637" s="23" t="s">
        <v>1951</v>
      </c>
      <c r="G637" s="24">
        <v>39520</v>
      </c>
    </row>
    <row r="638" spans="1:7">
      <c r="A638" s="23">
        <v>28040674</v>
      </c>
      <c r="B638" s="23" t="s">
        <v>2242</v>
      </c>
      <c r="G638" s="24">
        <v>39520</v>
      </c>
    </row>
    <row r="639" spans="1:7">
      <c r="A639" s="23">
        <v>28040718</v>
      </c>
      <c r="B639" s="23" t="s">
        <v>2243</v>
      </c>
      <c r="G639" s="24">
        <v>39520</v>
      </c>
    </row>
    <row r="640" spans="1:7">
      <c r="A640" s="23">
        <v>28040739</v>
      </c>
      <c r="B640" s="23" t="s">
        <v>2193</v>
      </c>
      <c r="G640" s="24">
        <v>39520</v>
      </c>
    </row>
    <row r="641" spans="1:7">
      <c r="A641" s="23">
        <v>28041034</v>
      </c>
      <c r="B641" s="23" t="s">
        <v>2233</v>
      </c>
      <c r="G641" s="24">
        <v>39520</v>
      </c>
    </row>
    <row r="642" spans="1:7">
      <c r="A642" s="23">
        <v>28041039</v>
      </c>
      <c r="B642" s="23" t="s">
        <v>2190</v>
      </c>
      <c r="G642" s="24">
        <v>39520</v>
      </c>
    </row>
    <row r="643" spans="1:7">
      <c r="A643" s="23">
        <v>28041131</v>
      </c>
      <c r="B643" s="23" t="s">
        <v>2237</v>
      </c>
      <c r="G643" s="24">
        <v>39520</v>
      </c>
    </row>
    <row r="644" spans="1:7">
      <c r="A644" s="23">
        <v>28041195</v>
      </c>
      <c r="B644" s="23" t="s">
        <v>2161</v>
      </c>
      <c r="G644" s="24">
        <v>39520</v>
      </c>
    </row>
    <row r="645" spans="1:7">
      <c r="A645" s="23">
        <v>28041213</v>
      </c>
      <c r="B645" s="23" t="s">
        <v>2239</v>
      </c>
      <c r="G645" s="24">
        <v>39520</v>
      </c>
    </row>
    <row r="646" spans="1:7">
      <c r="A646" s="23">
        <v>28041237</v>
      </c>
      <c r="B646" s="23" t="s">
        <v>2144</v>
      </c>
      <c r="G646" s="24">
        <v>39520</v>
      </c>
    </row>
    <row r="647" spans="1:7">
      <c r="A647" s="23">
        <v>28041342</v>
      </c>
      <c r="B647" s="23" t="s">
        <v>2236</v>
      </c>
      <c r="G647" s="24">
        <v>39520</v>
      </c>
    </row>
    <row r="648" spans="1:7">
      <c r="A648" s="23">
        <v>28041378</v>
      </c>
      <c r="B648" s="23" t="s">
        <v>2221</v>
      </c>
      <c r="G648" s="24">
        <v>39520</v>
      </c>
    </row>
    <row r="649" spans="1:7">
      <c r="A649" s="23">
        <v>28041473</v>
      </c>
      <c r="B649" s="23" t="s">
        <v>1716</v>
      </c>
      <c r="G649" s="24">
        <v>39520</v>
      </c>
    </row>
    <row r="650" spans="1:7">
      <c r="A650" s="23">
        <v>28041521</v>
      </c>
      <c r="B650" s="23" t="s">
        <v>1942</v>
      </c>
      <c r="G650" s="24">
        <v>39520</v>
      </c>
    </row>
    <row r="651" spans="1:7">
      <c r="A651" s="23">
        <v>28041539</v>
      </c>
      <c r="B651" s="23" t="s">
        <v>672</v>
      </c>
      <c r="G651" s="24">
        <v>39520</v>
      </c>
    </row>
    <row r="652" spans="1:7">
      <c r="A652" s="23">
        <v>28041576</v>
      </c>
      <c r="B652" s="23" t="s">
        <v>902</v>
      </c>
      <c r="G652" s="24">
        <v>39520</v>
      </c>
    </row>
    <row r="653" spans="1:7">
      <c r="A653" s="23">
        <v>28041588</v>
      </c>
      <c r="B653" s="23" t="s">
        <v>2173</v>
      </c>
      <c r="G653" s="24">
        <v>39520</v>
      </c>
    </row>
    <row r="654" spans="1:7">
      <c r="A654" s="23">
        <v>28041722</v>
      </c>
      <c r="B654" s="23" t="s">
        <v>2154</v>
      </c>
      <c r="G654" s="24">
        <v>39520</v>
      </c>
    </row>
    <row r="655" spans="1:7">
      <c r="A655" s="23">
        <v>28041845</v>
      </c>
      <c r="B655" s="23" t="s">
        <v>1947</v>
      </c>
      <c r="G655" s="24">
        <v>39520</v>
      </c>
    </row>
    <row r="656" spans="1:7">
      <c r="A656" s="23">
        <v>28042130</v>
      </c>
      <c r="B656" s="23" t="s">
        <v>2172</v>
      </c>
      <c r="G656" s="24">
        <v>39520</v>
      </c>
    </row>
    <row r="657" spans="1:7">
      <c r="A657" s="23">
        <v>28042195</v>
      </c>
      <c r="B657" s="23" t="s">
        <v>2130</v>
      </c>
      <c r="G657" s="24">
        <v>39522</v>
      </c>
    </row>
    <row r="658" spans="1:7">
      <c r="A658" s="23">
        <v>28042199</v>
      </c>
      <c r="B658" s="23" t="s">
        <v>2197</v>
      </c>
      <c r="G658" s="24">
        <v>39520</v>
      </c>
    </row>
    <row r="659" spans="1:7">
      <c r="A659" s="23">
        <v>28042399</v>
      </c>
      <c r="B659" s="23" t="s">
        <v>2179</v>
      </c>
      <c r="G659" s="24">
        <v>39520</v>
      </c>
    </row>
    <row r="660" spans="1:7">
      <c r="A660" s="23">
        <v>28042402</v>
      </c>
      <c r="B660" s="23" t="s">
        <v>2126</v>
      </c>
      <c r="G660" s="24">
        <v>39520</v>
      </c>
    </row>
    <row r="661" spans="1:7">
      <c r="A661" s="23">
        <v>28042411</v>
      </c>
      <c r="B661" s="23" t="s">
        <v>2184</v>
      </c>
      <c r="G661" s="24">
        <v>39520</v>
      </c>
    </row>
    <row r="662" spans="1:7">
      <c r="A662" s="23">
        <v>28042459</v>
      </c>
      <c r="B662" s="23" t="s">
        <v>1933</v>
      </c>
      <c r="G662" s="24">
        <v>39520</v>
      </c>
    </row>
    <row r="663" spans="1:7">
      <c r="A663" s="23">
        <v>28042569</v>
      </c>
      <c r="B663" s="23" t="s">
        <v>691</v>
      </c>
      <c r="G663" s="24">
        <v>39520</v>
      </c>
    </row>
    <row r="664" spans="1:7">
      <c r="A664" s="23">
        <v>28042573</v>
      </c>
      <c r="B664" s="23" t="s">
        <v>2234</v>
      </c>
      <c r="G664" s="24">
        <v>39520</v>
      </c>
    </row>
    <row r="665" spans="1:7">
      <c r="A665" s="23">
        <v>28042673</v>
      </c>
      <c r="B665" s="23" t="s">
        <v>2160</v>
      </c>
      <c r="G665" s="24">
        <v>39525</v>
      </c>
    </row>
    <row r="666" spans="1:7">
      <c r="A666" s="23">
        <v>28042735</v>
      </c>
      <c r="B666" s="23" t="s">
        <v>2148</v>
      </c>
      <c r="G666" s="24">
        <v>39520</v>
      </c>
    </row>
    <row r="667" spans="1:7">
      <c r="A667" s="23">
        <v>28042860</v>
      </c>
      <c r="B667" s="23" t="s">
        <v>2198</v>
      </c>
      <c r="G667" s="24">
        <v>39520</v>
      </c>
    </row>
    <row r="668" spans="1:7">
      <c r="A668" s="23">
        <v>28042908</v>
      </c>
      <c r="B668" s="23" t="s">
        <v>2231</v>
      </c>
      <c r="G668" s="24">
        <v>39520</v>
      </c>
    </row>
    <row r="669" spans="1:7">
      <c r="A669" s="23">
        <v>28042926</v>
      </c>
      <c r="B669" s="23" t="s">
        <v>1967</v>
      </c>
      <c r="G669" s="24">
        <v>39520</v>
      </c>
    </row>
    <row r="670" spans="1:7">
      <c r="A670" s="23">
        <v>28042952</v>
      </c>
      <c r="B670" s="23" t="s">
        <v>2235</v>
      </c>
      <c r="G670" s="24">
        <v>39520</v>
      </c>
    </row>
    <row r="671" spans="1:7">
      <c r="A671" s="23">
        <v>28042986</v>
      </c>
      <c r="B671" s="23" t="s">
        <v>2238</v>
      </c>
      <c r="G671" s="24">
        <v>39520</v>
      </c>
    </row>
    <row r="672" spans="1:7">
      <c r="A672" s="23">
        <v>28042994</v>
      </c>
      <c r="B672" s="23" t="s">
        <v>1705</v>
      </c>
      <c r="G672" s="24">
        <v>39522</v>
      </c>
    </row>
    <row r="673" spans="1:7">
      <c r="A673" s="23">
        <v>28043121</v>
      </c>
      <c r="B673" s="23" t="s">
        <v>2178</v>
      </c>
      <c r="G673" s="24">
        <v>39520</v>
      </c>
    </row>
    <row r="674" spans="1:7">
      <c r="A674" s="23">
        <v>28043143</v>
      </c>
      <c r="B674" s="23" t="s">
        <v>2159</v>
      </c>
      <c r="G674" s="24">
        <v>39520</v>
      </c>
    </row>
    <row r="675" spans="1:7">
      <c r="A675" s="23">
        <v>28043145</v>
      </c>
      <c r="B675" s="23" t="s">
        <v>189</v>
      </c>
      <c r="G675" s="24">
        <v>39520</v>
      </c>
    </row>
    <row r="676" spans="1:7">
      <c r="A676" s="23">
        <v>28043160</v>
      </c>
      <c r="B676" s="23" t="s">
        <v>1948</v>
      </c>
      <c r="G676" s="24">
        <v>39520</v>
      </c>
    </row>
    <row r="677" spans="1:7">
      <c r="A677" s="23">
        <v>28043221</v>
      </c>
      <c r="B677" s="23" t="s">
        <v>2142</v>
      </c>
      <c r="G677" s="24">
        <v>39520</v>
      </c>
    </row>
    <row r="678" spans="1:7">
      <c r="A678" s="23">
        <v>28043240</v>
      </c>
      <c r="B678" s="23" t="s">
        <v>2141</v>
      </c>
      <c r="G678" s="24">
        <v>39520</v>
      </c>
    </row>
    <row r="679" spans="1:7">
      <c r="A679" s="23">
        <v>28043259</v>
      </c>
      <c r="B679" s="23" t="s">
        <v>2137</v>
      </c>
      <c r="G679" s="24">
        <v>39520</v>
      </c>
    </row>
    <row r="680" spans="1:7">
      <c r="A680" s="23">
        <v>28043262</v>
      </c>
      <c r="B680" s="23" t="s">
        <v>1274</v>
      </c>
      <c r="G680" s="24">
        <v>39520</v>
      </c>
    </row>
    <row r="681" spans="1:7">
      <c r="A681" s="23">
        <v>28043351</v>
      </c>
      <c r="B681" s="23" t="s">
        <v>2138</v>
      </c>
      <c r="G681" s="24">
        <v>39520</v>
      </c>
    </row>
    <row r="682" spans="1:7">
      <c r="A682" s="23">
        <v>28043356</v>
      </c>
      <c r="B682" s="23" t="s">
        <v>2139</v>
      </c>
      <c r="G682" s="24">
        <v>39520</v>
      </c>
    </row>
    <row r="683" spans="1:7">
      <c r="A683" s="23">
        <v>28043452</v>
      </c>
      <c r="B683" s="23" t="s">
        <v>2227</v>
      </c>
      <c r="G683" s="24">
        <v>39520</v>
      </c>
    </row>
    <row r="684" spans="1:7">
      <c r="A684" s="23">
        <v>28043472</v>
      </c>
      <c r="B684" s="23" t="s">
        <v>1791</v>
      </c>
      <c r="G684" s="24">
        <v>39520</v>
      </c>
    </row>
    <row r="685" spans="1:7">
      <c r="A685" s="23">
        <v>28043475</v>
      </c>
      <c r="B685" s="23" t="s">
        <v>2168</v>
      </c>
      <c r="G685" s="24">
        <v>39520</v>
      </c>
    </row>
    <row r="686" spans="1:7">
      <c r="A686" s="23">
        <v>28043629</v>
      </c>
      <c r="B686" s="23" t="s">
        <v>2232</v>
      </c>
      <c r="G686" s="24">
        <v>39520</v>
      </c>
    </row>
    <row r="687" spans="1:7">
      <c r="A687" s="23">
        <v>28043644</v>
      </c>
      <c r="B687" s="23" t="s">
        <v>2174</v>
      </c>
      <c r="G687" s="24">
        <v>39520</v>
      </c>
    </row>
    <row r="688" spans="1:7">
      <c r="A688" s="23">
        <v>28043672</v>
      </c>
      <c r="B688" s="23" t="s">
        <v>1866</v>
      </c>
      <c r="G688" s="24">
        <v>39520</v>
      </c>
    </row>
    <row r="689" spans="1:7">
      <c r="A689" s="23">
        <v>28043857</v>
      </c>
      <c r="B689" s="23" t="s">
        <v>2219</v>
      </c>
      <c r="G689" s="24">
        <v>39520</v>
      </c>
    </row>
    <row r="690" spans="1:7">
      <c r="A690" s="23">
        <v>28043911</v>
      </c>
      <c r="B690" s="23" t="s">
        <v>2212</v>
      </c>
      <c r="G690" s="24">
        <v>39522</v>
      </c>
    </row>
    <row r="691" spans="1:7">
      <c r="A691" s="23">
        <v>28043939</v>
      </c>
      <c r="B691" s="23" t="s">
        <v>2149</v>
      </c>
      <c r="G691" s="24">
        <v>39522</v>
      </c>
    </row>
    <row r="692" spans="1:7">
      <c r="A692" s="23">
        <v>28043957</v>
      </c>
      <c r="B692" s="23" t="s">
        <v>2220</v>
      </c>
      <c r="G692" s="24">
        <v>39520</v>
      </c>
    </row>
    <row r="693" spans="1:7">
      <c r="A693" s="23">
        <v>28043962</v>
      </c>
      <c r="B693" s="23" t="s">
        <v>2216</v>
      </c>
      <c r="G693" s="24">
        <v>39522</v>
      </c>
    </row>
    <row r="694" spans="1:7">
      <c r="A694" s="23">
        <v>28044041</v>
      </c>
      <c r="B694" s="23" t="s">
        <v>2222</v>
      </c>
      <c r="G694" s="24">
        <v>39520</v>
      </c>
    </row>
    <row r="695" spans="1:7">
      <c r="A695" s="23">
        <v>28044092</v>
      </c>
      <c r="B695" s="23" t="s">
        <v>1234</v>
      </c>
      <c r="G695" s="24">
        <v>39525</v>
      </c>
    </row>
    <row r="696" spans="1:7">
      <c r="A696" s="23">
        <v>28044245</v>
      </c>
      <c r="B696" s="23" t="s">
        <v>2127</v>
      </c>
      <c r="G696" s="24">
        <v>39520</v>
      </c>
    </row>
    <row r="697" spans="1:7">
      <c r="A697" s="23">
        <v>28044404</v>
      </c>
      <c r="B697" s="23" t="s">
        <v>2158</v>
      </c>
      <c r="G697" s="24">
        <v>39520</v>
      </c>
    </row>
    <row r="698" spans="1:7">
      <c r="A698" s="23">
        <v>28044600</v>
      </c>
      <c r="B698" s="23" t="s">
        <v>1236</v>
      </c>
      <c r="G698" s="24">
        <v>39520</v>
      </c>
    </row>
    <row r="699" spans="1:7">
      <c r="A699" s="23">
        <v>28044640</v>
      </c>
      <c r="B699" s="23" t="s">
        <v>158</v>
      </c>
      <c r="G699" s="24">
        <v>39522</v>
      </c>
    </row>
    <row r="700" spans="1:7">
      <c r="A700" s="23">
        <v>28044749</v>
      </c>
      <c r="B700" s="23" t="s">
        <v>2218</v>
      </c>
      <c r="G700" s="24">
        <v>39522</v>
      </c>
    </row>
    <row r="701" spans="1:7">
      <c r="A701" s="23">
        <v>28044820</v>
      </c>
      <c r="B701" s="23" t="s">
        <v>2189</v>
      </c>
      <c r="G701" s="24">
        <v>39525</v>
      </c>
    </row>
    <row r="702" spans="1:7">
      <c r="A702" s="23">
        <v>28044879</v>
      </c>
      <c r="B702" s="23" t="s">
        <v>2156</v>
      </c>
      <c r="G702" s="24">
        <v>39522</v>
      </c>
    </row>
    <row r="703" spans="1:7">
      <c r="A703" s="23">
        <v>28045022</v>
      </c>
      <c r="B703" s="23" t="s">
        <v>2140</v>
      </c>
      <c r="G703" s="24">
        <v>39522</v>
      </c>
    </row>
    <row r="704" spans="1:7">
      <c r="A704" s="23">
        <v>28045186</v>
      </c>
      <c r="B704" s="23" t="s">
        <v>2210</v>
      </c>
      <c r="G704" s="24">
        <v>39525</v>
      </c>
    </row>
    <row r="705" spans="1:7">
      <c r="A705" s="23">
        <v>28045195</v>
      </c>
      <c r="B705" s="23" t="s">
        <v>2209</v>
      </c>
      <c r="G705" s="24">
        <v>39525</v>
      </c>
    </row>
    <row r="706" spans="1:7">
      <c r="A706" s="23">
        <v>28045199</v>
      </c>
      <c r="B706" s="23" t="s">
        <v>2211</v>
      </c>
      <c r="G706" s="24">
        <v>39525</v>
      </c>
    </row>
    <row r="707" spans="1:7">
      <c r="A707" s="23">
        <v>28045317</v>
      </c>
      <c r="B707" s="23" t="s">
        <v>2215</v>
      </c>
      <c r="G707" s="24">
        <v>39522</v>
      </c>
    </row>
    <row r="708" spans="1:7">
      <c r="A708" s="23">
        <v>28045322</v>
      </c>
      <c r="B708" s="23" t="s">
        <v>2217</v>
      </c>
      <c r="G708" s="24">
        <v>39522</v>
      </c>
    </row>
    <row r="709" spans="1:7">
      <c r="A709" s="23">
        <v>28045367</v>
      </c>
      <c r="B709" s="23" t="s">
        <v>2214</v>
      </c>
      <c r="G709" s="24">
        <v>39522</v>
      </c>
    </row>
    <row r="710" spans="1:7">
      <c r="A710" s="23">
        <v>28045403</v>
      </c>
      <c r="B710" s="23" t="s">
        <v>2213</v>
      </c>
      <c r="G710" s="24">
        <v>39522</v>
      </c>
    </row>
    <row r="711" spans="1:7">
      <c r="A711" s="23">
        <v>28045421</v>
      </c>
      <c r="B711" s="23" t="s">
        <v>2155</v>
      </c>
      <c r="G711" s="24">
        <v>39522</v>
      </c>
    </row>
    <row r="712" spans="1:7">
      <c r="A712" s="23">
        <v>28045497</v>
      </c>
      <c r="B712" s="23" t="s">
        <v>744</v>
      </c>
      <c r="G712" s="24">
        <v>39522</v>
      </c>
    </row>
    <row r="713" spans="1:7">
      <c r="A713" s="23">
        <v>28045584</v>
      </c>
      <c r="B713" s="23" t="s">
        <v>2170</v>
      </c>
      <c r="G713" s="24">
        <v>39525</v>
      </c>
    </row>
    <row r="714" spans="1:7">
      <c r="A714" s="23">
        <v>28045681</v>
      </c>
      <c r="B714" s="23" t="s">
        <v>268</v>
      </c>
      <c r="G714" s="24">
        <v>39525</v>
      </c>
    </row>
    <row r="715" spans="1:7">
      <c r="A715" s="23">
        <v>28045722</v>
      </c>
      <c r="B715" s="23" t="s">
        <v>2169</v>
      </c>
      <c r="G715" s="24">
        <v>39525</v>
      </c>
    </row>
    <row r="716" spans="1:7">
      <c r="A716" s="23">
        <v>28045917</v>
      </c>
      <c r="B716" s="23" t="s">
        <v>2177</v>
      </c>
      <c r="G716" s="24">
        <v>39525</v>
      </c>
    </row>
    <row r="717" spans="1:7">
      <c r="A717" s="23">
        <v>28045935</v>
      </c>
      <c r="B717" s="23" t="s">
        <v>2208</v>
      </c>
      <c r="G717" s="24">
        <v>39525</v>
      </c>
    </row>
    <row r="718" spans="1:7">
      <c r="A718" s="23">
        <v>28045960</v>
      </c>
      <c r="B718" s="23" t="s">
        <v>2180</v>
      </c>
      <c r="G718" s="24">
        <v>39525</v>
      </c>
    </row>
    <row r="719" spans="1:7">
      <c r="A719" s="23">
        <v>28046063</v>
      </c>
      <c r="B719" s="23" t="s">
        <v>1908</v>
      </c>
      <c r="G719" s="24">
        <v>39525</v>
      </c>
    </row>
    <row r="720" spans="1:7">
      <c r="A720" s="23">
        <v>28046086</v>
      </c>
      <c r="B720" s="23" t="s">
        <v>2196</v>
      </c>
      <c r="G720" s="24">
        <v>39526</v>
      </c>
    </row>
    <row r="721" spans="1:7">
      <c r="A721" s="23">
        <v>28046098</v>
      </c>
      <c r="B721" s="23" t="s">
        <v>2175</v>
      </c>
      <c r="G721" s="24">
        <v>39525</v>
      </c>
    </row>
    <row r="722" spans="1:7">
      <c r="A722" s="23">
        <v>28046309</v>
      </c>
      <c r="B722" s="23" t="s">
        <v>1928</v>
      </c>
      <c r="G722" s="24">
        <v>39525</v>
      </c>
    </row>
    <row r="723" spans="1:7">
      <c r="A723" s="23">
        <v>28046310</v>
      </c>
      <c r="B723" s="23" t="s">
        <v>2176</v>
      </c>
      <c r="G723" s="24">
        <v>39525</v>
      </c>
    </row>
    <row r="724" spans="1:7">
      <c r="A724" s="23">
        <v>28046370</v>
      </c>
      <c r="B724" s="23" t="s">
        <v>2194</v>
      </c>
      <c r="G724" s="24">
        <v>39525</v>
      </c>
    </row>
    <row r="725" spans="1:7">
      <c r="A725" s="23">
        <v>28046447</v>
      </c>
      <c r="B725" s="23" t="s">
        <v>2207</v>
      </c>
      <c r="G725" s="24">
        <v>39526</v>
      </c>
    </row>
    <row r="726" spans="1:7">
      <c r="A726" s="23">
        <v>28046993</v>
      </c>
      <c r="B726" s="23" t="s">
        <v>2157</v>
      </c>
      <c r="G726" s="24">
        <v>39526</v>
      </c>
    </row>
    <row r="727" spans="1:7">
      <c r="A727" s="23">
        <v>28047125</v>
      </c>
      <c r="B727" s="23" t="s">
        <v>1965</v>
      </c>
      <c r="G727" s="24">
        <v>39526</v>
      </c>
    </row>
    <row r="728" spans="1:7">
      <c r="A728" s="23">
        <v>28047151</v>
      </c>
      <c r="B728" s="23" t="s">
        <v>1930</v>
      </c>
      <c r="G728" s="24">
        <v>39526</v>
      </c>
    </row>
    <row r="729" spans="1:7">
      <c r="A729" s="23">
        <v>28047220</v>
      </c>
      <c r="B729" s="23" t="s">
        <v>2195</v>
      </c>
      <c r="G729" s="24">
        <v>39526</v>
      </c>
    </row>
    <row r="730" spans="1:7">
      <c r="A730" s="23">
        <v>28047430</v>
      </c>
      <c r="B730" s="23" t="s">
        <v>1885</v>
      </c>
      <c r="G730" s="24">
        <v>39526</v>
      </c>
    </row>
  </sheetData>
  <sortState ref="A2:G730">
    <sortCondition ref="A2:A73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Tracking</vt:lpstr>
      <vt:lpstr>Configuration</vt:lpstr>
      <vt:lpstr>Anatomy (Windermere)</vt:lpstr>
      <vt:lpstr>Houses</vt:lpstr>
      <vt:lpstr>20080302_070819</vt:lpstr>
      <vt:lpstr>Sheet2</vt:lpstr>
      <vt:lpstr>comments_3_24_2008_6_33_56_AM</vt:lpstr>
      <vt:lpstr>cfgDownloadOnly</vt:lpstr>
      <vt:lpstr>cfgEmulateDate</vt:lpstr>
      <vt:lpstr>cfgFilePath</vt:lpstr>
      <vt:lpstr>cfgFileSpec</vt:lpstr>
      <vt:lpstr>cfgQueryList</vt:lpstr>
      <vt:lpstr>tmpCommentLUT</vt:lpstr>
      <vt:lpstr>'20080302_070819'!tmpTrackingResults</vt:lpstr>
      <vt:lpstr>tmpTrackingResults</vt:lpstr>
    </vt:vector>
  </TitlesOfParts>
  <Company>Microsoft Corporation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Smith</dc:creator>
  <cp:lastModifiedBy>Dave Smith</cp:lastModifiedBy>
  <cp:lastPrinted>2008-03-23T20:58:24Z</cp:lastPrinted>
  <dcterms:created xsi:type="dcterms:W3CDTF">2005-12-05T14:52:26Z</dcterms:created>
  <dcterms:modified xsi:type="dcterms:W3CDTF">2008-04-11T14:26:33Z</dcterms:modified>
</cp:coreProperties>
</file>